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bookViews>
    <workbookView xWindow="1440" yWindow="1815" windowWidth="12225" windowHeight="6405" tabRatio="893" firstSheet="5" activeTab="5"/>
  </bookViews>
  <sheets>
    <sheet name="Report" sheetId="55" state="hidden" r:id="rId1"/>
    <sheet name="GHSF Calculator" sheetId="56" state="hidden" r:id="rId2"/>
    <sheet name="Demand Savings Lookup" sheetId="61" state="hidden" r:id="rId3"/>
    <sheet name="Lookup" sheetId="57" state="hidden" r:id="rId4"/>
    <sheet name="Drop Down" sheetId="54" state="hidden" r:id="rId5"/>
    <sheet name="Introduction" sheetId="65" r:id="rId6"/>
    <sheet name="NYSERDA Reporting" sheetId="60" state="hidden" r:id="rId7"/>
    <sheet name="ERMs" sheetId="68" state="hidden" r:id="rId8"/>
    <sheet name="Basic Info" sheetId="42" r:id="rId9"/>
    <sheet name="Model Inputs" sheetId="62" r:id="rId10"/>
    <sheet name="Reporting Summary" sheetId="48" r:id="rId11"/>
    <sheet name="Avoided Costs" sheetId="66" state="hidden" r:id="rId12"/>
    <sheet name="Detailed Measures" sheetId="47" r:id="rId13"/>
    <sheet name="Results from eQUEST" sheetId="45" r:id="rId14"/>
    <sheet name="Simulation Summary" sheetId="16" state="hidden" r:id="rId15"/>
    <sheet name="T&amp;V Instructions" sheetId="91" r:id="rId16"/>
    <sheet name="T&amp;V TOC" sheetId="67" r:id="rId17"/>
    <sheet name="Admin" sheetId="90" state="hidden" r:id="rId18"/>
    <sheet name="Overview" sheetId="69" r:id="rId19"/>
    <sheet name="1.1 - APPLIANCES" sheetId="72" r:id="rId20"/>
    <sheet name="2.1-2.2, 5.1, 5.3 - HEATING&amp;DHW" sheetId="73" r:id="rId21"/>
    <sheet name="3.1 - ENV_BELOW GRADE WALLS" sheetId="74" r:id="rId22"/>
    <sheet name="3.1 - ENV_ABOVE GRADE WALLS" sheetId="75" r:id="rId23"/>
    <sheet name="3.2 - ENV_ROOF" sheetId="76" r:id="rId24"/>
    <sheet name="3.3 - ENV_FLOORS" sheetId="77" r:id="rId25"/>
    <sheet name="3.4 - ENV_WINDOWS" sheetId="78" r:id="rId26"/>
    <sheet name="3.5 - ENV_EXTERIOR DOORS" sheetId="79" r:id="rId27"/>
    <sheet name="4.2 - GARAGES_CMPTZ &amp; HEATING " sheetId="80" r:id="rId28"/>
    <sheet name="5.2, 5.4 - COOLING" sheetId="81" r:id="rId29"/>
    <sheet name="6.1, 6.2, 6.3 - LIGHTING" sheetId="82" r:id="rId30"/>
    <sheet name="7.1 - MOTORS" sheetId="83" r:id="rId31"/>
    <sheet name="8.1 - INF_EXT AIR BARRIER" sheetId="84" r:id="rId32"/>
    <sheet name="8.1-INF_COMPTZN VIS INSPECTION" sheetId="85" r:id="rId33"/>
    <sheet name="8.1 - INF_BLOWER DOOR TEST" sheetId="86" r:id="rId34"/>
    <sheet name="8.2,4.1 - VENT_SCHEDULE&amp;TAB" sheetId="87" r:id="rId35"/>
    <sheet name="8.2 - VENT_DUCT TIGHTNESS" sheetId="88" r:id="rId36"/>
    <sheet name="9.1- H&amp;S" sheetId="92" r:id="rId37"/>
    <sheet name="10.1 - METERS" sheetId="89" r:id="rId38"/>
    <sheet name="RECS - Baseline" sheetId="52" state="hidden" r:id="rId39"/>
    <sheet name="RECS - Proposed" sheetId="53" state="hidden" r:id="rId40"/>
    <sheet name="Tables of Values" sheetId="41" state="hidden" r:id="rId41"/>
    <sheet name="Locator Map" sheetId="23" state="hidden" r:id="rId42"/>
    <sheet name="Side Calcs - Baseline" sheetId="24" state="hidden" r:id="rId43"/>
    <sheet name="ZipCode Map" sheetId="25" state="hidden" r:id="rId44"/>
    <sheet name="Worksheet - Design - Baseline" sheetId="28" state="hidden" r:id="rId45"/>
    <sheet name="Worksheet - Design - Proposed" sheetId="30" state="hidden" r:id="rId46"/>
    <sheet name="Side Calcs - Proposed" sheetId="31" state="hidden" r:id="rId47"/>
  </sheets>
  <externalReferences>
    <externalReference r:id="rId48"/>
  </externalReferences>
  <definedNames>
    <definedName name="_xlnm._FilterDatabase" localSheetId="21" hidden="1">'3.1 - ENV_BELOW GRADE WALLS'!$L$29:$L$37</definedName>
    <definedName name="_xlnm._FilterDatabase" localSheetId="27" hidden="1">'4.2 - GARAGES_CMPTZ &amp; HEATING '!$L$26:$L$28</definedName>
    <definedName name="_xlnm._FilterDatabase" localSheetId="31" hidden="1">'8.1 - INF_EXT AIR BARRIER'!$K$37:$K$46</definedName>
    <definedName name="_xlnm._FilterDatabase" localSheetId="8" hidden="1">'Basic Info'!#REF!</definedName>
    <definedName name="_Toc260388435" localSheetId="12">'Detailed Measures'!$AX$11</definedName>
    <definedName name="AvoidedCostTable">'Avoided Costs'!$A$16:$AY$24</definedName>
    <definedName name="CentralHudson">'Avoided Costs'!$A$26:$AY$47</definedName>
    <definedName name="ClimateZone">'Drop Down'!$S$2:$S$9</definedName>
    <definedName name="Condition">'Drop Down'!$B$2:$B$6</definedName>
    <definedName name="ConEd">'Avoided Costs'!$A$49:$AY$70</definedName>
    <definedName name="construction">'Drop Down'!$H$2:$H$4</definedName>
    <definedName name="DHW_Method">'Drop Down'!$J$2:$J$4</definedName>
    <definedName name="EStar">'Drop Down'!$L$2:$L$6</definedName>
    <definedName name="Fan">'Drop Down'!$Q$2:$Q$6</definedName>
    <definedName name="FanControl">'Drop Down'!$O$2:$O$8</definedName>
    <definedName name="Footcandles">'Drop Down'!$Y$2:$Y$16</definedName>
    <definedName name="fuel">'Drop Down'!$I$2:$I$7</definedName>
    <definedName name="Fuels">'Drop Down'!$AC$2:$AC$7</definedName>
    <definedName name="FundingCodes">'Drop Down'!$AD$2:$AD$7</definedName>
    <definedName name="Garage">'Drop Down'!$A$2:$A$5</definedName>
    <definedName name="GasUtility">'Drop Down'!$AE$2:$AE$5</definedName>
    <definedName name="HeatingControl">'Drop Down'!$P$2:$P$7</definedName>
    <definedName name="Income">'Drop Down'!$G$2:$G$4</definedName>
    <definedName name="KEDLI">'Avoided Costs'!$A$164:$AY$185</definedName>
    <definedName name="LightingSpaceType">'Drop Down'!$W$2:$W$16</definedName>
    <definedName name="LPD">'Drop Down'!$X$2:$X$16</definedName>
    <definedName name="Measure_Type">'Demand Savings Lookup'!$A$3:$A$43</definedName>
    <definedName name="Milestone">'Drop Down'!$D$2:$D$4</definedName>
    <definedName name="NationalGrid">'Avoided Costs'!$A$72:$AY$93</definedName>
    <definedName name="NYSEG">'Avoided Costs'!$A$95:$AY$116</definedName>
    <definedName name="OandR">'Avoided Costs'!$A$118:$AY$139</definedName>
    <definedName name="_xlnm.Print_Area" localSheetId="19">'1.1 - APPLIANCES'!$B$1:$Q$33</definedName>
    <definedName name="_xlnm.Print_Area" localSheetId="37">'10.1 - METERS'!$B$1:$J$35</definedName>
    <definedName name="_xlnm.Print_Area" localSheetId="20">'2.1-2.2, 5.1, 5.3 - HEATING&amp;DHW'!$B$1:$N$96</definedName>
    <definedName name="_xlnm.Print_Area" localSheetId="22">'3.1 - ENV_ABOVE GRADE WALLS'!$B$1:$J$75</definedName>
    <definedName name="_xlnm.Print_Area" localSheetId="21">'3.1 - ENV_BELOW GRADE WALLS'!$B$1:$J$43</definedName>
    <definedName name="_xlnm.Print_Area" localSheetId="23">'3.2 - ENV_ROOF'!$B$1:$J$51</definedName>
    <definedName name="_xlnm.Print_Area" localSheetId="24">'3.3 - ENV_FLOORS'!$B$1:$J$57</definedName>
    <definedName name="_xlnm.Print_Area" localSheetId="25">'3.4 - ENV_WINDOWS'!$B$1:$N$48</definedName>
    <definedName name="_xlnm.Print_Area" localSheetId="26">'3.5 - ENV_EXTERIOR DOORS'!$B$1:$L$44</definedName>
    <definedName name="_xlnm.Print_Area" localSheetId="27">'4.2 - GARAGES_CMPTZ &amp; HEATING '!$B$1:$J$26</definedName>
    <definedName name="_xlnm.Print_Area" localSheetId="28">'5.2, 5.4 - COOLING'!$B$1:$N$73</definedName>
    <definedName name="_xlnm.Print_Area" localSheetId="29">'6.1, 6.2, 6.3 - LIGHTING'!$B$1:$O$109</definedName>
    <definedName name="_xlnm.Print_Area" localSheetId="30">'7.1 - MOTORS'!$B$1:$K$42</definedName>
    <definedName name="_xlnm.Print_Area" localSheetId="33">'8.1 - INF_BLOWER DOOR TEST'!$B$1:$K$51</definedName>
    <definedName name="_xlnm.Print_Area" localSheetId="31">'8.1 - INF_EXT AIR BARRIER'!$B$1:$I$63</definedName>
    <definedName name="_xlnm.Print_Area" localSheetId="32">'8.1-INF_COMPTZN VIS INSPECTION'!$B$1:$J$51</definedName>
    <definedName name="_xlnm.Print_Area" localSheetId="35">'8.2 - VENT_DUCT TIGHTNESS'!$B$1:$J$106</definedName>
    <definedName name="_xlnm.Print_Area" localSheetId="34">'8.2,4.1 - VENT_SCHEDULE&amp;TAB'!$B$1:$O$96</definedName>
    <definedName name="_xlnm.Print_Area" localSheetId="36">'9.1- H&amp;S'!$B$1:$J$25</definedName>
    <definedName name="_xlnm.Print_Area" localSheetId="17">Admin!$A$6:$D$163</definedName>
    <definedName name="_xlnm.Print_Area" localSheetId="12">'Detailed Measures'!$D$4:$X$58</definedName>
    <definedName name="_xlnm.Print_Area" localSheetId="7">ERMs!$A$8:$E$78</definedName>
    <definedName name="_xlnm.Print_Area" localSheetId="5">Introduction!$B$1:$C$26</definedName>
    <definedName name="_xlnm.Print_Area" localSheetId="18">Overview!$A$2:$D$249</definedName>
    <definedName name="_xlnm.Print_Area" localSheetId="38">'RECS - Baseline'!$B$2:$I$56</definedName>
    <definedName name="_xlnm.Print_Area" localSheetId="39">'RECS - Proposed'!$B$2:$I$56</definedName>
    <definedName name="Pump">'Drop Down'!$M$2:$M$6</definedName>
    <definedName name="PumpClass">'Drop Down'!$N$2:$N$5</definedName>
    <definedName name="Rev">'Drop Down'!$E$2:$E$8</definedName>
    <definedName name="RGandE">'Avoided Costs'!$A$141:$AY$162</definedName>
    <definedName name="SpaceType">'Drop Down'!$U$2:$U$15</definedName>
    <definedName name="Standard">'Drop Down'!$F$2:$F$4</definedName>
    <definedName name="Units" localSheetId="11">'[1]MeasureQC Calcs'!$B$56</definedName>
    <definedName name="Units">'Drop Down'!$K$2:$K$10</definedName>
    <definedName name="Utility">'Drop Down'!$AA$2:$AA$7</definedName>
    <definedName name="Windows">'Drop Down'!$T$2:$T$3</definedName>
    <definedName name="YesNo">'Drop Down'!$Z$2:$Z$4</definedName>
    <definedName name="yn" localSheetId="11">[1]DropDowns!$C$3:$C$4</definedName>
    <definedName name="YN">'Drop Down'!$C$2:$C$4</definedName>
    <definedName name="Z_04B77481_E3E8_40F9_BDC2_E6862D1359A5_.wvu.PrintArea" localSheetId="12" hidden="1">'Detailed Measures'!$D$4:$AB$30</definedName>
  </definedNames>
  <calcPr calcId="125725"/>
</workbook>
</file>

<file path=xl/calcChain.xml><?xml version="1.0" encoding="utf-8"?>
<calcChain xmlns="http://schemas.openxmlformats.org/spreadsheetml/2006/main">
  <c r="C64" i="68"/>
  <c r="D64" s="1"/>
  <c r="B64"/>
  <c r="C63"/>
  <c r="D63" s="1"/>
  <c r="B63"/>
  <c r="AF33" i="47"/>
  <c r="AE37"/>
  <c r="B67" i="68"/>
  <c r="E19"/>
  <c r="D19"/>
  <c r="C19"/>
  <c r="C61"/>
  <c r="E61" s="1"/>
  <c r="C12" i="60"/>
  <c r="E64" i="68" l="1"/>
  <c r="E63"/>
  <c r="C59" i="60"/>
  <c r="D59"/>
  <c r="D54" l="1"/>
  <c r="C44"/>
  <c r="E29"/>
  <c r="K30"/>
  <c r="I30"/>
  <c r="H30"/>
  <c r="C30" s="1"/>
  <c r="J30"/>
  <c r="F12" i="42"/>
  <c r="F13"/>
  <c r="F14"/>
  <c r="F15"/>
  <c r="F16"/>
  <c r="F17"/>
  <c r="F18"/>
  <c r="F19"/>
  <c r="F20"/>
  <c r="F21"/>
  <c r="F22"/>
  <c r="F23"/>
  <c r="F11"/>
  <c r="C71" i="68"/>
  <c r="D21"/>
  <c r="C75"/>
  <c r="C42"/>
  <c r="C41"/>
  <c r="C39"/>
  <c r="C67"/>
  <c r="D67" s="1"/>
  <c r="E67" s="1"/>
  <c r="D30" i="60" l="1"/>
  <c r="E30"/>
  <c r="C11" i="16"/>
  <c r="C19"/>
  <c r="AF53" i="47"/>
  <c r="AE53"/>
  <c r="AF52"/>
  <c r="AE52"/>
  <c r="AF51"/>
  <c r="AE51"/>
  <c r="AF50"/>
  <c r="AE50"/>
  <c r="AF49"/>
  <c r="AE49"/>
  <c r="AF48"/>
  <c r="AE48"/>
  <c r="AF47"/>
  <c r="AE47"/>
  <c r="AF46"/>
  <c r="AF54" s="1"/>
  <c r="AE46"/>
  <c r="M18" i="45"/>
  <c r="G29" i="16"/>
  <c r="G28"/>
  <c r="G27"/>
  <c r="G26"/>
  <c r="G25"/>
  <c r="G24"/>
  <c r="F29"/>
  <c r="F28"/>
  <c r="F27"/>
  <c r="F26"/>
  <c r="F25"/>
  <c r="F24"/>
  <c r="Y7" i="45"/>
  <c r="Z7"/>
  <c r="AA7"/>
  <c r="AB7"/>
  <c r="AC7"/>
  <c r="AD7"/>
  <c r="AE7"/>
  <c r="AF7"/>
  <c r="AG7"/>
  <c r="AH7"/>
  <c r="AI7"/>
  <c r="AJ7"/>
  <c r="AK7"/>
  <c r="AL7"/>
  <c r="AM7"/>
  <c r="AN7"/>
  <c r="AO7"/>
  <c r="AP7"/>
  <c r="AQ7"/>
  <c r="AR7"/>
  <c r="AS7"/>
  <c r="AT7"/>
  <c r="AU7"/>
  <c r="AV7"/>
  <c r="AW7"/>
  <c r="AX7"/>
  <c r="BK7"/>
  <c r="G49" i="69"/>
  <c r="E49"/>
  <c r="E123"/>
  <c r="G123"/>
  <c r="G80"/>
  <c r="E80"/>
  <c r="G74"/>
  <c r="E74"/>
  <c r="G66"/>
  <c r="G67"/>
  <c r="E66"/>
  <c r="E67"/>
  <c r="G20"/>
  <c r="E20"/>
  <c r="G231"/>
  <c r="E231"/>
  <c r="G14"/>
  <c r="E14"/>
  <c r="F94" i="82"/>
  <c r="F93"/>
  <c r="F92"/>
  <c r="F91"/>
  <c r="F90"/>
  <c r="F89"/>
  <c r="F88"/>
  <c r="F87"/>
  <c r="F86"/>
  <c r="F85"/>
  <c r="F84"/>
  <c r="F83"/>
  <c r="F82"/>
  <c r="F81"/>
  <c r="F80"/>
  <c r="F63"/>
  <c r="F64"/>
  <c r="F65"/>
  <c r="F66"/>
  <c r="F67"/>
  <c r="F68"/>
  <c r="F69"/>
  <c r="F70"/>
  <c r="F71"/>
  <c r="F72"/>
  <c r="F73"/>
  <c r="F74"/>
  <c r="F75"/>
  <c r="F76"/>
  <c r="F62"/>
  <c r="C74" i="68"/>
  <c r="D74" s="1"/>
  <c r="C68"/>
  <c r="D68" s="1"/>
  <c r="E68" s="1"/>
  <c r="C62"/>
  <c r="C57"/>
  <c r="C56"/>
  <c r="E56" s="1"/>
  <c r="C51"/>
  <c r="D51" s="1"/>
  <c r="C44"/>
  <c r="C43"/>
  <c r="D43" s="1"/>
  <c r="E43" s="1"/>
  <c r="D42"/>
  <c r="E42" s="1"/>
  <c r="D41"/>
  <c r="E41" s="1"/>
  <c r="C40"/>
  <c r="D40" s="1"/>
  <c r="E40" s="1"/>
  <c r="C25"/>
  <c r="D25" s="1"/>
  <c r="E25" s="1"/>
  <c r="G213" i="69"/>
  <c r="E213"/>
  <c r="C69" i="68"/>
  <c r="I69" i="87" s="1"/>
  <c r="C213" i="69" s="1"/>
  <c r="E139" i="62"/>
  <c r="D69" i="68" s="1"/>
  <c r="K69" i="87" s="1"/>
  <c r="D213" i="69" s="1"/>
  <c r="G241"/>
  <c r="G242"/>
  <c r="G240"/>
  <c r="E241"/>
  <c r="E242"/>
  <c r="E240"/>
  <c r="C2" i="92"/>
  <c r="C139" i="69"/>
  <c r="D139"/>
  <c r="E139"/>
  <c r="G139"/>
  <c r="E89"/>
  <c r="G89"/>
  <c r="G36"/>
  <c r="E36"/>
  <c r="C73" i="68"/>
  <c r="D73" s="1"/>
  <c r="E73" s="1"/>
  <c r="C72"/>
  <c r="D72" s="1"/>
  <c r="E72" s="1"/>
  <c r="D71"/>
  <c r="E71" s="1"/>
  <c r="C76"/>
  <c r="D76" s="1"/>
  <c r="E76" s="1"/>
  <c r="C70"/>
  <c r="D70" s="1"/>
  <c r="E70" s="1"/>
  <c r="E228" i="69"/>
  <c r="E227"/>
  <c r="E226"/>
  <c r="E225"/>
  <c r="E224"/>
  <c r="E223"/>
  <c r="E222"/>
  <c r="E221"/>
  <c r="E219"/>
  <c r="E218"/>
  <c r="E217"/>
  <c r="E216"/>
  <c r="E214"/>
  <c r="E212"/>
  <c r="E211"/>
  <c r="E210"/>
  <c r="E209"/>
  <c r="E208"/>
  <c r="E207"/>
  <c r="C58" i="68"/>
  <c r="D58" s="1"/>
  <c r="E58" s="1"/>
  <c r="C30"/>
  <c r="D30" s="1"/>
  <c r="E30" s="1"/>
  <c r="C29"/>
  <c r="D29" s="1"/>
  <c r="E29" s="1"/>
  <c r="C28"/>
  <c r="C27"/>
  <c r="D27" s="1"/>
  <c r="E27" s="1"/>
  <c r="C23"/>
  <c r="D23" s="1"/>
  <c r="E23" s="1"/>
  <c r="E60" i="69"/>
  <c r="D39" i="68"/>
  <c r="C14"/>
  <c r="E14" s="1"/>
  <c r="C17"/>
  <c r="E17" s="1"/>
  <c r="C16"/>
  <c r="D16" s="1"/>
  <c r="C15"/>
  <c r="D12"/>
  <c r="D11"/>
  <c r="C13"/>
  <c r="E13" s="1"/>
  <c r="C12"/>
  <c r="E12" s="1"/>
  <c r="C11"/>
  <c r="E78" i="48"/>
  <c r="H74"/>
  <c r="E74"/>
  <c r="H68"/>
  <c r="H67"/>
  <c r="H66"/>
  <c r="E68"/>
  <c r="E67"/>
  <c r="E66"/>
  <c r="H63"/>
  <c r="E63"/>
  <c r="H54"/>
  <c r="H53"/>
  <c r="H52"/>
  <c r="H51"/>
  <c r="E54"/>
  <c r="E53"/>
  <c r="E52"/>
  <c r="E60"/>
  <c r="E57"/>
  <c r="E55"/>
  <c r="E51"/>
  <c r="E50"/>
  <c r="E49"/>
  <c r="H50"/>
  <c r="F56" i="62"/>
  <c r="C58" i="60" l="1"/>
  <c r="D28" i="68"/>
  <c r="E28" s="1"/>
  <c r="D48" i="60" s="1"/>
  <c r="C48"/>
  <c r="E11" i="68"/>
  <c r="C53" i="60"/>
  <c r="E57" i="68"/>
  <c r="D52" i="60" s="1"/>
  <c r="C52"/>
  <c r="D61" i="68"/>
  <c r="I36" i="83" s="1"/>
  <c r="D62" i="68"/>
  <c r="I37" i="83" s="1"/>
  <c r="E62" i="68"/>
  <c r="H37" i="83" s="1"/>
  <c r="AE54" i="47"/>
  <c r="E69" i="68"/>
  <c r="D56"/>
  <c r="D57"/>
  <c r="E74"/>
  <c r="E51"/>
  <c r="D17"/>
  <c r="E16"/>
  <c r="E15"/>
  <c r="Y28" i="47"/>
  <c r="Y27"/>
  <c r="Y26"/>
  <c r="Y25"/>
  <c r="Y24"/>
  <c r="Y23"/>
  <c r="Y22"/>
  <c r="Y21"/>
  <c r="Y20"/>
  <c r="Y19"/>
  <c r="Y18"/>
  <c r="Y17"/>
  <c r="Y16"/>
  <c r="Y15"/>
  <c r="Y14"/>
  <c r="Y13"/>
  <c r="Y12"/>
  <c r="Y11"/>
  <c r="Y10"/>
  <c r="Y9"/>
  <c r="J9"/>
  <c r="D210" i="66"/>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C210"/>
  <c r="H36" i="83" l="1"/>
  <c r="D58" i="60"/>
  <c r="D53"/>
  <c r="AE11" i="47"/>
  <c r="AF11"/>
  <c r="AE15"/>
  <c r="AF15"/>
  <c r="AE19"/>
  <c r="AF19"/>
  <c r="AE10"/>
  <c r="AF10"/>
  <c r="AE12"/>
  <c r="AF12"/>
  <c r="AE14"/>
  <c r="AF14"/>
  <c r="AE16"/>
  <c r="AF16"/>
  <c r="AE18"/>
  <c r="AF18"/>
  <c r="AE20"/>
  <c r="AF20"/>
  <c r="AF9"/>
  <c r="AE9"/>
  <c r="AE13"/>
  <c r="AF13"/>
  <c r="AE17"/>
  <c r="AF17"/>
  <c r="AE21"/>
  <c r="AF21"/>
  <c r="AE23"/>
  <c r="AF23"/>
  <c r="AE27"/>
  <c r="AF27"/>
  <c r="AE22"/>
  <c r="AF22"/>
  <c r="AE24"/>
  <c r="AF24"/>
  <c r="AE26"/>
  <c r="AF26"/>
  <c r="AE28"/>
  <c r="AF28"/>
  <c r="AE25"/>
  <c r="AF25"/>
  <c r="G3" i="66"/>
  <c r="C206"/>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B206"/>
  <c r="C205"/>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B205"/>
  <c r="C204"/>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B204"/>
  <c r="C203"/>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B203"/>
  <c r="C202"/>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B202"/>
  <c r="B20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G200"/>
  <c r="AH200" s="1"/>
  <c r="AI200" s="1"/>
  <c r="AJ200" s="1"/>
  <c r="AK200" s="1"/>
  <c r="AL200" s="1"/>
  <c r="AM200" s="1"/>
  <c r="AN200" s="1"/>
  <c r="AO200" s="1"/>
  <c r="AP200" s="1"/>
  <c r="AQ200" s="1"/>
  <c r="AR200" s="1"/>
  <c r="AS200" s="1"/>
  <c r="AT200" s="1"/>
  <c r="AU200" s="1"/>
  <c r="AV200" s="1"/>
  <c r="AW200" s="1"/>
  <c r="AX200" s="1"/>
  <c r="AY200" s="1"/>
  <c r="AF200"/>
  <c r="AY197"/>
  <c r="AX197"/>
  <c r="AW197"/>
  <c r="AV197"/>
  <c r="AU197"/>
  <c r="AT197"/>
  <c r="AS197"/>
  <c r="AR197"/>
  <c r="AQ197"/>
  <c r="AP197"/>
  <c r="AO197"/>
  <c r="AN197"/>
  <c r="AM197"/>
  <c r="AL197"/>
  <c r="AK197"/>
  <c r="AJ197"/>
  <c r="AI197"/>
  <c r="AH197"/>
  <c r="AG197"/>
  <c r="AF197"/>
  <c r="AE197"/>
  <c r="AD197"/>
  <c r="AC197"/>
  <c r="AB197"/>
  <c r="AA197"/>
  <c r="Z197"/>
  <c r="Y197"/>
  <c r="X197"/>
  <c r="W197"/>
  <c r="V197"/>
  <c r="U197"/>
  <c r="T197"/>
  <c r="S197"/>
  <c r="R197"/>
  <c r="Q197"/>
  <c r="P197"/>
  <c r="O197"/>
  <c r="N197"/>
  <c r="M197"/>
  <c r="L197"/>
  <c r="K197"/>
  <c r="J197"/>
  <c r="I197"/>
  <c r="H197"/>
  <c r="G197"/>
  <c r="F197"/>
  <c r="E197"/>
  <c r="D197"/>
  <c r="C197"/>
  <c r="C208" s="1"/>
  <c r="B197"/>
  <c r="B208" s="1"/>
  <c r="AY196"/>
  <c r="AX196"/>
  <c r="AW196"/>
  <c r="AV196"/>
  <c r="AU196"/>
  <c r="AT196"/>
  <c r="AS196"/>
  <c r="AR196"/>
  <c r="AQ196"/>
  <c r="AP196"/>
  <c r="AO196"/>
  <c r="AN196"/>
  <c r="AM196"/>
  <c r="AL196"/>
  <c r="AK196"/>
  <c r="AJ196"/>
  <c r="AI196"/>
  <c r="AH196"/>
  <c r="AG196"/>
  <c r="AF196"/>
  <c r="AE196"/>
  <c r="AD196"/>
  <c r="AC196"/>
  <c r="AB196"/>
  <c r="AA196"/>
  <c r="Z196"/>
  <c r="Y196"/>
  <c r="X196"/>
  <c r="W196"/>
  <c r="V196"/>
  <c r="U196"/>
  <c r="T196"/>
  <c r="S196"/>
  <c r="R196"/>
  <c r="Q196"/>
  <c r="P196"/>
  <c r="O196"/>
  <c r="N196"/>
  <c r="M196"/>
  <c r="L196"/>
  <c r="K196"/>
  <c r="J196"/>
  <c r="I196"/>
  <c r="H196"/>
  <c r="G196"/>
  <c r="F196"/>
  <c r="E196"/>
  <c r="D196"/>
  <c r="C196"/>
  <c r="C207" s="1"/>
  <c r="B196"/>
  <c r="B207" s="1"/>
  <c r="E45" i="68"/>
  <c r="D45"/>
  <c r="C45"/>
  <c r="I51" i="73" s="1"/>
  <c r="E44" i="68"/>
  <c r="I50" i="73"/>
  <c r="C46" i="68"/>
  <c r="I52" i="73" s="1"/>
  <c r="D81" i="68"/>
  <c r="D80"/>
  <c r="D79"/>
  <c r="E75"/>
  <c r="B76"/>
  <c r="B73"/>
  <c r="B72"/>
  <c r="K66" i="87"/>
  <c r="I66"/>
  <c r="B43" i="68"/>
  <c r="B42"/>
  <c r="B41"/>
  <c r="B46"/>
  <c r="B17"/>
  <c r="A17"/>
  <c r="B16"/>
  <c r="E32"/>
  <c r="D32"/>
  <c r="C32"/>
  <c r="B32"/>
  <c r="E80"/>
  <c r="E81"/>
  <c r="C80"/>
  <c r="C81"/>
  <c r="E79"/>
  <c r="C79"/>
  <c r="E78"/>
  <c r="D55" i="60" s="1"/>
  <c r="D78" i="68"/>
  <c r="C78"/>
  <c r="C55" i="60" s="1"/>
  <c r="B81" i="68"/>
  <c r="B80"/>
  <c r="B79"/>
  <c r="B66"/>
  <c r="B74"/>
  <c r="B68"/>
  <c r="B70"/>
  <c r="B75"/>
  <c r="B71"/>
  <c r="D75"/>
  <c r="D66"/>
  <c r="K65" i="87" s="1"/>
  <c r="E66" i="68"/>
  <c r="D57" i="60" s="1"/>
  <c r="C66" i="68"/>
  <c r="B62"/>
  <c r="B50"/>
  <c r="B49"/>
  <c r="B38"/>
  <c r="B37"/>
  <c r="B36"/>
  <c r="B45"/>
  <c r="B40"/>
  <c r="D52"/>
  <c r="K37" i="81" s="1"/>
  <c r="E52" i="68"/>
  <c r="C52"/>
  <c r="D46"/>
  <c r="K52" i="73" s="1"/>
  <c r="E46" i="68"/>
  <c r="E47"/>
  <c r="D47"/>
  <c r="C47"/>
  <c r="D44"/>
  <c r="AA74" i="62"/>
  <c r="Y74"/>
  <c r="Z74" s="1"/>
  <c r="AB74" s="1"/>
  <c r="AA70"/>
  <c r="Z114"/>
  <c r="AA114" s="1"/>
  <c r="Z86"/>
  <c r="AB86" s="1"/>
  <c r="C50" i="68" s="1"/>
  <c r="Z82" i="62"/>
  <c r="AB82" s="1"/>
  <c r="Y70"/>
  <c r="Z70" s="1"/>
  <c r="Y66"/>
  <c r="Z66" s="1"/>
  <c r="K55" i="73"/>
  <c r="C21" i="68"/>
  <c r="E119" i="62"/>
  <c r="G96" i="48"/>
  <c r="E96"/>
  <c r="H79"/>
  <c r="H78"/>
  <c r="H77"/>
  <c r="E43"/>
  <c r="D23"/>
  <c r="D22"/>
  <c r="D21"/>
  <c r="D20"/>
  <c r="AE32" i="47" l="1"/>
  <c r="AF37"/>
  <c r="I65" i="87"/>
  <c r="C57" i="60"/>
  <c r="C38" i="68"/>
  <c r="C48"/>
  <c r="I35" i="81" s="1"/>
  <c r="H73" i="48"/>
  <c r="A3" i="66"/>
  <c r="E208"/>
  <c r="D207"/>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D208"/>
  <c r="F208"/>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C49" i="68"/>
  <c r="AB66" i="62"/>
  <c r="H72" i="48" s="1"/>
  <c r="AA82" i="62"/>
  <c r="E73" i="48" s="1"/>
  <c r="AA86" i="62"/>
  <c r="AA66"/>
  <c r="E72" i="48" s="1"/>
  <c r="AB70" i="62"/>
  <c r="C37" i="68" s="1"/>
  <c r="F53" i="62"/>
  <c r="F52"/>
  <c r="F59"/>
  <c r="C54" i="60" s="1"/>
  <c r="F55" i="62"/>
  <c r="D15" i="68" s="1"/>
  <c r="B61"/>
  <c r="D38" l="1"/>
  <c r="C36"/>
  <c r="C35"/>
  <c r="C56" i="60" s="1"/>
  <c r="D35" i="68"/>
  <c r="E35"/>
  <c r="D56" i="60" s="1"/>
  <c r="D36" i="68"/>
  <c r="E36"/>
  <c r="D37"/>
  <c r="D50"/>
  <c r="E50" s="1"/>
  <c r="D49"/>
  <c r="E49" s="1"/>
  <c r="E48"/>
  <c r="D48"/>
  <c r="K35" i="81" s="1"/>
  <c r="G54" i="77"/>
  <c r="F54"/>
  <c r="B30" i="68"/>
  <c r="B54"/>
  <c r="B55"/>
  <c r="B56"/>
  <c r="B57"/>
  <c r="B58"/>
  <c r="B59"/>
  <c r="C59"/>
  <c r="H105" i="82" s="1"/>
  <c r="H104"/>
  <c r="H103"/>
  <c r="H102"/>
  <c r="C55" i="68"/>
  <c r="C54"/>
  <c r="D59"/>
  <c r="J105" i="82" s="1"/>
  <c r="J104"/>
  <c r="J103"/>
  <c r="J102"/>
  <c r="D54" i="68"/>
  <c r="J100" i="82" s="1"/>
  <c r="E59" i="68"/>
  <c r="E55"/>
  <c r="E54"/>
  <c r="D51" i="60" s="1"/>
  <c r="B33" i="68"/>
  <c r="B31"/>
  <c r="B29"/>
  <c r="B28"/>
  <c r="B27"/>
  <c r="B26"/>
  <c r="B25"/>
  <c r="B24"/>
  <c r="B23"/>
  <c r="E33"/>
  <c r="D46" i="60" s="1"/>
  <c r="E31" i="68"/>
  <c r="D47" i="60" s="1"/>
  <c r="E26" i="68"/>
  <c r="D49" i="60" s="1"/>
  <c r="E24" i="68"/>
  <c r="D45" i="60" s="1"/>
  <c r="E21" i="68"/>
  <c r="G40" i="74"/>
  <c r="D24" i="68"/>
  <c r="G71" i="75" s="1"/>
  <c r="C20" i="68"/>
  <c r="I54" i="73" s="1"/>
  <c r="E20" i="68"/>
  <c r="B21"/>
  <c r="B20"/>
  <c r="B19"/>
  <c r="B15"/>
  <c r="B14"/>
  <c r="B13"/>
  <c r="B12"/>
  <c r="B11"/>
  <c r="E53" i="62"/>
  <c r="E52"/>
  <c r="D33" i="68"/>
  <c r="H39" i="79" s="1"/>
  <c r="C33" i="68"/>
  <c r="D26"/>
  <c r="G48" i="76" s="1"/>
  <c r="G52" i="77"/>
  <c r="D31" i="68"/>
  <c r="K41" i="78" s="1"/>
  <c r="C31" i="68"/>
  <c r="G53" i="77"/>
  <c r="F53"/>
  <c r="F52"/>
  <c r="G51"/>
  <c r="F51"/>
  <c r="C26" i="68"/>
  <c r="G72" i="75"/>
  <c r="F72"/>
  <c r="F40" i="74"/>
  <c r="C24" i="68"/>
  <c r="D50" i="60" l="1"/>
  <c r="I46" i="73"/>
  <c r="F71" i="75"/>
  <c r="C45" i="60"/>
  <c r="F48" i="76"/>
  <c r="C49" i="60"/>
  <c r="I41" i="78"/>
  <c r="C47" i="60"/>
  <c r="F39" i="79"/>
  <c r="C46" i="60"/>
  <c r="D55" i="68"/>
  <c r="J101" i="82" s="1"/>
  <c r="D112" i="90" s="1"/>
  <c r="C50" i="60"/>
  <c r="H100" i="82"/>
  <c r="C51" i="60"/>
  <c r="D13" i="68"/>
  <c r="E37"/>
  <c r="E38" s="1"/>
  <c r="H101" i="82"/>
  <c r="C112" i="90" s="1"/>
  <c r="D10" i="47"/>
  <c r="G10"/>
  <c r="D9"/>
  <c r="D13"/>
  <c r="G14"/>
  <c r="G17"/>
  <c r="D12"/>
  <c r="G13"/>
  <c r="D26"/>
  <c r="D22"/>
  <c r="D18"/>
  <c r="G28"/>
  <c r="G24"/>
  <c r="G20"/>
  <c r="G16"/>
  <c r="D25"/>
  <c r="D21"/>
  <c r="D17"/>
  <c r="G25"/>
  <c r="G21"/>
  <c r="G11"/>
  <c r="G9"/>
  <c r="D15"/>
  <c r="D11"/>
  <c r="G12"/>
  <c r="D14"/>
  <c r="G15"/>
  <c r="D28"/>
  <c r="D24"/>
  <c r="D20"/>
  <c r="D16"/>
  <c r="G26"/>
  <c r="G22"/>
  <c r="G18"/>
  <c r="D27"/>
  <c r="D23"/>
  <c r="D19"/>
  <c r="G27"/>
  <c r="G23"/>
  <c r="G19"/>
  <c r="D20" i="68"/>
  <c r="K54" i="73" s="1"/>
  <c r="D29" i="90" s="1"/>
  <c r="K53" i="73"/>
  <c r="D28" i="90" s="1"/>
  <c r="I55" i="73"/>
  <c r="C30" i="90" s="1"/>
  <c r="I53" i="73"/>
  <c r="C28" i="90" s="1"/>
  <c r="F31" i="72"/>
  <c r="D13" i="69" s="1"/>
  <c r="F26" i="72"/>
  <c r="D17" i="90" s="1"/>
  <c r="F25" i="72"/>
  <c r="F24"/>
  <c r="D15" i="90" s="1"/>
  <c r="E31" i="72"/>
  <c r="C13" i="69" s="1"/>
  <c r="E26" i="72"/>
  <c r="C17" i="90" s="1"/>
  <c r="E24" i="72"/>
  <c r="C15" i="90" s="1"/>
  <c r="D57" i="62"/>
  <c r="E57" s="1"/>
  <c r="S30" i="47"/>
  <c r="T30"/>
  <c r="C8" i="90"/>
  <c r="C9"/>
  <c r="C10"/>
  <c r="C6"/>
  <c r="A8" i="68"/>
  <c r="C2" i="89"/>
  <c r="C2" i="88"/>
  <c r="C2" i="87"/>
  <c r="C2" i="86"/>
  <c r="C2" i="85"/>
  <c r="C2" i="84"/>
  <c r="C2" i="83"/>
  <c r="C2" i="82"/>
  <c r="C2" i="81"/>
  <c r="C2" i="80"/>
  <c r="C2" i="79"/>
  <c r="C2" i="78"/>
  <c r="C2" i="77"/>
  <c r="C2" i="76"/>
  <c r="C2" i="74"/>
  <c r="C2" i="73"/>
  <c r="C2" i="72"/>
  <c r="C2" i="69"/>
  <c r="F163" i="90"/>
  <c r="J163" s="1"/>
  <c r="E163"/>
  <c r="F162"/>
  <c r="J162" s="1"/>
  <c r="E162"/>
  <c r="F161"/>
  <c r="J161" s="1"/>
  <c r="E161"/>
  <c r="F159"/>
  <c r="J159" s="1"/>
  <c r="E159"/>
  <c r="F158"/>
  <c r="J158" s="1"/>
  <c r="E158"/>
  <c r="F156"/>
  <c r="J156" s="1"/>
  <c r="E156"/>
  <c r="F155"/>
  <c r="J155" s="1"/>
  <c r="E155"/>
  <c r="F154"/>
  <c r="J154" s="1"/>
  <c r="E154"/>
  <c r="F153"/>
  <c r="J153" s="1"/>
  <c r="E153"/>
  <c r="F152"/>
  <c r="J152" s="1"/>
  <c r="E152"/>
  <c r="F151"/>
  <c r="J151" s="1"/>
  <c r="E151"/>
  <c r="F149"/>
  <c r="J149" s="1"/>
  <c r="E149"/>
  <c r="F148"/>
  <c r="J148" s="1"/>
  <c r="E148"/>
  <c r="F146"/>
  <c r="J146" s="1"/>
  <c r="E146"/>
  <c r="D146"/>
  <c r="C146"/>
  <c r="F145"/>
  <c r="J145" s="1"/>
  <c r="E145"/>
  <c r="F144"/>
  <c r="J144" s="1"/>
  <c r="E144"/>
  <c r="F143"/>
  <c r="J143" s="1"/>
  <c r="E143"/>
  <c r="F142"/>
  <c r="J142" s="1"/>
  <c r="E142"/>
  <c r="F141"/>
  <c r="J141" s="1"/>
  <c r="E141"/>
  <c r="F140"/>
  <c r="J140" s="1"/>
  <c r="E140"/>
  <c r="F137"/>
  <c r="J137" s="1"/>
  <c r="E137"/>
  <c r="F136"/>
  <c r="J136" s="1"/>
  <c r="E136"/>
  <c r="F134"/>
  <c r="J134" s="1"/>
  <c r="E134"/>
  <c r="F132"/>
  <c r="J132" s="1"/>
  <c r="E132"/>
  <c r="F131"/>
  <c r="J131" s="1"/>
  <c r="E131"/>
  <c r="F128"/>
  <c r="J128" s="1"/>
  <c r="E128"/>
  <c r="F127"/>
  <c r="J127" s="1"/>
  <c r="E127"/>
  <c r="F126"/>
  <c r="J126" s="1"/>
  <c r="E126"/>
  <c r="F125"/>
  <c r="J125" s="1"/>
  <c r="E125"/>
  <c r="F124"/>
  <c r="J124" s="1"/>
  <c r="E124"/>
  <c r="D124"/>
  <c r="C124"/>
  <c r="F122"/>
  <c r="J122" s="1"/>
  <c r="E122"/>
  <c r="F121"/>
  <c r="J121" s="1"/>
  <c r="E121"/>
  <c r="F120"/>
  <c r="J120" s="1"/>
  <c r="E120"/>
  <c r="F119"/>
  <c r="J119" s="1"/>
  <c r="E119"/>
  <c r="F117"/>
  <c r="J117" s="1"/>
  <c r="E117"/>
  <c r="F116"/>
  <c r="J116" s="1"/>
  <c r="E116"/>
  <c r="F115"/>
  <c r="J115" s="1"/>
  <c r="E115"/>
  <c r="F114"/>
  <c r="J114" s="1"/>
  <c r="E114"/>
  <c r="F113"/>
  <c r="J113" s="1"/>
  <c r="E113"/>
  <c r="F112"/>
  <c r="J112" s="1"/>
  <c r="E112"/>
  <c r="F111"/>
  <c r="J111" s="1"/>
  <c r="E111"/>
  <c r="F110"/>
  <c r="J110" s="1"/>
  <c r="E110"/>
  <c r="F108"/>
  <c r="J108" s="1"/>
  <c r="E108"/>
  <c r="F107"/>
  <c r="J107" s="1"/>
  <c r="E107"/>
  <c r="F106"/>
  <c r="J106" s="1"/>
  <c r="E106"/>
  <c r="F104"/>
  <c r="J104" s="1"/>
  <c r="E104"/>
  <c r="F103"/>
  <c r="J103" s="1"/>
  <c r="E103"/>
  <c r="F102"/>
  <c r="J102" s="1"/>
  <c r="E102"/>
  <c r="F101"/>
  <c r="J101" s="1"/>
  <c r="E101"/>
  <c r="F100"/>
  <c r="J100" s="1"/>
  <c r="E100"/>
  <c r="F99"/>
  <c r="J99" s="1"/>
  <c r="E99"/>
  <c r="F98"/>
  <c r="J98" s="1"/>
  <c r="E98"/>
  <c r="F97"/>
  <c r="J97" s="1"/>
  <c r="E97"/>
  <c r="F95"/>
  <c r="J95" s="1"/>
  <c r="E95"/>
  <c r="F94"/>
  <c r="J94" s="1"/>
  <c r="E94"/>
  <c r="F93"/>
  <c r="J93" s="1"/>
  <c r="E93"/>
  <c r="F92"/>
  <c r="J92" s="1"/>
  <c r="E92"/>
  <c r="F91"/>
  <c r="J91" s="1"/>
  <c r="E91"/>
  <c r="F89"/>
  <c r="J89" s="1"/>
  <c r="E89"/>
  <c r="F88"/>
  <c r="J88" s="1"/>
  <c r="E88"/>
  <c r="F86"/>
  <c r="J86" s="1"/>
  <c r="E86"/>
  <c r="D86"/>
  <c r="C86"/>
  <c r="F84"/>
  <c r="J84" s="1"/>
  <c r="E84"/>
  <c r="F83"/>
  <c r="J83" s="1"/>
  <c r="E83"/>
  <c r="F82"/>
  <c r="J82" s="1"/>
  <c r="E82"/>
  <c r="F80"/>
  <c r="J80" s="1"/>
  <c r="E80"/>
  <c r="F79"/>
  <c r="J79" s="1"/>
  <c r="E79"/>
  <c r="F77"/>
  <c r="J77" s="1"/>
  <c r="E77"/>
  <c r="F76"/>
  <c r="J76" s="1"/>
  <c r="E76"/>
  <c r="F75"/>
  <c r="J75" s="1"/>
  <c r="E75"/>
  <c r="F73"/>
  <c r="J73" s="1"/>
  <c r="E73"/>
  <c r="F72"/>
  <c r="J72" s="1"/>
  <c r="E72"/>
  <c r="F71"/>
  <c r="J71" s="1"/>
  <c r="E71"/>
  <c r="F70"/>
  <c r="J70" s="1"/>
  <c r="E70"/>
  <c r="F69"/>
  <c r="J69" s="1"/>
  <c r="E69"/>
  <c r="F68"/>
  <c r="J68" s="1"/>
  <c r="E68"/>
  <c r="D68"/>
  <c r="C68"/>
  <c r="F66"/>
  <c r="J66" s="1"/>
  <c r="E66"/>
  <c r="F65"/>
  <c r="J65" s="1"/>
  <c r="E65"/>
  <c r="F64"/>
  <c r="J64" s="1"/>
  <c r="E64"/>
  <c r="D64"/>
  <c r="C64"/>
  <c r="F62"/>
  <c r="J62" s="1"/>
  <c r="E62"/>
  <c r="F61"/>
  <c r="J61" s="1"/>
  <c r="E61"/>
  <c r="F60"/>
  <c r="J60" s="1"/>
  <c r="E60"/>
  <c r="F59"/>
  <c r="J59" s="1"/>
  <c r="E59"/>
  <c r="D59"/>
  <c r="C59"/>
  <c r="F57"/>
  <c r="J57" s="1"/>
  <c r="E57"/>
  <c r="F56"/>
  <c r="J56" s="1"/>
  <c r="E56"/>
  <c r="F55"/>
  <c r="J55" s="1"/>
  <c r="E55"/>
  <c r="D55"/>
  <c r="C55"/>
  <c r="F52"/>
  <c r="J52" s="1"/>
  <c r="E52"/>
  <c r="F51"/>
  <c r="J51" s="1"/>
  <c r="E51"/>
  <c r="F49"/>
  <c r="J49" s="1"/>
  <c r="E49"/>
  <c r="F48"/>
  <c r="J48" s="1"/>
  <c r="E48"/>
  <c r="F47"/>
  <c r="J47" s="1"/>
  <c r="E47"/>
  <c r="F46"/>
  <c r="J46" s="1"/>
  <c r="E46"/>
  <c r="F44"/>
  <c r="J44" s="1"/>
  <c r="E44"/>
  <c r="F43"/>
  <c r="J43" s="1"/>
  <c r="E43"/>
  <c r="F42"/>
  <c r="J42" s="1"/>
  <c r="E42"/>
  <c r="F41"/>
  <c r="J41" s="1"/>
  <c r="E41"/>
  <c r="F39"/>
  <c r="J39" s="1"/>
  <c r="E39"/>
  <c r="F38"/>
  <c r="J38" s="1"/>
  <c r="E38"/>
  <c r="F37"/>
  <c r="J37" s="1"/>
  <c r="E37"/>
  <c r="F35"/>
  <c r="J35" s="1"/>
  <c r="E35"/>
  <c r="F34"/>
  <c r="J34" s="1"/>
  <c r="E34"/>
  <c r="F32"/>
  <c r="J32" s="1"/>
  <c r="E32"/>
  <c r="F30"/>
  <c r="J30" s="1"/>
  <c r="E30"/>
  <c r="F29"/>
  <c r="J29" s="1"/>
  <c r="E29"/>
  <c r="F28"/>
  <c r="J28" s="1"/>
  <c r="E28"/>
  <c r="F27"/>
  <c r="J27" s="1"/>
  <c r="E27"/>
  <c r="F26"/>
  <c r="J26" s="1"/>
  <c r="E26"/>
  <c r="F25"/>
  <c r="J25" s="1"/>
  <c r="E25"/>
  <c r="F24"/>
  <c r="J24" s="1"/>
  <c r="E24"/>
  <c r="F23"/>
  <c r="J23" s="1"/>
  <c r="E23"/>
  <c r="F22"/>
  <c r="J22" s="1"/>
  <c r="E22"/>
  <c r="D22"/>
  <c r="C22"/>
  <c r="F20"/>
  <c r="J20" s="1"/>
  <c r="E20"/>
  <c r="D20"/>
  <c r="C20"/>
  <c r="F18"/>
  <c r="J18" s="1"/>
  <c r="E18"/>
  <c r="F17"/>
  <c r="J17" s="1"/>
  <c r="E17"/>
  <c r="B17"/>
  <c r="F16"/>
  <c r="J16" s="1"/>
  <c r="E16"/>
  <c r="B16"/>
  <c r="F15"/>
  <c r="J15" s="1"/>
  <c r="E15"/>
  <c r="B15"/>
  <c r="H84" i="88"/>
  <c r="F84"/>
  <c r="G84" s="1"/>
  <c r="I84" s="1"/>
  <c r="H83"/>
  <c r="F83"/>
  <c r="G83" s="1"/>
  <c r="I83" s="1"/>
  <c r="H82"/>
  <c r="F82"/>
  <c r="G82" s="1"/>
  <c r="I82" s="1"/>
  <c r="H81"/>
  <c r="F81"/>
  <c r="G81" s="1"/>
  <c r="I81" s="1"/>
  <c r="H80"/>
  <c r="F80"/>
  <c r="G80" s="1"/>
  <c r="I80" s="1"/>
  <c r="G71"/>
  <c r="F71"/>
  <c r="G70"/>
  <c r="F70"/>
  <c r="G69"/>
  <c r="F69"/>
  <c r="G68"/>
  <c r="F68"/>
  <c r="G67"/>
  <c r="F67"/>
  <c r="G66"/>
  <c r="F66"/>
  <c r="G65"/>
  <c r="F65"/>
  <c r="G64"/>
  <c r="F64"/>
  <c r="G63"/>
  <c r="F63"/>
  <c r="F56"/>
  <c r="H56" s="1"/>
  <c r="E56"/>
  <c r="D56"/>
  <c r="F55"/>
  <c r="H55" s="1"/>
  <c r="E55"/>
  <c r="D55"/>
  <c r="F54"/>
  <c r="H54" s="1"/>
  <c r="E54"/>
  <c r="D54"/>
  <c r="F53"/>
  <c r="H53" s="1"/>
  <c r="E53"/>
  <c r="D53"/>
  <c r="H42"/>
  <c r="D158" i="90" s="1"/>
  <c r="G42" i="88"/>
  <c r="C158" i="90" s="1"/>
  <c r="K72" i="87"/>
  <c r="D148" i="90" s="1"/>
  <c r="I72" i="87"/>
  <c r="C148" i="90" s="1"/>
  <c r="K70" i="87"/>
  <c r="D214" i="69" s="1"/>
  <c r="I70" i="87"/>
  <c r="C214" i="69" s="1"/>
  <c r="K68" i="87"/>
  <c r="D145" i="90" s="1"/>
  <c r="I68" i="87"/>
  <c r="C145" i="90" s="1"/>
  <c r="K67" i="87"/>
  <c r="D144" i="90" s="1"/>
  <c r="I67" i="87"/>
  <c r="C144" i="90" s="1"/>
  <c r="D143"/>
  <c r="C143"/>
  <c r="K64" i="87"/>
  <c r="D142" i="90" s="1"/>
  <c r="I64" i="87"/>
  <c r="C142" i="90" s="1"/>
  <c r="K63" i="87"/>
  <c r="D141" i="90" s="1"/>
  <c r="I63" i="87"/>
  <c r="C141" i="90" s="1"/>
  <c r="K62" i="87"/>
  <c r="D140" i="90" s="1"/>
  <c r="I62" i="87"/>
  <c r="C140" i="90" s="1"/>
  <c r="G51" i="86"/>
  <c r="I51" s="1"/>
  <c r="J51" s="1"/>
  <c r="G50"/>
  <c r="I50" s="1"/>
  <c r="J50" s="1"/>
  <c r="G49"/>
  <c r="I49" s="1"/>
  <c r="J49" s="1"/>
  <c r="G48"/>
  <c r="I48" s="1"/>
  <c r="J48" s="1"/>
  <c r="G47"/>
  <c r="I47" s="1"/>
  <c r="J47" s="1"/>
  <c r="G46"/>
  <c r="I46" s="1"/>
  <c r="J46" s="1"/>
  <c r="G45"/>
  <c r="I45" s="1"/>
  <c r="J45" s="1"/>
  <c r="G44"/>
  <c r="I44" s="1"/>
  <c r="J44" s="1"/>
  <c r="G43"/>
  <c r="I43" s="1"/>
  <c r="J43" s="1"/>
  <c r="D126" i="90"/>
  <c r="C126"/>
  <c r="D125"/>
  <c r="C125"/>
  <c r="D117"/>
  <c r="C117"/>
  <c r="D116"/>
  <c r="C116"/>
  <c r="D115"/>
  <c r="C115"/>
  <c r="D114"/>
  <c r="C114"/>
  <c r="D113"/>
  <c r="C113"/>
  <c r="D111"/>
  <c r="C111"/>
  <c r="H94" i="82"/>
  <c r="H93"/>
  <c r="H92"/>
  <c r="H91"/>
  <c r="H90"/>
  <c r="H89"/>
  <c r="H88"/>
  <c r="H87"/>
  <c r="H86"/>
  <c r="H85"/>
  <c r="H84"/>
  <c r="H83"/>
  <c r="H82"/>
  <c r="H81"/>
  <c r="H80"/>
  <c r="H76"/>
  <c r="H75"/>
  <c r="H74"/>
  <c r="H73"/>
  <c r="H72"/>
  <c r="H71"/>
  <c r="H70"/>
  <c r="H69"/>
  <c r="H68"/>
  <c r="H67"/>
  <c r="H66"/>
  <c r="H65"/>
  <c r="H64"/>
  <c r="H63"/>
  <c r="H62"/>
  <c r="I73" i="81"/>
  <c r="I72"/>
  <c r="I71"/>
  <c r="I70"/>
  <c r="I69"/>
  <c r="I68"/>
  <c r="I67"/>
  <c r="I66"/>
  <c r="I65"/>
  <c r="D113" i="69"/>
  <c r="I37" i="81"/>
  <c r="C113" i="69" s="1"/>
  <c r="K36" i="81"/>
  <c r="D89" i="90" s="1"/>
  <c r="I36" i="81"/>
  <c r="C89" i="90" s="1"/>
  <c r="D88"/>
  <c r="C88"/>
  <c r="D79"/>
  <c r="C79"/>
  <c r="D75"/>
  <c r="C75"/>
  <c r="D72"/>
  <c r="C72"/>
  <c r="D71"/>
  <c r="C71"/>
  <c r="D70"/>
  <c r="C70"/>
  <c r="D69"/>
  <c r="C69"/>
  <c r="D65"/>
  <c r="C65"/>
  <c r="D61"/>
  <c r="C61"/>
  <c r="D60"/>
  <c r="C60"/>
  <c r="D56"/>
  <c r="C56"/>
  <c r="J96" i="73"/>
  <c r="J95"/>
  <c r="J94"/>
  <c r="J93"/>
  <c r="J92"/>
  <c r="J91"/>
  <c r="J90"/>
  <c r="J89"/>
  <c r="J88"/>
  <c r="D30" i="90"/>
  <c r="C29"/>
  <c r="D27"/>
  <c r="C27"/>
  <c r="K51" i="73"/>
  <c r="D26" i="90" s="1"/>
  <c r="C26"/>
  <c r="K50" i="73"/>
  <c r="D25" i="90" s="1"/>
  <c r="C25"/>
  <c r="K49" i="73"/>
  <c r="D24" i="90" s="1"/>
  <c r="I49" i="73"/>
  <c r="C24" i="90" s="1"/>
  <c r="K48" i="73"/>
  <c r="D23" i="90" s="1"/>
  <c r="I48" i="73"/>
  <c r="C23" i="90" s="1"/>
  <c r="K46" i="73"/>
  <c r="G249" i="69"/>
  <c r="E249"/>
  <c r="G248"/>
  <c r="E248"/>
  <c r="G247"/>
  <c r="E247"/>
  <c r="G246"/>
  <c r="E246"/>
  <c r="G245"/>
  <c r="E245"/>
  <c r="G244"/>
  <c r="E244"/>
  <c r="G238"/>
  <c r="E238"/>
  <c r="G237"/>
  <c r="E237"/>
  <c r="G236"/>
  <c r="E236"/>
  <c r="G235"/>
  <c r="E235"/>
  <c r="G234"/>
  <c r="E234"/>
  <c r="G233"/>
  <c r="E233"/>
  <c r="G232"/>
  <c r="E232"/>
  <c r="G230"/>
  <c r="E230"/>
  <c r="G228"/>
  <c r="G227"/>
  <c r="G226"/>
  <c r="G225"/>
  <c r="G224"/>
  <c r="G223"/>
  <c r="G222"/>
  <c r="G221"/>
  <c r="G219"/>
  <c r="G218"/>
  <c r="G217"/>
  <c r="G216"/>
  <c r="G214"/>
  <c r="G212"/>
  <c r="G211"/>
  <c r="G210"/>
  <c r="G209"/>
  <c r="G208"/>
  <c r="G207"/>
  <c r="G204"/>
  <c r="E204"/>
  <c r="G203"/>
  <c r="E203"/>
  <c r="G201"/>
  <c r="E201"/>
  <c r="G200"/>
  <c r="E200"/>
  <c r="G199"/>
  <c r="E199"/>
  <c r="G198"/>
  <c r="E198"/>
  <c r="G197"/>
  <c r="E197"/>
  <c r="G196"/>
  <c r="E196"/>
  <c r="G195"/>
  <c r="E195"/>
  <c r="G194"/>
  <c r="E194"/>
  <c r="G193"/>
  <c r="E193"/>
  <c r="G192"/>
  <c r="E192"/>
  <c r="G191"/>
  <c r="E191"/>
  <c r="G190"/>
  <c r="E190"/>
  <c r="G189"/>
  <c r="E189"/>
  <c r="G188"/>
  <c r="E188"/>
  <c r="G187"/>
  <c r="E187"/>
  <c r="G186"/>
  <c r="E186"/>
  <c r="G185"/>
  <c r="E185"/>
  <c r="G184"/>
  <c r="E184"/>
  <c r="G183"/>
  <c r="E183"/>
  <c r="G182"/>
  <c r="E182"/>
  <c r="G181"/>
  <c r="E181"/>
  <c r="G179"/>
  <c r="E179"/>
  <c r="G178"/>
  <c r="E178"/>
  <c r="G177"/>
  <c r="E177"/>
  <c r="G176"/>
  <c r="E176"/>
  <c r="G175"/>
  <c r="E175"/>
  <c r="G174"/>
  <c r="E174"/>
  <c r="G173"/>
  <c r="E173"/>
  <c r="G172"/>
  <c r="E172"/>
  <c r="G171"/>
  <c r="E171"/>
  <c r="G170"/>
  <c r="E170"/>
  <c r="G169"/>
  <c r="E169"/>
  <c r="G168"/>
  <c r="E168"/>
  <c r="G167"/>
  <c r="E167"/>
  <c r="G166"/>
  <c r="E166"/>
  <c r="G165"/>
  <c r="E165"/>
  <c r="G164"/>
  <c r="E164"/>
  <c r="G163"/>
  <c r="E163"/>
  <c r="G162"/>
  <c r="E162"/>
  <c r="G161"/>
  <c r="E161"/>
  <c r="G158"/>
  <c r="E158"/>
  <c r="G157"/>
  <c r="E157"/>
  <c r="G156"/>
  <c r="E156"/>
  <c r="G155"/>
  <c r="E155"/>
  <c r="G154"/>
  <c r="E154"/>
  <c r="G153"/>
  <c r="E153"/>
  <c r="G152"/>
  <c r="E152"/>
  <c r="D152"/>
  <c r="C152"/>
  <c r="G150"/>
  <c r="E150"/>
  <c r="G149"/>
  <c r="E149"/>
  <c r="G148"/>
  <c r="E148"/>
  <c r="G147"/>
  <c r="E147"/>
  <c r="G145"/>
  <c r="E145"/>
  <c r="G144"/>
  <c r="E144"/>
  <c r="G143"/>
  <c r="E143"/>
  <c r="G142"/>
  <c r="E142"/>
  <c r="G141"/>
  <c r="E141"/>
  <c r="G140"/>
  <c r="E140"/>
  <c r="G138"/>
  <c r="E138"/>
  <c r="G136"/>
  <c r="E136"/>
  <c r="G135"/>
  <c r="E135"/>
  <c r="G134"/>
  <c r="E134"/>
  <c r="G133"/>
  <c r="E133"/>
  <c r="G132"/>
  <c r="E132"/>
  <c r="G130"/>
  <c r="E130"/>
  <c r="G129"/>
  <c r="E129"/>
  <c r="G128"/>
  <c r="E128"/>
  <c r="G127"/>
  <c r="E127"/>
  <c r="G126"/>
  <c r="E126"/>
  <c r="G125"/>
  <c r="E125"/>
  <c r="G124"/>
  <c r="E124"/>
  <c r="G122"/>
  <c r="E122"/>
  <c r="G120"/>
  <c r="E120"/>
  <c r="G119"/>
  <c r="E119"/>
  <c r="G118"/>
  <c r="E118"/>
  <c r="G117"/>
  <c r="E117"/>
  <c r="G116"/>
  <c r="E116"/>
  <c r="G115"/>
  <c r="E115"/>
  <c r="G113"/>
  <c r="E113"/>
  <c r="G112"/>
  <c r="E112"/>
  <c r="G111"/>
  <c r="E111"/>
  <c r="C111"/>
  <c r="G109"/>
  <c r="E109"/>
  <c r="D109"/>
  <c r="C109"/>
  <c r="G107"/>
  <c r="E107"/>
  <c r="G106"/>
  <c r="E106"/>
  <c r="G105"/>
  <c r="E105"/>
  <c r="G104"/>
  <c r="E104"/>
  <c r="G102"/>
  <c r="E102"/>
  <c r="G101"/>
  <c r="E101"/>
  <c r="G100"/>
  <c r="E100"/>
  <c r="G99"/>
  <c r="E99"/>
  <c r="G98"/>
  <c r="E98"/>
  <c r="G97"/>
  <c r="E97"/>
  <c r="C97"/>
  <c r="G95"/>
  <c r="E95"/>
  <c r="G94"/>
  <c r="E94"/>
  <c r="G93"/>
  <c r="E93"/>
  <c r="G92"/>
  <c r="E92"/>
  <c r="G91"/>
  <c r="E91"/>
  <c r="G90"/>
  <c r="E90"/>
  <c r="G88"/>
  <c r="E88"/>
  <c r="C88"/>
  <c r="G86"/>
  <c r="E86"/>
  <c r="G85"/>
  <c r="E85"/>
  <c r="G84"/>
  <c r="E84"/>
  <c r="C84"/>
  <c r="G83"/>
  <c r="E83"/>
  <c r="C83"/>
  <c r="G82"/>
  <c r="E82"/>
  <c r="C82"/>
  <c r="G81"/>
  <c r="E81"/>
  <c r="C81"/>
  <c r="G79"/>
  <c r="E79"/>
  <c r="D79"/>
  <c r="D80" s="1"/>
  <c r="C79"/>
  <c r="C80" s="1"/>
  <c r="G77"/>
  <c r="E77"/>
  <c r="G76"/>
  <c r="E76"/>
  <c r="G75"/>
  <c r="E75"/>
  <c r="C75"/>
  <c r="G73"/>
  <c r="E73"/>
  <c r="D73"/>
  <c r="D74" s="1"/>
  <c r="C73"/>
  <c r="C74" s="1"/>
  <c r="G71"/>
  <c r="E71"/>
  <c r="G70"/>
  <c r="E70"/>
  <c r="G69"/>
  <c r="E69"/>
  <c r="D69"/>
  <c r="C69"/>
  <c r="G68"/>
  <c r="E68"/>
  <c r="D68"/>
  <c r="C68"/>
  <c r="G65"/>
  <c r="E65"/>
  <c r="D65"/>
  <c r="D66" s="1"/>
  <c r="D67" s="1"/>
  <c r="C65"/>
  <c r="C66" s="1"/>
  <c r="C67" s="1"/>
  <c r="G63"/>
  <c r="E63"/>
  <c r="G62"/>
  <c r="E62"/>
  <c r="G61"/>
  <c r="E61"/>
  <c r="D61"/>
  <c r="C61"/>
  <c r="G60"/>
  <c r="D60"/>
  <c r="C60"/>
  <c r="G57"/>
  <c r="E57"/>
  <c r="G56"/>
  <c r="E56"/>
  <c r="G55"/>
  <c r="E55"/>
  <c r="G54"/>
  <c r="E54"/>
  <c r="G52"/>
  <c r="E52"/>
  <c r="G51"/>
  <c r="E51"/>
  <c r="G50"/>
  <c r="E50"/>
  <c r="G48"/>
  <c r="E48"/>
  <c r="G46"/>
  <c r="E46"/>
  <c r="G45"/>
  <c r="E45"/>
  <c r="G44"/>
  <c r="E44"/>
  <c r="G43"/>
  <c r="E43"/>
  <c r="G42"/>
  <c r="E42"/>
  <c r="G40"/>
  <c r="E40"/>
  <c r="G39"/>
  <c r="E39"/>
  <c r="G38"/>
  <c r="E38"/>
  <c r="G37"/>
  <c r="E37"/>
  <c r="G34"/>
  <c r="E34"/>
  <c r="G33"/>
  <c r="E33"/>
  <c r="G31"/>
  <c r="E31"/>
  <c r="G30"/>
  <c r="E30"/>
  <c r="G28"/>
  <c r="E28"/>
  <c r="G27"/>
  <c r="E27"/>
  <c r="D27"/>
  <c r="C27"/>
  <c r="G26"/>
  <c r="E26"/>
  <c r="G25"/>
  <c r="E25"/>
  <c r="D25"/>
  <c r="G24"/>
  <c r="E24"/>
  <c r="G23"/>
  <c r="E23"/>
  <c r="G22"/>
  <c r="E22"/>
  <c r="G21"/>
  <c r="E21"/>
  <c r="G19"/>
  <c r="E19"/>
  <c r="D19"/>
  <c r="C19"/>
  <c r="G17"/>
  <c r="E17"/>
  <c r="D17"/>
  <c r="C17"/>
  <c r="G15"/>
  <c r="E15"/>
  <c r="G13"/>
  <c r="E13"/>
  <c r="G12"/>
  <c r="E12"/>
  <c r="G11"/>
  <c r="E11"/>
  <c r="B11"/>
  <c r="G10"/>
  <c r="E10"/>
  <c r="B10"/>
  <c r="G9"/>
  <c r="E9"/>
  <c r="B9"/>
  <c r="E39" i="48"/>
  <c r="J29" i="60"/>
  <c r="K29"/>
  <c r="J31"/>
  <c r="K31"/>
  <c r="J32"/>
  <c r="K32"/>
  <c r="J33"/>
  <c r="K33"/>
  <c r="J34"/>
  <c r="K34"/>
  <c r="J35"/>
  <c r="K35"/>
  <c r="J36"/>
  <c r="K36"/>
  <c r="J38"/>
  <c r="K38"/>
  <c r="D20"/>
  <c r="I100" i="48"/>
  <c r="G98"/>
  <c r="G121"/>
  <c r="H121"/>
  <c r="G122"/>
  <c r="H122"/>
  <c r="G123"/>
  <c r="H123"/>
  <c r="G124"/>
  <c r="H124"/>
  <c r="G125"/>
  <c r="H125"/>
  <c r="G126"/>
  <c r="H126"/>
  <c r="I29"/>
  <c r="I28"/>
  <c r="I27"/>
  <c r="I26"/>
  <c r="D27"/>
  <c r="E38" i="60" l="1"/>
  <c r="E36"/>
  <c r="E35"/>
  <c r="E34"/>
  <c r="E33"/>
  <c r="E32"/>
  <c r="E31"/>
  <c r="F57" i="62"/>
  <c r="D14" i="68"/>
  <c r="F30" i="72" s="1"/>
  <c r="D12" i="69" s="1"/>
  <c r="D216"/>
  <c r="D208"/>
  <c r="E25" i="72"/>
  <c r="C16" i="90" s="1"/>
  <c r="D143" i="69"/>
  <c r="C230"/>
  <c r="D112"/>
  <c r="D209"/>
  <c r="C28"/>
  <c r="C112"/>
  <c r="D140"/>
  <c r="D153"/>
  <c r="C209"/>
  <c r="D9"/>
  <c r="D23"/>
  <c r="D141"/>
  <c r="D145"/>
  <c r="D154"/>
  <c r="D11"/>
  <c r="C143"/>
  <c r="C144"/>
  <c r="D16" i="90"/>
  <c r="D10" i="69"/>
  <c r="C9"/>
  <c r="D211"/>
  <c r="E30" i="72"/>
  <c r="C12" i="69" s="1"/>
  <c r="C11"/>
  <c r="C22"/>
  <c r="D81"/>
  <c r="D82"/>
  <c r="D83"/>
  <c r="D84"/>
  <c r="D88"/>
  <c r="D97"/>
  <c r="C140"/>
  <c r="C141"/>
  <c r="C142"/>
  <c r="C145"/>
  <c r="C153"/>
  <c r="C154"/>
  <c r="D207"/>
  <c r="D210"/>
  <c r="D212"/>
  <c r="G53" i="88"/>
  <c r="G55"/>
  <c r="I55" s="1"/>
  <c r="D230" i="69"/>
  <c r="G54" i="88"/>
  <c r="I54" s="1"/>
  <c r="G56"/>
  <c r="I56" s="1"/>
  <c r="C207" i="69"/>
  <c r="C208"/>
  <c r="C210"/>
  <c r="C211"/>
  <c r="C212"/>
  <c r="C216"/>
  <c r="D142"/>
  <c r="D144"/>
  <c r="D111"/>
  <c r="D24"/>
  <c r="D75"/>
  <c r="C21"/>
  <c r="C23"/>
  <c r="C24"/>
  <c r="C25"/>
  <c r="C26"/>
  <c r="D21"/>
  <c r="D22"/>
  <c r="D26"/>
  <c r="D28"/>
  <c r="I53" i="88"/>
  <c r="D90"/>
  <c r="D92" s="1"/>
  <c r="D89"/>
  <c r="D93" s="1"/>
  <c r="D94"/>
  <c r="J37" i="60"/>
  <c r="E62" i="48"/>
  <c r="AD61"/>
  <c r="AE61"/>
  <c r="AD69"/>
  <c r="AE69"/>
  <c r="AD75"/>
  <c r="AE75"/>
  <c r="AD77"/>
  <c r="AE77"/>
  <c r="AD79"/>
  <c r="AE79"/>
  <c r="AD80"/>
  <c r="AE80"/>
  <c r="AD81"/>
  <c r="AE81"/>
  <c r="AD84"/>
  <c r="AE84"/>
  <c r="AD85"/>
  <c r="AE85"/>
  <c r="AD86"/>
  <c r="AE86"/>
  <c r="AD87"/>
  <c r="AE87"/>
  <c r="AD88"/>
  <c r="AE88"/>
  <c r="AD89"/>
  <c r="AE89"/>
  <c r="AD90"/>
  <c r="AE90"/>
  <c r="AE91"/>
  <c r="AE92"/>
  <c r="AE93"/>
  <c r="AE94"/>
  <c r="AE95"/>
  <c r="AE96"/>
  <c r="AE97"/>
  <c r="AE99"/>
  <c r="AD100"/>
  <c r="AE100"/>
  <c r="AD101"/>
  <c r="AE101"/>
  <c r="AE102"/>
  <c r="AE103"/>
  <c r="AE104"/>
  <c r="AD106"/>
  <c r="AE106"/>
  <c r="AD107"/>
  <c r="AE107"/>
  <c r="AD108"/>
  <c r="AE108"/>
  <c r="AD109"/>
  <c r="AE109"/>
  <c r="AE110"/>
  <c r="AE111"/>
  <c r="AE112"/>
  <c r="AD113"/>
  <c r="AE113"/>
  <c r="AD114"/>
  <c r="AE114"/>
  <c r="AD115"/>
  <c r="AE115"/>
  <c r="AD116"/>
  <c r="AE116"/>
  <c r="AD117"/>
  <c r="AE117"/>
  <c r="AD118"/>
  <c r="AE118"/>
  <c r="AD119"/>
  <c r="AE119"/>
  <c r="AD128"/>
  <c r="AE128"/>
  <c r="AD129"/>
  <c r="AE129"/>
  <c r="AD130"/>
  <c r="AE130"/>
  <c r="AD131"/>
  <c r="AE131"/>
  <c r="AD132"/>
  <c r="AE132"/>
  <c r="AD133"/>
  <c r="AE133"/>
  <c r="AD134"/>
  <c r="AE134"/>
  <c r="AD135"/>
  <c r="AE135"/>
  <c r="AD137"/>
  <c r="AE137"/>
  <c r="AD138"/>
  <c r="AE138"/>
  <c r="AD139"/>
  <c r="AE139"/>
  <c r="C10" i="69" l="1"/>
  <c r="D97" i="88"/>
  <c r="AE121" i="48"/>
  <c r="AE122"/>
  <c r="AE123"/>
  <c r="AE124"/>
  <c r="AE126"/>
  <c r="H120"/>
  <c r="G120"/>
  <c r="G127" s="1"/>
  <c r="D23" i="60" s="1"/>
  <c r="H57" i="48"/>
  <c r="AE57" s="1"/>
  <c r="AD57"/>
  <c r="H59"/>
  <c r="AE59" s="1"/>
  <c r="E59"/>
  <c r="AD59" s="1"/>
  <c r="H58"/>
  <c r="AE58" s="1"/>
  <c r="E58"/>
  <c r="AD58" s="1"/>
  <c r="D15"/>
  <c r="AE120" l="1"/>
  <c r="H127"/>
  <c r="D22" i="60" s="1"/>
  <c r="D24" s="1"/>
  <c r="B28" i="47"/>
  <c r="M10"/>
  <c r="M11"/>
  <c r="M12"/>
  <c r="M13"/>
  <c r="M14"/>
  <c r="M15"/>
  <c r="M16"/>
  <c r="M17"/>
  <c r="M18"/>
  <c r="M19"/>
  <c r="M20"/>
  <c r="M21"/>
  <c r="M22"/>
  <c r="M23"/>
  <c r="M24"/>
  <c r="M25"/>
  <c r="M26"/>
  <c r="M27"/>
  <c r="M28"/>
  <c r="J10"/>
  <c r="J11"/>
  <c r="J12"/>
  <c r="J13"/>
  <c r="J14"/>
  <c r="J15"/>
  <c r="J16"/>
  <c r="J17"/>
  <c r="J18"/>
  <c r="J19"/>
  <c r="J20"/>
  <c r="J21"/>
  <c r="J22"/>
  <c r="J23"/>
  <c r="J24"/>
  <c r="J25"/>
  <c r="J26"/>
  <c r="J27"/>
  <c r="J28"/>
  <c r="BY18" i="45"/>
  <c r="BX18"/>
  <c r="BW18"/>
  <c r="BV18"/>
  <c r="BU18"/>
  <c r="BT18"/>
  <c r="M9" i="47"/>
  <c r="AO9"/>
  <c r="B9"/>
  <c r="V9" s="1"/>
  <c r="AO10"/>
  <c r="AO11"/>
  <c r="AO12"/>
  <c r="AO13"/>
  <c r="AO14"/>
  <c r="AO15"/>
  <c r="AO16"/>
  <c r="AO17"/>
  <c r="AO18"/>
  <c r="AO19"/>
  <c r="AO20"/>
  <c r="AP21"/>
  <c r="AP22"/>
  <c r="AO23"/>
  <c r="AO24"/>
  <c r="AO25"/>
  <c r="AO26"/>
  <c r="AO27"/>
  <c r="AO28"/>
  <c r="U10"/>
  <c r="U11"/>
  <c r="U12"/>
  <c r="U13"/>
  <c r="U14"/>
  <c r="U15"/>
  <c r="U16"/>
  <c r="U17"/>
  <c r="U18"/>
  <c r="U19"/>
  <c r="U20"/>
  <c r="U21"/>
  <c r="U22"/>
  <c r="U23"/>
  <c r="U24"/>
  <c r="U25"/>
  <c r="U26"/>
  <c r="U27"/>
  <c r="U28"/>
  <c r="U9"/>
  <c r="I17" i="48"/>
  <c r="I16"/>
  <c r="I15"/>
  <c r="I14"/>
  <c r="M19" i="30"/>
  <c r="M18"/>
  <c r="M17"/>
  <c r="M16"/>
  <c r="M15"/>
  <c r="M14"/>
  <c r="M19" i="28"/>
  <c r="M18"/>
  <c r="M17"/>
  <c r="M16"/>
  <c r="M15"/>
  <c r="M14"/>
  <c r="V28" i="47" l="1"/>
  <c r="Q28"/>
  <c r="U31"/>
  <c r="O9"/>
  <c r="AN9" s="1"/>
  <c r="N9"/>
  <c r="P9"/>
  <c r="N28"/>
  <c r="O28"/>
  <c r="AN28" s="1"/>
  <c r="P28"/>
  <c r="AO22"/>
  <c r="AO21"/>
  <c r="C14" i="52"/>
  <c r="F19"/>
  <c r="AP23" i="47"/>
  <c r="F3" i="66"/>
  <c r="B18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C182"/>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B182"/>
  <c r="B18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B180"/>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B179"/>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C178"/>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B178"/>
  <c r="AG177"/>
  <c r="AH177" s="1"/>
  <c r="AI177" s="1"/>
  <c r="AJ177" s="1"/>
  <c r="AK177" s="1"/>
  <c r="AL177" s="1"/>
  <c r="AM177" s="1"/>
  <c r="AN177" s="1"/>
  <c r="AO177" s="1"/>
  <c r="AP177" s="1"/>
  <c r="AQ177" s="1"/>
  <c r="AR177" s="1"/>
  <c r="AS177" s="1"/>
  <c r="AT177" s="1"/>
  <c r="AU177" s="1"/>
  <c r="AV177" s="1"/>
  <c r="AW177" s="1"/>
  <c r="AX177" s="1"/>
  <c r="AY177" s="1"/>
  <c r="AF177"/>
  <c r="AY174"/>
  <c r="AX174"/>
  <c r="AW174"/>
  <c r="AV174"/>
  <c r="AU174"/>
  <c r="AT174"/>
  <c r="AS174"/>
  <c r="AR174"/>
  <c r="AQ174"/>
  <c r="AP174"/>
  <c r="AO174"/>
  <c r="AN174"/>
  <c r="AM174"/>
  <c r="AL174"/>
  <c r="AK174"/>
  <c r="AJ174"/>
  <c r="AI174"/>
  <c r="AH174"/>
  <c r="AG174"/>
  <c r="AF174"/>
  <c r="AE174"/>
  <c r="AD174"/>
  <c r="AC174"/>
  <c r="AB174"/>
  <c r="AA174"/>
  <c r="Z174"/>
  <c r="Y174"/>
  <c r="X174"/>
  <c r="W174"/>
  <c r="V174"/>
  <c r="U174"/>
  <c r="T174"/>
  <c r="S174"/>
  <c r="R174"/>
  <c r="Q174"/>
  <c r="P174"/>
  <c r="O174"/>
  <c r="N174"/>
  <c r="M174"/>
  <c r="L174"/>
  <c r="K174"/>
  <c r="J174"/>
  <c r="I174"/>
  <c r="H174"/>
  <c r="G174"/>
  <c r="F174"/>
  <c r="E174"/>
  <c r="D174"/>
  <c r="C174"/>
  <c r="B174"/>
  <c r="B185" s="1"/>
  <c r="AY173"/>
  <c r="AX173"/>
  <c r="AW173"/>
  <c r="AV173"/>
  <c r="AU173"/>
  <c r="AT173"/>
  <c r="AS173"/>
  <c r="AR173"/>
  <c r="AQ173"/>
  <c r="AP173"/>
  <c r="AO173"/>
  <c r="AN173"/>
  <c r="AM173"/>
  <c r="AL173"/>
  <c r="AK173"/>
  <c r="AJ173"/>
  <c r="AI173"/>
  <c r="AH173"/>
  <c r="AG173"/>
  <c r="AF173"/>
  <c r="AE173"/>
  <c r="AD173"/>
  <c r="AC173"/>
  <c r="AB173"/>
  <c r="AA173"/>
  <c r="Z173"/>
  <c r="Y173"/>
  <c r="X173"/>
  <c r="W173"/>
  <c r="V173"/>
  <c r="U173"/>
  <c r="T173"/>
  <c r="S173"/>
  <c r="R173"/>
  <c r="Q173"/>
  <c r="P173"/>
  <c r="O173"/>
  <c r="N173"/>
  <c r="M173"/>
  <c r="L173"/>
  <c r="K173"/>
  <c r="J173"/>
  <c r="I173"/>
  <c r="H173"/>
  <c r="G173"/>
  <c r="F173"/>
  <c r="E173"/>
  <c r="D173"/>
  <c r="C173"/>
  <c r="B173"/>
  <c r="B184" s="1"/>
  <c r="C160"/>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B160"/>
  <c r="B159"/>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B158"/>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B157"/>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B156"/>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B155"/>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F154"/>
  <c r="AG154" s="1"/>
  <c r="AH154" s="1"/>
  <c r="AI154" s="1"/>
  <c r="AJ154" s="1"/>
  <c r="AK154" s="1"/>
  <c r="AL154" s="1"/>
  <c r="AM154" s="1"/>
  <c r="AN154" s="1"/>
  <c r="AO154" s="1"/>
  <c r="AP154" s="1"/>
  <c r="AQ154" s="1"/>
  <c r="AR154" s="1"/>
  <c r="AS154" s="1"/>
  <c r="AT154" s="1"/>
  <c r="AU154" s="1"/>
  <c r="AV154" s="1"/>
  <c r="AW154" s="1"/>
  <c r="AX154" s="1"/>
  <c r="AY154" s="1"/>
  <c r="AY151"/>
  <c r="AX151"/>
  <c r="AW151"/>
  <c r="AV151"/>
  <c r="AU151"/>
  <c r="AT151"/>
  <c r="AS151"/>
  <c r="AR151"/>
  <c r="AQ151"/>
  <c r="AP151"/>
  <c r="AO151"/>
  <c r="AN151"/>
  <c r="AM151"/>
  <c r="AL151"/>
  <c r="AK151"/>
  <c r="AJ151"/>
  <c r="AI151"/>
  <c r="AH151"/>
  <c r="AG151"/>
  <c r="AF151"/>
  <c r="AE151"/>
  <c r="AD151"/>
  <c r="AC151"/>
  <c r="AB151"/>
  <c r="AA151"/>
  <c r="Z151"/>
  <c r="Y151"/>
  <c r="X151"/>
  <c r="W151"/>
  <c r="V151"/>
  <c r="U151"/>
  <c r="T151"/>
  <c r="S151"/>
  <c r="R151"/>
  <c r="Q151"/>
  <c r="P151"/>
  <c r="O151"/>
  <c r="N151"/>
  <c r="M151"/>
  <c r="L151"/>
  <c r="K151"/>
  <c r="J151"/>
  <c r="I151"/>
  <c r="H151"/>
  <c r="G151"/>
  <c r="F151"/>
  <c r="E151"/>
  <c r="D151"/>
  <c r="C151"/>
  <c r="C162" s="1"/>
  <c r="B151"/>
  <c r="B162" s="1"/>
  <c r="AY150"/>
  <c r="AX150"/>
  <c r="AW150"/>
  <c r="AV150"/>
  <c r="AU150"/>
  <c r="AT150"/>
  <c r="AS150"/>
  <c r="AR150"/>
  <c r="AQ150"/>
  <c r="AP150"/>
  <c r="AO150"/>
  <c r="AN150"/>
  <c r="AM150"/>
  <c r="AL150"/>
  <c r="AK150"/>
  <c r="AJ150"/>
  <c r="AI150"/>
  <c r="AH150"/>
  <c r="AG150"/>
  <c r="AF150"/>
  <c r="AE150"/>
  <c r="AD150"/>
  <c r="AC150"/>
  <c r="AB150"/>
  <c r="AA150"/>
  <c r="Z150"/>
  <c r="Y150"/>
  <c r="X150"/>
  <c r="W150"/>
  <c r="V150"/>
  <c r="U150"/>
  <c r="T150"/>
  <c r="S150"/>
  <c r="R150"/>
  <c r="Q150"/>
  <c r="P150"/>
  <c r="O150"/>
  <c r="N150"/>
  <c r="M150"/>
  <c r="L150"/>
  <c r="K150"/>
  <c r="J150"/>
  <c r="I150"/>
  <c r="H150"/>
  <c r="G150"/>
  <c r="F150"/>
  <c r="E150"/>
  <c r="D150"/>
  <c r="C150"/>
  <c r="C161" s="1"/>
  <c r="B150"/>
  <c r="B161" s="1"/>
  <c r="C137"/>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B137"/>
  <c r="C136"/>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B136"/>
  <c r="B135"/>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C134"/>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B134"/>
  <c r="B13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C132"/>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F131"/>
  <c r="AG131" s="1"/>
  <c r="AH131" s="1"/>
  <c r="AI131" s="1"/>
  <c r="AJ131" s="1"/>
  <c r="AK131" s="1"/>
  <c r="AL131" s="1"/>
  <c r="AM131" s="1"/>
  <c r="AN131" s="1"/>
  <c r="AO131" s="1"/>
  <c r="AP131" s="1"/>
  <c r="AQ131" s="1"/>
  <c r="AR131" s="1"/>
  <c r="AS131" s="1"/>
  <c r="AT131" s="1"/>
  <c r="AU131" s="1"/>
  <c r="AV131" s="1"/>
  <c r="AW131" s="1"/>
  <c r="AX131" s="1"/>
  <c r="AY131" s="1"/>
  <c r="AY128"/>
  <c r="AX128"/>
  <c r="AW128"/>
  <c r="AV128"/>
  <c r="AU128"/>
  <c r="AT128"/>
  <c r="AS128"/>
  <c r="AR128"/>
  <c r="AQ128"/>
  <c r="AP128"/>
  <c r="AO128"/>
  <c r="AN128"/>
  <c r="AM128"/>
  <c r="AL128"/>
  <c r="AK128"/>
  <c r="AJ128"/>
  <c r="AI128"/>
  <c r="AH128"/>
  <c r="AG128"/>
  <c r="AF128"/>
  <c r="AE128"/>
  <c r="AD128"/>
  <c r="AC128"/>
  <c r="AB128"/>
  <c r="AA128"/>
  <c r="Z128"/>
  <c r="Y128"/>
  <c r="X128"/>
  <c r="W128"/>
  <c r="V128"/>
  <c r="U128"/>
  <c r="T128"/>
  <c r="S128"/>
  <c r="R128"/>
  <c r="Q128"/>
  <c r="P128"/>
  <c r="O128"/>
  <c r="N128"/>
  <c r="M128"/>
  <c r="L128"/>
  <c r="K128"/>
  <c r="J128"/>
  <c r="I128"/>
  <c r="H128"/>
  <c r="G128"/>
  <c r="F128"/>
  <c r="E128"/>
  <c r="D128"/>
  <c r="C128"/>
  <c r="C139" s="1"/>
  <c r="B128"/>
  <c r="B139" s="1"/>
  <c r="AY127"/>
  <c r="AX127"/>
  <c r="AW127"/>
  <c r="AV127"/>
  <c r="AU127"/>
  <c r="AT127"/>
  <c r="AS127"/>
  <c r="AR127"/>
  <c r="AQ127"/>
  <c r="AP127"/>
  <c r="AO127"/>
  <c r="AN127"/>
  <c r="AM127"/>
  <c r="AL127"/>
  <c r="AK127"/>
  <c r="AJ127"/>
  <c r="AI127"/>
  <c r="AH127"/>
  <c r="AG127"/>
  <c r="AF127"/>
  <c r="AE127"/>
  <c r="AD127"/>
  <c r="AC127"/>
  <c r="AB127"/>
  <c r="AA127"/>
  <c r="Z127"/>
  <c r="Y127"/>
  <c r="X127"/>
  <c r="W127"/>
  <c r="V127"/>
  <c r="U127"/>
  <c r="T127"/>
  <c r="S127"/>
  <c r="R127"/>
  <c r="Q127"/>
  <c r="P127"/>
  <c r="O127"/>
  <c r="N127"/>
  <c r="M127"/>
  <c r="L127"/>
  <c r="K127"/>
  <c r="J127"/>
  <c r="I127"/>
  <c r="H127"/>
  <c r="G127"/>
  <c r="F127"/>
  <c r="E127"/>
  <c r="D127"/>
  <c r="C127"/>
  <c r="C138" s="1"/>
  <c r="B127"/>
  <c r="B138" s="1"/>
  <c r="B114"/>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B11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B112"/>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B11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B110"/>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C109"/>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G108"/>
  <c r="AH108" s="1"/>
  <c r="AI108" s="1"/>
  <c r="AJ108" s="1"/>
  <c r="AK108" s="1"/>
  <c r="AL108" s="1"/>
  <c r="AM108" s="1"/>
  <c r="AN108" s="1"/>
  <c r="AO108" s="1"/>
  <c r="AP108" s="1"/>
  <c r="AQ108" s="1"/>
  <c r="AR108" s="1"/>
  <c r="AS108" s="1"/>
  <c r="AT108" s="1"/>
  <c r="AU108" s="1"/>
  <c r="AV108" s="1"/>
  <c r="AW108" s="1"/>
  <c r="AX108" s="1"/>
  <c r="AY108" s="1"/>
  <c r="AF108"/>
  <c r="AY105"/>
  <c r="AX105"/>
  <c r="AW105"/>
  <c r="AV105"/>
  <c r="AU105"/>
  <c r="AT105"/>
  <c r="AS105"/>
  <c r="AR105"/>
  <c r="AQ105"/>
  <c r="AP105"/>
  <c r="AO105"/>
  <c r="AN105"/>
  <c r="AM105"/>
  <c r="AL105"/>
  <c r="AK105"/>
  <c r="AJ105"/>
  <c r="AI105"/>
  <c r="AH105"/>
  <c r="AG105"/>
  <c r="AF105"/>
  <c r="AE105"/>
  <c r="AD105"/>
  <c r="AC105"/>
  <c r="AB105"/>
  <c r="AA105"/>
  <c r="Z105"/>
  <c r="Y105"/>
  <c r="X105"/>
  <c r="W105"/>
  <c r="V105"/>
  <c r="U105"/>
  <c r="T105"/>
  <c r="S105"/>
  <c r="R105"/>
  <c r="Q105"/>
  <c r="P105"/>
  <c r="O105"/>
  <c r="N105"/>
  <c r="M105"/>
  <c r="L105"/>
  <c r="K105"/>
  <c r="J105"/>
  <c r="I105"/>
  <c r="H105"/>
  <c r="G105"/>
  <c r="F105"/>
  <c r="E105"/>
  <c r="D105"/>
  <c r="C105"/>
  <c r="B105"/>
  <c r="B116" s="1"/>
  <c r="AY104"/>
  <c r="AX104"/>
  <c r="AW104"/>
  <c r="AV104"/>
  <c r="AU104"/>
  <c r="AT104"/>
  <c r="AS104"/>
  <c r="AR104"/>
  <c r="AQ104"/>
  <c r="AP104"/>
  <c r="AO104"/>
  <c r="AN104"/>
  <c r="AM104"/>
  <c r="AL104"/>
  <c r="AK104"/>
  <c r="AJ104"/>
  <c r="AI104"/>
  <c r="AH104"/>
  <c r="AG104"/>
  <c r="AF104"/>
  <c r="AE104"/>
  <c r="AD104"/>
  <c r="AC104"/>
  <c r="AB104"/>
  <c r="AA104"/>
  <c r="Z104"/>
  <c r="Y104"/>
  <c r="X104"/>
  <c r="W104"/>
  <c r="V104"/>
  <c r="U104"/>
  <c r="T104"/>
  <c r="S104"/>
  <c r="R104"/>
  <c r="Q104"/>
  <c r="P104"/>
  <c r="O104"/>
  <c r="N104"/>
  <c r="M104"/>
  <c r="L104"/>
  <c r="K104"/>
  <c r="J104"/>
  <c r="I104"/>
  <c r="H104"/>
  <c r="G104"/>
  <c r="F104"/>
  <c r="E104"/>
  <c r="D104"/>
  <c r="C104"/>
  <c r="B104"/>
  <c r="B115" s="1"/>
  <c r="C9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B91"/>
  <c r="B90"/>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B89"/>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B88"/>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B87"/>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B86"/>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F85"/>
  <c r="AG85" s="1"/>
  <c r="AH85" s="1"/>
  <c r="AI85" s="1"/>
  <c r="AJ85" s="1"/>
  <c r="AK85" s="1"/>
  <c r="AL85" s="1"/>
  <c r="AM85" s="1"/>
  <c r="AN85" s="1"/>
  <c r="AO85" s="1"/>
  <c r="AP85" s="1"/>
  <c r="AQ85" s="1"/>
  <c r="AR85" s="1"/>
  <c r="AS85" s="1"/>
  <c r="AT85" s="1"/>
  <c r="AU85" s="1"/>
  <c r="AV85" s="1"/>
  <c r="AW85" s="1"/>
  <c r="AX85" s="1"/>
  <c r="AY85" s="1"/>
  <c r="AY82"/>
  <c r="AX82"/>
  <c r="AW82"/>
  <c r="AV82"/>
  <c r="AU82"/>
  <c r="AT82"/>
  <c r="AS82"/>
  <c r="AR82"/>
  <c r="AQ82"/>
  <c r="AP82"/>
  <c r="AO82"/>
  <c r="AN82"/>
  <c r="AM82"/>
  <c r="AL82"/>
  <c r="AK82"/>
  <c r="AJ82"/>
  <c r="AI82"/>
  <c r="AH82"/>
  <c r="AG82"/>
  <c r="AF82"/>
  <c r="AE82"/>
  <c r="AD82"/>
  <c r="AC82"/>
  <c r="AB82"/>
  <c r="AA82"/>
  <c r="Z82"/>
  <c r="Y82"/>
  <c r="X82"/>
  <c r="W82"/>
  <c r="V82"/>
  <c r="U82"/>
  <c r="T82"/>
  <c r="S82"/>
  <c r="R82"/>
  <c r="Q82"/>
  <c r="P82"/>
  <c r="O82"/>
  <c r="N82"/>
  <c r="M82"/>
  <c r="L82"/>
  <c r="K82"/>
  <c r="J82"/>
  <c r="I82"/>
  <c r="H82"/>
  <c r="G82"/>
  <c r="F82"/>
  <c r="E82"/>
  <c r="D82"/>
  <c r="C82"/>
  <c r="B82"/>
  <c r="B93" s="1"/>
  <c r="C93" s="1"/>
  <c r="AY81"/>
  <c r="AX81"/>
  <c r="AW81"/>
  <c r="AV81"/>
  <c r="AU81"/>
  <c r="AT81"/>
  <c r="AS81"/>
  <c r="AR81"/>
  <c r="AQ81"/>
  <c r="AP81"/>
  <c r="AO81"/>
  <c r="AN81"/>
  <c r="AM81"/>
  <c r="AL81"/>
  <c r="AK81"/>
  <c r="AJ81"/>
  <c r="AI81"/>
  <c r="AH81"/>
  <c r="AG81"/>
  <c r="AF81"/>
  <c r="AE81"/>
  <c r="AD81"/>
  <c r="AC81"/>
  <c r="AB81"/>
  <c r="AA81"/>
  <c r="Z81"/>
  <c r="Y81"/>
  <c r="X81"/>
  <c r="W81"/>
  <c r="V81"/>
  <c r="U81"/>
  <c r="T81"/>
  <c r="S81"/>
  <c r="R81"/>
  <c r="Q81"/>
  <c r="P81"/>
  <c r="O81"/>
  <c r="N81"/>
  <c r="M81"/>
  <c r="L81"/>
  <c r="K81"/>
  <c r="J81"/>
  <c r="I81"/>
  <c r="H81"/>
  <c r="G81"/>
  <c r="F81"/>
  <c r="E81"/>
  <c r="D81"/>
  <c r="C81"/>
  <c r="C92" s="1"/>
  <c r="B81"/>
  <c r="B92" s="1"/>
  <c r="B68"/>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B67"/>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B66"/>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B65"/>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B64"/>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B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F62"/>
  <c r="AG62" s="1"/>
  <c r="AH62" s="1"/>
  <c r="AI62" s="1"/>
  <c r="AJ62" s="1"/>
  <c r="AK62" s="1"/>
  <c r="AL62" s="1"/>
  <c r="AM62" s="1"/>
  <c r="AN62" s="1"/>
  <c r="AO62" s="1"/>
  <c r="AP62" s="1"/>
  <c r="AQ62" s="1"/>
  <c r="AR62" s="1"/>
  <c r="AS62" s="1"/>
  <c r="AT62" s="1"/>
  <c r="AU62" s="1"/>
  <c r="AV62" s="1"/>
  <c r="AW62" s="1"/>
  <c r="AX62" s="1"/>
  <c r="AY62" s="1"/>
  <c r="AY59"/>
  <c r="AX59"/>
  <c r="AW59"/>
  <c r="AV59"/>
  <c r="AU59"/>
  <c r="AT59"/>
  <c r="AS59"/>
  <c r="AR59"/>
  <c r="AQ59"/>
  <c r="AP59"/>
  <c r="AO59"/>
  <c r="AN59"/>
  <c r="AM59"/>
  <c r="AL59"/>
  <c r="AK59"/>
  <c r="AJ59"/>
  <c r="AI59"/>
  <c r="AH59"/>
  <c r="AG59"/>
  <c r="AF59"/>
  <c r="AE59"/>
  <c r="AD59"/>
  <c r="AC59"/>
  <c r="AB59"/>
  <c r="AA59"/>
  <c r="Z59"/>
  <c r="Y59"/>
  <c r="X59"/>
  <c r="W59"/>
  <c r="V59"/>
  <c r="U59"/>
  <c r="T59"/>
  <c r="S59"/>
  <c r="R59"/>
  <c r="Q59"/>
  <c r="P59"/>
  <c r="O59"/>
  <c r="N59"/>
  <c r="M59"/>
  <c r="L59"/>
  <c r="K59"/>
  <c r="J59"/>
  <c r="I59"/>
  <c r="H59"/>
  <c r="G59"/>
  <c r="F59"/>
  <c r="E59"/>
  <c r="D59"/>
  <c r="C59"/>
  <c r="C70" s="1"/>
  <c r="B59"/>
  <c r="B70" s="1"/>
  <c r="AY58"/>
  <c r="AX58"/>
  <c r="AW58"/>
  <c r="AV58"/>
  <c r="AU58"/>
  <c r="AT58"/>
  <c r="AS58"/>
  <c r="AR58"/>
  <c r="AQ58"/>
  <c r="AP58"/>
  <c r="AO58"/>
  <c r="AN58"/>
  <c r="AM58"/>
  <c r="AL58"/>
  <c r="AK58"/>
  <c r="AJ58"/>
  <c r="AI58"/>
  <c r="AH58"/>
  <c r="AG58"/>
  <c r="AF58"/>
  <c r="AE58"/>
  <c r="AD58"/>
  <c r="AC58"/>
  <c r="AB58"/>
  <c r="AA58"/>
  <c r="Z58"/>
  <c r="Y58"/>
  <c r="X58"/>
  <c r="W58"/>
  <c r="V58"/>
  <c r="U58"/>
  <c r="T58"/>
  <c r="S58"/>
  <c r="R58"/>
  <c r="Q58"/>
  <c r="P58"/>
  <c r="O58"/>
  <c r="N58"/>
  <c r="M58"/>
  <c r="L58"/>
  <c r="K58"/>
  <c r="J58"/>
  <c r="I58"/>
  <c r="H58"/>
  <c r="G58"/>
  <c r="F58"/>
  <c r="E58"/>
  <c r="D58"/>
  <c r="C58"/>
  <c r="C69" s="1"/>
  <c r="B58"/>
  <c r="B69" s="1"/>
  <c r="D45"/>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B45"/>
  <c r="C45" s="1"/>
  <c r="B44"/>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B43"/>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B4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B4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B40"/>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F39"/>
  <c r="AG39" s="1"/>
  <c r="AH39" s="1"/>
  <c r="AI39" s="1"/>
  <c r="AJ39" s="1"/>
  <c r="AK39" s="1"/>
  <c r="AL39" s="1"/>
  <c r="AM39" s="1"/>
  <c r="AN39" s="1"/>
  <c r="AO39" s="1"/>
  <c r="AP39" s="1"/>
  <c r="AQ39" s="1"/>
  <c r="AR39" s="1"/>
  <c r="AS39" s="1"/>
  <c r="AT39" s="1"/>
  <c r="AU39" s="1"/>
  <c r="AV39" s="1"/>
  <c r="AW39" s="1"/>
  <c r="AX39" s="1"/>
  <c r="AY39" s="1"/>
  <c r="AY36"/>
  <c r="AX36"/>
  <c r="AW36"/>
  <c r="AV36"/>
  <c r="AU36"/>
  <c r="AT36"/>
  <c r="AS36"/>
  <c r="AR36"/>
  <c r="AQ36"/>
  <c r="AP36"/>
  <c r="AO36"/>
  <c r="AN36"/>
  <c r="AM36"/>
  <c r="AL36"/>
  <c r="AK36"/>
  <c r="AJ36"/>
  <c r="AI36"/>
  <c r="AH36"/>
  <c r="AG36"/>
  <c r="AF36"/>
  <c r="AE36"/>
  <c r="AD36"/>
  <c r="AC36"/>
  <c r="AB36"/>
  <c r="AA36"/>
  <c r="Z36"/>
  <c r="Y36"/>
  <c r="X36"/>
  <c r="W36"/>
  <c r="V36"/>
  <c r="U36"/>
  <c r="T36"/>
  <c r="S36"/>
  <c r="R36"/>
  <c r="Q36"/>
  <c r="P36"/>
  <c r="O36"/>
  <c r="N36"/>
  <c r="M36"/>
  <c r="L36"/>
  <c r="K36"/>
  <c r="J36"/>
  <c r="I36"/>
  <c r="H36"/>
  <c r="G36"/>
  <c r="F36"/>
  <c r="E36"/>
  <c r="D36"/>
  <c r="C36"/>
  <c r="B36"/>
  <c r="B47" s="1"/>
  <c r="AY35"/>
  <c r="AX35"/>
  <c r="AW35"/>
  <c r="AV35"/>
  <c r="AU35"/>
  <c r="AT35"/>
  <c r="AS35"/>
  <c r="AR35"/>
  <c r="AQ35"/>
  <c r="AP35"/>
  <c r="AO35"/>
  <c r="AN35"/>
  <c r="AM35"/>
  <c r="AL35"/>
  <c r="AK35"/>
  <c r="AJ35"/>
  <c r="AI35"/>
  <c r="AH35"/>
  <c r="AG35"/>
  <c r="AF35"/>
  <c r="AE35"/>
  <c r="AD35"/>
  <c r="AC35"/>
  <c r="AB35"/>
  <c r="AA35"/>
  <c r="Z35"/>
  <c r="Y35"/>
  <c r="X35"/>
  <c r="W35"/>
  <c r="V35"/>
  <c r="U35"/>
  <c r="T35"/>
  <c r="S35"/>
  <c r="R35"/>
  <c r="Q35"/>
  <c r="P35"/>
  <c r="O35"/>
  <c r="N35"/>
  <c r="M35"/>
  <c r="L35"/>
  <c r="K35"/>
  <c r="J35"/>
  <c r="I35"/>
  <c r="H35"/>
  <c r="G35"/>
  <c r="F35"/>
  <c r="E35"/>
  <c r="D35"/>
  <c r="C35"/>
  <c r="B35"/>
  <c r="B46" s="1"/>
  <c r="AH28" i="47"/>
  <c r="AH27"/>
  <c r="AH26"/>
  <c r="AH25"/>
  <c r="AH24"/>
  <c r="AH23"/>
  <c r="AH22"/>
  <c r="AH10"/>
  <c r="AH11"/>
  <c r="AH12"/>
  <c r="AH13"/>
  <c r="AH14"/>
  <c r="AH15"/>
  <c r="AH16"/>
  <c r="AH17"/>
  <c r="AH18"/>
  <c r="AH19"/>
  <c r="AH20"/>
  <c r="AH21"/>
  <c r="AH9"/>
  <c r="AP24"/>
  <c r="AP9"/>
  <c r="E3" i="66"/>
  <c r="AF16"/>
  <c r="AG16" s="1"/>
  <c r="G19" i="52"/>
  <c r="AU28" i="47" l="1"/>
  <c r="AT9"/>
  <c r="AU9"/>
  <c r="AV9" s="1"/>
  <c r="AT28"/>
  <c r="AV28" s="1"/>
  <c r="Q9"/>
  <c r="AR9"/>
  <c r="AM9"/>
  <c r="AR28"/>
  <c r="AM28"/>
  <c r="D9" i="66"/>
  <c r="H9"/>
  <c r="L9"/>
  <c r="P9"/>
  <c r="T9"/>
  <c r="X9"/>
  <c r="AB9"/>
  <c r="AF9"/>
  <c r="AJ9"/>
  <c r="AN9"/>
  <c r="AR9"/>
  <c r="AV9"/>
  <c r="B10"/>
  <c r="B21" s="1"/>
  <c r="F10"/>
  <c r="J10"/>
  <c r="N10"/>
  <c r="R10"/>
  <c r="V10"/>
  <c r="Z10"/>
  <c r="AD10"/>
  <c r="AH10"/>
  <c r="AL10"/>
  <c r="AP10"/>
  <c r="AT10"/>
  <c r="AX10"/>
  <c r="D11"/>
  <c r="H11"/>
  <c r="L11"/>
  <c r="P11"/>
  <c r="T11"/>
  <c r="X11"/>
  <c r="AB11"/>
  <c r="AF11"/>
  <c r="AJ11"/>
  <c r="AN11"/>
  <c r="AR11"/>
  <c r="AV11"/>
  <c r="B12"/>
  <c r="F12"/>
  <c r="J12"/>
  <c r="N12"/>
  <c r="R12"/>
  <c r="V12"/>
  <c r="Z12"/>
  <c r="AD12"/>
  <c r="AH12"/>
  <c r="AL12"/>
  <c r="AP12"/>
  <c r="AT12"/>
  <c r="AX12"/>
  <c r="D13"/>
  <c r="H13"/>
  <c r="L13"/>
  <c r="P13"/>
  <c r="T13"/>
  <c r="X13"/>
  <c r="AB13"/>
  <c r="AF13"/>
  <c r="AJ13"/>
  <c r="AN13"/>
  <c r="AR13"/>
  <c r="AV13"/>
  <c r="C8"/>
  <c r="G8"/>
  <c r="K8"/>
  <c r="O8"/>
  <c r="S8"/>
  <c r="W8"/>
  <c r="AA8"/>
  <c r="AE8"/>
  <c r="AI8"/>
  <c r="AM8"/>
  <c r="AQ8"/>
  <c r="AU8"/>
  <c r="AY8"/>
  <c r="E9"/>
  <c r="I9"/>
  <c r="M9"/>
  <c r="Q9"/>
  <c r="U9"/>
  <c r="Y9"/>
  <c r="AC9"/>
  <c r="AG9"/>
  <c r="AK9"/>
  <c r="AO9"/>
  <c r="AS9"/>
  <c r="AW9"/>
  <c r="C10"/>
  <c r="G10"/>
  <c r="K10"/>
  <c r="O10"/>
  <c r="S10"/>
  <c r="W10"/>
  <c r="AA10"/>
  <c r="AE10"/>
  <c r="AI10"/>
  <c r="AM10"/>
  <c r="AQ10"/>
  <c r="AU10"/>
  <c r="AY10"/>
  <c r="E11"/>
  <c r="I11"/>
  <c r="M11"/>
  <c r="Q11"/>
  <c r="U11"/>
  <c r="Y11"/>
  <c r="AC11"/>
  <c r="AG11"/>
  <c r="AK11"/>
  <c r="AO11"/>
  <c r="AS11"/>
  <c r="AW11"/>
  <c r="C12"/>
  <c r="G12"/>
  <c r="K12"/>
  <c r="O12"/>
  <c r="S12"/>
  <c r="W12"/>
  <c r="AA12"/>
  <c r="AE12"/>
  <c r="AI12"/>
  <c r="AM12"/>
  <c r="AQ12"/>
  <c r="AU12"/>
  <c r="AY12"/>
  <c r="E13"/>
  <c r="I13"/>
  <c r="M13"/>
  <c r="Q13"/>
  <c r="U13"/>
  <c r="AC13"/>
  <c r="AK13"/>
  <c r="AS13"/>
  <c r="D8"/>
  <c r="L8"/>
  <c r="T8"/>
  <c r="AF8"/>
  <c r="AN8"/>
  <c r="AV8"/>
  <c r="B9"/>
  <c r="F9"/>
  <c r="J9"/>
  <c r="N9"/>
  <c r="R9"/>
  <c r="V9"/>
  <c r="Z9"/>
  <c r="AD9"/>
  <c r="AH9"/>
  <c r="AL9"/>
  <c r="AP9"/>
  <c r="AT9"/>
  <c r="AX9"/>
  <c r="D10"/>
  <c r="H10"/>
  <c r="L10"/>
  <c r="P10"/>
  <c r="T10"/>
  <c r="X10"/>
  <c r="AB10"/>
  <c r="AF10"/>
  <c r="AJ10"/>
  <c r="AN10"/>
  <c r="AR10"/>
  <c r="AV10"/>
  <c r="B11"/>
  <c r="B22" s="1"/>
  <c r="F11"/>
  <c r="J11"/>
  <c r="N11"/>
  <c r="R11"/>
  <c r="V11"/>
  <c r="Z11"/>
  <c r="AD11"/>
  <c r="AH11"/>
  <c r="AL11"/>
  <c r="AP11"/>
  <c r="AT11"/>
  <c r="AX11"/>
  <c r="D12"/>
  <c r="H12"/>
  <c r="L12"/>
  <c r="P12"/>
  <c r="T12"/>
  <c r="X12"/>
  <c r="AB12"/>
  <c r="AF12"/>
  <c r="AJ12"/>
  <c r="AN12"/>
  <c r="AR12"/>
  <c r="AV12"/>
  <c r="B13"/>
  <c r="F13"/>
  <c r="J13"/>
  <c r="N13"/>
  <c r="R13"/>
  <c r="V13"/>
  <c r="Z13"/>
  <c r="AD13"/>
  <c r="AH13"/>
  <c r="AL13"/>
  <c r="AP13"/>
  <c r="AT13"/>
  <c r="AX13"/>
  <c r="E8"/>
  <c r="I8"/>
  <c r="M8"/>
  <c r="Q8"/>
  <c r="U8"/>
  <c r="Y8"/>
  <c r="AC8"/>
  <c r="AG8"/>
  <c r="AK8"/>
  <c r="AO8"/>
  <c r="AS8"/>
  <c r="AW8"/>
  <c r="C9"/>
  <c r="G9"/>
  <c r="K9"/>
  <c r="O9"/>
  <c r="S9"/>
  <c r="W9"/>
  <c r="AA9"/>
  <c r="AE9"/>
  <c r="AI9"/>
  <c r="AM9"/>
  <c r="AQ9"/>
  <c r="AU9"/>
  <c r="AY9"/>
  <c r="E10"/>
  <c r="I10"/>
  <c r="M10"/>
  <c r="Q10"/>
  <c r="U10"/>
  <c r="Y10"/>
  <c r="AC10"/>
  <c r="AG10"/>
  <c r="AK10"/>
  <c r="AO10"/>
  <c r="AS10"/>
  <c r="AW10"/>
  <c r="C11"/>
  <c r="G11"/>
  <c r="K11"/>
  <c r="O11"/>
  <c r="S11"/>
  <c r="W11"/>
  <c r="AA11"/>
  <c r="AE11"/>
  <c r="AI11"/>
  <c r="AM11"/>
  <c r="AQ11"/>
  <c r="AU11"/>
  <c r="AY11"/>
  <c r="E12"/>
  <c r="I12"/>
  <c r="M12"/>
  <c r="Q12"/>
  <c r="U12"/>
  <c r="Y12"/>
  <c r="AC12"/>
  <c r="AG12"/>
  <c r="AK12"/>
  <c r="AO12"/>
  <c r="AS12"/>
  <c r="AW12"/>
  <c r="C13"/>
  <c r="G13"/>
  <c r="K13"/>
  <c r="O13"/>
  <c r="S13"/>
  <c r="W13"/>
  <c r="AA13"/>
  <c r="AE13"/>
  <c r="AI13"/>
  <c r="AM13"/>
  <c r="AQ13"/>
  <c r="AU13"/>
  <c r="AY13"/>
  <c r="F8"/>
  <c r="J8"/>
  <c r="N8"/>
  <c r="R8"/>
  <c r="V8"/>
  <c r="Z8"/>
  <c r="AD8"/>
  <c r="AH8"/>
  <c r="AL8"/>
  <c r="AP8"/>
  <c r="AT8"/>
  <c r="AX8"/>
  <c r="Y13"/>
  <c r="AG13"/>
  <c r="AO13"/>
  <c r="AW13"/>
  <c r="H8"/>
  <c r="P8"/>
  <c r="X8"/>
  <c r="AB8"/>
  <c r="AJ8"/>
  <c r="AR8"/>
  <c r="B8"/>
  <c r="D7"/>
  <c r="H7"/>
  <c r="L7"/>
  <c r="P7"/>
  <c r="T7"/>
  <c r="X7"/>
  <c r="AB7"/>
  <c r="AF7"/>
  <c r="AJ7"/>
  <c r="AN7"/>
  <c r="AR7"/>
  <c r="AV7"/>
  <c r="D6"/>
  <c r="H6"/>
  <c r="L6"/>
  <c r="P6"/>
  <c r="T6"/>
  <c r="X6"/>
  <c r="AB6"/>
  <c r="AF6"/>
  <c r="AJ6"/>
  <c r="AN6"/>
  <c r="AR6"/>
  <c r="AV6"/>
  <c r="C6"/>
  <c r="C7"/>
  <c r="G7"/>
  <c r="K7"/>
  <c r="O7"/>
  <c r="S7"/>
  <c r="W7"/>
  <c r="AA7"/>
  <c r="AE7"/>
  <c r="AI7"/>
  <c r="AM7"/>
  <c r="AQ7"/>
  <c r="AU7"/>
  <c r="AY7"/>
  <c r="G6"/>
  <c r="K6"/>
  <c r="O6"/>
  <c r="S6"/>
  <c r="W6"/>
  <c r="AA6"/>
  <c r="AE6"/>
  <c r="AI6"/>
  <c r="AM6"/>
  <c r="AQ6"/>
  <c r="AU6"/>
  <c r="AY6"/>
  <c r="B7"/>
  <c r="F7"/>
  <c r="J7"/>
  <c r="N7"/>
  <c r="R7"/>
  <c r="V7"/>
  <c r="Z7"/>
  <c r="AD7"/>
  <c r="AH7"/>
  <c r="AL7"/>
  <c r="AP7"/>
  <c r="AT7"/>
  <c r="AX7"/>
  <c r="F6"/>
  <c r="J6"/>
  <c r="N6"/>
  <c r="R6"/>
  <c r="V6"/>
  <c r="Z6"/>
  <c r="AD6"/>
  <c r="AH6"/>
  <c r="AL6"/>
  <c r="AP6"/>
  <c r="AT6"/>
  <c r="AX6"/>
  <c r="E7"/>
  <c r="I7"/>
  <c r="M7"/>
  <c r="Q7"/>
  <c r="U7"/>
  <c r="Y7"/>
  <c r="AC7"/>
  <c r="AG7"/>
  <c r="AK7"/>
  <c r="AO7"/>
  <c r="AS7"/>
  <c r="AW7"/>
  <c r="E6"/>
  <c r="I6"/>
  <c r="M6"/>
  <c r="Q6"/>
  <c r="U6"/>
  <c r="Y6"/>
  <c r="AC6"/>
  <c r="AG6"/>
  <c r="AK6"/>
  <c r="AO6"/>
  <c r="AS6"/>
  <c r="AW6"/>
  <c r="B6"/>
  <c r="AE127" i="48"/>
  <c r="R28" i="47"/>
  <c r="C32" i="53"/>
  <c r="B17" i="66"/>
  <c r="B18"/>
  <c r="B20"/>
  <c r="B19"/>
  <c r="C19" s="1"/>
  <c r="D19" s="1"/>
  <c r="C46"/>
  <c r="D46" s="1"/>
  <c r="C47"/>
  <c r="D69"/>
  <c r="D70"/>
  <c r="D47"/>
  <c r="E47" s="1"/>
  <c r="E69"/>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E70"/>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D92"/>
  <c r="E92" s="1"/>
  <c r="F92"/>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D93"/>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C115"/>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C116"/>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D138"/>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D139"/>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C184"/>
  <c r="C185"/>
  <c r="D16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D162"/>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D184"/>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D185"/>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P25" i="47"/>
  <c r="AP26"/>
  <c r="AP27"/>
  <c r="AP28"/>
  <c r="AP20"/>
  <c r="AP19"/>
  <c r="AP18"/>
  <c r="AP17"/>
  <c r="AP16"/>
  <c r="AP15"/>
  <c r="AP14"/>
  <c r="AP13"/>
  <c r="AP12"/>
  <c r="AP11"/>
  <c r="AP10"/>
  <c r="B23" i="66"/>
  <c r="B24"/>
  <c r="AH16"/>
  <c r="BK18" i="45"/>
  <c r="I38" i="60" s="1"/>
  <c r="BB18" i="45"/>
  <c r="BH18"/>
  <c r="U34" i="47"/>
  <c r="B11"/>
  <c r="V11" s="1"/>
  <c r="B12"/>
  <c r="V12" s="1"/>
  <c r="B13"/>
  <c r="V13" s="1"/>
  <c r="B14"/>
  <c r="V14" s="1"/>
  <c r="B15"/>
  <c r="V15" s="1"/>
  <c r="B16"/>
  <c r="V16" s="1"/>
  <c r="B17"/>
  <c r="V17" s="1"/>
  <c r="B18"/>
  <c r="V18" s="1"/>
  <c r="B19"/>
  <c r="V19" s="1"/>
  <c r="B20"/>
  <c r="V20" s="1"/>
  <c r="B21"/>
  <c r="V21" s="1"/>
  <c r="B10"/>
  <c r="V10" s="1"/>
  <c r="Y18" i="45"/>
  <c r="H38" i="60" s="1"/>
  <c r="B23" i="47"/>
  <c r="B24"/>
  <c r="B25"/>
  <c r="B26"/>
  <c r="B27"/>
  <c r="X28"/>
  <c r="B22"/>
  <c r="C9" i="55"/>
  <c r="C8"/>
  <c r="C17" i="16"/>
  <c r="C18"/>
  <c r="C115" i="48" s="1"/>
  <c r="B9" i="60"/>
  <c r="G12" i="62"/>
  <c r="F39" s="1"/>
  <c r="F48" s="1"/>
  <c r="F63" s="1"/>
  <c r="F90" s="1"/>
  <c r="F79" s="1"/>
  <c r="F112" s="1"/>
  <c r="F131" s="1"/>
  <c r="F159" s="1"/>
  <c r="C37" i="55"/>
  <c r="C17"/>
  <c r="C18" s="1"/>
  <c r="C14"/>
  <c r="C13"/>
  <c r="C36"/>
  <c r="C34"/>
  <c r="C35" s="1"/>
  <c r="C32"/>
  <c r="C33" s="1"/>
  <c r="AE54" i="48"/>
  <c r="AD54"/>
  <c r="H76"/>
  <c r="AE76" s="1"/>
  <c r="E76"/>
  <c r="AD76" s="1"/>
  <c r="AE73"/>
  <c r="AD73"/>
  <c r="AE72"/>
  <c r="AD72"/>
  <c r="E71"/>
  <c r="AD71" s="1"/>
  <c r="H71"/>
  <c r="AE71" s="1"/>
  <c r="AE74"/>
  <c r="AD74"/>
  <c r="H70"/>
  <c r="AE70" s="1"/>
  <c r="E70"/>
  <c r="AD70" s="1"/>
  <c r="BA18" i="45"/>
  <c r="BG18"/>
  <c r="AY18"/>
  <c r="AZ18"/>
  <c r="U18"/>
  <c r="O18"/>
  <c r="N18"/>
  <c r="C10" i="55"/>
  <c r="D30" i="48"/>
  <c r="D29"/>
  <c r="D28"/>
  <c r="D26"/>
  <c r="D25"/>
  <c r="C12" i="55" s="1"/>
  <c r="I22" i="48"/>
  <c r="I20"/>
  <c r="C21" i="55" s="1"/>
  <c r="D18" i="48"/>
  <c r="C6" i="55" s="1"/>
  <c r="D17" i="48"/>
  <c r="C5" i="55" s="1"/>
  <c r="D16" i="48"/>
  <c r="C2" i="55" s="1"/>
  <c r="H83" i="48"/>
  <c r="AE83" s="1"/>
  <c r="H82"/>
  <c r="AE82" s="1"/>
  <c r="E83"/>
  <c r="AD83" s="1"/>
  <c r="E82"/>
  <c r="AD82" s="1"/>
  <c r="H65"/>
  <c r="AE65" s="1"/>
  <c r="E65"/>
  <c r="AD65" s="1"/>
  <c r="AD62"/>
  <c r="AD60"/>
  <c r="H60"/>
  <c r="AE60" s="1"/>
  <c r="H56"/>
  <c r="AE56" s="1"/>
  <c r="E56"/>
  <c r="AD56" s="1"/>
  <c r="H55"/>
  <c r="AE55" s="1"/>
  <c r="AE52"/>
  <c r="AE51"/>
  <c r="AE50"/>
  <c r="AD55"/>
  <c r="AD52"/>
  <c r="AD51"/>
  <c r="AD50"/>
  <c r="AD49"/>
  <c r="H49"/>
  <c r="AE49" s="1"/>
  <c r="BI18" i="45"/>
  <c r="BF18"/>
  <c r="BD18"/>
  <c r="I34" i="60" s="1"/>
  <c r="BE18" i="45"/>
  <c r="BC18"/>
  <c r="W18"/>
  <c r="P18"/>
  <c r="V18"/>
  <c r="T18"/>
  <c r="R18"/>
  <c r="H34" i="60" s="1"/>
  <c r="S18" i="45"/>
  <c r="Q18"/>
  <c r="C31" i="55"/>
  <c r="C30"/>
  <c r="U33" i="47"/>
  <c r="U32"/>
  <c r="Q34"/>
  <c r="Q16" i="30"/>
  <c r="Q15"/>
  <c r="Q16" i="28"/>
  <c r="Q15"/>
  <c r="J8"/>
  <c r="L41"/>
  <c r="C23" i="52"/>
  <c r="N18" i="28" s="1"/>
  <c r="S18" s="1"/>
  <c r="L41" i="30"/>
  <c r="J8"/>
  <c r="C28" i="55"/>
  <c r="C29"/>
  <c r="C27"/>
  <c r="C26"/>
  <c r="C25"/>
  <c r="C23"/>
  <c r="C24" s="1"/>
  <c r="C22"/>
  <c r="G23" i="42"/>
  <c r="G12"/>
  <c r="G13"/>
  <c r="G14"/>
  <c r="G15"/>
  <c r="G16"/>
  <c r="G17"/>
  <c r="G18"/>
  <c r="G19"/>
  <c r="G20"/>
  <c r="G21"/>
  <c r="G11"/>
  <c r="G22"/>
  <c r="C20" i="55"/>
  <c r="C11"/>
  <c r="D4" i="56"/>
  <c r="E4" s="1"/>
  <c r="D5"/>
  <c r="D6"/>
  <c r="D7"/>
  <c r="D8"/>
  <c r="D9"/>
  <c r="D10"/>
  <c r="D11"/>
  <c r="E11" s="1"/>
  <c r="D12"/>
  <c r="E12" s="1"/>
  <c r="D13"/>
  <c r="E13" s="1"/>
  <c r="D14"/>
  <c r="D15"/>
  <c r="C4"/>
  <c r="C5"/>
  <c r="C6"/>
  <c r="C7"/>
  <c r="C8"/>
  <c r="C15"/>
  <c r="D3"/>
  <c r="C3"/>
  <c r="C7" i="55"/>
  <c r="C24" i="52"/>
  <c r="C24" i="53" s="1"/>
  <c r="N19" i="30" s="1"/>
  <c r="S19" s="1"/>
  <c r="C21" i="52"/>
  <c r="N16" i="28" s="1"/>
  <c r="S16" s="1"/>
  <c r="E19" i="52"/>
  <c r="E19" i="53" s="1"/>
  <c r="D19" i="52"/>
  <c r="C19"/>
  <c r="N14" i="28" s="1"/>
  <c r="C8" s="1"/>
  <c r="C14" i="53"/>
  <c r="B5" i="25" s="1"/>
  <c r="L20" i="53"/>
  <c r="L23"/>
  <c r="L24"/>
  <c r="F19"/>
  <c r="N10" i="30" s="1"/>
  <c r="G19" i="53"/>
  <c r="O10" i="30" s="1"/>
  <c r="L20" i="52"/>
  <c r="L23" s="1"/>
  <c r="L24"/>
  <c r="AX18" i="45"/>
  <c r="BL18"/>
  <c r="BM18"/>
  <c r="BN18"/>
  <c r="BO18"/>
  <c r="BP18"/>
  <c r="BQ18"/>
  <c r="BR18"/>
  <c r="BS18"/>
  <c r="I108" i="48"/>
  <c r="I107"/>
  <c r="N6" i="31"/>
  <c r="V6"/>
  <c r="J7"/>
  <c r="F8" i="25"/>
  <c r="G8"/>
  <c r="F9"/>
  <c r="G9"/>
  <c r="F10"/>
  <c r="G10"/>
  <c r="F11"/>
  <c r="G11"/>
  <c r="F12"/>
  <c r="G12"/>
  <c r="F13"/>
  <c r="G13"/>
  <c r="F14"/>
  <c r="G14"/>
  <c r="F15"/>
  <c r="G15"/>
  <c r="F16"/>
  <c r="G16"/>
  <c r="F17"/>
  <c r="G17"/>
  <c r="F18"/>
  <c r="G18"/>
  <c r="F19"/>
  <c r="G19"/>
  <c r="F20"/>
  <c r="G20"/>
  <c r="F21"/>
  <c r="G21"/>
  <c r="F22"/>
  <c r="G22"/>
  <c r="F23"/>
  <c r="G23"/>
  <c r="F24"/>
  <c r="G24"/>
  <c r="F25"/>
  <c r="G25"/>
  <c r="F26"/>
  <c r="G26"/>
  <c r="F27"/>
  <c r="G27"/>
  <c r="F28"/>
  <c r="G28"/>
  <c r="F29"/>
  <c r="G29"/>
  <c r="F30"/>
  <c r="G30"/>
  <c r="F31"/>
  <c r="G31"/>
  <c r="F32"/>
  <c r="G32"/>
  <c r="F33"/>
  <c r="G33"/>
  <c r="F34"/>
  <c r="G34"/>
  <c r="F35"/>
  <c r="G35"/>
  <c r="F36"/>
  <c r="G36"/>
  <c r="F37"/>
  <c r="G37"/>
  <c r="F38"/>
  <c r="G38"/>
  <c r="F39"/>
  <c r="G39"/>
  <c r="F40"/>
  <c r="G40"/>
  <c r="F41"/>
  <c r="G41"/>
  <c r="F42"/>
  <c r="G42"/>
  <c r="F43"/>
  <c r="G43"/>
  <c r="F44"/>
  <c r="G44"/>
  <c r="F45"/>
  <c r="G45"/>
  <c r="F46"/>
  <c r="G46"/>
  <c r="F47"/>
  <c r="G47"/>
  <c r="F48"/>
  <c r="G48"/>
  <c r="F49"/>
  <c r="G49"/>
  <c r="F50"/>
  <c r="G50"/>
  <c r="F51"/>
  <c r="G51"/>
  <c r="F52"/>
  <c r="G52"/>
  <c r="F53"/>
  <c r="G53"/>
  <c r="F54"/>
  <c r="G54"/>
  <c r="F55"/>
  <c r="G55"/>
  <c r="F56"/>
  <c r="G56"/>
  <c r="F57"/>
  <c r="G57"/>
  <c r="F58"/>
  <c r="G58"/>
  <c r="F59"/>
  <c r="G59"/>
  <c r="F60"/>
  <c r="G60"/>
  <c r="F61"/>
  <c r="G61"/>
  <c r="F62"/>
  <c r="G62"/>
  <c r="F63"/>
  <c r="G63"/>
  <c r="F64"/>
  <c r="G64"/>
  <c r="F65"/>
  <c r="G65"/>
  <c r="F66"/>
  <c r="G66"/>
  <c r="F67"/>
  <c r="G67"/>
  <c r="F68"/>
  <c r="G68"/>
  <c r="F69"/>
  <c r="G69"/>
  <c r="F70"/>
  <c r="G70"/>
  <c r="F71"/>
  <c r="G71"/>
  <c r="F72"/>
  <c r="G72"/>
  <c r="F73"/>
  <c r="G73"/>
  <c r="F74"/>
  <c r="G74"/>
  <c r="F75"/>
  <c r="G75"/>
  <c r="F76"/>
  <c r="G76"/>
  <c r="F77"/>
  <c r="G77"/>
  <c r="F78"/>
  <c r="G78"/>
  <c r="F79"/>
  <c r="G79"/>
  <c r="F80"/>
  <c r="G80"/>
  <c r="F81"/>
  <c r="G81"/>
  <c r="F82"/>
  <c r="G82"/>
  <c r="F83"/>
  <c r="G83"/>
  <c r="F84"/>
  <c r="G84"/>
  <c r="F85"/>
  <c r="G85"/>
  <c r="F86"/>
  <c r="G86"/>
  <c r="F87"/>
  <c r="G87"/>
  <c r="F88"/>
  <c r="G88"/>
  <c r="F89"/>
  <c r="G89"/>
  <c r="F90"/>
  <c r="G90"/>
  <c r="F91"/>
  <c r="G91"/>
  <c r="F92"/>
  <c r="G92"/>
  <c r="F93"/>
  <c r="G93"/>
  <c r="F94"/>
  <c r="G94"/>
  <c r="F95"/>
  <c r="G95"/>
  <c r="F96"/>
  <c r="G96"/>
  <c r="F97"/>
  <c r="G97"/>
  <c r="F98"/>
  <c r="G98"/>
  <c r="F99"/>
  <c r="G99"/>
  <c r="F100"/>
  <c r="G100"/>
  <c r="F101"/>
  <c r="G101"/>
  <c r="F102"/>
  <c r="G102"/>
  <c r="F103"/>
  <c r="G103"/>
  <c r="F104"/>
  <c r="G104"/>
  <c r="F105"/>
  <c r="G105"/>
  <c r="F106"/>
  <c r="G106"/>
  <c r="F107"/>
  <c r="G107"/>
  <c r="F108"/>
  <c r="G108"/>
  <c r="F109"/>
  <c r="G109"/>
  <c r="F110"/>
  <c r="G110"/>
  <c r="F111"/>
  <c r="G111"/>
  <c r="F112"/>
  <c r="G112"/>
  <c r="F113"/>
  <c r="G113"/>
  <c r="F114"/>
  <c r="G114"/>
  <c r="F115"/>
  <c r="G115"/>
  <c r="F116"/>
  <c r="G116"/>
  <c r="F117"/>
  <c r="G117"/>
  <c r="F118"/>
  <c r="G118"/>
  <c r="F119"/>
  <c r="G119"/>
  <c r="F120"/>
  <c r="G120"/>
  <c r="F121"/>
  <c r="G121"/>
  <c r="F122"/>
  <c r="G122"/>
  <c r="F123"/>
  <c r="G123"/>
  <c r="F124"/>
  <c r="G124"/>
  <c r="F125"/>
  <c r="G125"/>
  <c r="F126"/>
  <c r="G126"/>
  <c r="F127"/>
  <c r="G127"/>
  <c r="F128"/>
  <c r="G128"/>
  <c r="F129"/>
  <c r="G129"/>
  <c r="F130"/>
  <c r="G130"/>
  <c r="F131"/>
  <c r="G131"/>
  <c r="F132"/>
  <c r="G132"/>
  <c r="F133"/>
  <c r="G133"/>
  <c r="F134"/>
  <c r="G134"/>
  <c r="F135"/>
  <c r="G135"/>
  <c r="F136"/>
  <c r="G136"/>
  <c r="F137"/>
  <c r="G137"/>
  <c r="F138"/>
  <c r="G138"/>
  <c r="F139"/>
  <c r="G139"/>
  <c r="F140"/>
  <c r="G140"/>
  <c r="F141"/>
  <c r="G141"/>
  <c r="F142"/>
  <c r="G142"/>
  <c r="F143"/>
  <c r="G143"/>
  <c r="F144"/>
  <c r="G144"/>
  <c r="F145"/>
  <c r="G145"/>
  <c r="F146"/>
  <c r="G146"/>
  <c r="F147"/>
  <c r="G147"/>
  <c r="F148"/>
  <c r="G148"/>
  <c r="F149"/>
  <c r="G149"/>
  <c r="F150"/>
  <c r="G150"/>
  <c r="F151"/>
  <c r="G151"/>
  <c r="F152"/>
  <c r="G152"/>
  <c r="F153"/>
  <c r="G153"/>
  <c r="F154"/>
  <c r="G154"/>
  <c r="F155"/>
  <c r="G155"/>
  <c r="F156"/>
  <c r="G156"/>
  <c r="F157"/>
  <c r="G157"/>
  <c r="F158"/>
  <c r="G158"/>
  <c r="F159"/>
  <c r="G159"/>
  <c r="F160"/>
  <c r="G160"/>
  <c r="F161"/>
  <c r="G161"/>
  <c r="F162"/>
  <c r="G162"/>
  <c r="F163"/>
  <c r="G163"/>
  <c r="F164"/>
  <c r="G164"/>
  <c r="F165"/>
  <c r="G165"/>
  <c r="F166"/>
  <c r="G166"/>
  <c r="F167"/>
  <c r="G167"/>
  <c r="F168"/>
  <c r="G168"/>
  <c r="F169"/>
  <c r="G169"/>
  <c r="F170"/>
  <c r="G170"/>
  <c r="F171"/>
  <c r="G171"/>
  <c r="F172"/>
  <c r="G172"/>
  <c r="F173"/>
  <c r="G173"/>
  <c r="F174"/>
  <c r="G174"/>
  <c r="F175"/>
  <c r="G175"/>
  <c r="F176"/>
  <c r="G176"/>
  <c r="F177"/>
  <c r="G177"/>
  <c r="F178"/>
  <c r="G178"/>
  <c r="F179"/>
  <c r="G179"/>
  <c r="F180"/>
  <c r="G180"/>
  <c r="F181"/>
  <c r="G181"/>
  <c r="F182"/>
  <c r="G182"/>
  <c r="F183"/>
  <c r="G183"/>
  <c r="F184"/>
  <c r="G184"/>
  <c r="F185"/>
  <c r="G185"/>
  <c r="F186"/>
  <c r="G186"/>
  <c r="F187"/>
  <c r="G187"/>
  <c r="F188"/>
  <c r="G188"/>
  <c r="F189"/>
  <c r="G189"/>
  <c r="F190"/>
  <c r="G190"/>
  <c r="F191"/>
  <c r="G191"/>
  <c r="F192"/>
  <c r="G192"/>
  <c r="F193"/>
  <c r="G193"/>
  <c r="F194"/>
  <c r="G194"/>
  <c r="F195"/>
  <c r="G195"/>
  <c r="F196"/>
  <c r="G196"/>
  <c r="F197"/>
  <c r="G197"/>
  <c r="F198"/>
  <c r="G198"/>
  <c r="F199"/>
  <c r="G199"/>
  <c r="F200"/>
  <c r="G200"/>
  <c r="F201"/>
  <c r="G201"/>
  <c r="F202"/>
  <c r="G202"/>
  <c r="F203"/>
  <c r="G203"/>
  <c r="F204"/>
  <c r="G204"/>
  <c r="F205"/>
  <c r="G205"/>
  <c r="F206"/>
  <c r="G206"/>
  <c r="F207"/>
  <c r="G207"/>
  <c r="F208"/>
  <c r="G208"/>
  <c r="F209"/>
  <c r="G209"/>
  <c r="F210"/>
  <c r="G210"/>
  <c r="F211"/>
  <c r="G211"/>
  <c r="F212"/>
  <c r="G212"/>
  <c r="F213"/>
  <c r="G213"/>
  <c r="F214"/>
  <c r="G214"/>
  <c r="F215"/>
  <c r="G215"/>
  <c r="F216"/>
  <c r="G216"/>
  <c r="F217"/>
  <c r="G217"/>
  <c r="F218"/>
  <c r="G218"/>
  <c r="F219"/>
  <c r="G219"/>
  <c r="F220"/>
  <c r="G220"/>
  <c r="F221"/>
  <c r="G221"/>
  <c r="F222"/>
  <c r="G222"/>
  <c r="F223"/>
  <c r="G223"/>
  <c r="F224"/>
  <c r="G224"/>
  <c r="F225"/>
  <c r="G225"/>
  <c r="F226"/>
  <c r="G226"/>
  <c r="F227"/>
  <c r="G227"/>
  <c r="F228"/>
  <c r="G228"/>
  <c r="F229"/>
  <c r="G229"/>
  <c r="F230"/>
  <c r="G230"/>
  <c r="F231"/>
  <c r="G231"/>
  <c r="F232"/>
  <c r="G232"/>
  <c r="F233"/>
  <c r="G233"/>
  <c r="F234"/>
  <c r="G234"/>
  <c r="F235"/>
  <c r="G235"/>
  <c r="F236"/>
  <c r="G236"/>
  <c r="F237"/>
  <c r="G237"/>
  <c r="F238"/>
  <c r="G238"/>
  <c r="F239"/>
  <c r="G239"/>
  <c r="F240"/>
  <c r="G240"/>
  <c r="F241"/>
  <c r="G241"/>
  <c r="F242"/>
  <c r="G242"/>
  <c r="F243"/>
  <c r="G243"/>
  <c r="F244"/>
  <c r="G244"/>
  <c r="F245"/>
  <c r="G245"/>
  <c r="F246"/>
  <c r="G246"/>
  <c r="F247"/>
  <c r="G247"/>
  <c r="F248"/>
  <c r="G248"/>
  <c r="F249"/>
  <c r="G249"/>
  <c r="F250"/>
  <c r="G250"/>
  <c r="F251"/>
  <c r="G251"/>
  <c r="F252"/>
  <c r="G252"/>
  <c r="F253"/>
  <c r="G253"/>
  <c r="F254"/>
  <c r="G254"/>
  <c r="F255"/>
  <c r="G255"/>
  <c r="F256"/>
  <c r="G256"/>
  <c r="F257"/>
  <c r="G257"/>
  <c r="F258"/>
  <c r="G258"/>
  <c r="F259"/>
  <c r="G259"/>
  <c r="F260"/>
  <c r="G260"/>
  <c r="F261"/>
  <c r="G261"/>
  <c r="F262"/>
  <c r="G262"/>
  <c r="F263"/>
  <c r="G263"/>
  <c r="F264"/>
  <c r="G264"/>
  <c r="F265"/>
  <c r="G265"/>
  <c r="F266"/>
  <c r="G266"/>
  <c r="F267"/>
  <c r="G267"/>
  <c r="F268"/>
  <c r="G268"/>
  <c r="F269"/>
  <c r="G269"/>
  <c r="F270"/>
  <c r="G270"/>
  <c r="F271"/>
  <c r="G271"/>
  <c r="F272"/>
  <c r="G272"/>
  <c r="F273"/>
  <c r="G273"/>
  <c r="F274"/>
  <c r="G274"/>
  <c r="F275"/>
  <c r="G275"/>
  <c r="F276"/>
  <c r="G276"/>
  <c r="F277"/>
  <c r="G277"/>
  <c r="F278"/>
  <c r="G278"/>
  <c r="F279"/>
  <c r="G279"/>
  <c r="F280"/>
  <c r="G280"/>
  <c r="F281"/>
  <c r="G281"/>
  <c r="F282"/>
  <c r="G282"/>
  <c r="F283"/>
  <c r="G283"/>
  <c r="F284"/>
  <c r="G284"/>
  <c r="F285"/>
  <c r="G285"/>
  <c r="F286"/>
  <c r="G286"/>
  <c r="F287"/>
  <c r="G287"/>
  <c r="F288"/>
  <c r="G288"/>
  <c r="F289"/>
  <c r="G289"/>
  <c r="F290"/>
  <c r="G290"/>
  <c r="F291"/>
  <c r="G291"/>
  <c r="F292"/>
  <c r="G292"/>
  <c r="F293"/>
  <c r="G293"/>
  <c r="F294"/>
  <c r="G294"/>
  <c r="F295"/>
  <c r="G295"/>
  <c r="F296"/>
  <c r="G296"/>
  <c r="F297"/>
  <c r="G297"/>
  <c r="F298"/>
  <c r="G298"/>
  <c r="F299"/>
  <c r="G299"/>
  <c r="F300"/>
  <c r="G300"/>
  <c r="F301"/>
  <c r="G301"/>
  <c r="F302"/>
  <c r="G302"/>
  <c r="F303"/>
  <c r="G303"/>
  <c r="F304"/>
  <c r="G304"/>
  <c r="F305"/>
  <c r="G305"/>
  <c r="F306"/>
  <c r="G306"/>
  <c r="F307"/>
  <c r="G307"/>
  <c r="F308"/>
  <c r="G308"/>
  <c r="F309"/>
  <c r="G309"/>
  <c r="F310"/>
  <c r="G310"/>
  <c r="F311"/>
  <c r="G311"/>
  <c r="F312"/>
  <c r="G312"/>
  <c r="F313"/>
  <c r="G313"/>
  <c r="F314"/>
  <c r="G314"/>
  <c r="F315"/>
  <c r="G315"/>
  <c r="F316"/>
  <c r="G316"/>
  <c r="F317"/>
  <c r="G317"/>
  <c r="F318"/>
  <c r="G318"/>
  <c r="F319"/>
  <c r="G319"/>
  <c r="F320"/>
  <c r="G320"/>
  <c r="F321"/>
  <c r="G321"/>
  <c r="F322"/>
  <c r="G322"/>
  <c r="F323"/>
  <c r="G323"/>
  <c r="F324"/>
  <c r="G324"/>
  <c r="F325"/>
  <c r="G325"/>
  <c r="F326"/>
  <c r="G326"/>
  <c r="F327"/>
  <c r="G327"/>
  <c r="F328"/>
  <c r="G328"/>
  <c r="F329"/>
  <c r="G329"/>
  <c r="F330"/>
  <c r="G330"/>
  <c r="F331"/>
  <c r="G331"/>
  <c r="F332"/>
  <c r="G332"/>
  <c r="F333"/>
  <c r="G333"/>
  <c r="F334"/>
  <c r="G334"/>
  <c r="F335"/>
  <c r="G335"/>
  <c r="F336"/>
  <c r="G336"/>
  <c r="F337"/>
  <c r="G337"/>
  <c r="F338"/>
  <c r="G338"/>
  <c r="F339"/>
  <c r="G339"/>
  <c r="F340"/>
  <c r="G340"/>
  <c r="F341"/>
  <c r="G341"/>
  <c r="F342"/>
  <c r="G342"/>
  <c r="F343"/>
  <c r="G343"/>
  <c r="F344"/>
  <c r="G344"/>
  <c r="F345"/>
  <c r="G345"/>
  <c r="F346"/>
  <c r="G346"/>
  <c r="F347"/>
  <c r="G347"/>
  <c r="F348"/>
  <c r="G348"/>
  <c r="F349"/>
  <c r="G349"/>
  <c r="F350"/>
  <c r="G350"/>
  <c r="F351"/>
  <c r="G351"/>
  <c r="F352"/>
  <c r="G352"/>
  <c r="F353"/>
  <c r="G353"/>
  <c r="F354"/>
  <c r="G354"/>
  <c r="F355"/>
  <c r="G355"/>
  <c r="F356"/>
  <c r="G356"/>
  <c r="F357"/>
  <c r="G357"/>
  <c r="F358"/>
  <c r="G358"/>
  <c r="F359"/>
  <c r="G359"/>
  <c r="F360"/>
  <c r="G360"/>
  <c r="F361"/>
  <c r="G361"/>
  <c r="F362"/>
  <c r="G362"/>
  <c r="F363"/>
  <c r="G363"/>
  <c r="F364"/>
  <c r="G364"/>
  <c r="F365"/>
  <c r="G365"/>
  <c r="F366"/>
  <c r="G366"/>
  <c r="F367"/>
  <c r="G367"/>
  <c r="F368"/>
  <c r="G368"/>
  <c r="F369"/>
  <c r="G369"/>
  <c r="F370"/>
  <c r="G370"/>
  <c r="F371"/>
  <c r="G371"/>
  <c r="F372"/>
  <c r="G372"/>
  <c r="F373"/>
  <c r="G373"/>
  <c r="F374"/>
  <c r="G374"/>
  <c r="F375"/>
  <c r="G375"/>
  <c r="F376"/>
  <c r="G376"/>
  <c r="F377"/>
  <c r="G377"/>
  <c r="F378"/>
  <c r="G378"/>
  <c r="F379"/>
  <c r="G379"/>
  <c r="F380"/>
  <c r="G380"/>
  <c r="F381"/>
  <c r="G381"/>
  <c r="F382"/>
  <c r="G382"/>
  <c r="F383"/>
  <c r="G383"/>
  <c r="F384"/>
  <c r="G384"/>
  <c r="F385"/>
  <c r="G385"/>
  <c r="F386"/>
  <c r="G386"/>
  <c r="F387"/>
  <c r="G387"/>
  <c r="F388"/>
  <c r="G388"/>
  <c r="F389"/>
  <c r="G389"/>
  <c r="F390"/>
  <c r="G390"/>
  <c r="F391"/>
  <c r="G391"/>
  <c r="F392"/>
  <c r="G392"/>
  <c r="F393"/>
  <c r="G393"/>
  <c r="F394"/>
  <c r="G394"/>
  <c r="F395"/>
  <c r="G395"/>
  <c r="F396"/>
  <c r="G396"/>
  <c r="F397"/>
  <c r="G397"/>
  <c r="F398"/>
  <c r="G398"/>
  <c r="F399"/>
  <c r="G399"/>
  <c r="F400"/>
  <c r="G400"/>
  <c r="F401"/>
  <c r="G401"/>
  <c r="F402"/>
  <c r="G402"/>
  <c r="F403"/>
  <c r="G403"/>
  <c r="F404"/>
  <c r="G404"/>
  <c r="F405"/>
  <c r="G405"/>
  <c r="F406"/>
  <c r="G406"/>
  <c r="F407"/>
  <c r="G407"/>
  <c r="F408"/>
  <c r="G408"/>
  <c r="F409"/>
  <c r="G409"/>
  <c r="F410"/>
  <c r="G410"/>
  <c r="F411"/>
  <c r="G411"/>
  <c r="F412"/>
  <c r="G412"/>
  <c r="F413"/>
  <c r="G413"/>
  <c r="F414"/>
  <c r="G414"/>
  <c r="F415"/>
  <c r="G415"/>
  <c r="F416"/>
  <c r="G416"/>
  <c r="F417"/>
  <c r="G417"/>
  <c r="F418"/>
  <c r="G418"/>
  <c r="F419"/>
  <c r="G419"/>
  <c r="F420"/>
  <c r="G420"/>
  <c r="F421"/>
  <c r="G421"/>
  <c r="F422"/>
  <c r="G422"/>
  <c r="F423"/>
  <c r="G423"/>
  <c r="F424"/>
  <c r="G424"/>
  <c r="F425"/>
  <c r="G425"/>
  <c r="F426"/>
  <c r="G426"/>
  <c r="F427"/>
  <c r="G427"/>
  <c r="F428"/>
  <c r="G428"/>
  <c r="F429"/>
  <c r="G429"/>
  <c r="F430"/>
  <c r="G430"/>
  <c r="F431"/>
  <c r="G431"/>
  <c r="F432"/>
  <c r="G432"/>
  <c r="F433"/>
  <c r="G433"/>
  <c r="F434"/>
  <c r="G434"/>
  <c r="F435"/>
  <c r="G435"/>
  <c r="F436"/>
  <c r="G436"/>
  <c r="F437"/>
  <c r="G437"/>
  <c r="F438"/>
  <c r="G438"/>
  <c r="F439"/>
  <c r="G439"/>
  <c r="F440"/>
  <c r="G440"/>
  <c r="F441"/>
  <c r="G441"/>
  <c r="F442"/>
  <c r="G442"/>
  <c r="F443"/>
  <c r="G443"/>
  <c r="F444"/>
  <c r="G444"/>
  <c r="F445"/>
  <c r="G445"/>
  <c r="F446"/>
  <c r="G446"/>
  <c r="F447"/>
  <c r="G447"/>
  <c r="F448"/>
  <c r="G448"/>
  <c r="F449"/>
  <c r="G449"/>
  <c r="F450"/>
  <c r="G450"/>
  <c r="F451"/>
  <c r="G451"/>
  <c r="F452"/>
  <c r="G452"/>
  <c r="F453"/>
  <c r="G453"/>
  <c r="F454"/>
  <c r="G454"/>
  <c r="F455"/>
  <c r="G455"/>
  <c r="F456"/>
  <c r="G456"/>
  <c r="F457"/>
  <c r="G457"/>
  <c r="F458"/>
  <c r="G458"/>
  <c r="F459"/>
  <c r="G459"/>
  <c r="F460"/>
  <c r="G460"/>
  <c r="F461"/>
  <c r="G461"/>
  <c r="F462"/>
  <c r="G462"/>
  <c r="F463"/>
  <c r="G463"/>
  <c r="F464"/>
  <c r="G464"/>
  <c r="F465"/>
  <c r="G465"/>
  <c r="F466"/>
  <c r="G466"/>
  <c r="F467"/>
  <c r="G467"/>
  <c r="F468"/>
  <c r="G468"/>
  <c r="F469"/>
  <c r="G469"/>
  <c r="F470"/>
  <c r="G470"/>
  <c r="F471"/>
  <c r="G471"/>
  <c r="F472"/>
  <c r="G472"/>
  <c r="F473"/>
  <c r="G473"/>
  <c r="F474"/>
  <c r="G474"/>
  <c r="F475"/>
  <c r="G475"/>
  <c r="F476"/>
  <c r="G476"/>
  <c r="F477"/>
  <c r="G477"/>
  <c r="F478"/>
  <c r="G478"/>
  <c r="F479"/>
  <c r="G479"/>
  <c r="F480"/>
  <c r="G480"/>
  <c r="F481"/>
  <c r="G481"/>
  <c r="F482"/>
  <c r="G482"/>
  <c r="F483"/>
  <c r="G483"/>
  <c r="F484"/>
  <c r="G484"/>
  <c r="F485"/>
  <c r="G485"/>
  <c r="F486"/>
  <c r="G486"/>
  <c r="F487"/>
  <c r="G487"/>
  <c r="F488"/>
  <c r="G488"/>
  <c r="F489"/>
  <c r="G489"/>
  <c r="F490"/>
  <c r="G490"/>
  <c r="F491"/>
  <c r="G491"/>
  <c r="F492"/>
  <c r="G492"/>
  <c r="F493"/>
  <c r="G493"/>
  <c r="F494"/>
  <c r="G494"/>
  <c r="F495"/>
  <c r="G495"/>
  <c r="F496"/>
  <c r="G496"/>
  <c r="F497"/>
  <c r="G497"/>
  <c r="F498"/>
  <c r="G498"/>
  <c r="F499"/>
  <c r="G499"/>
  <c r="F500"/>
  <c r="G500"/>
  <c r="F501"/>
  <c r="G501"/>
  <c r="F502"/>
  <c r="G502"/>
  <c r="F503"/>
  <c r="G503"/>
  <c r="F504"/>
  <c r="G504"/>
  <c r="F505"/>
  <c r="G505"/>
  <c r="F506"/>
  <c r="G506"/>
  <c r="F507"/>
  <c r="G507"/>
  <c r="F508"/>
  <c r="G508"/>
  <c r="F509"/>
  <c r="G509"/>
  <c r="F510"/>
  <c r="G510"/>
  <c r="F511"/>
  <c r="G511"/>
  <c r="F512"/>
  <c r="G512"/>
  <c r="F513"/>
  <c r="G513"/>
  <c r="F514"/>
  <c r="G514"/>
  <c r="F515"/>
  <c r="G515"/>
  <c r="F516"/>
  <c r="G516"/>
  <c r="F517"/>
  <c r="G517"/>
  <c r="F518"/>
  <c r="G518"/>
  <c r="F519"/>
  <c r="G519"/>
  <c r="F520"/>
  <c r="G520"/>
  <c r="F521"/>
  <c r="G521"/>
  <c r="F522"/>
  <c r="G522"/>
  <c r="F523"/>
  <c r="G523"/>
  <c r="F524"/>
  <c r="G524"/>
  <c r="F525"/>
  <c r="G525"/>
  <c r="F526"/>
  <c r="G526"/>
  <c r="F527"/>
  <c r="G527"/>
  <c r="F528"/>
  <c r="G528"/>
  <c r="F529"/>
  <c r="G529"/>
  <c r="F530"/>
  <c r="G530"/>
  <c r="F531"/>
  <c r="G531"/>
  <c r="F532"/>
  <c r="G532"/>
  <c r="F533"/>
  <c r="G533"/>
  <c r="F534"/>
  <c r="G534"/>
  <c r="F535"/>
  <c r="G535"/>
  <c r="F536"/>
  <c r="G536"/>
  <c r="F537"/>
  <c r="G537"/>
  <c r="F538"/>
  <c r="G538"/>
  <c r="F539"/>
  <c r="G539"/>
  <c r="F540"/>
  <c r="G540"/>
  <c r="F541"/>
  <c r="G541"/>
  <c r="F542"/>
  <c r="G542"/>
  <c r="F543"/>
  <c r="G543"/>
  <c r="F544"/>
  <c r="G544"/>
  <c r="F545"/>
  <c r="G545"/>
  <c r="F546"/>
  <c r="G546"/>
  <c r="F547"/>
  <c r="G547"/>
  <c r="F548"/>
  <c r="G548"/>
  <c r="F549"/>
  <c r="G549"/>
  <c r="F550"/>
  <c r="G550"/>
  <c r="F551"/>
  <c r="G551"/>
  <c r="F552"/>
  <c r="G552"/>
  <c r="F553"/>
  <c r="G553"/>
  <c r="F554"/>
  <c r="G554"/>
  <c r="F555"/>
  <c r="G555"/>
  <c r="F556"/>
  <c r="G556"/>
  <c r="F557"/>
  <c r="G557"/>
  <c r="F558"/>
  <c r="G558"/>
  <c r="F559"/>
  <c r="G559"/>
  <c r="F560"/>
  <c r="G560"/>
  <c r="F561"/>
  <c r="G561"/>
  <c r="F562"/>
  <c r="G562"/>
  <c r="F563"/>
  <c r="G563"/>
  <c r="F564"/>
  <c r="G564"/>
  <c r="F565"/>
  <c r="G565"/>
  <c r="F566"/>
  <c r="G566"/>
  <c r="F567"/>
  <c r="G567"/>
  <c r="F568"/>
  <c r="G568"/>
  <c r="F569"/>
  <c r="G569"/>
  <c r="F570"/>
  <c r="G570"/>
  <c r="F571"/>
  <c r="G571"/>
  <c r="F572"/>
  <c r="G572"/>
  <c r="F573"/>
  <c r="G573"/>
  <c r="F574"/>
  <c r="G574"/>
  <c r="F575"/>
  <c r="G575"/>
  <c r="F576"/>
  <c r="G576"/>
  <c r="F577"/>
  <c r="G577"/>
  <c r="F578"/>
  <c r="G578"/>
  <c r="F579"/>
  <c r="G579"/>
  <c r="F580"/>
  <c r="G580"/>
  <c r="F581"/>
  <c r="G581"/>
  <c r="F582"/>
  <c r="G582"/>
  <c r="F583"/>
  <c r="G583"/>
  <c r="F584"/>
  <c r="G584"/>
  <c r="F585"/>
  <c r="G585"/>
  <c r="F586"/>
  <c r="G586"/>
  <c r="F587"/>
  <c r="G587"/>
  <c r="F588"/>
  <c r="G588"/>
  <c r="F589"/>
  <c r="G589"/>
  <c r="F590"/>
  <c r="G590"/>
  <c r="F591"/>
  <c r="G591"/>
  <c r="F592"/>
  <c r="G592"/>
  <c r="F593"/>
  <c r="G593"/>
  <c r="F594"/>
  <c r="G594"/>
  <c r="F595"/>
  <c r="G595"/>
  <c r="F596"/>
  <c r="G596"/>
  <c r="F597"/>
  <c r="G597"/>
  <c r="F598"/>
  <c r="G598"/>
  <c r="F599"/>
  <c r="G599"/>
  <c r="F600"/>
  <c r="G600"/>
  <c r="F601"/>
  <c r="G601"/>
  <c r="F602"/>
  <c r="G602"/>
  <c r="F603"/>
  <c r="G603"/>
  <c r="F604"/>
  <c r="G604"/>
  <c r="F605"/>
  <c r="G605"/>
  <c r="F606"/>
  <c r="G606"/>
  <c r="F607"/>
  <c r="G607"/>
  <c r="F608"/>
  <c r="G608"/>
  <c r="F609"/>
  <c r="G609"/>
  <c r="F610"/>
  <c r="G610"/>
  <c r="F611"/>
  <c r="G611"/>
  <c r="F612"/>
  <c r="G612"/>
  <c r="F613"/>
  <c r="G613"/>
  <c r="F614"/>
  <c r="G614"/>
  <c r="F615"/>
  <c r="G615"/>
  <c r="F616"/>
  <c r="G616"/>
  <c r="F617"/>
  <c r="G617"/>
  <c r="F618"/>
  <c r="G618"/>
  <c r="F619"/>
  <c r="G619"/>
  <c r="F620"/>
  <c r="G620"/>
  <c r="F621"/>
  <c r="G621"/>
  <c r="F622"/>
  <c r="G622"/>
  <c r="F623"/>
  <c r="G623"/>
  <c r="F624"/>
  <c r="G624"/>
  <c r="F625"/>
  <c r="G625"/>
  <c r="F626"/>
  <c r="G626"/>
  <c r="F627"/>
  <c r="G627"/>
  <c r="F628"/>
  <c r="G628"/>
  <c r="F629"/>
  <c r="G629"/>
  <c r="F630"/>
  <c r="G630"/>
  <c r="F631"/>
  <c r="G631"/>
  <c r="F632"/>
  <c r="G632"/>
  <c r="F633"/>
  <c r="G633"/>
  <c r="F634"/>
  <c r="G634"/>
  <c r="F635"/>
  <c r="G635"/>
  <c r="F636"/>
  <c r="G636"/>
  <c r="F637"/>
  <c r="G637"/>
  <c r="F638"/>
  <c r="G638"/>
  <c r="F639"/>
  <c r="G639"/>
  <c r="F640"/>
  <c r="G640"/>
  <c r="F641"/>
  <c r="G641"/>
  <c r="F642"/>
  <c r="G642"/>
  <c r="F643"/>
  <c r="G643"/>
  <c r="F644"/>
  <c r="G644"/>
  <c r="F645"/>
  <c r="G645"/>
  <c r="F646"/>
  <c r="G646"/>
  <c r="F647"/>
  <c r="G647"/>
  <c r="F648"/>
  <c r="G648"/>
  <c r="F649"/>
  <c r="G649"/>
  <c r="F650"/>
  <c r="G650"/>
  <c r="F651"/>
  <c r="G651"/>
  <c r="F652"/>
  <c r="G652"/>
  <c r="F653"/>
  <c r="G653"/>
  <c r="F654"/>
  <c r="G654"/>
  <c r="F655"/>
  <c r="G655"/>
  <c r="F656"/>
  <c r="G656"/>
  <c r="F657"/>
  <c r="G657"/>
  <c r="F658"/>
  <c r="G658"/>
  <c r="F659"/>
  <c r="G659"/>
  <c r="F660"/>
  <c r="G660"/>
  <c r="F661"/>
  <c r="G661"/>
  <c r="F662"/>
  <c r="G662"/>
  <c r="F663"/>
  <c r="G663"/>
  <c r="F664"/>
  <c r="G664"/>
  <c r="F665"/>
  <c r="G665"/>
  <c r="F666"/>
  <c r="G666"/>
  <c r="F667"/>
  <c r="G667"/>
  <c r="F668"/>
  <c r="G668"/>
  <c r="F669"/>
  <c r="G669"/>
  <c r="F670"/>
  <c r="G670"/>
  <c r="F671"/>
  <c r="G671"/>
  <c r="F672"/>
  <c r="G672"/>
  <c r="F673"/>
  <c r="G673"/>
  <c r="F674"/>
  <c r="G674"/>
  <c r="F675"/>
  <c r="G675"/>
  <c r="F676"/>
  <c r="G676"/>
  <c r="F677"/>
  <c r="G677"/>
  <c r="F678"/>
  <c r="G678"/>
  <c r="F679"/>
  <c r="G679"/>
  <c r="F680"/>
  <c r="G680"/>
  <c r="F681"/>
  <c r="G681"/>
  <c r="F682"/>
  <c r="G682"/>
  <c r="F683"/>
  <c r="G683"/>
  <c r="F684"/>
  <c r="G684"/>
  <c r="F685"/>
  <c r="G685"/>
  <c r="F686"/>
  <c r="G686"/>
  <c r="F687"/>
  <c r="G687"/>
  <c r="F688"/>
  <c r="G688"/>
  <c r="F689"/>
  <c r="G689"/>
  <c r="F690"/>
  <c r="G690"/>
  <c r="F691"/>
  <c r="G691"/>
  <c r="F692"/>
  <c r="G692"/>
  <c r="F693"/>
  <c r="G693"/>
  <c r="F694"/>
  <c r="G694"/>
  <c r="F695"/>
  <c r="G695"/>
  <c r="F696"/>
  <c r="G696"/>
  <c r="F697"/>
  <c r="G697"/>
  <c r="F698"/>
  <c r="G698"/>
  <c r="F699"/>
  <c r="G699"/>
  <c r="F700"/>
  <c r="G700"/>
  <c r="F701"/>
  <c r="G701"/>
  <c r="F702"/>
  <c r="G702"/>
  <c r="F703"/>
  <c r="G703"/>
  <c r="F704"/>
  <c r="G704"/>
  <c r="F705"/>
  <c r="G705"/>
  <c r="F706"/>
  <c r="G706"/>
  <c r="F707"/>
  <c r="G707"/>
  <c r="F708"/>
  <c r="G708"/>
  <c r="F709"/>
  <c r="G709"/>
  <c r="F710"/>
  <c r="G710"/>
  <c r="F711"/>
  <c r="G711"/>
  <c r="F712"/>
  <c r="G712"/>
  <c r="F713"/>
  <c r="G713"/>
  <c r="F714"/>
  <c r="G714"/>
  <c r="F715"/>
  <c r="G715"/>
  <c r="F716"/>
  <c r="G716"/>
  <c r="F717"/>
  <c r="G717"/>
  <c r="F718"/>
  <c r="G718"/>
  <c r="F719"/>
  <c r="G719"/>
  <c r="F720"/>
  <c r="G720"/>
  <c r="F721"/>
  <c r="G721"/>
  <c r="F722"/>
  <c r="G722"/>
  <c r="F723"/>
  <c r="G723"/>
  <c r="F724"/>
  <c r="G724"/>
  <c r="F725"/>
  <c r="G725"/>
  <c r="F726"/>
  <c r="G726"/>
  <c r="F727"/>
  <c r="G727"/>
  <c r="F728"/>
  <c r="G728"/>
  <c r="F729"/>
  <c r="G729"/>
  <c r="F730"/>
  <c r="G730"/>
  <c r="F731"/>
  <c r="G731"/>
  <c r="F732"/>
  <c r="G732"/>
  <c r="F733"/>
  <c r="G733"/>
  <c r="F734"/>
  <c r="G734"/>
  <c r="F735"/>
  <c r="G735"/>
  <c r="F736"/>
  <c r="G736"/>
  <c r="F737"/>
  <c r="G737"/>
  <c r="F738"/>
  <c r="G738"/>
  <c r="F739"/>
  <c r="G739"/>
  <c r="F740"/>
  <c r="G740"/>
  <c r="F741"/>
  <c r="G741"/>
  <c r="F742"/>
  <c r="G742"/>
  <c r="F743"/>
  <c r="G743"/>
  <c r="F744"/>
  <c r="G744"/>
  <c r="F745"/>
  <c r="G745"/>
  <c r="F746"/>
  <c r="G746"/>
  <c r="F747"/>
  <c r="G747"/>
  <c r="F748"/>
  <c r="G748"/>
  <c r="F749"/>
  <c r="G749"/>
  <c r="F750"/>
  <c r="G750"/>
  <c r="F751"/>
  <c r="G751"/>
  <c r="F752"/>
  <c r="G752"/>
  <c r="F753"/>
  <c r="G753"/>
  <c r="F754"/>
  <c r="G754"/>
  <c r="F755"/>
  <c r="G755"/>
  <c r="F756"/>
  <c r="G756"/>
  <c r="F757"/>
  <c r="G757"/>
  <c r="F758"/>
  <c r="G758"/>
  <c r="F759"/>
  <c r="G759"/>
  <c r="F760"/>
  <c r="G760"/>
  <c r="F761"/>
  <c r="G761"/>
  <c r="F762"/>
  <c r="G762"/>
  <c r="F763"/>
  <c r="G763"/>
  <c r="F764"/>
  <c r="G764"/>
  <c r="F765"/>
  <c r="G765"/>
  <c r="F766"/>
  <c r="G766"/>
  <c r="F767"/>
  <c r="G767"/>
  <c r="F768"/>
  <c r="G768"/>
  <c r="F769"/>
  <c r="G769"/>
  <c r="F770"/>
  <c r="G770"/>
  <c r="F771"/>
  <c r="G771"/>
  <c r="F772"/>
  <c r="G772"/>
  <c r="F773"/>
  <c r="G773"/>
  <c r="F774"/>
  <c r="G774"/>
  <c r="F775"/>
  <c r="G775"/>
  <c r="F776"/>
  <c r="G776"/>
  <c r="F777"/>
  <c r="G777"/>
  <c r="F778"/>
  <c r="G778"/>
  <c r="F779"/>
  <c r="G779"/>
  <c r="F780"/>
  <c r="G780"/>
  <c r="F781"/>
  <c r="G781"/>
  <c r="F782"/>
  <c r="G782"/>
  <c r="F783"/>
  <c r="G783"/>
  <c r="F784"/>
  <c r="G784"/>
  <c r="F785"/>
  <c r="G785"/>
  <c r="F786"/>
  <c r="G786"/>
  <c r="F787"/>
  <c r="G787"/>
  <c r="F788"/>
  <c r="G788"/>
  <c r="F789"/>
  <c r="G789"/>
  <c r="F790"/>
  <c r="G790"/>
  <c r="F791"/>
  <c r="G791"/>
  <c r="F792"/>
  <c r="G792"/>
  <c r="F793"/>
  <c r="G793"/>
  <c r="F794"/>
  <c r="G794"/>
  <c r="F795"/>
  <c r="G795"/>
  <c r="F796"/>
  <c r="G796"/>
  <c r="F797"/>
  <c r="G797"/>
  <c r="F798"/>
  <c r="G798"/>
  <c r="F799"/>
  <c r="G799"/>
  <c r="F800"/>
  <c r="G800"/>
  <c r="F801"/>
  <c r="G801"/>
  <c r="F802"/>
  <c r="G802"/>
  <c r="F803"/>
  <c r="G803"/>
  <c r="F804"/>
  <c r="G804"/>
  <c r="F805"/>
  <c r="G805"/>
  <c r="F806"/>
  <c r="G806"/>
  <c r="F807"/>
  <c r="G807"/>
  <c r="F808"/>
  <c r="G808"/>
  <c r="F809"/>
  <c r="G809"/>
  <c r="F810"/>
  <c r="G810"/>
  <c r="F811"/>
  <c r="G811"/>
  <c r="F812"/>
  <c r="G812"/>
  <c r="F813"/>
  <c r="G813"/>
  <c r="F814"/>
  <c r="G814"/>
  <c r="F815"/>
  <c r="G815"/>
  <c r="F816"/>
  <c r="G816"/>
  <c r="F817"/>
  <c r="G817"/>
  <c r="F818"/>
  <c r="G818"/>
  <c r="F819"/>
  <c r="G819"/>
  <c r="F820"/>
  <c r="G820"/>
  <c r="F821"/>
  <c r="G821"/>
  <c r="F822"/>
  <c r="G822"/>
  <c r="F823"/>
  <c r="G823"/>
  <c r="F824"/>
  <c r="G824"/>
  <c r="F825"/>
  <c r="G825"/>
  <c r="F826"/>
  <c r="G826"/>
  <c r="F827"/>
  <c r="G827"/>
  <c r="F828"/>
  <c r="G828"/>
  <c r="F829"/>
  <c r="G829"/>
  <c r="F830"/>
  <c r="G830"/>
  <c r="F831"/>
  <c r="G831"/>
  <c r="F832"/>
  <c r="G832"/>
  <c r="F833"/>
  <c r="G833"/>
  <c r="F834"/>
  <c r="G834"/>
  <c r="F835"/>
  <c r="G835"/>
  <c r="F836"/>
  <c r="G836"/>
  <c r="F837"/>
  <c r="G837"/>
  <c r="F838"/>
  <c r="G838"/>
  <c r="F839"/>
  <c r="G839"/>
  <c r="F840"/>
  <c r="G840"/>
  <c r="F841"/>
  <c r="G841"/>
  <c r="F842"/>
  <c r="G842"/>
  <c r="F843"/>
  <c r="G843"/>
  <c r="F844"/>
  <c r="G844"/>
  <c r="F845"/>
  <c r="G845"/>
  <c r="F846"/>
  <c r="G846"/>
  <c r="F847"/>
  <c r="G847"/>
  <c r="F848"/>
  <c r="G848"/>
  <c r="F849"/>
  <c r="G849"/>
  <c r="F850"/>
  <c r="G850"/>
  <c r="F851"/>
  <c r="G851"/>
  <c r="F852"/>
  <c r="G852"/>
  <c r="F853"/>
  <c r="G853"/>
  <c r="F854"/>
  <c r="G854"/>
  <c r="F855"/>
  <c r="G855"/>
  <c r="F856"/>
  <c r="G856"/>
  <c r="F857"/>
  <c r="G857"/>
  <c r="F858"/>
  <c r="G858"/>
  <c r="F859"/>
  <c r="G859"/>
  <c r="F860"/>
  <c r="G860"/>
  <c r="F861"/>
  <c r="G861"/>
  <c r="F862"/>
  <c r="G862"/>
  <c r="F863"/>
  <c r="G863"/>
  <c r="F864"/>
  <c r="G864"/>
  <c r="F865"/>
  <c r="G865"/>
  <c r="F866"/>
  <c r="G866"/>
  <c r="F867"/>
  <c r="G867"/>
  <c r="F868"/>
  <c r="G868"/>
  <c r="F869"/>
  <c r="G869"/>
  <c r="F870"/>
  <c r="G870"/>
  <c r="F871"/>
  <c r="G871"/>
  <c r="F872"/>
  <c r="G872"/>
  <c r="F873"/>
  <c r="G873"/>
  <c r="F874"/>
  <c r="G874"/>
  <c r="F875"/>
  <c r="G875"/>
  <c r="F876"/>
  <c r="G876"/>
  <c r="F877"/>
  <c r="G877"/>
  <c r="F878"/>
  <c r="G878"/>
  <c r="F879"/>
  <c r="G879"/>
  <c r="F880"/>
  <c r="G880"/>
  <c r="F881"/>
  <c r="G881"/>
  <c r="F882"/>
  <c r="G882"/>
  <c r="F883"/>
  <c r="G883"/>
  <c r="F884"/>
  <c r="G884"/>
  <c r="F885"/>
  <c r="G885"/>
  <c r="F886"/>
  <c r="G886"/>
  <c r="F887"/>
  <c r="G887"/>
  <c r="F888"/>
  <c r="G888"/>
  <c r="F889"/>
  <c r="G889"/>
  <c r="F890"/>
  <c r="G890"/>
  <c r="F891"/>
  <c r="G891"/>
  <c r="F892"/>
  <c r="G892"/>
  <c r="F893"/>
  <c r="G893"/>
  <c r="F894"/>
  <c r="G894"/>
  <c r="F895"/>
  <c r="G895"/>
  <c r="F896"/>
  <c r="G896"/>
  <c r="F897"/>
  <c r="G897"/>
  <c r="F898"/>
  <c r="G898"/>
  <c r="F899"/>
  <c r="G899"/>
  <c r="F900"/>
  <c r="G900"/>
  <c r="F901"/>
  <c r="G901"/>
  <c r="F902"/>
  <c r="G902"/>
  <c r="F903"/>
  <c r="G903"/>
  <c r="F904"/>
  <c r="G904"/>
  <c r="F905"/>
  <c r="G905"/>
  <c r="F906"/>
  <c r="G906"/>
  <c r="F907"/>
  <c r="G907"/>
  <c r="F908"/>
  <c r="G908"/>
  <c r="N6" i="24"/>
  <c r="V6"/>
  <c r="J7"/>
  <c r="B4" i="23"/>
  <c r="H4"/>
  <c r="F6"/>
  <c r="G6"/>
  <c r="H6"/>
  <c r="F7"/>
  <c r="G7"/>
  <c r="H7"/>
  <c r="F8"/>
  <c r="G8"/>
  <c r="H8"/>
  <c r="F9"/>
  <c r="G9"/>
  <c r="H9"/>
  <c r="F10"/>
  <c r="G10"/>
  <c r="H10"/>
  <c r="F11"/>
  <c r="G11"/>
  <c r="H11"/>
  <c r="F12"/>
  <c r="G12"/>
  <c r="H12"/>
  <c r="F13"/>
  <c r="G13"/>
  <c r="H13"/>
  <c r="F14"/>
  <c r="G14"/>
  <c r="H14"/>
  <c r="F15"/>
  <c r="G15"/>
  <c r="H15"/>
  <c r="F16"/>
  <c r="G16"/>
  <c r="H16"/>
  <c r="F17"/>
  <c r="G17"/>
  <c r="H17"/>
  <c r="F18"/>
  <c r="G18"/>
  <c r="H18"/>
  <c r="F19"/>
  <c r="G19"/>
  <c r="H19"/>
  <c r="F20"/>
  <c r="G20"/>
  <c r="H20"/>
  <c r="F21"/>
  <c r="G21"/>
  <c r="H21"/>
  <c r="F22"/>
  <c r="G22"/>
  <c r="H22"/>
  <c r="F23"/>
  <c r="G23"/>
  <c r="H23"/>
  <c r="F24"/>
  <c r="G24"/>
  <c r="H24"/>
  <c r="F25"/>
  <c r="G25"/>
  <c r="H25"/>
  <c r="F26"/>
  <c r="G26"/>
  <c r="H26"/>
  <c r="F27"/>
  <c r="G27"/>
  <c r="H27"/>
  <c r="F28"/>
  <c r="G28"/>
  <c r="H28"/>
  <c r="F29"/>
  <c r="G29"/>
  <c r="H29"/>
  <c r="F30"/>
  <c r="G30"/>
  <c r="H30"/>
  <c r="F31"/>
  <c r="G31"/>
  <c r="H31"/>
  <c r="F32"/>
  <c r="G32"/>
  <c r="H32"/>
  <c r="F33"/>
  <c r="G33"/>
  <c r="H33"/>
  <c r="F34"/>
  <c r="G34"/>
  <c r="H34"/>
  <c r="F35"/>
  <c r="G35"/>
  <c r="H35"/>
  <c r="F36"/>
  <c r="G36"/>
  <c r="H36"/>
  <c r="F37"/>
  <c r="G37"/>
  <c r="H37"/>
  <c r="F38"/>
  <c r="G38"/>
  <c r="H38"/>
  <c r="F39"/>
  <c r="G39"/>
  <c r="H39"/>
  <c r="F40"/>
  <c r="G40"/>
  <c r="H40"/>
  <c r="F41"/>
  <c r="G41"/>
  <c r="H41"/>
  <c r="F42"/>
  <c r="G42"/>
  <c r="H42"/>
  <c r="F43"/>
  <c r="G43"/>
  <c r="H43"/>
  <c r="F44"/>
  <c r="G44"/>
  <c r="H44"/>
  <c r="F45"/>
  <c r="G45"/>
  <c r="H45"/>
  <c r="F46"/>
  <c r="G46"/>
  <c r="H46"/>
  <c r="F47"/>
  <c r="G47"/>
  <c r="H47"/>
  <c r="F48"/>
  <c r="G48"/>
  <c r="H48"/>
  <c r="F49"/>
  <c r="G49"/>
  <c r="H49"/>
  <c r="F50"/>
  <c r="G50"/>
  <c r="H50"/>
  <c r="F51"/>
  <c r="G51"/>
  <c r="H51"/>
  <c r="F52"/>
  <c r="G52"/>
  <c r="H52"/>
  <c r="F53"/>
  <c r="G53"/>
  <c r="H53"/>
  <c r="F54"/>
  <c r="G54"/>
  <c r="H54"/>
  <c r="F55"/>
  <c r="G55"/>
  <c r="H55"/>
  <c r="F56"/>
  <c r="G56"/>
  <c r="H56"/>
  <c r="F57"/>
  <c r="G57"/>
  <c r="H57"/>
  <c r="F58"/>
  <c r="G58"/>
  <c r="H58"/>
  <c r="F59"/>
  <c r="G59"/>
  <c r="H59"/>
  <c r="F60"/>
  <c r="G60"/>
  <c r="H60"/>
  <c r="F61"/>
  <c r="G61"/>
  <c r="H61"/>
  <c r="F62"/>
  <c r="G62"/>
  <c r="H62"/>
  <c r="F63"/>
  <c r="G63"/>
  <c r="H63"/>
  <c r="F64"/>
  <c r="G64"/>
  <c r="H64"/>
  <c r="F65"/>
  <c r="G65"/>
  <c r="H65"/>
  <c r="F66"/>
  <c r="G66"/>
  <c r="H66"/>
  <c r="F67"/>
  <c r="G67"/>
  <c r="H67"/>
  <c r="F68"/>
  <c r="G68"/>
  <c r="H68"/>
  <c r="F69"/>
  <c r="G69"/>
  <c r="H69"/>
  <c r="F70"/>
  <c r="G70"/>
  <c r="H70"/>
  <c r="F71"/>
  <c r="G71"/>
  <c r="H71"/>
  <c r="F72"/>
  <c r="G72"/>
  <c r="H72"/>
  <c r="F73"/>
  <c r="G73"/>
  <c r="H73"/>
  <c r="F74"/>
  <c r="G74"/>
  <c r="H74"/>
  <c r="F75"/>
  <c r="G75"/>
  <c r="H75"/>
  <c r="F76"/>
  <c r="G76"/>
  <c r="H76"/>
  <c r="F77"/>
  <c r="G77"/>
  <c r="H77"/>
  <c r="F78"/>
  <c r="G78"/>
  <c r="H78"/>
  <c r="F79"/>
  <c r="G79"/>
  <c r="H79"/>
  <c r="F80"/>
  <c r="G80"/>
  <c r="H80"/>
  <c r="F81"/>
  <c r="G81"/>
  <c r="H81"/>
  <c r="F82"/>
  <c r="G82"/>
  <c r="H82"/>
  <c r="F83"/>
  <c r="G83"/>
  <c r="H83"/>
  <c r="F84"/>
  <c r="G84"/>
  <c r="H84"/>
  <c r="F85"/>
  <c r="G85"/>
  <c r="H85"/>
  <c r="F86"/>
  <c r="G86"/>
  <c r="H86"/>
  <c r="F87"/>
  <c r="G87"/>
  <c r="H87"/>
  <c r="F88"/>
  <c r="G88"/>
  <c r="H88"/>
  <c r="F89"/>
  <c r="G89"/>
  <c r="H89"/>
  <c r="F90"/>
  <c r="G90"/>
  <c r="H90"/>
  <c r="F91"/>
  <c r="G91"/>
  <c r="H91"/>
  <c r="F92"/>
  <c r="G92"/>
  <c r="H92"/>
  <c r="F93"/>
  <c r="G93"/>
  <c r="H93"/>
  <c r="F94"/>
  <c r="G94"/>
  <c r="H94"/>
  <c r="F95"/>
  <c r="G95"/>
  <c r="H95"/>
  <c r="F96"/>
  <c r="G96"/>
  <c r="H96"/>
  <c r="F97"/>
  <c r="G97"/>
  <c r="H97"/>
  <c r="F98"/>
  <c r="G98"/>
  <c r="H98"/>
  <c r="F99"/>
  <c r="G99"/>
  <c r="H99"/>
  <c r="F100"/>
  <c r="G100"/>
  <c r="H100"/>
  <c r="F101"/>
  <c r="G101"/>
  <c r="H101"/>
  <c r="F102"/>
  <c r="G102"/>
  <c r="H102"/>
  <c r="F103"/>
  <c r="G103"/>
  <c r="H103"/>
  <c r="F104"/>
  <c r="G104"/>
  <c r="H104"/>
  <c r="F105"/>
  <c r="G105"/>
  <c r="H105"/>
  <c r="F106"/>
  <c r="G106"/>
  <c r="H106"/>
  <c r="F107"/>
  <c r="G107"/>
  <c r="H107"/>
  <c r="F108"/>
  <c r="G108"/>
  <c r="H108"/>
  <c r="F109"/>
  <c r="G109"/>
  <c r="H109"/>
  <c r="F110"/>
  <c r="G110"/>
  <c r="H110"/>
  <c r="F111"/>
  <c r="G111"/>
  <c r="H111"/>
  <c r="F112"/>
  <c r="G112"/>
  <c r="H112"/>
  <c r="F113"/>
  <c r="G113"/>
  <c r="H113"/>
  <c r="F114"/>
  <c r="G114"/>
  <c r="H114"/>
  <c r="F115"/>
  <c r="G115"/>
  <c r="H115"/>
  <c r="F116"/>
  <c r="G116"/>
  <c r="H116"/>
  <c r="F117"/>
  <c r="G117"/>
  <c r="H117"/>
  <c r="F118"/>
  <c r="G118"/>
  <c r="H118"/>
  <c r="F119"/>
  <c r="G119"/>
  <c r="H119"/>
  <c r="F120"/>
  <c r="G120"/>
  <c r="H120"/>
  <c r="F121"/>
  <c r="G121"/>
  <c r="H121"/>
  <c r="F122"/>
  <c r="G122"/>
  <c r="H122"/>
  <c r="F123"/>
  <c r="G123"/>
  <c r="H123"/>
  <c r="F124"/>
  <c r="G124"/>
  <c r="H124"/>
  <c r="F125"/>
  <c r="G125"/>
  <c r="H125"/>
  <c r="F126"/>
  <c r="G126"/>
  <c r="H126"/>
  <c r="F127"/>
  <c r="G127"/>
  <c r="H127"/>
  <c r="F128"/>
  <c r="G128"/>
  <c r="H128"/>
  <c r="F129"/>
  <c r="G129"/>
  <c r="H129"/>
  <c r="F130"/>
  <c r="G130"/>
  <c r="H130"/>
  <c r="F131"/>
  <c r="G131"/>
  <c r="H131"/>
  <c r="F132"/>
  <c r="G132"/>
  <c r="H132"/>
  <c r="F133"/>
  <c r="G133"/>
  <c r="H133"/>
  <c r="F134"/>
  <c r="G134"/>
  <c r="H134"/>
  <c r="F135"/>
  <c r="G135"/>
  <c r="H135"/>
  <c r="F136"/>
  <c r="G136"/>
  <c r="H136"/>
  <c r="F137"/>
  <c r="G137"/>
  <c r="H137"/>
  <c r="F138"/>
  <c r="G138"/>
  <c r="H138"/>
  <c r="F139"/>
  <c r="G139"/>
  <c r="H139"/>
  <c r="F140"/>
  <c r="G140"/>
  <c r="H140"/>
  <c r="F141"/>
  <c r="G141"/>
  <c r="H141"/>
  <c r="F142"/>
  <c r="G142"/>
  <c r="H142"/>
  <c r="F143"/>
  <c r="G143"/>
  <c r="H143"/>
  <c r="F144"/>
  <c r="G144"/>
  <c r="H144"/>
  <c r="F145"/>
  <c r="G145"/>
  <c r="H145"/>
  <c r="F146"/>
  <c r="G146"/>
  <c r="H146"/>
  <c r="F147"/>
  <c r="G147"/>
  <c r="H147"/>
  <c r="F148"/>
  <c r="G148"/>
  <c r="H148"/>
  <c r="F149"/>
  <c r="G149"/>
  <c r="H149"/>
  <c r="F150"/>
  <c r="G150"/>
  <c r="H150"/>
  <c r="F151"/>
  <c r="G151"/>
  <c r="H151"/>
  <c r="F152"/>
  <c r="G152"/>
  <c r="H152"/>
  <c r="F153"/>
  <c r="G153"/>
  <c r="H153"/>
  <c r="F154"/>
  <c r="G154"/>
  <c r="H154"/>
  <c r="F155"/>
  <c r="G155"/>
  <c r="H155"/>
  <c r="F156"/>
  <c r="G156"/>
  <c r="H156"/>
  <c r="F157"/>
  <c r="G157"/>
  <c r="H157"/>
  <c r="F158"/>
  <c r="G158"/>
  <c r="H158"/>
  <c r="F159"/>
  <c r="G159"/>
  <c r="H159"/>
  <c r="F160"/>
  <c r="G160"/>
  <c r="H160"/>
  <c r="F161"/>
  <c r="G161"/>
  <c r="H161"/>
  <c r="F162"/>
  <c r="G162"/>
  <c r="H162"/>
  <c r="F163"/>
  <c r="G163"/>
  <c r="H163"/>
  <c r="F164"/>
  <c r="G164"/>
  <c r="H164"/>
  <c r="F165"/>
  <c r="G165"/>
  <c r="H165"/>
  <c r="F166"/>
  <c r="G166"/>
  <c r="H166"/>
  <c r="F167"/>
  <c r="G167"/>
  <c r="H167"/>
  <c r="F168"/>
  <c r="G168"/>
  <c r="H168"/>
  <c r="F169"/>
  <c r="G169"/>
  <c r="H169"/>
  <c r="F170"/>
  <c r="G170"/>
  <c r="H170"/>
  <c r="F171"/>
  <c r="G171"/>
  <c r="H171"/>
  <c r="F172"/>
  <c r="G172"/>
  <c r="H172"/>
  <c r="F173"/>
  <c r="G173"/>
  <c r="H173"/>
  <c r="F174"/>
  <c r="G174"/>
  <c r="H174"/>
  <c r="F175"/>
  <c r="G175"/>
  <c r="H175"/>
  <c r="F176"/>
  <c r="G176"/>
  <c r="H176"/>
  <c r="F177"/>
  <c r="G177"/>
  <c r="H177"/>
  <c r="F178"/>
  <c r="G178"/>
  <c r="H178"/>
  <c r="F179"/>
  <c r="G179"/>
  <c r="H179"/>
  <c r="F180"/>
  <c r="G180"/>
  <c r="H180"/>
  <c r="F181"/>
  <c r="G181"/>
  <c r="H181"/>
  <c r="F182"/>
  <c r="G182"/>
  <c r="H182"/>
  <c r="F183"/>
  <c r="G183"/>
  <c r="H183"/>
  <c r="F184"/>
  <c r="G184"/>
  <c r="H184"/>
  <c r="F185"/>
  <c r="G185"/>
  <c r="H185"/>
  <c r="F186"/>
  <c r="G186"/>
  <c r="H186"/>
  <c r="F187"/>
  <c r="G187"/>
  <c r="H187"/>
  <c r="F188"/>
  <c r="G188"/>
  <c r="H188"/>
  <c r="F189"/>
  <c r="G189"/>
  <c r="H189"/>
  <c r="F190"/>
  <c r="G190"/>
  <c r="H190"/>
  <c r="F191"/>
  <c r="G191"/>
  <c r="H191"/>
  <c r="F192"/>
  <c r="G192"/>
  <c r="H192"/>
  <c r="F193"/>
  <c r="G193"/>
  <c r="H193"/>
  <c r="F194"/>
  <c r="G194"/>
  <c r="H194"/>
  <c r="F195"/>
  <c r="G195"/>
  <c r="H195"/>
  <c r="F196"/>
  <c r="G196"/>
  <c r="H196"/>
  <c r="F197"/>
  <c r="G197"/>
  <c r="H197"/>
  <c r="F198"/>
  <c r="G198"/>
  <c r="H198"/>
  <c r="F199"/>
  <c r="G199"/>
  <c r="H199"/>
  <c r="F200"/>
  <c r="G200"/>
  <c r="H200"/>
  <c r="F201"/>
  <c r="G201"/>
  <c r="H201"/>
  <c r="F202"/>
  <c r="G202"/>
  <c r="H202"/>
  <c r="F203"/>
  <c r="G203"/>
  <c r="H203"/>
  <c r="F204"/>
  <c r="G204"/>
  <c r="H204"/>
  <c r="F205"/>
  <c r="G205"/>
  <c r="H205"/>
  <c r="F206"/>
  <c r="G206"/>
  <c r="H206"/>
  <c r="F207"/>
  <c r="G207"/>
  <c r="H207"/>
  <c r="F208"/>
  <c r="G208"/>
  <c r="H208"/>
  <c r="F209"/>
  <c r="G209"/>
  <c r="H209"/>
  <c r="F210"/>
  <c r="G210"/>
  <c r="H210"/>
  <c r="F211"/>
  <c r="G211"/>
  <c r="H211"/>
  <c r="F212"/>
  <c r="G212"/>
  <c r="H212"/>
  <c r="F213"/>
  <c r="G213"/>
  <c r="H213"/>
  <c r="F214"/>
  <c r="G214"/>
  <c r="H214"/>
  <c r="F215"/>
  <c r="G215"/>
  <c r="H215"/>
  <c r="F216"/>
  <c r="G216"/>
  <c r="H216"/>
  <c r="F217"/>
  <c r="G217"/>
  <c r="H217"/>
  <c r="F218"/>
  <c r="G218"/>
  <c r="H218"/>
  <c r="F219"/>
  <c r="G219"/>
  <c r="H219"/>
  <c r="F220"/>
  <c r="G220"/>
  <c r="H220"/>
  <c r="F221"/>
  <c r="G221"/>
  <c r="H221"/>
  <c r="F222"/>
  <c r="G222"/>
  <c r="H222"/>
  <c r="F223"/>
  <c r="G223"/>
  <c r="H223"/>
  <c r="F224"/>
  <c r="G224"/>
  <c r="H224"/>
  <c r="F225"/>
  <c r="G225"/>
  <c r="H225"/>
  <c r="F226"/>
  <c r="G226"/>
  <c r="H226"/>
  <c r="F227"/>
  <c r="G227"/>
  <c r="H227"/>
  <c r="F228"/>
  <c r="G228"/>
  <c r="H228"/>
  <c r="F229"/>
  <c r="G229"/>
  <c r="H229"/>
  <c r="F230"/>
  <c r="G230"/>
  <c r="H230"/>
  <c r="F231"/>
  <c r="G231"/>
  <c r="H231"/>
  <c r="F232"/>
  <c r="G232"/>
  <c r="H232"/>
  <c r="F233"/>
  <c r="G233"/>
  <c r="H233"/>
  <c r="F234"/>
  <c r="G234"/>
  <c r="H234"/>
  <c r="F235"/>
  <c r="G235"/>
  <c r="H235"/>
  <c r="F236"/>
  <c r="G236"/>
  <c r="H236"/>
  <c r="F237"/>
  <c r="G237"/>
  <c r="H237"/>
  <c r="F238"/>
  <c r="G238"/>
  <c r="H238"/>
  <c r="F239"/>
  <c r="G239"/>
  <c r="H239"/>
  <c r="F240"/>
  <c r="G240"/>
  <c r="H240"/>
  <c r="F241"/>
  <c r="G241"/>
  <c r="H241"/>
  <c r="F242"/>
  <c r="G242"/>
  <c r="H242"/>
  <c r="F243"/>
  <c r="G243"/>
  <c r="H243"/>
  <c r="F244"/>
  <c r="G244"/>
  <c r="H244"/>
  <c r="F245"/>
  <c r="G245"/>
  <c r="H245"/>
  <c r="F246"/>
  <c r="G246"/>
  <c r="H246"/>
  <c r="F247"/>
  <c r="G247"/>
  <c r="H247"/>
  <c r="F248"/>
  <c r="G248"/>
  <c r="H248"/>
  <c r="F249"/>
  <c r="G249"/>
  <c r="H249"/>
  <c r="F250"/>
  <c r="G250"/>
  <c r="H250"/>
  <c r="F251"/>
  <c r="G251"/>
  <c r="H251"/>
  <c r="F252"/>
  <c r="G252"/>
  <c r="H252"/>
  <c r="F253"/>
  <c r="G253"/>
  <c r="H253"/>
  <c r="F254"/>
  <c r="G254"/>
  <c r="H254"/>
  <c r="F255"/>
  <c r="G255"/>
  <c r="H255"/>
  <c r="F256"/>
  <c r="G256"/>
  <c r="H256"/>
  <c r="F257"/>
  <c r="G257"/>
  <c r="H257"/>
  <c r="F258"/>
  <c r="G258"/>
  <c r="H258"/>
  <c r="F259"/>
  <c r="G259"/>
  <c r="H259"/>
  <c r="F260"/>
  <c r="G260"/>
  <c r="H260"/>
  <c r="F261"/>
  <c r="G261"/>
  <c r="H261"/>
  <c r="F262"/>
  <c r="G262"/>
  <c r="H262"/>
  <c r="F263"/>
  <c r="G263"/>
  <c r="H263"/>
  <c r="F264"/>
  <c r="G264"/>
  <c r="H264"/>
  <c r="F265"/>
  <c r="G265"/>
  <c r="H265"/>
  <c r="F266"/>
  <c r="G266"/>
  <c r="H266"/>
  <c r="F267"/>
  <c r="G267"/>
  <c r="H267"/>
  <c r="F268"/>
  <c r="G268"/>
  <c r="H268"/>
  <c r="F269"/>
  <c r="G269"/>
  <c r="H269"/>
  <c r="F270"/>
  <c r="G270"/>
  <c r="H270"/>
  <c r="F271"/>
  <c r="G271"/>
  <c r="H271"/>
  <c r="F272"/>
  <c r="G272"/>
  <c r="H272"/>
  <c r="F273"/>
  <c r="G273"/>
  <c r="H273"/>
  <c r="F274"/>
  <c r="G274"/>
  <c r="H274"/>
  <c r="F275"/>
  <c r="G275"/>
  <c r="H275"/>
  <c r="F276"/>
  <c r="G276"/>
  <c r="H276"/>
  <c r="F277"/>
  <c r="G277"/>
  <c r="H277"/>
  <c r="F278"/>
  <c r="G278"/>
  <c r="H278"/>
  <c r="F279"/>
  <c r="G279"/>
  <c r="H279"/>
  <c r="F280"/>
  <c r="G280"/>
  <c r="H280"/>
  <c r="F281"/>
  <c r="G281"/>
  <c r="H281"/>
  <c r="F282"/>
  <c r="G282"/>
  <c r="H282"/>
  <c r="F283"/>
  <c r="G283"/>
  <c r="H283"/>
  <c r="F284"/>
  <c r="G284"/>
  <c r="H284"/>
  <c r="F285"/>
  <c r="G285"/>
  <c r="H285"/>
  <c r="F286"/>
  <c r="G286"/>
  <c r="H286"/>
  <c r="F287"/>
  <c r="G287"/>
  <c r="H287"/>
  <c r="F288"/>
  <c r="G288"/>
  <c r="H288"/>
  <c r="F289"/>
  <c r="G289"/>
  <c r="H289"/>
  <c r="F290"/>
  <c r="G290"/>
  <c r="H290"/>
  <c r="F291"/>
  <c r="G291"/>
  <c r="H291"/>
  <c r="F292"/>
  <c r="G292"/>
  <c r="H292"/>
  <c r="F293"/>
  <c r="G293"/>
  <c r="H293"/>
  <c r="F294"/>
  <c r="G294"/>
  <c r="H294"/>
  <c r="F295"/>
  <c r="G295"/>
  <c r="H295"/>
  <c r="F296"/>
  <c r="G296"/>
  <c r="H296"/>
  <c r="F297"/>
  <c r="G297"/>
  <c r="H297"/>
  <c r="F298"/>
  <c r="G298"/>
  <c r="H298"/>
  <c r="F299"/>
  <c r="G299"/>
  <c r="H299"/>
  <c r="F300"/>
  <c r="G300"/>
  <c r="H300"/>
  <c r="F301"/>
  <c r="G301"/>
  <c r="H301"/>
  <c r="F302"/>
  <c r="G302"/>
  <c r="H302"/>
  <c r="F303"/>
  <c r="G303"/>
  <c r="H303"/>
  <c r="F304"/>
  <c r="G304"/>
  <c r="H304"/>
  <c r="F305"/>
  <c r="G305"/>
  <c r="H305"/>
  <c r="F306"/>
  <c r="G306"/>
  <c r="H306"/>
  <c r="F307"/>
  <c r="G307"/>
  <c r="H307"/>
  <c r="F308"/>
  <c r="G308"/>
  <c r="H308"/>
  <c r="F309"/>
  <c r="G309"/>
  <c r="H309"/>
  <c r="F310"/>
  <c r="G310"/>
  <c r="H310"/>
  <c r="F311"/>
  <c r="G311"/>
  <c r="H311"/>
  <c r="F312"/>
  <c r="G312"/>
  <c r="H312"/>
  <c r="F313"/>
  <c r="G313"/>
  <c r="H313"/>
  <c r="F314"/>
  <c r="G314"/>
  <c r="H314"/>
  <c r="F315"/>
  <c r="G315"/>
  <c r="H315"/>
  <c r="F316"/>
  <c r="G316"/>
  <c r="H316"/>
  <c r="F317"/>
  <c r="G317"/>
  <c r="H317"/>
  <c r="F318"/>
  <c r="G318"/>
  <c r="H318"/>
  <c r="F319"/>
  <c r="G319"/>
  <c r="H319"/>
  <c r="F320"/>
  <c r="G320"/>
  <c r="H320"/>
  <c r="F321"/>
  <c r="G321"/>
  <c r="H321"/>
  <c r="F322"/>
  <c r="G322"/>
  <c r="H322"/>
  <c r="F323"/>
  <c r="G323"/>
  <c r="H323"/>
  <c r="F324"/>
  <c r="G324"/>
  <c r="H324"/>
  <c r="F325"/>
  <c r="G325"/>
  <c r="H325"/>
  <c r="F326"/>
  <c r="G326"/>
  <c r="H326"/>
  <c r="F327"/>
  <c r="G327"/>
  <c r="H327"/>
  <c r="F328"/>
  <c r="G328"/>
  <c r="H328"/>
  <c r="F329"/>
  <c r="G329"/>
  <c r="H329"/>
  <c r="F330"/>
  <c r="G330"/>
  <c r="H330"/>
  <c r="F331"/>
  <c r="G331"/>
  <c r="H331"/>
  <c r="F332"/>
  <c r="G332"/>
  <c r="H332"/>
  <c r="F333"/>
  <c r="G333"/>
  <c r="H333"/>
  <c r="F334"/>
  <c r="G334"/>
  <c r="H334"/>
  <c r="F335"/>
  <c r="G335"/>
  <c r="H335"/>
  <c r="F336"/>
  <c r="G336"/>
  <c r="H336"/>
  <c r="F337"/>
  <c r="G337"/>
  <c r="H337"/>
  <c r="F338"/>
  <c r="G338"/>
  <c r="H338"/>
  <c r="F339"/>
  <c r="G339"/>
  <c r="H339"/>
  <c r="F340"/>
  <c r="G340"/>
  <c r="H340"/>
  <c r="F341"/>
  <c r="G341"/>
  <c r="H341"/>
  <c r="F342"/>
  <c r="G342"/>
  <c r="H342"/>
  <c r="F343"/>
  <c r="G343"/>
  <c r="H343"/>
  <c r="F344"/>
  <c r="G344"/>
  <c r="H344"/>
  <c r="F345"/>
  <c r="G345"/>
  <c r="H345"/>
  <c r="F346"/>
  <c r="G346"/>
  <c r="H346"/>
  <c r="F347"/>
  <c r="G347"/>
  <c r="H347"/>
  <c r="F348"/>
  <c r="G348"/>
  <c r="H348"/>
  <c r="F349"/>
  <c r="G349"/>
  <c r="H349"/>
  <c r="F350"/>
  <c r="G350"/>
  <c r="H350"/>
  <c r="F351"/>
  <c r="G351"/>
  <c r="H351"/>
  <c r="F352"/>
  <c r="G352"/>
  <c r="H352"/>
  <c r="F353"/>
  <c r="G353"/>
  <c r="H353"/>
  <c r="F354"/>
  <c r="G354"/>
  <c r="H354"/>
  <c r="F355"/>
  <c r="G355"/>
  <c r="H355"/>
  <c r="F356"/>
  <c r="G356"/>
  <c r="H356"/>
  <c r="F357"/>
  <c r="G357"/>
  <c r="H357"/>
  <c r="F358"/>
  <c r="G358"/>
  <c r="H358"/>
  <c r="F359"/>
  <c r="G359"/>
  <c r="H359"/>
  <c r="F360"/>
  <c r="G360"/>
  <c r="H360"/>
  <c r="F361"/>
  <c r="G361"/>
  <c r="H361"/>
  <c r="F362"/>
  <c r="G362"/>
  <c r="H362"/>
  <c r="F363"/>
  <c r="G363"/>
  <c r="H363"/>
  <c r="F364"/>
  <c r="G364"/>
  <c r="H364"/>
  <c r="F365"/>
  <c r="G365"/>
  <c r="H365"/>
  <c r="F366"/>
  <c r="G366"/>
  <c r="H366"/>
  <c r="F367"/>
  <c r="G367"/>
  <c r="H367"/>
  <c r="F368"/>
  <c r="G368"/>
  <c r="H368"/>
  <c r="F369"/>
  <c r="G369"/>
  <c r="H369"/>
  <c r="F370"/>
  <c r="G370"/>
  <c r="H370"/>
  <c r="F371"/>
  <c r="G371"/>
  <c r="H371"/>
  <c r="F372"/>
  <c r="G372"/>
  <c r="H372"/>
  <c r="F373"/>
  <c r="G373"/>
  <c r="H373"/>
  <c r="F374"/>
  <c r="G374"/>
  <c r="H374"/>
  <c r="F375"/>
  <c r="G375"/>
  <c r="H375"/>
  <c r="F376"/>
  <c r="G376"/>
  <c r="H376"/>
  <c r="F377"/>
  <c r="G377"/>
  <c r="H377"/>
  <c r="F378"/>
  <c r="G378"/>
  <c r="H378"/>
  <c r="F379"/>
  <c r="G379"/>
  <c r="H379"/>
  <c r="F380"/>
  <c r="G380"/>
  <c r="H380"/>
  <c r="F381"/>
  <c r="G381"/>
  <c r="H381"/>
  <c r="F382"/>
  <c r="G382"/>
  <c r="H382"/>
  <c r="F383"/>
  <c r="G383"/>
  <c r="H383"/>
  <c r="F384"/>
  <c r="G384"/>
  <c r="H384"/>
  <c r="F385"/>
  <c r="G385"/>
  <c r="H385"/>
  <c r="F386"/>
  <c r="G386"/>
  <c r="H386"/>
  <c r="F387"/>
  <c r="G387"/>
  <c r="H387"/>
  <c r="F388"/>
  <c r="G388"/>
  <c r="H388"/>
  <c r="F389"/>
  <c r="G389"/>
  <c r="H389"/>
  <c r="F390"/>
  <c r="G390"/>
  <c r="H390"/>
  <c r="F391"/>
  <c r="G391"/>
  <c r="H391"/>
  <c r="F392"/>
  <c r="G392"/>
  <c r="H392"/>
  <c r="F393"/>
  <c r="G393"/>
  <c r="H393"/>
  <c r="F394"/>
  <c r="G394"/>
  <c r="H394"/>
  <c r="F395"/>
  <c r="G395"/>
  <c r="H395"/>
  <c r="F396"/>
  <c r="G396"/>
  <c r="H396"/>
  <c r="F397"/>
  <c r="G397"/>
  <c r="H397"/>
  <c r="F398"/>
  <c r="G398"/>
  <c r="H398"/>
  <c r="F399"/>
  <c r="G399"/>
  <c r="H399"/>
  <c r="F400"/>
  <c r="G400"/>
  <c r="H400"/>
  <c r="F401"/>
  <c r="G401"/>
  <c r="H401"/>
  <c r="F402"/>
  <c r="G402"/>
  <c r="H402"/>
  <c r="F403"/>
  <c r="G403"/>
  <c r="H403"/>
  <c r="F404"/>
  <c r="G404"/>
  <c r="H404"/>
  <c r="F405"/>
  <c r="G405"/>
  <c r="H405"/>
  <c r="F406"/>
  <c r="G406"/>
  <c r="H406"/>
  <c r="F407"/>
  <c r="G407"/>
  <c r="H407"/>
  <c r="F408"/>
  <c r="G408"/>
  <c r="H408"/>
  <c r="F409"/>
  <c r="G409"/>
  <c r="H409"/>
  <c r="F410"/>
  <c r="G410"/>
  <c r="H410"/>
  <c r="F411"/>
  <c r="G411"/>
  <c r="H411"/>
  <c r="F412"/>
  <c r="G412"/>
  <c r="H412"/>
  <c r="F413"/>
  <c r="G413"/>
  <c r="H413"/>
  <c r="F414"/>
  <c r="G414"/>
  <c r="H414"/>
  <c r="F415"/>
  <c r="G415"/>
  <c r="H415"/>
  <c r="F416"/>
  <c r="G416"/>
  <c r="H416"/>
  <c r="F417"/>
  <c r="G417"/>
  <c r="H417"/>
  <c r="F418"/>
  <c r="G418"/>
  <c r="H418"/>
  <c r="F419"/>
  <c r="G419"/>
  <c r="H419"/>
  <c r="F420"/>
  <c r="G420"/>
  <c r="H420"/>
  <c r="F421"/>
  <c r="G421"/>
  <c r="H421"/>
  <c r="F422"/>
  <c r="G422"/>
  <c r="H422"/>
  <c r="F423"/>
  <c r="G423"/>
  <c r="H423"/>
  <c r="F424"/>
  <c r="G424"/>
  <c r="H424"/>
  <c r="F425"/>
  <c r="G425"/>
  <c r="H425"/>
  <c r="F426"/>
  <c r="G426"/>
  <c r="H426"/>
  <c r="F427"/>
  <c r="G427"/>
  <c r="H427"/>
  <c r="F428"/>
  <c r="G428"/>
  <c r="H428"/>
  <c r="F429"/>
  <c r="G429"/>
  <c r="H429"/>
  <c r="F430"/>
  <c r="G430"/>
  <c r="H430"/>
  <c r="F431"/>
  <c r="G431"/>
  <c r="H431"/>
  <c r="F432"/>
  <c r="G432"/>
  <c r="H432"/>
  <c r="F433"/>
  <c r="G433"/>
  <c r="H433"/>
  <c r="F434"/>
  <c r="G434"/>
  <c r="H434"/>
  <c r="F435"/>
  <c r="G435"/>
  <c r="H435"/>
  <c r="F436"/>
  <c r="G436"/>
  <c r="H436"/>
  <c r="F437"/>
  <c r="G437"/>
  <c r="H437"/>
  <c r="F438"/>
  <c r="G438"/>
  <c r="H438"/>
  <c r="F439"/>
  <c r="G439"/>
  <c r="H439"/>
  <c r="F440"/>
  <c r="G440"/>
  <c r="H440"/>
  <c r="F441"/>
  <c r="G441"/>
  <c r="H441"/>
  <c r="F442"/>
  <c r="G442"/>
  <c r="H442"/>
  <c r="F443"/>
  <c r="G443"/>
  <c r="H443"/>
  <c r="F444"/>
  <c r="G444"/>
  <c r="H444"/>
  <c r="F445"/>
  <c r="G445"/>
  <c r="H445"/>
  <c r="F446"/>
  <c r="G446"/>
  <c r="H446"/>
  <c r="F447"/>
  <c r="G447"/>
  <c r="H447"/>
  <c r="F448"/>
  <c r="G448"/>
  <c r="H448"/>
  <c r="F449"/>
  <c r="G449"/>
  <c r="H449"/>
  <c r="F450"/>
  <c r="G450"/>
  <c r="H450"/>
  <c r="F451"/>
  <c r="G451"/>
  <c r="H451"/>
  <c r="F452"/>
  <c r="G452"/>
  <c r="H452"/>
  <c r="F453"/>
  <c r="G453"/>
  <c r="H453"/>
  <c r="F454"/>
  <c r="G454"/>
  <c r="H454"/>
  <c r="F455"/>
  <c r="G455"/>
  <c r="H455"/>
  <c r="F456"/>
  <c r="G456"/>
  <c r="H456"/>
  <c r="F457"/>
  <c r="G457"/>
  <c r="H457"/>
  <c r="F458"/>
  <c r="G458"/>
  <c r="H458"/>
  <c r="F459"/>
  <c r="G459"/>
  <c r="H459"/>
  <c r="F460"/>
  <c r="G460"/>
  <c r="H460"/>
  <c r="F461"/>
  <c r="G461"/>
  <c r="H461"/>
  <c r="F462"/>
  <c r="G462"/>
  <c r="H462"/>
  <c r="F463"/>
  <c r="G463"/>
  <c r="H463"/>
  <c r="F464"/>
  <c r="G464"/>
  <c r="H464"/>
  <c r="F465"/>
  <c r="G465"/>
  <c r="H465"/>
  <c r="F466"/>
  <c r="G466"/>
  <c r="H466"/>
  <c r="F467"/>
  <c r="G467"/>
  <c r="H467"/>
  <c r="F468"/>
  <c r="G468"/>
  <c r="H468"/>
  <c r="F469"/>
  <c r="G469"/>
  <c r="H469"/>
  <c r="F470"/>
  <c r="G470"/>
  <c r="H470"/>
  <c r="F471"/>
  <c r="G471"/>
  <c r="H471"/>
  <c r="F472"/>
  <c r="G472"/>
  <c r="H472"/>
  <c r="F473"/>
  <c r="G473"/>
  <c r="H473"/>
  <c r="F474"/>
  <c r="G474"/>
  <c r="H474"/>
  <c r="F475"/>
  <c r="G475"/>
  <c r="H475"/>
  <c r="F476"/>
  <c r="G476"/>
  <c r="H476"/>
  <c r="F477"/>
  <c r="G477"/>
  <c r="H477"/>
  <c r="F478"/>
  <c r="G478"/>
  <c r="H478"/>
  <c r="F479"/>
  <c r="G479"/>
  <c r="H479"/>
  <c r="F480"/>
  <c r="G480"/>
  <c r="H480"/>
  <c r="F481"/>
  <c r="G481"/>
  <c r="H481"/>
  <c r="F482"/>
  <c r="G482"/>
  <c r="H482"/>
  <c r="F483"/>
  <c r="G483"/>
  <c r="H483"/>
  <c r="F484"/>
  <c r="G484"/>
  <c r="H484"/>
  <c r="F485"/>
  <c r="G485"/>
  <c r="H485"/>
  <c r="F486"/>
  <c r="G486"/>
  <c r="H486"/>
  <c r="F487"/>
  <c r="G487"/>
  <c r="H487"/>
  <c r="F488"/>
  <c r="G488"/>
  <c r="H488"/>
  <c r="F489"/>
  <c r="G489"/>
  <c r="H489"/>
  <c r="F490"/>
  <c r="G490"/>
  <c r="H490"/>
  <c r="F491"/>
  <c r="G491"/>
  <c r="H491"/>
  <c r="F492"/>
  <c r="G492"/>
  <c r="H492"/>
  <c r="F493"/>
  <c r="G493"/>
  <c r="H493"/>
  <c r="F494"/>
  <c r="G494"/>
  <c r="H494"/>
  <c r="F495"/>
  <c r="G495"/>
  <c r="H495"/>
  <c r="F496"/>
  <c r="G496"/>
  <c r="H496"/>
  <c r="F497"/>
  <c r="G497"/>
  <c r="H497"/>
  <c r="F498"/>
  <c r="G498"/>
  <c r="H498"/>
  <c r="F499"/>
  <c r="G499"/>
  <c r="H499"/>
  <c r="F500"/>
  <c r="G500"/>
  <c r="H500"/>
  <c r="F501"/>
  <c r="G501"/>
  <c r="H501"/>
  <c r="F502"/>
  <c r="G502"/>
  <c r="H502"/>
  <c r="F503"/>
  <c r="G503"/>
  <c r="H503"/>
  <c r="F504"/>
  <c r="G504"/>
  <c r="H504"/>
  <c r="F505"/>
  <c r="G505"/>
  <c r="H505"/>
  <c r="F506"/>
  <c r="G506"/>
  <c r="H506"/>
  <c r="F507"/>
  <c r="G507"/>
  <c r="H507"/>
  <c r="F508"/>
  <c r="G508"/>
  <c r="H508"/>
  <c r="F509"/>
  <c r="G509"/>
  <c r="H509"/>
  <c r="F510"/>
  <c r="G510"/>
  <c r="H510"/>
  <c r="F511"/>
  <c r="G511"/>
  <c r="H511"/>
  <c r="F512"/>
  <c r="G512"/>
  <c r="H512"/>
  <c r="F513"/>
  <c r="G513"/>
  <c r="H513"/>
  <c r="F514"/>
  <c r="G514"/>
  <c r="H514"/>
  <c r="F515"/>
  <c r="G515"/>
  <c r="H515"/>
  <c r="F516"/>
  <c r="G516"/>
  <c r="H516"/>
  <c r="F517"/>
  <c r="G517"/>
  <c r="H517"/>
  <c r="F518"/>
  <c r="G518"/>
  <c r="H518"/>
  <c r="F519"/>
  <c r="G519"/>
  <c r="H519"/>
  <c r="F520"/>
  <c r="G520"/>
  <c r="H520"/>
  <c r="F521"/>
  <c r="G521"/>
  <c r="H521"/>
  <c r="F522"/>
  <c r="G522"/>
  <c r="H522"/>
  <c r="F523"/>
  <c r="G523"/>
  <c r="H523"/>
  <c r="F524"/>
  <c r="G524"/>
  <c r="H524"/>
  <c r="F525"/>
  <c r="G525"/>
  <c r="H525"/>
  <c r="F526"/>
  <c r="G526"/>
  <c r="H526"/>
  <c r="F527"/>
  <c r="G527"/>
  <c r="H527"/>
  <c r="F528"/>
  <c r="G528"/>
  <c r="H528"/>
  <c r="F529"/>
  <c r="G529"/>
  <c r="H529"/>
  <c r="F530"/>
  <c r="G530"/>
  <c r="H530"/>
  <c r="F531"/>
  <c r="G531"/>
  <c r="H531"/>
  <c r="F532"/>
  <c r="G532"/>
  <c r="H532"/>
  <c r="F533"/>
  <c r="G533"/>
  <c r="H533"/>
  <c r="F534"/>
  <c r="G534"/>
  <c r="H534"/>
  <c r="F535"/>
  <c r="G535"/>
  <c r="H535"/>
  <c r="F536"/>
  <c r="G536"/>
  <c r="H536"/>
  <c r="F537"/>
  <c r="G537"/>
  <c r="H537"/>
  <c r="F538"/>
  <c r="G538"/>
  <c r="H538"/>
  <c r="F539"/>
  <c r="G539"/>
  <c r="H539"/>
  <c r="F540"/>
  <c r="G540"/>
  <c r="H540"/>
  <c r="F541"/>
  <c r="G541"/>
  <c r="H541"/>
  <c r="F542"/>
  <c r="G542"/>
  <c r="H542"/>
  <c r="F543"/>
  <c r="G543"/>
  <c r="H543"/>
  <c r="F544"/>
  <c r="G544"/>
  <c r="H544"/>
  <c r="F545"/>
  <c r="G545"/>
  <c r="H545"/>
  <c r="F546"/>
  <c r="G546"/>
  <c r="H546"/>
  <c r="F547"/>
  <c r="G547"/>
  <c r="H547"/>
  <c r="F548"/>
  <c r="G548"/>
  <c r="H548"/>
  <c r="F549"/>
  <c r="G549"/>
  <c r="H549"/>
  <c r="F550"/>
  <c r="G550"/>
  <c r="H550"/>
  <c r="F551"/>
  <c r="G551"/>
  <c r="H551"/>
  <c r="F552"/>
  <c r="G552"/>
  <c r="H552"/>
  <c r="F553"/>
  <c r="G553"/>
  <c r="H553"/>
  <c r="F554"/>
  <c r="G554"/>
  <c r="H554"/>
  <c r="F555"/>
  <c r="G555"/>
  <c r="H555"/>
  <c r="F556"/>
  <c r="G556"/>
  <c r="H556"/>
  <c r="F557"/>
  <c r="G557"/>
  <c r="H557"/>
  <c r="F558"/>
  <c r="G558"/>
  <c r="H558"/>
  <c r="F559"/>
  <c r="G559"/>
  <c r="H559"/>
  <c r="F560"/>
  <c r="G560"/>
  <c r="H560"/>
  <c r="F561"/>
  <c r="G561"/>
  <c r="H561"/>
  <c r="F562"/>
  <c r="G562"/>
  <c r="H562"/>
  <c r="F563"/>
  <c r="G563"/>
  <c r="H563"/>
  <c r="F564"/>
  <c r="G564"/>
  <c r="H564"/>
  <c r="F565"/>
  <c r="G565"/>
  <c r="H565"/>
  <c r="F566"/>
  <c r="G566"/>
  <c r="H566"/>
  <c r="F567"/>
  <c r="G567"/>
  <c r="H567"/>
  <c r="F568"/>
  <c r="G568"/>
  <c r="H568"/>
  <c r="F569"/>
  <c r="G569"/>
  <c r="H569"/>
  <c r="F570"/>
  <c r="G570"/>
  <c r="H570"/>
  <c r="F571"/>
  <c r="G571"/>
  <c r="H571"/>
  <c r="F572"/>
  <c r="G572"/>
  <c r="H572"/>
  <c r="F573"/>
  <c r="G573"/>
  <c r="H573"/>
  <c r="F574"/>
  <c r="G574"/>
  <c r="H574"/>
  <c r="F575"/>
  <c r="G575"/>
  <c r="H575"/>
  <c r="F576"/>
  <c r="G576"/>
  <c r="H576"/>
  <c r="F577"/>
  <c r="G577"/>
  <c r="H577"/>
  <c r="F578"/>
  <c r="G578"/>
  <c r="H578"/>
  <c r="F579"/>
  <c r="G579"/>
  <c r="H579"/>
  <c r="F580"/>
  <c r="G580"/>
  <c r="H580"/>
  <c r="F581"/>
  <c r="G581"/>
  <c r="H581"/>
  <c r="F582"/>
  <c r="G582"/>
  <c r="H582"/>
  <c r="F583"/>
  <c r="G583"/>
  <c r="H583"/>
  <c r="F584"/>
  <c r="G584"/>
  <c r="H584"/>
  <c r="F585"/>
  <c r="G585"/>
  <c r="H585"/>
  <c r="F586"/>
  <c r="G586"/>
  <c r="H586"/>
  <c r="F587"/>
  <c r="G587"/>
  <c r="H587"/>
  <c r="F588"/>
  <c r="G588"/>
  <c r="H588"/>
  <c r="F589"/>
  <c r="G589"/>
  <c r="H589"/>
  <c r="F590"/>
  <c r="G590"/>
  <c r="H590"/>
  <c r="F591"/>
  <c r="G591"/>
  <c r="H591"/>
  <c r="F592"/>
  <c r="G592"/>
  <c r="H592"/>
  <c r="F593"/>
  <c r="G593"/>
  <c r="H593"/>
  <c r="F594"/>
  <c r="G594"/>
  <c r="H594"/>
  <c r="F595"/>
  <c r="G595"/>
  <c r="H595"/>
  <c r="F596"/>
  <c r="G596"/>
  <c r="H596"/>
  <c r="F597"/>
  <c r="G597"/>
  <c r="H597"/>
  <c r="F598"/>
  <c r="G598"/>
  <c r="H598"/>
  <c r="F599"/>
  <c r="G599"/>
  <c r="H599"/>
  <c r="F600"/>
  <c r="G600"/>
  <c r="H600"/>
  <c r="F601"/>
  <c r="G601"/>
  <c r="H601"/>
  <c r="F602"/>
  <c r="G602"/>
  <c r="H602"/>
  <c r="F603"/>
  <c r="G603"/>
  <c r="H603"/>
  <c r="F604"/>
  <c r="G604"/>
  <c r="H604"/>
  <c r="F605"/>
  <c r="G605"/>
  <c r="H605"/>
  <c r="F606"/>
  <c r="G606"/>
  <c r="H606"/>
  <c r="F607"/>
  <c r="G607"/>
  <c r="H607"/>
  <c r="F608"/>
  <c r="G608"/>
  <c r="H608"/>
  <c r="F609"/>
  <c r="G609"/>
  <c r="H609"/>
  <c r="F610"/>
  <c r="G610"/>
  <c r="H610"/>
  <c r="F611"/>
  <c r="G611"/>
  <c r="H611"/>
  <c r="F612"/>
  <c r="G612"/>
  <c r="H612"/>
  <c r="F613"/>
  <c r="G613"/>
  <c r="H613"/>
  <c r="F614"/>
  <c r="G614"/>
  <c r="H614"/>
  <c r="F615"/>
  <c r="G615"/>
  <c r="H615"/>
  <c r="F616"/>
  <c r="G616"/>
  <c r="H616"/>
  <c r="F617"/>
  <c r="G617"/>
  <c r="H617"/>
  <c r="F618"/>
  <c r="G618"/>
  <c r="H618"/>
  <c r="F619"/>
  <c r="G619"/>
  <c r="H619"/>
  <c r="F620"/>
  <c r="G620"/>
  <c r="H620"/>
  <c r="F621"/>
  <c r="G621"/>
  <c r="H621"/>
  <c r="F622"/>
  <c r="G622"/>
  <c r="H622"/>
  <c r="F623"/>
  <c r="G623"/>
  <c r="H623"/>
  <c r="F624"/>
  <c r="G624"/>
  <c r="H624"/>
  <c r="F625"/>
  <c r="G625"/>
  <c r="H625"/>
  <c r="F626"/>
  <c r="G626"/>
  <c r="H626"/>
  <c r="F627"/>
  <c r="G627"/>
  <c r="H627"/>
  <c r="F628"/>
  <c r="G628"/>
  <c r="H628"/>
  <c r="F629"/>
  <c r="G629"/>
  <c r="H629"/>
  <c r="F630"/>
  <c r="G630"/>
  <c r="H630"/>
  <c r="F631"/>
  <c r="G631"/>
  <c r="H631"/>
  <c r="F632"/>
  <c r="G632"/>
  <c r="H632"/>
  <c r="F633"/>
  <c r="G633"/>
  <c r="H633"/>
  <c r="F634"/>
  <c r="G634"/>
  <c r="H634"/>
  <c r="F635"/>
  <c r="G635"/>
  <c r="H635"/>
  <c r="F636"/>
  <c r="G636"/>
  <c r="H636"/>
  <c r="F637"/>
  <c r="G637"/>
  <c r="H637"/>
  <c r="F638"/>
  <c r="G638"/>
  <c r="H638"/>
  <c r="F639"/>
  <c r="G639"/>
  <c r="H639"/>
  <c r="F640"/>
  <c r="G640"/>
  <c r="H640"/>
  <c r="F641"/>
  <c r="G641"/>
  <c r="H641"/>
  <c r="F642"/>
  <c r="G642"/>
  <c r="H642"/>
  <c r="F643"/>
  <c r="G643"/>
  <c r="H643"/>
  <c r="F644"/>
  <c r="G644"/>
  <c r="H644"/>
  <c r="F645"/>
  <c r="G645"/>
  <c r="H645"/>
  <c r="F646"/>
  <c r="G646"/>
  <c r="H646"/>
  <c r="F647"/>
  <c r="G647"/>
  <c r="H647"/>
  <c r="F648"/>
  <c r="G648"/>
  <c r="H648"/>
  <c r="F649"/>
  <c r="G649"/>
  <c r="H649"/>
  <c r="F650"/>
  <c r="G650"/>
  <c r="H650"/>
  <c r="F651"/>
  <c r="G651"/>
  <c r="H651"/>
  <c r="F652"/>
  <c r="G652"/>
  <c r="H652"/>
  <c r="F653"/>
  <c r="G653"/>
  <c r="H653"/>
  <c r="F654"/>
  <c r="G654"/>
  <c r="H654"/>
  <c r="F655"/>
  <c r="G655"/>
  <c r="H655"/>
  <c r="F656"/>
  <c r="G656"/>
  <c r="H656"/>
  <c r="F657"/>
  <c r="G657"/>
  <c r="H657"/>
  <c r="F658"/>
  <c r="G658"/>
  <c r="H658"/>
  <c r="F659"/>
  <c r="G659"/>
  <c r="H659"/>
  <c r="F660"/>
  <c r="G660"/>
  <c r="H660"/>
  <c r="F661"/>
  <c r="G661"/>
  <c r="H661"/>
  <c r="F662"/>
  <c r="G662"/>
  <c r="H662"/>
  <c r="F663"/>
  <c r="G663"/>
  <c r="H663"/>
  <c r="F664"/>
  <c r="G664"/>
  <c r="H664"/>
  <c r="F665"/>
  <c r="G665"/>
  <c r="H665"/>
  <c r="F666"/>
  <c r="G666"/>
  <c r="H666"/>
  <c r="F667"/>
  <c r="G667"/>
  <c r="H667"/>
  <c r="F668"/>
  <c r="G668"/>
  <c r="H668"/>
  <c r="F669"/>
  <c r="G669"/>
  <c r="H669"/>
  <c r="F670"/>
  <c r="G670"/>
  <c r="H670"/>
  <c r="F671"/>
  <c r="G671"/>
  <c r="H671"/>
  <c r="F672"/>
  <c r="G672"/>
  <c r="H672"/>
  <c r="F673"/>
  <c r="G673"/>
  <c r="H673"/>
  <c r="F674"/>
  <c r="G674"/>
  <c r="H674"/>
  <c r="F675"/>
  <c r="G675"/>
  <c r="H675"/>
  <c r="F676"/>
  <c r="G676"/>
  <c r="H676"/>
  <c r="F677"/>
  <c r="G677"/>
  <c r="H677"/>
  <c r="F678"/>
  <c r="G678"/>
  <c r="H678"/>
  <c r="F679"/>
  <c r="G679"/>
  <c r="H679"/>
  <c r="F680"/>
  <c r="G680"/>
  <c r="H680"/>
  <c r="F681"/>
  <c r="G681"/>
  <c r="H681"/>
  <c r="F682"/>
  <c r="G682"/>
  <c r="H682"/>
  <c r="F683"/>
  <c r="G683"/>
  <c r="H683"/>
  <c r="F684"/>
  <c r="G684"/>
  <c r="H684"/>
  <c r="F685"/>
  <c r="G685"/>
  <c r="H685"/>
  <c r="F686"/>
  <c r="G686"/>
  <c r="H686"/>
  <c r="F687"/>
  <c r="G687"/>
  <c r="H687"/>
  <c r="F688"/>
  <c r="G688"/>
  <c r="H688"/>
  <c r="F689"/>
  <c r="G689"/>
  <c r="H689"/>
  <c r="F690"/>
  <c r="G690"/>
  <c r="H690"/>
  <c r="F691"/>
  <c r="G691"/>
  <c r="H691"/>
  <c r="F692"/>
  <c r="G692"/>
  <c r="H692"/>
  <c r="F693"/>
  <c r="G693"/>
  <c r="H693"/>
  <c r="F694"/>
  <c r="G694"/>
  <c r="H694"/>
  <c r="F695"/>
  <c r="G695"/>
  <c r="H695"/>
  <c r="F696"/>
  <c r="G696"/>
  <c r="H696"/>
  <c r="F697"/>
  <c r="G697"/>
  <c r="H697"/>
  <c r="F698"/>
  <c r="G698"/>
  <c r="H698"/>
  <c r="F699"/>
  <c r="G699"/>
  <c r="H699"/>
  <c r="F700"/>
  <c r="G700"/>
  <c r="H700"/>
  <c r="F701"/>
  <c r="G701"/>
  <c r="H701"/>
  <c r="F702"/>
  <c r="G702"/>
  <c r="H702"/>
  <c r="F703"/>
  <c r="G703"/>
  <c r="H703"/>
  <c r="F704"/>
  <c r="G704"/>
  <c r="H704"/>
  <c r="F705"/>
  <c r="G705"/>
  <c r="H705"/>
  <c r="F706"/>
  <c r="G706"/>
  <c r="H706"/>
  <c r="F707"/>
  <c r="G707"/>
  <c r="H707"/>
  <c r="F708"/>
  <c r="G708"/>
  <c r="H708"/>
  <c r="F709"/>
  <c r="G709"/>
  <c r="H709"/>
  <c r="F710"/>
  <c r="G710"/>
  <c r="H710"/>
  <c r="F711"/>
  <c r="G711"/>
  <c r="H711"/>
  <c r="F712"/>
  <c r="G712"/>
  <c r="H712"/>
  <c r="F713"/>
  <c r="G713"/>
  <c r="H713"/>
  <c r="F714"/>
  <c r="G714"/>
  <c r="H714"/>
  <c r="F715"/>
  <c r="G715"/>
  <c r="H715"/>
  <c r="F716"/>
  <c r="G716"/>
  <c r="H716"/>
  <c r="F717"/>
  <c r="G717"/>
  <c r="H717"/>
  <c r="F718"/>
  <c r="G718"/>
  <c r="H718"/>
  <c r="F719"/>
  <c r="G719"/>
  <c r="H719"/>
  <c r="F720"/>
  <c r="G720"/>
  <c r="H720"/>
  <c r="F721"/>
  <c r="G721"/>
  <c r="H721"/>
  <c r="F722"/>
  <c r="G722"/>
  <c r="H722"/>
  <c r="F723"/>
  <c r="G723"/>
  <c r="H723"/>
  <c r="F724"/>
  <c r="G724"/>
  <c r="H724"/>
  <c r="F725"/>
  <c r="G725"/>
  <c r="H725"/>
  <c r="F726"/>
  <c r="G726"/>
  <c r="H726"/>
  <c r="F727"/>
  <c r="G727"/>
  <c r="H727"/>
  <c r="F728"/>
  <c r="G728"/>
  <c r="H728"/>
  <c r="F729"/>
  <c r="G729"/>
  <c r="H729"/>
  <c r="F730"/>
  <c r="G730"/>
  <c r="H730"/>
  <c r="F731"/>
  <c r="G731"/>
  <c r="H731"/>
  <c r="F732"/>
  <c r="G732"/>
  <c r="H732"/>
  <c r="F733"/>
  <c r="G733"/>
  <c r="H733"/>
  <c r="F734"/>
  <c r="G734"/>
  <c r="H734"/>
  <c r="F735"/>
  <c r="G735"/>
  <c r="H735"/>
  <c r="F736"/>
  <c r="G736"/>
  <c r="H736"/>
  <c r="F737"/>
  <c r="G737"/>
  <c r="H737"/>
  <c r="F738"/>
  <c r="G738"/>
  <c r="H738"/>
  <c r="F739"/>
  <c r="G739"/>
  <c r="H739"/>
  <c r="F740"/>
  <c r="G740"/>
  <c r="H740"/>
  <c r="F741"/>
  <c r="G741"/>
  <c r="H741"/>
  <c r="F742"/>
  <c r="G742"/>
  <c r="H742"/>
  <c r="F743"/>
  <c r="G743"/>
  <c r="H743"/>
  <c r="F744"/>
  <c r="G744"/>
  <c r="H744"/>
  <c r="F745"/>
  <c r="G745"/>
  <c r="H745"/>
  <c r="F746"/>
  <c r="G746"/>
  <c r="H746"/>
  <c r="F747"/>
  <c r="G747"/>
  <c r="H747"/>
  <c r="F748"/>
  <c r="G748"/>
  <c r="H748"/>
  <c r="F749"/>
  <c r="G749"/>
  <c r="H749"/>
  <c r="F750"/>
  <c r="G750"/>
  <c r="H750"/>
  <c r="F751"/>
  <c r="G751"/>
  <c r="H751"/>
  <c r="F752"/>
  <c r="G752"/>
  <c r="H752"/>
  <c r="F753"/>
  <c r="G753"/>
  <c r="H753"/>
  <c r="F754"/>
  <c r="G754"/>
  <c r="H754"/>
  <c r="F755"/>
  <c r="G755"/>
  <c r="H755"/>
  <c r="F756"/>
  <c r="G756"/>
  <c r="H756"/>
  <c r="F757"/>
  <c r="G757"/>
  <c r="H757"/>
  <c r="F758"/>
  <c r="G758"/>
  <c r="H758"/>
  <c r="F759"/>
  <c r="G759"/>
  <c r="H759"/>
  <c r="F760"/>
  <c r="G760"/>
  <c r="H760"/>
  <c r="F761"/>
  <c r="G761"/>
  <c r="H761"/>
  <c r="F762"/>
  <c r="G762"/>
  <c r="H762"/>
  <c r="F763"/>
  <c r="G763"/>
  <c r="H763"/>
  <c r="F764"/>
  <c r="G764"/>
  <c r="H764"/>
  <c r="F765"/>
  <c r="G765"/>
  <c r="H765"/>
  <c r="F766"/>
  <c r="G766"/>
  <c r="H766"/>
  <c r="F767"/>
  <c r="G767"/>
  <c r="H767"/>
  <c r="F768"/>
  <c r="G768"/>
  <c r="H768"/>
  <c r="F769"/>
  <c r="G769"/>
  <c r="H769"/>
  <c r="F770"/>
  <c r="G770"/>
  <c r="H770"/>
  <c r="F771"/>
  <c r="G771"/>
  <c r="H771"/>
  <c r="F772"/>
  <c r="G772"/>
  <c r="H772"/>
  <c r="F773"/>
  <c r="G773"/>
  <c r="H773"/>
  <c r="F774"/>
  <c r="G774"/>
  <c r="H774"/>
  <c r="F775"/>
  <c r="G775"/>
  <c r="H775"/>
  <c r="F776"/>
  <c r="G776"/>
  <c r="H776"/>
  <c r="F777"/>
  <c r="G777"/>
  <c r="H777"/>
  <c r="F778"/>
  <c r="G778"/>
  <c r="H778"/>
  <c r="F779"/>
  <c r="G779"/>
  <c r="H779"/>
  <c r="F780"/>
  <c r="G780"/>
  <c r="H780"/>
  <c r="F781"/>
  <c r="G781"/>
  <c r="H781"/>
  <c r="F782"/>
  <c r="G782"/>
  <c r="H782"/>
  <c r="F783"/>
  <c r="G783"/>
  <c r="H783"/>
  <c r="F784"/>
  <c r="G784"/>
  <c r="H784"/>
  <c r="F785"/>
  <c r="G785"/>
  <c r="H785"/>
  <c r="F786"/>
  <c r="G786"/>
  <c r="H786"/>
  <c r="F787"/>
  <c r="G787"/>
  <c r="H787"/>
  <c r="F788"/>
  <c r="G788"/>
  <c r="H788"/>
  <c r="F789"/>
  <c r="G789"/>
  <c r="H789"/>
  <c r="F790"/>
  <c r="G790"/>
  <c r="H790"/>
  <c r="F791"/>
  <c r="G791"/>
  <c r="H791"/>
  <c r="F792"/>
  <c r="G792"/>
  <c r="H792"/>
  <c r="F793"/>
  <c r="G793"/>
  <c r="H793"/>
  <c r="F794"/>
  <c r="G794"/>
  <c r="H794"/>
  <c r="F795"/>
  <c r="G795"/>
  <c r="H795"/>
  <c r="F796"/>
  <c r="G796"/>
  <c r="H796"/>
  <c r="F797"/>
  <c r="G797"/>
  <c r="H797"/>
  <c r="F798"/>
  <c r="G798"/>
  <c r="H798"/>
  <c r="F799"/>
  <c r="G799"/>
  <c r="H799"/>
  <c r="F800"/>
  <c r="G800"/>
  <c r="H800"/>
  <c r="F801"/>
  <c r="G801"/>
  <c r="H801"/>
  <c r="F802"/>
  <c r="G802"/>
  <c r="H802"/>
  <c r="F803"/>
  <c r="G803"/>
  <c r="H803"/>
  <c r="F804"/>
  <c r="G804"/>
  <c r="H804"/>
  <c r="F805"/>
  <c r="G805"/>
  <c r="H805"/>
  <c r="F806"/>
  <c r="G806"/>
  <c r="H806"/>
  <c r="F807"/>
  <c r="G807"/>
  <c r="H807"/>
  <c r="F808"/>
  <c r="G808"/>
  <c r="H808"/>
  <c r="F809"/>
  <c r="G809"/>
  <c r="H809"/>
  <c r="F810"/>
  <c r="G810"/>
  <c r="H810"/>
  <c r="F811"/>
  <c r="G811"/>
  <c r="H811"/>
  <c r="F812"/>
  <c r="G812"/>
  <c r="H812"/>
  <c r="F813"/>
  <c r="G813"/>
  <c r="H813"/>
  <c r="F814"/>
  <c r="G814"/>
  <c r="H814"/>
  <c r="F815"/>
  <c r="G815"/>
  <c r="H815"/>
  <c r="F816"/>
  <c r="G816"/>
  <c r="H816"/>
  <c r="F817"/>
  <c r="G817"/>
  <c r="H817"/>
  <c r="F818"/>
  <c r="G818"/>
  <c r="H818"/>
  <c r="F819"/>
  <c r="G819"/>
  <c r="H819"/>
  <c r="F820"/>
  <c r="G820"/>
  <c r="H820"/>
  <c r="F821"/>
  <c r="G821"/>
  <c r="H821"/>
  <c r="F822"/>
  <c r="G822"/>
  <c r="H822"/>
  <c r="F823"/>
  <c r="G823"/>
  <c r="H823"/>
  <c r="F824"/>
  <c r="G824"/>
  <c r="H824"/>
  <c r="F825"/>
  <c r="G825"/>
  <c r="H825"/>
  <c r="F826"/>
  <c r="G826"/>
  <c r="H826"/>
  <c r="F827"/>
  <c r="G827"/>
  <c r="H827"/>
  <c r="F828"/>
  <c r="G828"/>
  <c r="H828"/>
  <c r="F829"/>
  <c r="G829"/>
  <c r="H829"/>
  <c r="F830"/>
  <c r="G830"/>
  <c r="H830"/>
  <c r="F831"/>
  <c r="G831"/>
  <c r="H831"/>
  <c r="F832"/>
  <c r="G832"/>
  <c r="H832"/>
  <c r="F833"/>
  <c r="G833"/>
  <c r="H833"/>
  <c r="F834"/>
  <c r="G834"/>
  <c r="H834"/>
  <c r="F835"/>
  <c r="G835"/>
  <c r="H835"/>
  <c r="F836"/>
  <c r="G836"/>
  <c r="H836"/>
  <c r="F837"/>
  <c r="G837"/>
  <c r="H837"/>
  <c r="F838"/>
  <c r="G838"/>
  <c r="H838"/>
  <c r="F839"/>
  <c r="G839"/>
  <c r="H839"/>
  <c r="F840"/>
  <c r="G840"/>
  <c r="H840"/>
  <c r="F841"/>
  <c r="G841"/>
  <c r="H841"/>
  <c r="F842"/>
  <c r="G842"/>
  <c r="H842"/>
  <c r="F843"/>
  <c r="G843"/>
  <c r="H843"/>
  <c r="F844"/>
  <c r="G844"/>
  <c r="H844"/>
  <c r="F845"/>
  <c r="G845"/>
  <c r="H845"/>
  <c r="F846"/>
  <c r="G846"/>
  <c r="H846"/>
  <c r="F847"/>
  <c r="G847"/>
  <c r="H847"/>
  <c r="F848"/>
  <c r="G848"/>
  <c r="H848"/>
  <c r="F849"/>
  <c r="G849"/>
  <c r="H849"/>
  <c r="F850"/>
  <c r="G850"/>
  <c r="H850"/>
  <c r="F851"/>
  <c r="G851"/>
  <c r="H851"/>
  <c r="F852"/>
  <c r="G852"/>
  <c r="H852"/>
  <c r="F853"/>
  <c r="G853"/>
  <c r="H853"/>
  <c r="F854"/>
  <c r="G854"/>
  <c r="H854"/>
  <c r="F855"/>
  <c r="G855"/>
  <c r="H855"/>
  <c r="F856"/>
  <c r="G856"/>
  <c r="H856"/>
  <c r="F857"/>
  <c r="G857"/>
  <c r="H857"/>
  <c r="F858"/>
  <c r="G858"/>
  <c r="H858"/>
  <c r="F859"/>
  <c r="G859"/>
  <c r="H859"/>
  <c r="F860"/>
  <c r="G860"/>
  <c r="H860"/>
  <c r="F861"/>
  <c r="G861"/>
  <c r="H861"/>
  <c r="F862"/>
  <c r="G862"/>
  <c r="H862"/>
  <c r="F863"/>
  <c r="G863"/>
  <c r="H863"/>
  <c r="F864"/>
  <c r="G864"/>
  <c r="H864"/>
  <c r="F865"/>
  <c r="G865"/>
  <c r="H865"/>
  <c r="F866"/>
  <c r="G866"/>
  <c r="H866"/>
  <c r="F867"/>
  <c r="G867"/>
  <c r="H867"/>
  <c r="F868"/>
  <c r="G868"/>
  <c r="H868"/>
  <c r="F869"/>
  <c r="G869"/>
  <c r="H869"/>
  <c r="F870"/>
  <c r="G870"/>
  <c r="H870"/>
  <c r="F871"/>
  <c r="G871"/>
  <c r="H871"/>
  <c r="F872"/>
  <c r="G872"/>
  <c r="H872"/>
  <c r="F873"/>
  <c r="G873"/>
  <c r="H873"/>
  <c r="F874"/>
  <c r="G874"/>
  <c r="H874"/>
  <c r="F875"/>
  <c r="G875"/>
  <c r="H875"/>
  <c r="F876"/>
  <c r="G876"/>
  <c r="H876"/>
  <c r="F877"/>
  <c r="G877"/>
  <c r="H877"/>
  <c r="F878"/>
  <c r="G878"/>
  <c r="H878"/>
  <c r="F879"/>
  <c r="G879"/>
  <c r="H879"/>
  <c r="F880"/>
  <c r="G880"/>
  <c r="H880"/>
  <c r="F881"/>
  <c r="G881"/>
  <c r="H881"/>
  <c r="F882"/>
  <c r="G882"/>
  <c r="H882"/>
  <c r="F883"/>
  <c r="G883"/>
  <c r="H883"/>
  <c r="F884"/>
  <c r="G884"/>
  <c r="H884"/>
  <c r="F885"/>
  <c r="G885"/>
  <c r="H885"/>
  <c r="F886"/>
  <c r="G886"/>
  <c r="H886"/>
  <c r="F887"/>
  <c r="G887"/>
  <c r="H887"/>
  <c r="F888"/>
  <c r="G888"/>
  <c r="H888"/>
  <c r="F889"/>
  <c r="G889"/>
  <c r="H889"/>
  <c r="F890"/>
  <c r="G890"/>
  <c r="H890"/>
  <c r="F891"/>
  <c r="G891"/>
  <c r="H891"/>
  <c r="F892"/>
  <c r="G892"/>
  <c r="H892"/>
  <c r="F893"/>
  <c r="G893"/>
  <c r="H893"/>
  <c r="F894"/>
  <c r="G894"/>
  <c r="H894"/>
  <c r="F895"/>
  <c r="G895"/>
  <c r="H895"/>
  <c r="F896"/>
  <c r="G896"/>
  <c r="H896"/>
  <c r="F897"/>
  <c r="G897"/>
  <c r="H897"/>
  <c r="F898"/>
  <c r="G898"/>
  <c r="H898"/>
  <c r="F899"/>
  <c r="G899"/>
  <c r="H899"/>
  <c r="F900"/>
  <c r="G900"/>
  <c r="H900"/>
  <c r="F901"/>
  <c r="G901"/>
  <c r="H901"/>
  <c r="F902"/>
  <c r="G902"/>
  <c r="H902"/>
  <c r="F903"/>
  <c r="G903"/>
  <c r="H903"/>
  <c r="F904"/>
  <c r="G904"/>
  <c r="H904"/>
  <c r="F905"/>
  <c r="G905"/>
  <c r="H905"/>
  <c r="F906"/>
  <c r="G906"/>
  <c r="H906"/>
  <c r="E93" i="48"/>
  <c r="E91"/>
  <c r="X18" i="45"/>
  <c r="Z18"/>
  <c r="AA18"/>
  <c r="AB18"/>
  <c r="AC18"/>
  <c r="AD18"/>
  <c r="AE18"/>
  <c r="AF18"/>
  <c r="AG18"/>
  <c r="AH18"/>
  <c r="AI18"/>
  <c r="AJ18"/>
  <c r="AK18"/>
  <c r="AL18"/>
  <c r="AM18"/>
  <c r="AN18"/>
  <c r="AO18"/>
  <c r="AP18"/>
  <c r="AQ18"/>
  <c r="AR18"/>
  <c r="AS18"/>
  <c r="AT18"/>
  <c r="AU18"/>
  <c r="AV18"/>
  <c r="AW18"/>
  <c r="E104" i="48"/>
  <c r="E103"/>
  <c r="AD103" s="1"/>
  <c r="BJ18" i="45"/>
  <c r="H64" i="48"/>
  <c r="AE64" s="1"/>
  <c r="C10" i="16"/>
  <c r="D35" i="48"/>
  <c r="E35"/>
  <c r="F35"/>
  <c r="G35"/>
  <c r="H35"/>
  <c r="G91"/>
  <c r="G92"/>
  <c r="G93"/>
  <c r="G94"/>
  <c r="G102"/>
  <c r="G103"/>
  <c r="G104"/>
  <c r="E112"/>
  <c r="G112"/>
  <c r="C114"/>
  <c r="I33"/>
  <c r="C10" i="56"/>
  <c r="C11"/>
  <c r="C13"/>
  <c r="C13" i="16"/>
  <c r="E10" i="56"/>
  <c r="E7"/>
  <c r="E6"/>
  <c r="E5"/>
  <c r="E3"/>
  <c r="C19" i="53"/>
  <c r="N14" i="30" s="1"/>
  <c r="B18" i="28"/>
  <c r="I32" i="48"/>
  <c r="C14" i="56"/>
  <c r="C12"/>
  <c r="E14"/>
  <c r="E8"/>
  <c r="B16" i="28"/>
  <c r="N19"/>
  <c r="S19" s="1"/>
  <c r="C20" i="52"/>
  <c r="N15" i="28" s="1"/>
  <c r="I31" i="48"/>
  <c r="C9" i="56"/>
  <c r="E9"/>
  <c r="Q14" i="28"/>
  <c r="N10"/>
  <c r="O10"/>
  <c r="C22" i="52"/>
  <c r="N17" i="28" s="1"/>
  <c r="S17" s="1"/>
  <c r="D19" i="53"/>
  <c r="E94" i="48"/>
  <c r="I94" s="1"/>
  <c r="E92"/>
  <c r="I92" s="1"/>
  <c r="E102"/>
  <c r="N4" i="31"/>
  <c r="O4" i="24"/>
  <c r="R4" i="31"/>
  <c r="V4"/>
  <c r="J4" i="24"/>
  <c r="AG4" i="31"/>
  <c r="AK4"/>
  <c r="AA4"/>
  <c r="Z4"/>
  <c r="N4" i="24"/>
  <c r="J4" i="31"/>
  <c r="Y4"/>
  <c r="K4" i="24"/>
  <c r="U4" i="31"/>
  <c r="Q4"/>
  <c r="Y4" i="24"/>
  <c r="AK4"/>
  <c r="O4" i="31"/>
  <c r="M4" i="24"/>
  <c r="AA4"/>
  <c r="AC4"/>
  <c r="S4"/>
  <c r="AD4" i="31"/>
  <c r="AG4" i="24"/>
  <c r="Z4"/>
  <c r="S4" i="31"/>
  <c r="AC4"/>
  <c r="I4"/>
  <c r="V4" i="24"/>
  <c r="W4"/>
  <c r="W4" i="31"/>
  <c r="K4"/>
  <c r="M4"/>
  <c r="R4" i="24"/>
  <c r="Q4"/>
  <c r="AD4"/>
  <c r="I4"/>
  <c r="U4"/>
  <c r="C34" i="60" l="1"/>
  <c r="C18" i="66"/>
  <c r="D34" i="60"/>
  <c r="D38"/>
  <c r="V22" i="47"/>
  <c r="Q22"/>
  <c r="Q27"/>
  <c r="V27"/>
  <c r="Q25"/>
  <c r="AK25" s="1"/>
  <c r="V25"/>
  <c r="Q23"/>
  <c r="V23"/>
  <c r="V26"/>
  <c r="Q26"/>
  <c r="V24"/>
  <c r="Q24"/>
  <c r="AG53"/>
  <c r="AH53" s="1"/>
  <c r="AG51"/>
  <c r="AH51" s="1"/>
  <c r="AG49"/>
  <c r="AH49" s="1"/>
  <c r="AG47"/>
  <c r="AH47" s="1"/>
  <c r="AG52"/>
  <c r="AH52" s="1"/>
  <c r="AG50"/>
  <c r="AH50" s="1"/>
  <c r="AG48"/>
  <c r="AH48" s="1"/>
  <c r="AG46"/>
  <c r="H24" i="16"/>
  <c r="D25"/>
  <c r="H32" i="60"/>
  <c r="D121" i="48"/>
  <c r="D27" i="16"/>
  <c r="E27" s="1"/>
  <c r="J27" s="1"/>
  <c r="H36" i="60"/>
  <c r="D123" i="48"/>
  <c r="C29" i="16"/>
  <c r="C126" i="48"/>
  <c r="E126" s="1"/>
  <c r="K126" s="1"/>
  <c r="I33" i="60"/>
  <c r="I35"/>
  <c r="C125" i="48"/>
  <c r="D26" i="16"/>
  <c r="E26" s="1"/>
  <c r="J26" s="1"/>
  <c r="H37" i="60"/>
  <c r="D122" i="48"/>
  <c r="C26" i="16"/>
  <c r="C122" i="48"/>
  <c r="J122" s="1"/>
  <c r="C28" i="16"/>
  <c r="C124" i="48"/>
  <c r="C24" i="16"/>
  <c r="I31" i="60"/>
  <c r="F34"/>
  <c r="D29" i="16"/>
  <c r="H33" i="60"/>
  <c r="E98" i="48"/>
  <c r="I98" s="1"/>
  <c r="D126"/>
  <c r="H35" i="60"/>
  <c r="D125" i="48"/>
  <c r="D120"/>
  <c r="D24" i="16"/>
  <c r="H31" i="60"/>
  <c r="C25" i="16"/>
  <c r="C30" s="1"/>
  <c r="C121" i="48"/>
  <c r="J121" s="1"/>
  <c r="I32" i="60"/>
  <c r="D32" s="1"/>
  <c r="C27" i="16"/>
  <c r="C123" i="48"/>
  <c r="J123" s="1"/>
  <c r="I36" i="60"/>
  <c r="D28" i="16"/>
  <c r="D124" i="48"/>
  <c r="F38" i="60"/>
  <c r="I37"/>
  <c r="C22" i="66"/>
  <c r="C21"/>
  <c r="C21" i="53"/>
  <c r="N16" i="30" s="1"/>
  <c r="S16" s="1"/>
  <c r="C20" i="66"/>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C17"/>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D21"/>
  <c r="D22"/>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C23"/>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E105" i="48"/>
  <c r="I105" s="1"/>
  <c r="AD93"/>
  <c r="I93"/>
  <c r="C20" i="53"/>
  <c r="C25" s="1"/>
  <c r="C12" i="52"/>
  <c r="C12" i="53" s="1"/>
  <c r="G105" i="48"/>
  <c r="G111" s="1"/>
  <c r="I122"/>
  <c r="I124"/>
  <c r="I126"/>
  <c r="I121"/>
  <c r="I123"/>
  <c r="I125"/>
  <c r="E125"/>
  <c r="E124"/>
  <c r="K124" s="1"/>
  <c r="H29" i="16"/>
  <c r="H26"/>
  <c r="H25"/>
  <c r="G30"/>
  <c r="I112" i="48"/>
  <c r="AD112"/>
  <c r="AD94"/>
  <c r="I91"/>
  <c r="AD91"/>
  <c r="AD92"/>
  <c r="I104"/>
  <c r="AD104"/>
  <c r="AD68"/>
  <c r="AE68"/>
  <c r="I103"/>
  <c r="I102"/>
  <c r="AD102"/>
  <c r="AD66"/>
  <c r="AE66"/>
  <c r="AD67"/>
  <c r="AE67"/>
  <c r="C120"/>
  <c r="E16" i="56"/>
  <c r="H62" i="48"/>
  <c r="AE62" s="1"/>
  <c r="I35"/>
  <c r="I36" s="1"/>
  <c r="E29" i="16"/>
  <c r="H28"/>
  <c r="H27"/>
  <c r="F30"/>
  <c r="E28"/>
  <c r="C3" i="55"/>
  <c r="C4"/>
  <c r="W28" i="47"/>
  <c r="Z28"/>
  <c r="AA28"/>
  <c r="E40" i="48"/>
  <c r="I120"/>
  <c r="C35" i="53"/>
  <c r="P10" i="28"/>
  <c r="B11"/>
  <c r="D18" i="66"/>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C22" i="53"/>
  <c r="N17" i="30" s="1"/>
  <c r="S17" s="1"/>
  <c r="C24" i="66"/>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E2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E19"/>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F47"/>
  <c r="E46"/>
  <c r="AI16"/>
  <c r="AD63" i="48"/>
  <c r="N22" i="47"/>
  <c r="P22"/>
  <c r="AU22" s="1"/>
  <c r="O22"/>
  <c r="AN22" s="1"/>
  <c r="AK28"/>
  <c r="AL28"/>
  <c r="N26"/>
  <c r="P26"/>
  <c r="AU26" s="1"/>
  <c r="O26"/>
  <c r="AN26" s="1"/>
  <c r="N24"/>
  <c r="P24"/>
  <c r="AU24" s="1"/>
  <c r="O24"/>
  <c r="AN24" s="1"/>
  <c r="N10"/>
  <c r="AT10" s="1"/>
  <c r="P10"/>
  <c r="O10"/>
  <c r="AN10" s="1"/>
  <c r="N20"/>
  <c r="P20"/>
  <c r="N18"/>
  <c r="P18"/>
  <c r="O18"/>
  <c r="AN18" s="1"/>
  <c r="N16"/>
  <c r="AT16" s="1"/>
  <c r="P16"/>
  <c r="O16"/>
  <c r="AN16" s="1"/>
  <c r="N14"/>
  <c r="AT14" s="1"/>
  <c r="P14"/>
  <c r="O14"/>
  <c r="AN14" s="1"/>
  <c r="N12"/>
  <c r="P12"/>
  <c r="O12"/>
  <c r="AN12" s="1"/>
  <c r="P27"/>
  <c r="AU27" s="1"/>
  <c r="AK27"/>
  <c r="N27"/>
  <c r="P25"/>
  <c r="AU25" s="1"/>
  <c r="N25"/>
  <c r="P23"/>
  <c r="AU23" s="1"/>
  <c r="AK23"/>
  <c r="N23"/>
  <c r="P21"/>
  <c r="N21"/>
  <c r="P19"/>
  <c r="Q19"/>
  <c r="AK19" s="1"/>
  <c r="N19"/>
  <c r="P17"/>
  <c r="N17"/>
  <c r="P15"/>
  <c r="N15"/>
  <c r="P13"/>
  <c r="N13"/>
  <c r="P11"/>
  <c r="N11"/>
  <c r="K32" i="53"/>
  <c r="L32" s="1"/>
  <c r="D30" i="16"/>
  <c r="B18" i="30"/>
  <c r="I27" i="16"/>
  <c r="E97" i="48"/>
  <c r="C25" i="52"/>
  <c r="C23" i="53"/>
  <c r="N18" i="30" s="1"/>
  <c r="S18" s="1"/>
  <c r="B8" i="28"/>
  <c r="E64" i="48"/>
  <c r="AD64" s="1"/>
  <c r="C12" i="16"/>
  <c r="G100" i="48"/>
  <c r="C24" i="42"/>
  <c r="C19" i="55" s="1"/>
  <c r="AE63" i="48"/>
  <c r="U35" i="47"/>
  <c r="C11" i="60" s="1"/>
  <c r="N22" i="28"/>
  <c r="B16" i="30"/>
  <c r="Q14"/>
  <c r="G99" i="48"/>
  <c r="C8" i="30"/>
  <c r="B8" s="1"/>
  <c r="G5" i="25"/>
  <c r="N5"/>
  <c r="C5"/>
  <c r="M5"/>
  <c r="E5"/>
  <c r="K5"/>
  <c r="D5"/>
  <c r="I5"/>
  <c r="J5"/>
  <c r="O5"/>
  <c r="L5"/>
  <c r="S23" i="28"/>
  <c r="E15" i="56"/>
  <c r="C25" i="42" s="1"/>
  <c r="C14" i="16" s="1"/>
  <c r="B11" i="30"/>
  <c r="P10"/>
  <c r="J29" i="16"/>
  <c r="I24"/>
  <c r="E24"/>
  <c r="I29"/>
  <c r="M15" i="31"/>
  <c r="N14" i="24"/>
  <c r="J15" i="31"/>
  <c r="L15"/>
  <c r="N15"/>
  <c r="J14"/>
  <c r="L14" i="24"/>
  <c r="M15"/>
  <c r="L14" i="31"/>
  <c r="N15" i="24"/>
  <c r="M14" i="31"/>
  <c r="L15" i="24"/>
  <c r="N14" i="31"/>
  <c r="M14" i="24"/>
  <c r="AU19" i="47" l="1"/>
  <c r="Q11"/>
  <c r="AK11" s="1"/>
  <c r="Q15"/>
  <c r="AK15" s="1"/>
  <c r="AT24"/>
  <c r="AV24" s="1"/>
  <c r="AT22"/>
  <c r="AV22" s="1"/>
  <c r="E120" i="48"/>
  <c r="K120" s="1"/>
  <c r="E122"/>
  <c r="C37" i="60"/>
  <c r="C36"/>
  <c r="Q21" i="47"/>
  <c r="AK21" s="1"/>
  <c r="AT18"/>
  <c r="N15" i="30"/>
  <c r="N22" s="1"/>
  <c r="AT12" i="47"/>
  <c r="AT26"/>
  <c r="AV26" s="1"/>
  <c r="Q13"/>
  <c r="AK13" s="1"/>
  <c r="Q17"/>
  <c r="AK17" s="1"/>
  <c r="AU17"/>
  <c r="E121" i="48"/>
  <c r="F31" i="60"/>
  <c r="C31"/>
  <c r="F35"/>
  <c r="C35"/>
  <c r="C32"/>
  <c r="F33"/>
  <c r="C33"/>
  <c r="D36"/>
  <c r="D33"/>
  <c r="D31"/>
  <c r="D35"/>
  <c r="D37"/>
  <c r="AG54" i="47"/>
  <c r="AH46"/>
  <c r="AH54" s="1"/>
  <c r="O20"/>
  <c r="AN20" s="1"/>
  <c r="J28" i="16"/>
  <c r="K122" i="48"/>
  <c r="K125"/>
  <c r="K121"/>
  <c r="E25" i="16"/>
  <c r="J25" s="1"/>
  <c r="I25"/>
  <c r="E123" i="48"/>
  <c r="E111"/>
  <c r="D127"/>
  <c r="C22" i="60" s="1"/>
  <c r="E22" s="1"/>
  <c r="F22" s="1"/>
  <c r="I28" i="16"/>
  <c r="I26"/>
  <c r="F30" i="60"/>
  <c r="J125" i="48"/>
  <c r="F36" i="60"/>
  <c r="J124" i="48"/>
  <c r="K37" i="60"/>
  <c r="J126" i="48"/>
  <c r="F32" i="60"/>
  <c r="S23" i="30"/>
  <c r="O15" i="47"/>
  <c r="AN15" s="1"/>
  <c r="AM15"/>
  <c r="O11"/>
  <c r="AN11" s="1"/>
  <c r="AM11"/>
  <c r="O19"/>
  <c r="AN19" s="1"/>
  <c r="AM19"/>
  <c r="O23"/>
  <c r="AN23" s="1"/>
  <c r="AM23"/>
  <c r="O27"/>
  <c r="AN27" s="1"/>
  <c r="AM27"/>
  <c r="AR14"/>
  <c r="AM14"/>
  <c r="AR18"/>
  <c r="AM18"/>
  <c r="AR10"/>
  <c r="AM10"/>
  <c r="AR26"/>
  <c r="AM26"/>
  <c r="O13"/>
  <c r="AN13" s="1"/>
  <c r="AM13"/>
  <c r="O17"/>
  <c r="AN17" s="1"/>
  <c r="AM17"/>
  <c r="O21"/>
  <c r="AN21" s="1"/>
  <c r="AM21"/>
  <c r="O25"/>
  <c r="AN25" s="1"/>
  <c r="AM25"/>
  <c r="AR12"/>
  <c r="AM12"/>
  <c r="AR16"/>
  <c r="AM16"/>
  <c r="AM20"/>
  <c r="AR24"/>
  <c r="AM24"/>
  <c r="AR22"/>
  <c r="AM22"/>
  <c r="I127" i="48"/>
  <c r="D21" i="60" s="1"/>
  <c r="P30" i="47"/>
  <c r="J120" i="48"/>
  <c r="C127"/>
  <c r="D32" i="52" s="1"/>
  <c r="D35" s="1"/>
  <c r="N30" i="47"/>
  <c r="R9"/>
  <c r="AL9" s="1"/>
  <c r="C15" i="55"/>
  <c r="C16" s="1"/>
  <c r="C38" s="1"/>
  <c r="I30" i="48"/>
  <c r="AD97"/>
  <c r="D132"/>
  <c r="D133"/>
  <c r="D134"/>
  <c r="D135"/>
  <c r="D136"/>
  <c r="D137"/>
  <c r="D138"/>
  <c r="C132"/>
  <c r="C133"/>
  <c r="C134"/>
  <c r="C135"/>
  <c r="C136"/>
  <c r="C137"/>
  <c r="C138"/>
  <c r="I111"/>
  <c r="AD111"/>
  <c r="AD124"/>
  <c r="AD122"/>
  <c r="AD120"/>
  <c r="H30" i="16"/>
  <c r="R13" i="47"/>
  <c r="AL13" s="1"/>
  <c r="R15"/>
  <c r="AL15" s="1"/>
  <c r="R21"/>
  <c r="AL21" s="1"/>
  <c r="R23"/>
  <c r="Q14"/>
  <c r="AK14" s="1"/>
  <c r="AK22"/>
  <c r="R11"/>
  <c r="AL11" s="1"/>
  <c r="R17"/>
  <c r="AL17" s="1"/>
  <c r="R19"/>
  <c r="AL19" s="1"/>
  <c r="R25"/>
  <c r="AL25" s="1"/>
  <c r="R27"/>
  <c r="AL27" s="1"/>
  <c r="Q12"/>
  <c r="AK12" s="1"/>
  <c r="Q16"/>
  <c r="AK16" s="1"/>
  <c r="Q18"/>
  <c r="AK18" s="1"/>
  <c r="Q20"/>
  <c r="AK20" s="1"/>
  <c r="Q10"/>
  <c r="AK10" s="1"/>
  <c r="AK24"/>
  <c r="AK26"/>
  <c r="I30" i="16"/>
  <c r="H33"/>
  <c r="H32"/>
  <c r="C131" i="48"/>
  <c r="D131"/>
  <c r="AJ21" i="47"/>
  <c r="AJ22"/>
  <c r="AL23"/>
  <c r="AK9"/>
  <c r="F46" i="66"/>
  <c r="G47"/>
  <c r="AQ25" i="47"/>
  <c r="AJ25"/>
  <c r="AQ26"/>
  <c r="AJ26"/>
  <c r="AJ23"/>
  <c r="AQ23"/>
  <c r="AQ27"/>
  <c r="AJ27"/>
  <c r="AJ24"/>
  <c r="AQ24"/>
  <c r="AQ28"/>
  <c r="AJ28"/>
  <c r="AJ11"/>
  <c r="AJ15"/>
  <c r="AQ15"/>
  <c r="AJ19"/>
  <c r="AQ19"/>
  <c r="AJ12"/>
  <c r="AJ16"/>
  <c r="AQ16"/>
  <c r="AJ20"/>
  <c r="AJ13"/>
  <c r="AQ13"/>
  <c r="AJ17"/>
  <c r="AQ17"/>
  <c r="AJ14"/>
  <c r="AJ18"/>
  <c r="AJ10"/>
  <c r="AJ9"/>
  <c r="AQ9"/>
  <c r="AJ16" i="66"/>
  <c r="G97" i="48"/>
  <c r="I97" s="1"/>
  <c r="C37" i="16"/>
  <c r="I25" i="48"/>
  <c r="E38" s="1"/>
  <c r="B17" i="30"/>
  <c r="B10" s="1"/>
  <c r="B17" i="28"/>
  <c r="B10" s="1"/>
  <c r="G95" i="48"/>
  <c r="H5" i="25"/>
  <c r="C16" i="52" s="1"/>
  <c r="C16" i="53" s="1"/>
  <c r="B12" i="30"/>
  <c r="B9" s="1"/>
  <c r="B12" i="28"/>
  <c r="B9" s="1"/>
  <c r="J24" i="16"/>
  <c r="E30"/>
  <c r="AQ20" i="47" l="1"/>
  <c r="AR20"/>
  <c r="AU21"/>
  <c r="AQ11"/>
  <c r="AQ21"/>
  <c r="AU12"/>
  <c r="AU18"/>
  <c r="AV18" s="1"/>
  <c r="AT15"/>
  <c r="AT17"/>
  <c r="AV17" s="1"/>
  <c r="AT23"/>
  <c r="AV23" s="1"/>
  <c r="AT19"/>
  <c r="AV19" s="1"/>
  <c r="AU14"/>
  <c r="AV14" s="1"/>
  <c r="AU16"/>
  <c r="AV16" s="1"/>
  <c r="AU11"/>
  <c r="AT20"/>
  <c r="AT21"/>
  <c r="AV21" s="1"/>
  <c r="AT25"/>
  <c r="AV25" s="1"/>
  <c r="AU10"/>
  <c r="AV10" s="1"/>
  <c r="AT27"/>
  <c r="AV27" s="1"/>
  <c r="AU13"/>
  <c r="AV12"/>
  <c r="AT11"/>
  <c r="AV11" s="1"/>
  <c r="AU20"/>
  <c r="AT13"/>
  <c r="AV13" s="1"/>
  <c r="AU15"/>
  <c r="F37" i="60"/>
  <c r="E37"/>
  <c r="C32" i="52"/>
  <c r="C35" s="1"/>
  <c r="K123" i="48"/>
  <c r="E127"/>
  <c r="AD127" s="1"/>
  <c r="AQ10" i="47"/>
  <c r="AQ18"/>
  <c r="AQ14"/>
  <c r="AQ12"/>
  <c r="AR15"/>
  <c r="O30"/>
  <c r="AR25"/>
  <c r="AS25" s="1"/>
  <c r="AR27"/>
  <c r="AR17"/>
  <c r="AS17" s="1"/>
  <c r="AR19"/>
  <c r="R14"/>
  <c r="AL14" s="1"/>
  <c r="AS14" s="1"/>
  <c r="AR21"/>
  <c r="AR13"/>
  <c r="AS13" s="1"/>
  <c r="AR23"/>
  <c r="AS23" s="1"/>
  <c r="AR11"/>
  <c r="AS11" s="1"/>
  <c r="J127" i="48"/>
  <c r="C23" i="60"/>
  <c r="Q30" i="47"/>
  <c r="AD96" i="48"/>
  <c r="I96"/>
  <c r="E99"/>
  <c r="J14" i="24"/>
  <c r="B22" i="28"/>
  <c r="S20" s="1"/>
  <c r="S21" s="1"/>
  <c r="S15" s="1"/>
  <c r="AD123" i="48"/>
  <c r="AD121"/>
  <c r="AD126"/>
  <c r="J15" i="24"/>
  <c r="K32" i="52"/>
  <c r="L32" s="1"/>
  <c r="R10" i="47"/>
  <c r="AL10" s="1"/>
  <c r="AS10" s="1"/>
  <c r="R26"/>
  <c r="AL26" s="1"/>
  <c r="AS26" s="1"/>
  <c r="R16"/>
  <c r="AL16" s="1"/>
  <c r="R20"/>
  <c r="AL20" s="1"/>
  <c r="AA9"/>
  <c r="X9"/>
  <c r="Z9" s="1"/>
  <c r="W9"/>
  <c r="X17"/>
  <c r="Z17" s="1"/>
  <c r="AA17"/>
  <c r="W17"/>
  <c r="R12"/>
  <c r="AL12" s="1"/>
  <c r="X24"/>
  <c r="Z24" s="1"/>
  <c r="W24"/>
  <c r="AA24"/>
  <c r="X15"/>
  <c r="Z15" s="1"/>
  <c r="AA15"/>
  <c r="W15"/>
  <c r="X27"/>
  <c r="Z27" s="1"/>
  <c r="W27"/>
  <c r="AA27"/>
  <c r="X20"/>
  <c r="Z20" s="1"/>
  <c r="W20"/>
  <c r="AA20"/>
  <c r="X12"/>
  <c r="Z12" s="1"/>
  <c r="W12"/>
  <c r="AA12"/>
  <c r="X21"/>
  <c r="Z21" s="1"/>
  <c r="AA21"/>
  <c r="W21"/>
  <c r="X22"/>
  <c r="Z22" s="1"/>
  <c r="AA22"/>
  <c r="W22"/>
  <c r="X19"/>
  <c r="Z19" s="1"/>
  <c r="W19"/>
  <c r="AA19"/>
  <c r="X11"/>
  <c r="Z11" s="1"/>
  <c r="AA11"/>
  <c r="W11"/>
  <c r="X23"/>
  <c r="Z23" s="1"/>
  <c r="W23"/>
  <c r="AA23"/>
  <c r="X16"/>
  <c r="Z16" s="1"/>
  <c r="W16"/>
  <c r="AA16"/>
  <c r="X13"/>
  <c r="Z13" s="1"/>
  <c r="W13"/>
  <c r="AA13"/>
  <c r="X25"/>
  <c r="Z25" s="1"/>
  <c r="AA25"/>
  <c r="W25"/>
  <c r="R24"/>
  <c r="AL24" s="1"/>
  <c r="AS24" s="1"/>
  <c r="R18"/>
  <c r="AL18" s="1"/>
  <c r="AS18" s="1"/>
  <c r="AQ22"/>
  <c r="R22"/>
  <c r="AL22" s="1"/>
  <c r="D32" i="53"/>
  <c r="D41" i="16"/>
  <c r="D40"/>
  <c r="C39"/>
  <c r="D36"/>
  <c r="D39"/>
  <c r="D37"/>
  <c r="C38"/>
  <c r="C40"/>
  <c r="D38"/>
  <c r="E44" i="48"/>
  <c r="C41" i="16"/>
  <c r="C36"/>
  <c r="AS28" i="47"/>
  <c r="H47" i="66"/>
  <c r="G46"/>
  <c r="AS27" i="47"/>
  <c r="AS9"/>
  <c r="AS19"/>
  <c r="AS15"/>
  <c r="AK16" i="66"/>
  <c r="G43" i="52"/>
  <c r="G45" s="1"/>
  <c r="G49"/>
  <c r="M32"/>
  <c r="N32" s="1"/>
  <c r="B20" i="28"/>
  <c r="K54"/>
  <c r="K56" s="1"/>
  <c r="K14" i="24"/>
  <c r="K15"/>
  <c r="J13" i="30"/>
  <c r="J17" s="1"/>
  <c r="C129" s="1"/>
  <c r="E95" i="48"/>
  <c r="I95" s="1"/>
  <c r="J13" i="28"/>
  <c r="J17" s="1"/>
  <c r="C147" s="1"/>
  <c r="G110" i="48"/>
  <c r="J30" i="16"/>
  <c r="G47" i="52"/>
  <c r="AS20" i="47" l="1"/>
  <c r="AS21"/>
  <c r="AV15"/>
  <c r="AV30" s="1"/>
  <c r="AV20"/>
  <c r="AS22"/>
  <c r="K127" i="48"/>
  <c r="C21" i="60"/>
  <c r="E21" s="1"/>
  <c r="F21" s="1"/>
  <c r="AS12" i="47"/>
  <c r="V35"/>
  <c r="C24" i="60"/>
  <c r="E24" s="1"/>
  <c r="F24" s="1"/>
  <c r="E23"/>
  <c r="F23" s="1"/>
  <c r="R30" i="47"/>
  <c r="J18" i="24"/>
  <c r="O14"/>
  <c r="M16" s="1"/>
  <c r="I99" i="48"/>
  <c r="AD99"/>
  <c r="S14" i="28"/>
  <c r="T14" s="1"/>
  <c r="B25" s="1"/>
  <c r="O32" i="52"/>
  <c r="E110" i="48"/>
  <c r="AD110" s="1"/>
  <c r="AD95"/>
  <c r="E45"/>
  <c r="X10" i="47"/>
  <c r="Z10" s="1"/>
  <c r="W10"/>
  <c r="AA10"/>
  <c r="X18"/>
  <c r="Z18" s="1"/>
  <c r="W18"/>
  <c r="AA18"/>
  <c r="X26"/>
  <c r="Z26" s="1"/>
  <c r="W26"/>
  <c r="AA26"/>
  <c r="X14"/>
  <c r="Z14" s="1"/>
  <c r="W14"/>
  <c r="AA14"/>
  <c r="D35" i="53"/>
  <c r="M32"/>
  <c r="N32" s="1"/>
  <c r="O32" s="1"/>
  <c r="G43"/>
  <c r="G45" s="1"/>
  <c r="B20" i="30"/>
  <c r="B22"/>
  <c r="S20" s="1"/>
  <c r="S21" s="1"/>
  <c r="K54"/>
  <c r="K56" s="1"/>
  <c r="K14" i="31"/>
  <c r="K15"/>
  <c r="C42" i="16"/>
  <c r="D42"/>
  <c r="C58" i="30"/>
  <c r="C124"/>
  <c r="C149"/>
  <c r="C137"/>
  <c r="C93"/>
  <c r="C104"/>
  <c r="C100"/>
  <c r="C143"/>
  <c r="C131"/>
  <c r="C147"/>
  <c r="C94"/>
  <c r="H46" i="66"/>
  <c r="I47"/>
  <c r="AS16" i="47"/>
  <c r="AG33" s="1"/>
  <c r="C135" i="30"/>
  <c r="C125"/>
  <c r="C109"/>
  <c r="C67"/>
  <c r="C98"/>
  <c r="C78"/>
  <c r="C57"/>
  <c r="C119"/>
  <c r="C128"/>
  <c r="C71"/>
  <c r="AL16" i="66"/>
  <c r="C92" i="30"/>
  <c r="C106"/>
  <c r="C51"/>
  <c r="C76"/>
  <c r="F9" s="1"/>
  <c r="C53"/>
  <c r="C79"/>
  <c r="C110"/>
  <c r="C72"/>
  <c r="C136"/>
  <c r="C99"/>
  <c r="C66"/>
  <c r="C103"/>
  <c r="C87"/>
  <c r="C120"/>
  <c r="C54"/>
  <c r="C121"/>
  <c r="C102"/>
  <c r="C63"/>
  <c r="C64"/>
  <c r="C91"/>
  <c r="C122"/>
  <c r="C130"/>
  <c r="C141"/>
  <c r="C113"/>
  <c r="C73"/>
  <c r="C117"/>
  <c r="C88"/>
  <c r="C105"/>
  <c r="C132"/>
  <c r="C75"/>
  <c r="C150"/>
  <c r="C146"/>
  <c r="C86"/>
  <c r="O15" i="24"/>
  <c r="C144" i="30"/>
  <c r="C118"/>
  <c r="C60"/>
  <c r="K18" i="24"/>
  <c r="C138" i="30"/>
  <c r="C148"/>
  <c r="C55"/>
  <c r="C83"/>
  <c r="C114"/>
  <c r="C133"/>
  <c r="C89"/>
  <c r="C145"/>
  <c r="C84"/>
  <c r="C108"/>
  <c r="C61"/>
  <c r="C127"/>
  <c r="C77"/>
  <c r="C96"/>
  <c r="C59"/>
  <c r="C123"/>
  <c r="C90"/>
  <c r="C69"/>
  <c r="C140"/>
  <c r="C111"/>
  <c r="C115"/>
  <c r="C142"/>
  <c r="C68"/>
  <c r="C56"/>
  <c r="C62"/>
  <c r="C112"/>
  <c r="C139"/>
  <c r="C101"/>
  <c r="F24" s="1"/>
  <c r="C81"/>
  <c r="C116"/>
  <c r="C82"/>
  <c r="C134"/>
  <c r="C126"/>
  <c r="C74"/>
  <c r="C97"/>
  <c r="C52"/>
  <c r="C85"/>
  <c r="C80"/>
  <c r="C70"/>
  <c r="C95"/>
  <c r="C65"/>
  <c r="C107"/>
  <c r="C122" i="28"/>
  <c r="C55"/>
  <c r="C132"/>
  <c r="C134"/>
  <c r="C63"/>
  <c r="C145"/>
  <c r="C58"/>
  <c r="C85"/>
  <c r="C92"/>
  <c r="C51"/>
  <c r="C64"/>
  <c r="C114"/>
  <c r="C68"/>
  <c r="C84"/>
  <c r="C90"/>
  <c r="C54"/>
  <c r="C121"/>
  <c r="C120"/>
  <c r="C95"/>
  <c r="C123"/>
  <c r="C86"/>
  <c r="C97"/>
  <c r="C76"/>
  <c r="F9" s="1"/>
  <c r="F15" s="1"/>
  <c r="H54" s="1"/>
  <c r="C53"/>
  <c r="C77"/>
  <c r="C67"/>
  <c r="C75"/>
  <c r="C143"/>
  <c r="C116"/>
  <c r="C74"/>
  <c r="C106"/>
  <c r="C138"/>
  <c r="C69"/>
  <c r="C105"/>
  <c r="C137"/>
  <c r="C88"/>
  <c r="C52"/>
  <c r="C56"/>
  <c r="C127"/>
  <c r="C115"/>
  <c r="C135"/>
  <c r="C70"/>
  <c r="C102"/>
  <c r="C65"/>
  <c r="C125"/>
  <c r="C128"/>
  <c r="C87"/>
  <c r="C91"/>
  <c r="C82"/>
  <c r="C146"/>
  <c r="C113"/>
  <c r="C104"/>
  <c r="C79"/>
  <c r="C139"/>
  <c r="C78"/>
  <c r="C142"/>
  <c r="C101"/>
  <c r="F24" s="1"/>
  <c r="F26" s="1"/>
  <c r="J54" s="1"/>
  <c r="C80"/>
  <c r="C108"/>
  <c r="C99"/>
  <c r="C110"/>
  <c r="C73"/>
  <c r="C133"/>
  <c r="C144"/>
  <c r="C103"/>
  <c r="C118"/>
  <c r="C150"/>
  <c r="C81"/>
  <c r="C109"/>
  <c r="C141"/>
  <c r="C96"/>
  <c r="C59"/>
  <c r="C140"/>
  <c r="C119"/>
  <c r="C131"/>
  <c r="C107"/>
  <c r="C66"/>
  <c r="C98"/>
  <c r="C130"/>
  <c r="C61"/>
  <c r="C93"/>
  <c r="C129"/>
  <c r="C72"/>
  <c r="C136"/>
  <c r="C124"/>
  <c r="C111"/>
  <c r="C83"/>
  <c r="C148"/>
  <c r="C62"/>
  <c r="C94"/>
  <c r="C126"/>
  <c r="C57"/>
  <c r="C89"/>
  <c r="C117"/>
  <c r="C149"/>
  <c r="C112"/>
  <c r="C60"/>
  <c r="C71"/>
  <c r="C100"/>
  <c r="C3" i="60"/>
  <c r="C13" s="1"/>
  <c r="C4"/>
  <c r="C6" s="1"/>
  <c r="AA35" i="47" l="1"/>
  <c r="C15" i="60" s="1"/>
  <c r="Z35" i="47"/>
  <c r="J16" i="24"/>
  <c r="S22" i="28"/>
  <c r="N16" i="24"/>
  <c r="L16"/>
  <c r="K16"/>
  <c r="I110" i="48"/>
  <c r="O14" i="31"/>
  <c r="K16" s="1"/>
  <c r="S15" i="30"/>
  <c r="S14" s="1"/>
  <c r="G49" i="53"/>
  <c r="G47"/>
  <c r="K18" i="31"/>
  <c r="J18"/>
  <c r="O15"/>
  <c r="F12" i="28"/>
  <c r="G41" i="52" s="1"/>
  <c r="J47" i="66"/>
  <c r="I46"/>
  <c r="AM16"/>
  <c r="F25" i="28"/>
  <c r="F43" i="52" s="1"/>
  <c r="H56" i="28"/>
  <c r="D49" i="52"/>
  <c r="D47"/>
  <c r="M54" i="28"/>
  <c r="J56"/>
  <c r="F49" i="52"/>
  <c r="F47"/>
  <c r="C8" i="60" l="1"/>
  <c r="F8" i="28"/>
  <c r="F14"/>
  <c r="D43" i="52" s="1"/>
  <c r="D45" s="1"/>
  <c r="F23" i="28"/>
  <c r="F15" i="30"/>
  <c r="H54" s="1"/>
  <c r="F26"/>
  <c r="J54" s="1"/>
  <c r="M16" i="31"/>
  <c r="N16"/>
  <c r="L16"/>
  <c r="J16"/>
  <c r="S22" i="30"/>
  <c r="T14"/>
  <c r="B25" s="1"/>
  <c r="F12" s="1"/>
  <c r="G41" i="53" s="1"/>
  <c r="W35" i="47"/>
  <c r="X35"/>
  <c r="C14" i="60" s="1"/>
  <c r="J46" i="66"/>
  <c r="K47"/>
  <c r="AN16"/>
  <c r="C9" i="60" l="1"/>
  <c r="I43" i="52"/>
  <c r="M54" i="30"/>
  <c r="D49" i="53"/>
  <c r="J56" i="30"/>
  <c r="F49" i="53"/>
  <c r="F47"/>
  <c r="D47"/>
  <c r="H56" i="30"/>
  <c r="F25"/>
  <c r="F43" i="53" s="1"/>
  <c r="F8" i="30"/>
  <c r="F23"/>
  <c r="F14"/>
  <c r="D43" i="53" s="1"/>
  <c r="L47" i="66"/>
  <c r="K46"/>
  <c r="AO16"/>
  <c r="I43" i="53" l="1"/>
  <c r="D45"/>
  <c r="L46" i="66"/>
  <c r="M47"/>
  <c r="AP16"/>
  <c r="N47" l="1"/>
  <c r="M46"/>
  <c r="AQ16"/>
  <c r="N46" l="1"/>
  <c r="O47"/>
  <c r="AR16"/>
  <c r="P47" l="1"/>
  <c r="O46"/>
  <c r="AS16"/>
  <c r="P46" l="1"/>
  <c r="Q47"/>
  <c r="AT16"/>
  <c r="R47" l="1"/>
  <c r="Q46"/>
  <c r="AU16"/>
  <c r="R46" l="1"/>
  <c r="S47"/>
  <c r="AV16"/>
  <c r="T47" l="1"/>
  <c r="S46"/>
  <c r="AW16"/>
  <c r="T46" l="1"/>
  <c r="U47"/>
  <c r="AX16"/>
  <c r="V47" l="1"/>
  <c r="U46"/>
  <c r="AY16"/>
  <c r="V46" l="1"/>
  <c r="W47"/>
  <c r="X47" l="1"/>
  <c r="W46"/>
  <c r="X46" l="1"/>
  <c r="Y47"/>
  <c r="Z47" l="1"/>
  <c r="Y46"/>
  <c r="Z46" l="1"/>
  <c r="AA47"/>
  <c r="AB47" l="1"/>
  <c r="AA46"/>
  <c r="AB46" l="1"/>
  <c r="AC47"/>
  <c r="AD47" l="1"/>
  <c r="AC46"/>
  <c r="AD46" l="1"/>
  <c r="AE47"/>
  <c r="AF47" l="1"/>
  <c r="AE46"/>
  <c r="AF46" l="1"/>
  <c r="AG47"/>
  <c r="AH47" l="1"/>
  <c r="AG46"/>
  <c r="AH46" l="1"/>
  <c r="AI47"/>
  <c r="AJ47" l="1"/>
  <c r="AI46"/>
  <c r="AJ46" l="1"/>
  <c r="AK47"/>
  <c r="AL47" l="1"/>
  <c r="AK46"/>
  <c r="AL46" l="1"/>
  <c r="AM47"/>
  <c r="AN47" l="1"/>
  <c r="AM46"/>
  <c r="AN46" l="1"/>
  <c r="AO47"/>
  <c r="AP47" l="1"/>
  <c r="AO46"/>
  <c r="AP46" l="1"/>
  <c r="AQ47"/>
  <c r="AR47" l="1"/>
  <c r="AQ46"/>
  <c r="AR46" l="1"/>
  <c r="AS47"/>
  <c r="AT47" l="1"/>
  <c r="AS46"/>
  <c r="AT46" l="1"/>
  <c r="AU47"/>
  <c r="AV47" l="1"/>
  <c r="AU46"/>
  <c r="AV46" l="1"/>
  <c r="AW47"/>
  <c r="AX47" l="1"/>
  <c r="AW46"/>
  <c r="AX46" l="1"/>
  <c r="AY47"/>
  <c r="AY46" l="1"/>
</calcChain>
</file>

<file path=xl/comments1.xml><?xml version="1.0" encoding="utf-8"?>
<comments xmlns="http://schemas.openxmlformats.org/spreadsheetml/2006/main">
  <authors>
    <author>TRC</author>
  </authors>
  <commentList>
    <comment ref="B2" authorId="0">
      <text>
        <r>
          <rPr>
            <b/>
            <sz val="8"/>
            <color indexed="81"/>
            <rFont val="Tahoma"/>
            <family val="2"/>
          </rPr>
          <t>TRC:</t>
        </r>
        <r>
          <rPr>
            <sz val="8"/>
            <color indexed="81"/>
            <rFont val="Tahoma"/>
            <family val="2"/>
          </rPr>
          <t xml:space="preserve">
Patched to Version 2.0 on 7/10/2012</t>
        </r>
      </text>
    </comment>
  </commentList>
</comments>
</file>

<file path=xl/comments2.xml><?xml version="1.0" encoding="utf-8"?>
<comments xmlns="http://schemas.openxmlformats.org/spreadsheetml/2006/main">
  <authors>
    <author>Shelley Beaulieu</author>
    <author>Chris DeAlmagro</author>
  </authors>
  <commentList>
    <comment ref="D10" authorId="0">
      <text>
        <r>
          <rPr>
            <sz val="8"/>
            <color indexed="81"/>
            <rFont val="Tahoma"/>
            <family val="2"/>
          </rPr>
          <t xml:space="preserve">Insert N/A only if there is no square footage associated with this space.
</t>
        </r>
      </text>
    </comment>
    <comment ref="E10" authorId="0">
      <text>
        <r>
          <rPr>
            <sz val="8"/>
            <color indexed="81"/>
            <rFont val="Tahoma"/>
            <family val="2"/>
          </rPr>
          <t>Insert N/A only if there is no square footage associated with this space.</t>
        </r>
      </text>
    </comment>
    <comment ref="C34" authorId="1">
      <text>
        <r>
          <rPr>
            <sz val="8"/>
            <color indexed="81"/>
            <rFont val="Tahoma"/>
            <family val="2"/>
          </rPr>
          <t xml:space="preserve">The following format should be used: &lt;Simulation Software&gt; v&lt;version #&gt;.  e.g. eQuest v3.63.
</t>
        </r>
      </text>
    </comment>
    <comment ref="C35" authorId="1">
      <text>
        <r>
          <rPr>
            <sz val="8"/>
            <color indexed="81"/>
            <rFont val="Tahoma"/>
            <family val="2"/>
          </rPr>
          <t xml:space="preserve">Enter the weather file used in the simulation software.  This file should be the one most closely associated with the project.
</t>
        </r>
      </text>
    </comment>
    <comment ref="C38" authorId="1">
      <text>
        <r>
          <rPr>
            <sz val="8"/>
            <color indexed="81"/>
            <rFont val="Tahoma"/>
            <family val="2"/>
          </rPr>
          <t xml:space="preserve">The revision number corresponds to the revision of each milestone.  For example, if this spreadsheet is submitted for the As-built model for the first time, even if there were 3 Proposed submittals, the revision number is 0 (As-built_rev0), not rev3 as it is the first As-built.
</t>
        </r>
      </text>
    </comment>
    <comment ref="B57" authorId="1">
      <text>
        <r>
          <rPr>
            <sz val="8"/>
            <color indexed="81"/>
            <rFont val="Tahoma"/>
            <family val="2"/>
          </rPr>
          <t xml:space="preserve"> If there are other Partner Fees, please replace &lt;Other&gt; with a brief description.
</t>
        </r>
      </text>
    </comment>
  </commentList>
</comments>
</file>

<file path=xl/comments3.xml><?xml version="1.0" encoding="utf-8"?>
<comments xmlns="http://schemas.openxmlformats.org/spreadsheetml/2006/main">
  <authors>
    <author>Shelley Beaulieu</author>
    <author>Chris DeAlmagro</author>
    <author>Gayathri Vijayakumar</author>
  </authors>
  <commentList>
    <comment ref="B13" authorId="0">
      <text>
        <r>
          <rPr>
            <sz val="8"/>
            <color indexed="81"/>
            <rFont val="Tahoma"/>
            <family val="2"/>
          </rPr>
          <t>Enter brief description including thickness of insulation, type of insulation, and framing.  E.g. (4" Rigid Insulation).  
If there are several different wall types, include each type, separated by a semicolon.  In this case, the Detailed Measures tab data that is autogenerated for this measure will likely need to be overwritten.</t>
        </r>
      </text>
    </comment>
    <comment ref="B14" authorId="0">
      <text>
        <r>
          <rPr>
            <sz val="8"/>
            <color indexed="81"/>
            <rFont val="Tahoma"/>
            <family val="2"/>
          </rPr>
          <t>Enter U-value number (e.g. 0.064).
If the building has multiple above grade wall types, enter each U-value separated by a semicolon, in the same order as the wall descriptions given above.</t>
        </r>
      </text>
    </comment>
    <comment ref="B15" authorId="0">
      <text>
        <r>
          <rPr>
            <sz val="8"/>
            <color indexed="81"/>
            <rFont val="Tahoma"/>
            <family val="2"/>
          </rPr>
          <t xml:space="preserve">Enter brief description including thickness of insulation, type of insulation, and framing.  E.g. (4" Rigid Insulation)
</t>
        </r>
      </text>
    </comment>
    <comment ref="B16" authorId="0">
      <text>
        <r>
          <rPr>
            <sz val="8"/>
            <color indexed="81"/>
            <rFont val="Tahoma"/>
            <family val="2"/>
          </rPr>
          <t xml:space="preserve">Enter U-value number (e.g. 0.090).
</t>
        </r>
      </text>
    </comment>
    <comment ref="B17" authorId="0">
      <text>
        <r>
          <rPr>
            <sz val="8"/>
            <color indexed="81"/>
            <rFont val="Tahoma"/>
            <family val="2"/>
          </rPr>
          <t>Enter brief description including thickness of insulation, type of insulation, and framing.  Separate different wall types using a semicolon. E.g. (4" Rigid Insulation (North Wall); 5" Rigid Insulation (All Other).</t>
        </r>
      </text>
    </comment>
    <comment ref="B18" authorId="0">
      <text>
        <r>
          <rPr>
            <sz val="8"/>
            <color indexed="81"/>
            <rFont val="Tahoma"/>
            <family val="2"/>
          </rPr>
          <t>Enter C-value number (e.g. 0.119).</t>
        </r>
      </text>
    </comment>
    <comment ref="B19" authorId="0">
      <text>
        <r>
          <rPr>
            <sz val="8"/>
            <color indexed="81"/>
            <rFont val="Tahoma"/>
            <family val="2"/>
          </rPr>
          <t>Enter brief description including thickness of insulation, type of insulation, and framing.</t>
        </r>
      </text>
    </comment>
    <comment ref="B20" authorId="0">
      <text>
        <r>
          <rPr>
            <sz val="8"/>
            <color indexed="81"/>
            <rFont val="Tahoma"/>
            <family val="2"/>
          </rPr>
          <t>Enter U-value number (e.g. 0.038).</t>
        </r>
      </text>
    </comment>
    <comment ref="B21" authorId="0">
      <text>
        <r>
          <rPr>
            <sz val="8"/>
            <color indexed="81"/>
            <rFont val="Tahoma"/>
            <family val="2"/>
          </rPr>
          <t>Enter brief description including thickness of insulation, type of insulation, and framing.</t>
        </r>
      </text>
    </comment>
    <comment ref="B22" authorId="0">
      <text>
        <r>
          <rPr>
            <sz val="8"/>
            <color indexed="81"/>
            <rFont val="Tahoma"/>
            <family val="2"/>
          </rPr>
          <t xml:space="preserve">Enter F-value number (e.g. 0.540).
</t>
        </r>
      </text>
    </comment>
    <comment ref="B23" authorId="0">
      <text>
        <r>
          <rPr>
            <sz val="8"/>
            <color indexed="81"/>
            <rFont val="Tahoma"/>
            <family val="2"/>
          </rPr>
          <t>Enter brief description including thickness of insulation, type of insulation, and framing.</t>
        </r>
      </text>
    </comment>
    <comment ref="B24" authorId="0">
      <text>
        <r>
          <rPr>
            <sz val="8"/>
            <color indexed="81"/>
            <rFont val="Tahoma"/>
            <family val="2"/>
          </rPr>
          <t xml:space="preserve">Enter F-value number (e.g. 0.540).
</t>
        </r>
      </text>
    </comment>
    <comment ref="B25" authorId="0">
      <text>
        <r>
          <rPr>
            <sz val="8"/>
            <color indexed="81"/>
            <rFont val="Tahoma"/>
            <family val="2"/>
          </rPr>
          <t>Enter brief description including thickness of insulation, type of insulation, and framing.</t>
        </r>
      </text>
    </comment>
    <comment ref="B26" authorId="0">
      <text>
        <r>
          <rPr>
            <sz val="8"/>
            <color indexed="81"/>
            <rFont val="Tahoma"/>
            <family val="2"/>
          </rPr>
          <t>Enter C-value number (e.g. 1.140).</t>
        </r>
      </text>
    </comment>
    <comment ref="B27" authorId="0">
      <text>
        <r>
          <rPr>
            <sz val="8"/>
            <color indexed="81"/>
            <rFont val="Tahoma"/>
            <family val="2"/>
          </rPr>
          <t>Enter brief description including thickness of insulation, type of insulation, and framing.</t>
        </r>
      </text>
    </comment>
    <comment ref="B28" authorId="0">
      <text>
        <r>
          <rPr>
            <sz val="8"/>
            <color indexed="81"/>
            <rFont val="Tahoma"/>
            <family val="2"/>
          </rPr>
          <t>Enter U-value number (e.g. 0.480).</t>
        </r>
      </text>
    </comment>
    <comment ref="B29" authorId="0">
      <text>
        <r>
          <rPr>
            <sz val="8"/>
            <color indexed="81"/>
            <rFont val="Tahoma"/>
            <family val="2"/>
          </rPr>
          <t xml:space="preserve">Window-to-wall ratio is taken as the sum of all window area, including decorative glass and skylights, divided by the total exterior above-grade wall area.
</t>
        </r>
      </text>
    </comment>
    <comment ref="B30" authorId="0">
      <text>
        <r>
          <rPr>
            <sz val="8"/>
            <color indexed="81"/>
            <rFont val="Tahoma"/>
            <family val="2"/>
          </rPr>
          <t>Enter frame type (e.g. Vinyl frame)</t>
        </r>
      </text>
    </comment>
    <comment ref="B31" authorId="0">
      <text>
        <r>
          <rPr>
            <sz val="8"/>
            <color indexed="81"/>
            <rFont val="Tahoma"/>
            <family val="2"/>
          </rPr>
          <t>Enter glazing type (e.g. Double-paned, argon-filled)</t>
        </r>
      </text>
    </comment>
    <comment ref="B32" authorId="0">
      <text>
        <r>
          <rPr>
            <sz val="8"/>
            <color indexed="81"/>
            <rFont val="Tahoma"/>
            <family val="2"/>
          </rPr>
          <t xml:space="preserve">Enter U-value number (e.g. 0.064).
</t>
        </r>
      </text>
    </comment>
    <comment ref="B33" authorId="0">
      <text>
        <r>
          <rPr>
            <sz val="8"/>
            <color indexed="81"/>
            <rFont val="Tahoma"/>
            <family val="2"/>
          </rPr>
          <t>Enter SHGC number (e.g. 0.40).</t>
        </r>
      </text>
    </comment>
    <comment ref="B34" authorId="0">
      <text>
        <r>
          <rPr>
            <sz val="8"/>
            <color indexed="81"/>
            <rFont val="Tahoma"/>
            <family val="2"/>
          </rPr>
          <t>Enter type of shanding device, if applicable.</t>
        </r>
      </text>
    </comment>
    <comment ref="B35" authorId="0">
      <text>
        <r>
          <rPr>
            <sz val="8"/>
            <color indexed="81"/>
            <rFont val="Tahoma"/>
            <family val="2"/>
          </rPr>
          <t xml:space="preserve">Enter type of door (e.g. Swinging opaque).
</t>
        </r>
      </text>
    </comment>
    <comment ref="B36" authorId="0">
      <text>
        <r>
          <rPr>
            <sz val="8"/>
            <color indexed="81"/>
            <rFont val="Tahoma"/>
            <family val="2"/>
          </rPr>
          <t>Enter U-value number (e.g. 0.70).</t>
        </r>
      </text>
    </comment>
    <comment ref="B40" authorId="0">
      <text>
        <r>
          <rPr>
            <sz val="8"/>
            <color indexed="81"/>
            <rFont val="Tahoma"/>
            <family val="2"/>
          </rPr>
          <t xml:space="preserve">Enter LPD number (e.g. 0.7).
</t>
        </r>
      </text>
    </comment>
    <comment ref="B41" authorId="0">
      <text>
        <r>
          <rPr>
            <sz val="8"/>
            <color indexed="81"/>
            <rFont val="Tahoma"/>
            <family val="2"/>
          </rPr>
          <t xml:space="preserve">List each applicable space type and its associated LPD (e.g. Lobby: 1.3 W/SF).
</t>
        </r>
      </text>
    </comment>
    <comment ref="B42" authorId="0">
      <text>
        <r>
          <rPr>
            <sz val="8"/>
            <color indexed="81"/>
            <rFont val="Tahoma"/>
            <family val="2"/>
          </rPr>
          <t xml:space="preserve">Include type of lighting controls and the space(s) the control(s) serve (e.g. Occupancy Sensors - Stairwells).
</t>
        </r>
      </text>
    </comment>
    <comment ref="B43" authorId="0">
      <text>
        <r>
          <rPr>
            <sz val="8"/>
            <color indexed="81"/>
            <rFont val="Tahoma"/>
            <family val="2"/>
          </rPr>
          <t>Enter total lighting power (kW).</t>
        </r>
      </text>
    </comment>
    <comment ref="B44" authorId="0">
      <text>
        <r>
          <rPr>
            <sz val="8"/>
            <color indexed="81"/>
            <rFont val="Tahoma"/>
            <family val="2"/>
          </rPr>
          <t xml:space="preserve">Enter LPD number (W/SF).
</t>
        </r>
      </text>
    </comment>
    <comment ref="B45" authorId="0">
      <text>
        <r>
          <rPr>
            <sz val="8"/>
            <color indexed="81"/>
            <rFont val="Tahoma"/>
            <family val="2"/>
          </rPr>
          <t xml:space="preserve">Enter total lighting power (kW).
</t>
        </r>
      </text>
    </comment>
    <comment ref="H48" authorId="0">
      <text>
        <r>
          <rPr>
            <sz val="8"/>
            <color indexed="81"/>
            <rFont val="Tahoma"/>
            <family val="2"/>
          </rPr>
          <t xml:space="preserve">Enter Manufacturer only if the equipment is installed in the buidling.
</t>
        </r>
      </text>
    </comment>
    <comment ref="I48" authorId="0">
      <text>
        <r>
          <rPr>
            <sz val="8"/>
            <color indexed="81"/>
            <rFont val="Tahoma"/>
            <family val="2"/>
          </rPr>
          <t xml:space="preserve">Enter model number only if the equipment is installed in the buidling.
</t>
        </r>
      </text>
    </comment>
    <comment ref="B57" authorId="0">
      <text>
        <r>
          <rPr>
            <sz val="8"/>
            <color indexed="81"/>
            <rFont val="Tahoma"/>
            <family val="2"/>
          </rPr>
          <t xml:space="preserve">Choose type of stove (electric or gas).
</t>
        </r>
      </text>
    </comment>
    <comment ref="B58" authorId="1">
      <text>
        <r>
          <rPr>
            <sz val="8"/>
            <color indexed="81"/>
            <rFont val="Tahoma"/>
            <family val="2"/>
          </rPr>
          <t xml:space="preserve">Replace "&lt;Other Appliance&gt;" with the appliance type, or leave blank if there are no other appliance types.
</t>
        </r>
      </text>
    </comment>
    <comment ref="G63" authorId="0">
      <text>
        <r>
          <rPr>
            <sz val="8"/>
            <color indexed="81"/>
            <rFont val="Tahoma"/>
            <family val="2"/>
          </rPr>
          <t xml:space="preserve">Enter Manufacturer only if the equipment is installed in the buidling.
</t>
        </r>
      </text>
    </comment>
    <comment ref="H63" authorId="0">
      <text>
        <r>
          <rPr>
            <sz val="8"/>
            <color indexed="81"/>
            <rFont val="Tahoma"/>
            <family val="2"/>
          </rPr>
          <t xml:space="preserve">Enter model number only if the equipment is installed in the buidling.
</t>
        </r>
      </text>
    </comment>
    <comment ref="J63" authorId="0">
      <text>
        <r>
          <rPr>
            <sz val="8"/>
            <color indexed="81"/>
            <rFont val="Tahoma"/>
            <family val="2"/>
          </rPr>
          <t xml:space="preserve">Enter the spaces served in this space.  (e.g. apartments, common area, whole building, corridor, etc.)
</t>
        </r>
      </text>
    </comment>
    <comment ref="B64" authorId="0">
      <text>
        <r>
          <rPr>
            <sz val="8"/>
            <color indexed="81"/>
            <rFont val="Tahoma"/>
            <family val="2"/>
          </rPr>
          <t xml:space="preserve">The primary system is the system that serves the majority of the building.
</t>
        </r>
      </text>
    </comment>
    <comment ref="B66" authorId="0">
      <text>
        <r>
          <rPr>
            <sz val="8"/>
            <color indexed="81"/>
            <rFont val="Tahoma"/>
            <family val="2"/>
          </rPr>
          <t xml:space="preserve">Choose correct units of efficiency (AFUE, COP, Ec, Et or HSPF).
</t>
        </r>
      </text>
    </comment>
    <comment ref="D66" authorId="2">
      <text>
        <r>
          <rPr>
            <sz val="9"/>
            <color indexed="81"/>
            <rFont val="Calibri"/>
            <family val="2"/>
            <scheme val="minor"/>
          </rPr>
          <t>For System 1:
Appendix G, G3.1.3.2:
Efficiency depends on capacity calculated by model:
80% AFUE:  &lt;300,000 BTUH
80% Et:  300,000 -2,500,000 BTUH</t>
        </r>
        <r>
          <rPr>
            <sz val="12"/>
            <color indexed="81"/>
            <rFont val="Tahoma"/>
            <family val="2"/>
          </rPr>
          <t xml:space="preserve">
</t>
        </r>
      </text>
    </comment>
    <comment ref="B67" authorId="0">
      <text>
        <r>
          <rPr>
            <sz val="8"/>
            <color indexed="81"/>
            <rFont val="Tahoma"/>
            <family val="2"/>
          </rPr>
          <t xml:space="preserve">Enter the total capacity of the primary heating system (e.g. enter 2 MMBTU for two 1 MMBTU boilers).
</t>
        </r>
      </text>
    </comment>
    <comment ref="D68" authorId="0">
      <text>
        <r>
          <rPr>
            <sz val="8"/>
            <color indexed="81"/>
            <rFont val="Tahoma"/>
            <family val="2"/>
          </rPr>
          <t>If there is &gt;20,000 SF of contiguous non-residential space, use additional system type for nonpredominant conditions (using ASHRAE Tables G3.1.1A and G3.1.1B) in that space.</t>
        </r>
      </text>
    </comment>
    <comment ref="B70" authorId="0">
      <text>
        <r>
          <rPr>
            <sz val="8"/>
            <color indexed="81"/>
            <rFont val="Tahoma"/>
            <family val="2"/>
          </rPr>
          <t>Choose correct units of efficiency (AFUE, COP, Ec, Et or HSPF).</t>
        </r>
      </text>
    </comment>
    <comment ref="B74" authorId="0">
      <text>
        <r>
          <rPr>
            <sz val="8"/>
            <color indexed="81"/>
            <rFont val="Tahoma"/>
            <family val="2"/>
          </rPr>
          <t xml:space="preserve">Choose correct units of efficiency (AFUE, COP, Ec, Et or HSPF).
</t>
        </r>
      </text>
    </comment>
    <comment ref="G79" authorId="0">
      <text>
        <r>
          <rPr>
            <sz val="8"/>
            <color indexed="81"/>
            <rFont val="Tahoma"/>
            <family val="2"/>
          </rPr>
          <t xml:space="preserve">Enter Manufacturer only if the equipment is installed in the buidling.
</t>
        </r>
      </text>
    </comment>
    <comment ref="H79" authorId="0">
      <text>
        <r>
          <rPr>
            <sz val="8"/>
            <color indexed="81"/>
            <rFont val="Tahoma"/>
            <family val="2"/>
          </rPr>
          <t xml:space="preserve">Enter model number only if the equipment is installed in the buidling.
</t>
        </r>
      </text>
    </comment>
    <comment ref="J79" authorId="0">
      <text>
        <r>
          <rPr>
            <sz val="8"/>
            <color indexed="81"/>
            <rFont val="Tahoma"/>
            <family val="2"/>
          </rPr>
          <t xml:space="preserve">Enter the spaces served in this space.  (e.g. apartments, common area, whole building, corridor, etc.)
</t>
        </r>
      </text>
    </comment>
    <comment ref="B80" authorId="0">
      <text>
        <r>
          <rPr>
            <sz val="8"/>
            <color indexed="81"/>
            <rFont val="Tahoma"/>
            <family val="2"/>
          </rPr>
          <t>The primary system is the system that serves the majority of the building.</t>
        </r>
      </text>
    </comment>
    <comment ref="B82" authorId="0">
      <text>
        <r>
          <rPr>
            <sz val="8"/>
            <color indexed="81"/>
            <rFont val="Tahoma"/>
            <family val="2"/>
          </rPr>
          <t xml:space="preserve">Choose correct units of efficiency (EER, SEER).
</t>
        </r>
      </text>
    </comment>
    <comment ref="B83" authorId="0">
      <text>
        <r>
          <rPr>
            <sz val="8"/>
            <color indexed="81"/>
            <rFont val="Tahoma"/>
            <family val="2"/>
          </rPr>
          <t xml:space="preserve">Enter the total capacity of the primary cooling system (e.g. enter 12 tons for twelve 1 ton ACs).
</t>
        </r>
      </text>
    </comment>
    <comment ref="B86" authorId="0">
      <text>
        <r>
          <rPr>
            <sz val="8"/>
            <color indexed="81"/>
            <rFont val="Tahoma"/>
            <family val="2"/>
          </rPr>
          <t xml:space="preserve">Choose correct units of efficiency (EER, SEER).
</t>
        </r>
      </text>
    </comment>
    <comment ref="B87" authorId="0">
      <text>
        <r>
          <rPr>
            <sz val="8"/>
            <color indexed="81"/>
            <rFont val="Tahoma"/>
            <family val="2"/>
          </rPr>
          <t>Enter the total capacity of the primary cooling system (e.g. enter 12 tons for twelve 1 ton ACs).</t>
        </r>
      </text>
    </comment>
    <comment ref="H90" authorId="0">
      <text>
        <r>
          <rPr>
            <sz val="8"/>
            <color indexed="81"/>
            <rFont val="Tahoma"/>
            <family val="2"/>
          </rPr>
          <t xml:space="preserve">Enter Manufacturer only if the equipment is installed in the buidling.
</t>
        </r>
      </text>
    </comment>
    <comment ref="I90" authorId="0">
      <text>
        <r>
          <rPr>
            <sz val="8"/>
            <color indexed="81"/>
            <rFont val="Tahoma"/>
            <family val="2"/>
          </rPr>
          <t xml:space="preserve">Enter model number only if the equipment is installed in the buidling.
</t>
        </r>
      </text>
    </comment>
    <comment ref="B95" authorId="0">
      <text>
        <r>
          <rPr>
            <sz val="8"/>
            <color indexed="81"/>
            <rFont val="Tahoma"/>
            <family val="2"/>
          </rPr>
          <t xml:space="preserve">Indicate any cooling system control parameters that will be needed in the Proposed design model.  (e.g., Cooling tower fan motor is equipped with VFD controlled by temperature sensor on condenser water supply pipe.)
</t>
        </r>
      </text>
    </comment>
    <comment ref="G112" authorId="0">
      <text>
        <r>
          <rPr>
            <sz val="8"/>
            <color indexed="81"/>
            <rFont val="Tahoma"/>
            <family val="2"/>
          </rPr>
          <t>Enter Manufacturer only if the equipment is installed in the buidling.</t>
        </r>
      </text>
    </comment>
    <comment ref="H112" authorId="0">
      <text>
        <r>
          <rPr>
            <sz val="8"/>
            <color indexed="81"/>
            <rFont val="Tahoma"/>
            <family val="2"/>
          </rPr>
          <t xml:space="preserve">Enter model number only if the equipment is installed in the buidling.
</t>
        </r>
      </text>
    </comment>
    <comment ref="B114" authorId="0">
      <text>
        <r>
          <rPr>
            <sz val="8"/>
            <color indexed="81"/>
            <rFont val="Tahoma"/>
            <family val="2"/>
          </rPr>
          <t xml:space="preserve">Choose correct units of efficiency (EF or Et).
</t>
        </r>
      </text>
    </comment>
    <comment ref="B115" authorId="0">
      <text>
        <r>
          <rPr>
            <sz val="8"/>
            <color indexed="81"/>
            <rFont val="Tahoma"/>
            <family val="2"/>
          </rPr>
          <t xml:space="preserve">Enter the total capacity of the DHW system (e.g. enter 90 for three 30,000 Btu/h DHW heaters).
</t>
        </r>
      </text>
    </comment>
    <comment ref="D125" authorId="0">
      <text>
        <r>
          <rPr>
            <sz val="8"/>
            <color indexed="81"/>
            <rFont val="Tahoma"/>
            <family val="2"/>
          </rPr>
          <t>For shower stalls with multiple showerheads, the 2.5 GPM applies to the entire stall.</t>
        </r>
      </text>
    </comment>
    <comment ref="H131" authorId="0">
      <text>
        <r>
          <rPr>
            <sz val="8"/>
            <color indexed="81"/>
            <rFont val="Tahoma"/>
            <family val="2"/>
          </rPr>
          <t xml:space="preserve">Enter Manufacturer only if the equipment is installed in the buidling.
</t>
        </r>
      </text>
    </comment>
    <comment ref="I131" authorId="0">
      <text>
        <r>
          <rPr>
            <sz val="8"/>
            <color indexed="81"/>
            <rFont val="Tahoma"/>
            <family val="2"/>
          </rPr>
          <t xml:space="preserve">Enter model number only if the equipment is installed in the buidling.
</t>
        </r>
      </text>
    </comment>
    <comment ref="B132" authorId="0">
      <text>
        <r>
          <rPr>
            <sz val="8"/>
            <color indexed="81"/>
            <rFont val="Tahoma"/>
            <family val="2"/>
          </rPr>
          <t xml:space="preserve">As-Built model shall reflect ventilation flowrates measured during testing.
</t>
        </r>
      </text>
    </comment>
    <comment ref="G132" authorId="0">
      <text>
        <r>
          <rPr>
            <sz val="8"/>
            <color indexed="81"/>
            <rFont val="Tahoma"/>
            <family val="2"/>
          </rPr>
          <t>Enter number of rooms of this type with mechanical exhaust.</t>
        </r>
      </text>
    </comment>
    <comment ref="G133" authorId="0">
      <text>
        <r>
          <rPr>
            <sz val="8"/>
            <color indexed="81"/>
            <rFont val="Tahoma"/>
            <family val="2"/>
          </rPr>
          <t>Enter number of rooms of this type with mechanical exhaust.</t>
        </r>
      </text>
    </comment>
    <comment ref="G135" authorId="0">
      <text>
        <r>
          <rPr>
            <sz val="8"/>
            <color indexed="81"/>
            <rFont val="Tahoma"/>
            <family val="2"/>
          </rPr>
          <t>Enter number of roof-top exhaust fans serving apartments.</t>
        </r>
      </text>
    </comment>
    <comment ref="B140" authorId="0">
      <text>
        <r>
          <rPr>
            <sz val="8"/>
            <color indexed="81"/>
            <rFont val="Tahoma"/>
            <family val="2"/>
          </rPr>
          <t xml:space="preserve">Provide total CFM of mechanical ventilation provided in corridors.
Confirm with MEP that ventilation meets the minimum requirements of local code and ASHRAE 62.1-2007.
</t>
        </r>
      </text>
    </comment>
    <comment ref="G141" authorId="0">
      <text>
        <r>
          <rPr>
            <sz val="8"/>
            <color indexed="81"/>
            <rFont val="Tahoma"/>
            <family val="2"/>
          </rPr>
          <t>Enter number of roof-top exhaust fans serving non-apartment spaces.</t>
        </r>
      </text>
    </comment>
    <comment ref="B145" authorId="0">
      <text>
        <r>
          <rPr>
            <sz val="8"/>
            <color indexed="81"/>
            <rFont val="Tahoma"/>
            <family val="2"/>
          </rPr>
          <t xml:space="preserve">If taking the duct-sealing credit, assume 5 CFM per floor per shaft in the Proposed, but replace with tested leakage in AS-BUILT model. 
</t>
        </r>
      </text>
    </comment>
    <comment ref="B147" authorId="0">
      <text>
        <r>
          <rPr>
            <sz val="8"/>
            <color indexed="81"/>
            <rFont val="Tahoma"/>
            <family val="2"/>
          </rPr>
          <t>List affected system, if applicable.</t>
        </r>
      </text>
    </comment>
    <comment ref="B154" authorId="0">
      <text>
        <r>
          <rPr>
            <sz val="8"/>
            <color indexed="81"/>
            <rFont val="Tahoma"/>
            <family val="2"/>
          </rPr>
          <t xml:space="preserve">For example, reduced fan runtime from installing CO sensors in residential-associated garages may be modeled using 8.4 hr/day fan runtime in Proposed Design, compared to 24 hr/day runtime in the Baseline Building Design.
</t>
        </r>
      </text>
    </comment>
    <comment ref="B155" authorId="0">
      <text>
        <r>
          <rPr>
            <sz val="8"/>
            <color indexed="81"/>
            <rFont val="Tahoma"/>
            <family val="2"/>
          </rPr>
          <t xml:space="preserve">Demand control ventilation(DCV) is defined in ASHRAE as: "a ventilation system capability that provides for the </t>
        </r>
        <r>
          <rPr>
            <i/>
            <sz val="8"/>
            <color indexed="81"/>
            <rFont val="Tahoma"/>
            <family val="2"/>
          </rPr>
          <t>automatic</t>
        </r>
        <r>
          <rPr>
            <sz val="8"/>
            <color indexed="81"/>
            <rFont val="Tahoma"/>
            <family val="2"/>
          </rPr>
          <t xml:space="preserve"> reduction of outdoor air intake below design rates when the actual occupancy of spaces served by the system is less than design occupancy." Individual exhaust ventilation in kitchens and bathrooms with manual control or interlocked with lighting switch does not qualify as DCV measure.</t>
        </r>
      </text>
    </comment>
    <comment ref="B160" authorId="0">
      <text>
        <r>
          <rPr>
            <sz val="8"/>
            <color indexed="81"/>
            <rFont val="Tahoma"/>
            <family val="2"/>
          </rPr>
          <t>If your building has any 3-phase, not integrated motors over 1 hp not covered in the heating and DHW tables above, please enter their information here.</t>
        </r>
      </text>
    </comment>
    <comment ref="B164" authorId="0">
      <text>
        <r>
          <rPr>
            <sz val="8"/>
            <color indexed="81"/>
            <rFont val="Tahoma"/>
            <family val="2"/>
          </rPr>
          <t>Solar PV, Wind, and CHP should have units of kW (e.g. 50 kW).  Solar Thermal should have units of SqFt of collector area (e.g. 300 SqFt).</t>
        </r>
      </text>
    </comment>
  </commentList>
</comments>
</file>

<file path=xl/comments4.xml><?xml version="1.0" encoding="utf-8"?>
<comments xmlns="http://schemas.openxmlformats.org/spreadsheetml/2006/main">
  <authors>
    <author>Shelley Beaulieu</author>
  </authors>
  <commentList>
    <comment ref="AF33" authorId="0">
      <text>
        <r>
          <rPr>
            <b/>
            <sz val="8"/>
            <color indexed="81"/>
            <rFont val="Tahoma"/>
            <family val="2"/>
          </rPr>
          <t>Shelley Beaulieu:</t>
        </r>
        <r>
          <rPr>
            <sz val="8"/>
            <color indexed="81"/>
            <rFont val="Tahoma"/>
            <family val="2"/>
          </rPr>
          <t xml:space="preserve">
Incentives per incentive schedule</t>
        </r>
      </text>
    </comment>
    <comment ref="AJ44" authorId="0">
      <text>
        <r>
          <rPr>
            <sz val="8"/>
            <color indexed="81"/>
            <rFont val="Tahoma"/>
            <family val="2"/>
          </rPr>
          <t>Entered from CRIS Funding tab.</t>
        </r>
      </text>
    </comment>
  </commentList>
</comments>
</file>

<file path=xl/sharedStrings.xml><?xml version="1.0" encoding="utf-8"?>
<sst xmlns="http://schemas.openxmlformats.org/spreadsheetml/2006/main" count="21482" uniqueCount="4630">
  <si>
    <t>$/Gallon</t>
  </si>
  <si>
    <t>Fossil Fuel, Btu</t>
  </si>
  <si>
    <t>MMbtu</t>
  </si>
  <si>
    <t xml:space="preserve">Baseline 
Annual Consumption </t>
  </si>
  <si>
    <t>Proposed Design 
Annual Consumption</t>
  </si>
  <si>
    <t>% Savings</t>
  </si>
  <si>
    <t>Electric loads</t>
  </si>
  <si>
    <t>Ventilation fans</t>
  </si>
  <si>
    <t>Space heating</t>
  </si>
  <si>
    <t>Space cooling</t>
  </si>
  <si>
    <t>Domestic hot water</t>
  </si>
  <si>
    <t>Interior lighting</t>
  </si>
  <si>
    <t>Other (describe)</t>
  </si>
  <si>
    <t>Plug loads</t>
  </si>
  <si>
    <t>Gas loads</t>
  </si>
  <si>
    <t>Fuel oil loads</t>
  </si>
  <si>
    <t>Totals</t>
  </si>
  <si>
    <t>Oil loads</t>
  </si>
  <si>
    <t>Apartment</t>
  </si>
  <si>
    <t>Table 4. ENERGY STAR Portfolio Manager Input</t>
  </si>
  <si>
    <t>Gross Floor Area</t>
  </si>
  <si>
    <t xml:space="preserve">Number of bedrooms </t>
  </si>
  <si>
    <t>Number of Floors</t>
  </si>
  <si>
    <t xml:space="preserve">Number of in-apartment laundry hookups </t>
  </si>
  <si>
    <t xml:space="preserve">Number of common area laundry hookups </t>
  </si>
  <si>
    <t xml:space="preserve">Number of dishwashers </t>
  </si>
  <si>
    <t>% gross floor area that is heated</t>
  </si>
  <si>
    <t>% gross floor area that is cooled</t>
  </si>
  <si>
    <t>3 - Bedroom</t>
  </si>
  <si>
    <t>4 - Bedroom</t>
  </si>
  <si>
    <t>Total Square Ft</t>
  </si>
  <si>
    <t>Conditioned?</t>
  </si>
  <si>
    <t>Heated &amp; Cooled</t>
  </si>
  <si>
    <t>Unconditioned</t>
  </si>
  <si>
    <t>Heated-Only</t>
  </si>
  <si>
    <t>Cooled-Only</t>
  </si>
  <si>
    <t>Table 5. Comparison of Inputs</t>
  </si>
  <si>
    <t>Table 6. Comparison of Estimated Consumption</t>
  </si>
  <si>
    <t>Table 7. Fuel Cost</t>
  </si>
  <si>
    <t>Table 8. Performance Rating Calculation</t>
  </si>
  <si>
    <t>Table 9. Energy Usage per Square Foot of Conditioned Area</t>
  </si>
  <si>
    <t>993</t>
  </si>
  <si>
    <t>"Richland"</t>
  </si>
  <si>
    <t>948</t>
  </si>
  <si>
    <t>"Richmond"</t>
  </si>
  <si>
    <t>230</t>
  </si>
  <si>
    <t>231</t>
  </si>
  <si>
    <t>232</t>
  </si>
  <si>
    <t>='Design Assistant'!I17</t>
  </si>
  <si>
    <t>CDD</t>
  </si>
  <si>
    <t>HDD</t>
  </si>
  <si>
    <t>"Wisconsin"</t>
  </si>
  <si>
    <t>"Eau Claire"</t>
  </si>
  <si>
    <t>MINNEAPOLIS-ST.PAUL    MN</t>
  </si>
  <si>
    <t>624</t>
  </si>
  <si>
    <t>"Effingham"</t>
  </si>
  <si>
    <t>798</t>
  </si>
  <si>
    <t>"El Paso"</t>
  </si>
  <si>
    <t>MIDLAND-ODESSA    TX</t>
  </si>
  <si>
    <t>El Paso</t>
  </si>
  <si>
    <t>TXELPASO.txt</t>
  </si>
  <si>
    <t>799</t>
  </si>
  <si>
    <t>EL PASO    TX</t>
  </si>
  <si>
    <t>279</t>
  </si>
  <si>
    <t>"Elizabeth City"</t>
  </si>
  <si>
    <t>NORFOLK    VA</t>
  </si>
  <si>
    <t>Norfolk</t>
  </si>
  <si>
    <t xml:space="preserve">VANORFOL.txt </t>
  </si>
  <si>
    <t>072</t>
  </si>
  <si>
    <t>"Elizabeth"</t>
  </si>
  <si>
    <t>NEWARK    NJ</t>
  </si>
  <si>
    <t>Newark</t>
  </si>
  <si>
    <t>NJNEWARK.txt</t>
  </si>
  <si>
    <t>427</t>
  </si>
  <si>
    <t>"Elizabethtown"</t>
  </si>
  <si>
    <t>898</t>
  </si>
  <si>
    <t>"Elko"</t>
  </si>
  <si>
    <t>Annual Maint. ($)</t>
  </si>
  <si>
    <t>File Name</t>
  </si>
  <si>
    <t>Case Description</t>
  </si>
  <si>
    <t>MBtu</t>
  </si>
  <si>
    <t>kBtu/sf/yr</t>
  </si>
  <si>
    <t>TDV-MBtu</t>
  </si>
  <si>
    <t>"Hyannis"</t>
  </si>
  <si>
    <t>834</t>
  </si>
  <si>
    <t>"Idaho Falls"</t>
  </si>
  <si>
    <t>POCATELLO    ID</t>
  </si>
  <si>
    <t>Pocatello</t>
  </si>
  <si>
    <t>IDPOCATE.txt</t>
  </si>
  <si>
    <t>673</t>
  </si>
  <si>
    <t>"Independence"</t>
  </si>
  <si>
    <t>157</t>
  </si>
  <si>
    <t>460</t>
  </si>
  <si>
    <t>"Indianapolis"</t>
  </si>
  <si>
    <t>461</t>
  </si>
  <si>
    <t>462</t>
  </si>
  <si>
    <t>903</t>
  </si>
  <si>
    <t>"Inglewood"</t>
  </si>
  <si>
    <t>LOS ANGELES AP    CA</t>
  </si>
  <si>
    <t>498</t>
  </si>
  <si>
    <t>"Iron Mountain"</t>
  </si>
  <si>
    <t>MARQUETTE    MI</t>
  </si>
  <si>
    <t>148</t>
  </si>
  <si>
    <t>"Ithaca"</t>
  </si>
  <si>
    <t>SYRACUSE    NY</t>
  </si>
  <si>
    <t>492</t>
  </si>
  <si>
    <t>"Jackson"</t>
  </si>
  <si>
    <t>390</t>
  </si>
  <si>
    <t>391</t>
  </si>
  <si>
    <t>392</t>
  </si>
  <si>
    <t>383</t>
  </si>
  <si>
    <t>830</t>
  </si>
  <si>
    <t>LANDER    WY</t>
  </si>
  <si>
    <t>320</t>
  </si>
  <si>
    <t>"Jacksonville"</t>
  </si>
  <si>
    <t>JACKSONVILLE    FL</t>
  </si>
  <si>
    <t>321</t>
  </si>
  <si>
    <t>322</t>
  </si>
  <si>
    <t>114</t>
  </si>
  <si>
    <t>"Jamaica"</t>
  </si>
  <si>
    <t>584</t>
  </si>
  <si>
    <t>"Jamestown"</t>
  </si>
  <si>
    <t>147</t>
  </si>
  <si>
    <t>355</t>
  </si>
  <si>
    <t>"Jasper"</t>
  </si>
  <si>
    <t>650</t>
  </si>
  <si>
    <t>"Jefferson_City"</t>
  </si>
  <si>
    <t>651</t>
  </si>
  <si>
    <t>073</t>
  </si>
  <si>
    <t>"Jersey_City"</t>
  </si>
  <si>
    <t>376</t>
  </si>
  <si>
    <t>"Johnson City"</t>
  </si>
  <si>
    <t>159</t>
  </si>
  <si>
    <t>"Johnstown"</t>
  </si>
  <si>
    <t>724</t>
  </si>
  <si>
    <t>"Jonesboro"</t>
  </si>
  <si>
    <t>648</t>
  </si>
  <si>
    <t>"Joplin"</t>
  </si>
  <si>
    <t>998</t>
  </si>
  <si>
    <t>"Juneau"</t>
  </si>
  <si>
    <t>JUNEAU    AK</t>
  </si>
  <si>
    <t>Juneau</t>
  </si>
  <si>
    <t>AKJUNEAU.txt</t>
  </si>
  <si>
    <t>490</t>
  </si>
  <si>
    <t>"Kalamazoo"</t>
  </si>
  <si>
    <t>491</t>
  </si>
  <si>
    <t>599</t>
  </si>
  <si>
    <t>"Kalispell"</t>
  </si>
  <si>
    <t>kWh</t>
  </si>
  <si>
    <t>kW</t>
  </si>
  <si>
    <t>$</t>
  </si>
  <si>
    <t>"Newport"</t>
  </si>
  <si>
    <t>143</t>
  </si>
  <si>
    <t>"Niagara Falls"</t>
  </si>
  <si>
    <t>687</t>
  </si>
  <si>
    <t>"Norfolk"</t>
  </si>
  <si>
    <t>"Meridian"</t>
  </si>
  <si>
    <t>330</t>
  </si>
  <si>
    <t>"Miami"</t>
  </si>
  <si>
    <t>KEY WEST    FL</t>
  </si>
  <si>
    <t>331</t>
  </si>
  <si>
    <t>332</t>
  </si>
  <si>
    <t>409</t>
  </si>
  <si>
    <t>"Middlesboro"</t>
  </si>
  <si>
    <t>797</t>
  </si>
  <si>
    <t>"Midland"</t>
  </si>
  <si>
    <t>Midland Odessa</t>
  </si>
  <si>
    <t>TXMIDLAN.txt</t>
  </si>
  <si>
    <t>593</t>
  </si>
  <si>
    <t>"Miles City"</t>
  </si>
  <si>
    <t>GLASGOW    MT</t>
  </si>
  <si>
    <t>530</t>
  </si>
  <si>
    <t>"Milwaukee"</t>
  </si>
  <si>
    <t>Milwaukee</t>
  </si>
  <si>
    <t>WIMILWAU.txt</t>
  </si>
  <si>
    <t>531</t>
  </si>
  <si>
    <t>532</t>
  </si>
  <si>
    <t>MILWAUKEE    WI</t>
  </si>
  <si>
    <t>533</t>
  </si>
  <si>
    <t>553</t>
  </si>
  <si>
    <t>"Minneapolis"</t>
  </si>
  <si>
    <t>554</t>
  </si>
  <si>
    <t>115</t>
  </si>
  <si>
    <t>"Minneola"</t>
  </si>
  <si>
    <t>587</t>
  </si>
  <si>
    <t>"Minot"</t>
  </si>
  <si>
    <t>WILLISTON    ND</t>
  </si>
  <si>
    <t>598</t>
  </si>
  <si>
    <t>"Missoula"</t>
  </si>
  <si>
    <t>573</t>
  </si>
  <si>
    <t>"Mitchell"</t>
  </si>
  <si>
    <t>365</t>
  </si>
  <si>
    <t>"Mobile"</t>
  </si>
  <si>
    <t>366</t>
  </si>
  <si>
    <t>576</t>
  </si>
  <si>
    <t>"Mobridge"</t>
  </si>
  <si>
    <t>712</t>
  </si>
  <si>
    <t>"Monroe"</t>
  </si>
  <si>
    <t>939</t>
  </si>
  <si>
    <t>"Monterey"</t>
  </si>
  <si>
    <t>SAN FRANCISCO C.O.    CA</t>
  </si>
  <si>
    <t>San Francisco</t>
  </si>
  <si>
    <t>CASANFRA.txt</t>
  </si>
  <si>
    <t>360</t>
  </si>
  <si>
    <t>"Montgomery"</t>
  </si>
  <si>
    <t>361</t>
  </si>
  <si>
    <t>Source kBtu</t>
  </si>
  <si>
    <t>Source kBtu / unit</t>
  </si>
  <si>
    <t>Source kBtu @ 168 hours</t>
  </si>
  <si>
    <t>Bldg ES Target Site EU</t>
  </si>
  <si>
    <t>Bldg ES Target Source EU</t>
  </si>
  <si>
    <t>Assumed 0.75 times residental kBtu/SF.</t>
  </si>
  <si>
    <t>COOLP</t>
  </si>
  <si>
    <t>Based on CBECS 99 averages (~200 kBtu/sqft).</t>
  </si>
  <si>
    <t>Adjustment Factor =</t>
  </si>
  <si>
    <t>NA</t>
  </si>
  <si>
    <t>HEATP</t>
  </si>
  <si>
    <t>Assume parking light operating hrs are 84</t>
  </si>
  <si>
    <t>Bldg Site Total</t>
  </si>
  <si>
    <t># of apartments</t>
  </si>
  <si>
    <t>GPM</t>
  </si>
  <si>
    <t>C0</t>
  </si>
  <si>
    <t>Lsqftreg</t>
  </si>
  <si>
    <t>C1</t>
  </si>
  <si>
    <t>LSQFTREG</t>
  </si>
  <si>
    <t>mean sqftreg=</t>
  </si>
  <si>
    <t>cddcoolp</t>
  </si>
  <si>
    <t>C2</t>
  </si>
  <si>
    <t>hddheatp</t>
  </si>
  <si>
    <t>C3</t>
  </si>
  <si>
    <t>bedrooms</t>
  </si>
  <si>
    <t>C4</t>
  </si>
  <si>
    <t>BEDROOMS</t>
  </si>
  <si>
    <t>Benchmark Score</t>
  </si>
  <si>
    <t xml:space="preserve">Adj Ln Source kBtu </t>
  </si>
  <si>
    <t>Customized Adj Ln Source kBtu</t>
  </si>
  <si>
    <t>Gamma Fitting Not Done</t>
  </si>
  <si>
    <t>E Star Design</t>
  </si>
  <si>
    <t>Your Bldg</t>
  </si>
  <si>
    <t>Delta to min E Star design</t>
  </si>
  <si>
    <t>Building Source Energy Use (kBtu/year)</t>
  </si>
  <si>
    <t>Building Source E Use Intensity  (kBtu/ft2-year)</t>
  </si>
  <si>
    <r>
      <t>kBtu/</t>
    </r>
    <r>
      <rPr>
        <sz val="11"/>
        <rFont val="Arial"/>
        <family val="2"/>
      </rPr>
      <t>year</t>
    </r>
  </si>
  <si>
    <t>actual</t>
  </si>
  <si>
    <t>climate mapped</t>
  </si>
  <si>
    <t>weather normalization mapped</t>
  </si>
  <si>
    <t>zip_code</t>
  </si>
  <si>
    <t>zip_state</t>
  </si>
  <si>
    <t>zip_city</t>
  </si>
  <si>
    <t>city state</t>
  </si>
  <si>
    <t>state</t>
  </si>
  <si>
    <t>city</t>
  </si>
  <si>
    <t>file name</t>
  </si>
  <si>
    <t>User</t>
  </si>
  <si>
    <t>574</t>
  </si>
  <si>
    <t>"South_Dakota"</t>
  </si>
  <si>
    <t>SD</t>
  </si>
  <si>
    <t>"Aberdeen"</t>
  </si>
  <si>
    <t>ABERDEEN    SD</t>
  </si>
  <si>
    <t>Fargo</t>
  </si>
  <si>
    <t>ND</t>
  </si>
  <si>
    <t>NDFARGO.txt</t>
  </si>
  <si>
    <t>795</t>
  </si>
  <si>
    <t>"Texas"</t>
  </si>
  <si>
    <t>TX</t>
  </si>
  <si>
    <t>"Abilene"</t>
  </si>
  <si>
    <t>ABILENE    TX</t>
  </si>
  <si>
    <t>Abilene</t>
  </si>
  <si>
    <t>TXABILEN.txt</t>
  </si>
  <si>
    <t>796</t>
  </si>
  <si>
    <t>036</t>
  </si>
  <si>
    <t>"New_Hampshire"</t>
  </si>
  <si>
    <t>NH</t>
  </si>
  <si>
    <t>"Acworth"</t>
  </si>
  <si>
    <t>CONCORD    NH</t>
  </si>
  <si>
    <t>Concord</t>
  </si>
  <si>
    <t>NHCONCOR.txt</t>
  </si>
  <si>
    <t>790</t>
  </si>
  <si>
    <t>"Adrian"</t>
  </si>
  <si>
    <t>AMARILLO    TX</t>
  </si>
  <si>
    <t>Amarillo</t>
  </si>
  <si>
    <t>TXAMARIL.txt</t>
  </si>
  <si>
    <t>298</t>
  </si>
  <si>
    <t>"South_Carolina"</t>
  </si>
  <si>
    <t>SC</t>
  </si>
  <si>
    <t>"Aiken"</t>
  </si>
  <si>
    <t>COLUMBIA    SC</t>
  </si>
  <si>
    <t>Columbia</t>
  </si>
  <si>
    <t>SCCOLMBA.txt</t>
  </si>
  <si>
    <t>714</t>
  </si>
  <si>
    <t>"Louisiana"</t>
  </si>
  <si>
    <t>LA</t>
  </si>
  <si>
    <t>540</t>
  </si>
  <si>
    <t>"River Falls"</t>
  </si>
  <si>
    <t>119</t>
  </si>
  <si>
    <t>"Riverhead"</t>
  </si>
  <si>
    <t>925</t>
  </si>
  <si>
    <t>"Riverside"</t>
  </si>
  <si>
    <t>825</t>
  </si>
  <si>
    <t>"Riverton"</t>
  </si>
  <si>
    <t>240</t>
  </si>
  <si>
    <t>"Roanoke"</t>
  </si>
  <si>
    <t>241</t>
  </si>
  <si>
    <t>559</t>
  </si>
  <si>
    <t>"Rochester"</t>
  </si>
  <si>
    <t>144</t>
  </si>
  <si>
    <t>145</t>
  </si>
  <si>
    <t>146</t>
  </si>
  <si>
    <t>612</t>
  </si>
  <si>
    <t>"Rock Island"</t>
  </si>
  <si>
    <t>829</t>
  </si>
  <si>
    <t>"Rock Springs"</t>
  </si>
  <si>
    <t>297</t>
  </si>
  <si>
    <t>"Rock_Hill"</t>
  </si>
  <si>
    <t>610</t>
  </si>
  <si>
    <t>"Rockford"</t>
  </si>
  <si>
    <t>611</t>
  </si>
  <si>
    <t>048</t>
  </si>
  <si>
    <t>"Rockland"</t>
  </si>
  <si>
    <t>208</t>
  </si>
  <si>
    <t>"Rockville"</t>
  </si>
  <si>
    <t>278</t>
  </si>
  <si>
    <t>"Rocky Mount"</t>
  </si>
  <si>
    <t>654</t>
  </si>
  <si>
    <t>"Rolla"</t>
  </si>
  <si>
    <t>655</t>
  </si>
  <si>
    <t>882</t>
  </si>
  <si>
    <t>"Roswell"</t>
  </si>
  <si>
    <t>ROSWELL    NM</t>
  </si>
  <si>
    <t>480</t>
  </si>
  <si>
    <t>"Royal Oak"</t>
  </si>
  <si>
    <t>728</t>
  </si>
  <si>
    <t>"Russellville"</t>
  </si>
  <si>
    <t>422</t>
  </si>
  <si>
    <t>057</t>
  </si>
  <si>
    <t>"Rutland"</t>
  </si>
  <si>
    <t>958</t>
  </si>
  <si>
    <t>"Sacramento"</t>
  </si>
  <si>
    <t>942</t>
  </si>
  <si>
    <t>"Sacramento/Placerville"</t>
  </si>
  <si>
    <t>956</t>
  </si>
  <si>
    <t>486</t>
  </si>
  <si>
    <t>"Saginaw"</t>
  </si>
  <si>
    <t>487</t>
  </si>
  <si>
    <t>633</t>
  </si>
  <si>
    <t>"Saint Charles"</t>
  </si>
  <si>
    <t>563</t>
  </si>
  <si>
    <t>"Saint Cloud"</t>
  </si>
  <si>
    <t>644</t>
  </si>
  <si>
    <t>"Saint Joseph"</t>
  </si>
  <si>
    <t>645</t>
  </si>
  <si>
    <t>630</t>
  </si>
  <si>
    <t>"Saint Louis"</t>
  </si>
  <si>
    <t>631</t>
  </si>
  <si>
    <t>632</t>
  </si>
  <si>
    <t>550</t>
  </si>
  <si>
    <t>"Saint Paul"</t>
  </si>
  <si>
    <t>551</t>
  </si>
  <si>
    <t>973</t>
  </si>
  <si>
    <t>"Salem"</t>
  </si>
  <si>
    <t>812</t>
  </si>
  <si>
    <t>"Salida"</t>
  </si>
  <si>
    <t>674</t>
  </si>
  <si>
    <t>"Salina"</t>
  </si>
  <si>
    <t>218</t>
  </si>
  <si>
    <t>"Salisbury"</t>
  </si>
  <si>
    <t>WALLOPS ISLAND    VA</t>
  </si>
  <si>
    <t>841</t>
  </si>
  <si>
    <t>"Salt Lake City"</t>
  </si>
  <si>
    <t>840</t>
  </si>
  <si>
    <t>"Salt Lake City/Heber City"</t>
  </si>
  <si>
    <t>769</t>
  </si>
  <si>
    <t>"San Angelo"</t>
  </si>
  <si>
    <t>SAN ANGELO    TX</t>
  </si>
  <si>
    <t>San Angelo</t>
  </si>
  <si>
    <t>TXSANANG.txt</t>
  </si>
  <si>
    <t>781</t>
  </si>
  <si>
    <t>"San Antonio"</t>
  </si>
  <si>
    <t>782</t>
  </si>
  <si>
    <t>923</t>
  </si>
  <si>
    <t>"San Bern./Victorville/Redlands"</t>
  </si>
  <si>
    <t>924</t>
  </si>
  <si>
    <t>"San Bernardino"</t>
  </si>
  <si>
    <t>919</t>
  </si>
  <si>
    <t>"San Diego"</t>
  </si>
  <si>
    <t>920</t>
  </si>
  <si>
    <t>921</t>
  </si>
  <si>
    <t>941</t>
  </si>
  <si>
    <t>"San Francisco"</t>
  </si>
  <si>
    <t>"Aimwell"</t>
  </si>
  <si>
    <t>SHREVEPORT    LA</t>
  </si>
  <si>
    <t>Shreveport</t>
  </si>
  <si>
    <t>LASHREVE.txt</t>
  </si>
  <si>
    <t>442</t>
  </si>
  <si>
    <t>"Ohio"</t>
  </si>
  <si>
    <t>OH</t>
  </si>
  <si>
    <t>"Akron"</t>
  </si>
  <si>
    <t>AKRON    OH</t>
  </si>
  <si>
    <t>Akron Canton</t>
  </si>
  <si>
    <t>OHAKRON.txt</t>
  </si>
  <si>
    <t>443</t>
  </si>
  <si>
    <t>811</t>
  </si>
  <si>
    <t>"Colorado"</t>
  </si>
  <si>
    <t>CO</t>
  </si>
  <si>
    <t>"Alamosa"</t>
  </si>
  <si>
    <t>ALAMOSA    CO</t>
  </si>
  <si>
    <t>Colorado Springs</t>
  </si>
  <si>
    <t>COCOSPGS.txt</t>
  </si>
  <si>
    <t>317</t>
  </si>
  <si>
    <t>"Georgia"</t>
  </si>
  <si>
    <t>GA</t>
  </si>
  <si>
    <t>"Albany"</t>
  </si>
  <si>
    <t>COLUMBUS    GA</t>
  </si>
  <si>
    <t>Columbus</t>
  </si>
  <si>
    <t>GACOLMBS.txt</t>
  </si>
  <si>
    <t>120</t>
  </si>
  <si>
    <t>"New_York"</t>
  </si>
  <si>
    <t>NY</t>
  </si>
  <si>
    <t>ALBANY    NY</t>
  </si>
  <si>
    <t>Albany</t>
  </si>
  <si>
    <t>NYALBANY.txt</t>
  </si>
  <si>
    <t>121</t>
  </si>
  <si>
    <t>122</t>
  </si>
  <si>
    <t>871</t>
  </si>
  <si>
    <t>"New_Mexico"</t>
  </si>
  <si>
    <t>NM</t>
  </si>
  <si>
    <t>"Albuquerque"</t>
  </si>
  <si>
    <t>ALBUQUERQUE    NM</t>
  </si>
  <si>
    <t>Albuquerque</t>
  </si>
  <si>
    <t>NMALBUQU.txt</t>
  </si>
  <si>
    <t>872</t>
  </si>
  <si>
    <t>713</t>
  </si>
  <si>
    <t>"Alexandria"</t>
  </si>
  <si>
    <t>223</t>
  </si>
  <si>
    <t>"Virginia"</t>
  </si>
  <si>
    <t>VA</t>
  </si>
  <si>
    <t>WASHINGTON NAT'L AP DC</t>
  </si>
  <si>
    <t>DC</t>
  </si>
  <si>
    <t>Washington</t>
  </si>
  <si>
    <t>MD</t>
  </si>
  <si>
    <t>MDWASHDC.txt</t>
  </si>
  <si>
    <t>918</t>
  </si>
  <si>
    <t>"California"</t>
  </si>
  <si>
    <t>CA</t>
  </si>
  <si>
    <t>"Alhambra"</t>
  </si>
  <si>
    <t>LOS ANGELES C.O.    CA</t>
  </si>
  <si>
    <t>Los Angeles</t>
  </si>
  <si>
    <t>CALOSANG.txt</t>
  </si>
  <si>
    <t>181</t>
  </si>
  <si>
    <t>"Pennsylvania"</t>
  </si>
  <si>
    <t>PA</t>
  </si>
  <si>
    <t>"Allentown"</t>
  </si>
  <si>
    <t>ALLENTOWN    PA</t>
  </si>
  <si>
    <t>Allentown</t>
  </si>
  <si>
    <t>PAALLENT.txt</t>
  </si>
  <si>
    <t>693</t>
  </si>
  <si>
    <t>"Nebraska"</t>
  </si>
  <si>
    <t>NE</t>
  </si>
  <si>
    <t>"Alliance"</t>
  </si>
  <si>
    <t>RAPID CITY    SD</t>
  </si>
  <si>
    <t>Rapid City</t>
  </si>
  <si>
    <t>SDRAPCTY.txt</t>
  </si>
  <si>
    <t>166</t>
  </si>
  <si>
    <t>"Altoona"</t>
  </si>
  <si>
    <t>PITTSBURGH    PA</t>
  </si>
  <si>
    <t>Pittsburgh</t>
  </si>
  <si>
    <t>PAPITTSB.txt</t>
  </si>
  <si>
    <t>791</t>
  </si>
  <si>
    <t>"Amarillo"</t>
  </si>
  <si>
    <t>928</t>
  </si>
  <si>
    <t>"Anaheim"</t>
  </si>
  <si>
    <t>LONG BEACH    CA</t>
  </si>
  <si>
    <t>995</t>
  </si>
  <si>
    <t>"Alaska"</t>
  </si>
  <si>
    <t>AK</t>
  </si>
  <si>
    <t>"Anchorage"</t>
  </si>
  <si>
    <t>ANCHORAGE    AK</t>
  </si>
  <si>
    <t>Anchorage</t>
  </si>
  <si>
    <t>AKANCHOR.txt</t>
  </si>
  <si>
    <t>996</t>
  </si>
  <si>
    <t>289</t>
  </si>
  <si>
    <t>"North_Carolina"</t>
  </si>
  <si>
    <t>NC</t>
  </si>
  <si>
    <t>"Andrews"</t>
  </si>
  <si>
    <t>KNOXVILLE    TN</t>
  </si>
  <si>
    <t>TN</t>
  </si>
  <si>
    <t>Knoxville</t>
  </si>
  <si>
    <t>TNKNOXVI.txt</t>
  </si>
  <si>
    <t>481</t>
  </si>
  <si>
    <t>"Michigan"</t>
  </si>
  <si>
    <t>MI</t>
  </si>
  <si>
    <t>"Ann Arbor"</t>
  </si>
  <si>
    <t>DETROIT    MI</t>
  </si>
  <si>
    <t>Detroit</t>
  </si>
  <si>
    <t>MIDETROI.txt</t>
  </si>
  <si>
    <t>214</t>
  </si>
  <si>
    <t>"Maryland"</t>
  </si>
  <si>
    <t>"Annapolis"</t>
  </si>
  <si>
    <t>BALTIMORE    MD</t>
  </si>
  <si>
    <t>Baltimore</t>
  </si>
  <si>
    <t>MDBALTIM.txt</t>
  </si>
  <si>
    <t>362</t>
  </si>
  <si>
    <t>"Alabama"</t>
  </si>
  <si>
    <t>AL</t>
  </si>
  <si>
    <t>"Anniston"</t>
  </si>
  <si>
    <t>BIRMINGHAM AP    AL</t>
  </si>
  <si>
    <t>Birmingham</t>
  </si>
  <si>
    <t xml:space="preserve">ALBIRMIN.txt </t>
  </si>
  <si>
    <t>734</t>
  </si>
  <si>
    <t>"Oklahoma"</t>
  </si>
  <si>
    <t>OK</t>
  </si>
  <si>
    <t>"Ardmore"</t>
  </si>
  <si>
    <t>DALLAS-FORT WORTH    TX</t>
  </si>
  <si>
    <t>Dallas Ft Worth</t>
  </si>
  <si>
    <t>TXDALLAS.txt</t>
  </si>
  <si>
    <t>222</t>
  </si>
  <si>
    <t>"Arlington"</t>
  </si>
  <si>
    <t>287</t>
  </si>
  <si>
    <t>"Asheville"</t>
  </si>
  <si>
    <t>BRISTOL-JHNSN CTY-KNGSPRT    TN</t>
  </si>
  <si>
    <t>Asheville</t>
  </si>
  <si>
    <t>NCASHEVI.txt</t>
  </si>
  <si>
    <t>288</t>
  </si>
  <si>
    <t>ASHEVILLE    NC</t>
  </si>
  <si>
    <t>411</t>
  </si>
  <si>
    <t>"Kentucky"</t>
  </si>
  <si>
    <t>KY</t>
  </si>
  <si>
    <t>"Ashland"</t>
  </si>
  <si>
    <t>Units</t>
  </si>
  <si>
    <t>Appliances</t>
  </si>
  <si>
    <t>Raleigh Durham</t>
  </si>
  <si>
    <t>NCRALEIG.txt</t>
  </si>
  <si>
    <t>620</t>
  </si>
  <si>
    <t>"East Saint Louis"</t>
  </si>
  <si>
    <t>622</t>
  </si>
  <si>
    <t>216</t>
  </si>
  <si>
    <t>"Easton"</t>
  </si>
  <si>
    <t>547</t>
  </si>
  <si>
    <t>"Erie"</t>
  </si>
  <si>
    <t>165</t>
  </si>
  <si>
    <t>974</t>
  </si>
  <si>
    <t>"Eugene"</t>
  </si>
  <si>
    <t>EUGENE    OR</t>
  </si>
  <si>
    <t>Eugene</t>
  </si>
  <si>
    <t>OREUGENE.txt</t>
  </si>
  <si>
    <t>955</t>
  </si>
  <si>
    <t>"Eureka"</t>
  </si>
  <si>
    <t>EUREKA    CA</t>
  </si>
  <si>
    <t>Medford</t>
  </si>
  <si>
    <t>ORMEDFOR.txt</t>
  </si>
  <si>
    <t>602</t>
  </si>
  <si>
    <t>"Evanston"</t>
  </si>
  <si>
    <t>476</t>
  </si>
  <si>
    <t>Electric Usage:</t>
  </si>
  <si>
    <t>Non-Coincident Peak Demand:</t>
  </si>
  <si>
    <t>Coincident Peak Demand:</t>
  </si>
  <si>
    <t>Fuel Usage:</t>
  </si>
  <si>
    <t>Source Energy:</t>
  </si>
  <si>
    <t>TDV Energy:</t>
  </si>
  <si>
    <t>Annual Utility Costs:</t>
  </si>
  <si>
    <t>SS-D</t>
  </si>
  <si>
    <t>PS-E</t>
  </si>
  <si>
    <t>BEPS</t>
  </si>
  <si>
    <t>TDV1</t>
  </si>
  <si>
    <t>ES-E</t>
  </si>
  <si>
    <t>Peak Cooling</t>
  </si>
  <si>
    <t>Ambient</t>
  </si>
  <si>
    <t>Task</t>
  </si>
  <si>
    <t>Misc</t>
  </si>
  <si>
    <t>Space</t>
  </si>
  <si>
    <t>Heat</t>
  </si>
  <si>
    <t>Ventilation</t>
  </si>
  <si>
    <t>Refrig</t>
  </si>
  <si>
    <t>Heat Pump</t>
  </si>
  <si>
    <t>Domestic</t>
  </si>
  <si>
    <t>Exterior</t>
  </si>
  <si>
    <t>Bldg</t>
  </si>
  <si>
    <t>Run</t>
  </si>
  <si>
    <t>Internal</t>
  </si>
  <si>
    <t>Case</t>
  </si>
  <si>
    <t>Short</t>
  </si>
  <si>
    <t>Carry</t>
  </si>
  <si>
    <t>Incremental</t>
  </si>
  <si>
    <t>Coil Load</t>
  </si>
  <si>
    <t>Lights</t>
  </si>
  <si>
    <t>Equip</t>
  </si>
  <si>
    <t>Heating</t>
  </si>
  <si>
    <t>Reject</t>
  </si>
  <si>
    <t>&amp; Aux</t>
  </si>
  <si>
    <t>Fans</t>
  </si>
  <si>
    <t>WVELKINS.txt</t>
  </si>
  <si>
    <t>264</t>
  </si>
  <si>
    <t>994</t>
  </si>
  <si>
    <t>"Washington"</t>
  </si>
  <si>
    <t>"Clarkston"</t>
  </si>
  <si>
    <t>PENDLETON    OR</t>
  </si>
  <si>
    <t>346</t>
  </si>
  <si>
    <t>"Clearwater"</t>
  </si>
  <si>
    <t>440</t>
  </si>
  <si>
    <t>"Cleveland"</t>
  </si>
  <si>
    <t>CLEVELAND    OH</t>
  </si>
  <si>
    <t>Cleveland</t>
  </si>
  <si>
    <t>OHCLEVEL.txt</t>
  </si>
  <si>
    <t>441</t>
  </si>
  <si>
    <t>736</t>
  </si>
  <si>
    <t>"Clinton"</t>
  </si>
  <si>
    <t>OKLAHOMA CITY    OK</t>
  </si>
  <si>
    <t>"Palo Alto"</t>
  </si>
  <si>
    <t>324</t>
  </si>
  <si>
    <t>"Panama City"</t>
  </si>
  <si>
    <t>APALACHICOLA    FL</t>
  </si>
  <si>
    <t>Tallahassee</t>
  </si>
  <si>
    <t>FLTALLAH.txt</t>
  </si>
  <si>
    <t>261</t>
  </si>
  <si>
    <t>"Parkersburg"</t>
  </si>
  <si>
    <t>910</t>
  </si>
  <si>
    <t>"Pasadena"</t>
  </si>
  <si>
    <t>911</t>
  </si>
  <si>
    <t>074</t>
  </si>
  <si>
    <t>"Paterson"</t>
  </si>
  <si>
    <t>075</t>
  </si>
  <si>
    <t>978</t>
  </si>
  <si>
    <t>"Pendleton"</t>
  </si>
  <si>
    <t>TNNASHVI.txt</t>
  </si>
  <si>
    <t>318</t>
  </si>
  <si>
    <t>"Columbus"</t>
  </si>
  <si>
    <t>MACON    GA</t>
  </si>
  <si>
    <t>319</t>
  </si>
  <si>
    <t>472</t>
  </si>
  <si>
    <t>397</t>
  </si>
  <si>
    <t>"Mississippi"</t>
  </si>
  <si>
    <t>686</t>
  </si>
  <si>
    <t>GRAND ISLAND    NE</t>
  </si>
  <si>
    <t>Lincoln</t>
  </si>
  <si>
    <t>NELINCOL.txt</t>
  </si>
  <si>
    <t>430</t>
  </si>
  <si>
    <t>431</t>
  </si>
  <si>
    <t>432</t>
  </si>
  <si>
    <t>945</t>
  </si>
  <si>
    <t>"Concord"</t>
  </si>
  <si>
    <t>SACRAMENTO    CA</t>
  </si>
  <si>
    <t>Sacramento</t>
  </si>
  <si>
    <t>CASACRAM.txt</t>
  </si>
  <si>
    <t>033</t>
  </si>
  <si>
    <t>669</t>
  </si>
  <si>
    <t>"Concordia"</t>
  </si>
  <si>
    <t>CONCORDIA    KS</t>
  </si>
  <si>
    <t>Topeka</t>
  </si>
  <si>
    <t>KSTOPEKA.txt</t>
  </si>
  <si>
    <t>WORCESTER    MA</t>
  </si>
  <si>
    <t>Boston</t>
  </si>
  <si>
    <t>MABOSTON.txt</t>
  </si>
  <si>
    <t>021</t>
  </si>
  <si>
    <t>BOSTON    MA</t>
  </si>
  <si>
    <t>022</t>
  </si>
  <si>
    <t>803</t>
  </si>
  <si>
    <t>"Boulder"</t>
  </si>
  <si>
    <t>DENVER    CO</t>
  </si>
  <si>
    <t>Denver</t>
  </si>
  <si>
    <t>CODENVER.txt</t>
  </si>
  <si>
    <t>421</t>
  </si>
  <si>
    <t>"Bowling Green"</t>
  </si>
  <si>
    <t>LOUISVILLE    KY</t>
  </si>
  <si>
    <t>Louisville</t>
  </si>
  <si>
    <t>KYLOUISV.txt</t>
  </si>
  <si>
    <t>434</t>
  </si>
  <si>
    <t>TOLEDO    OH</t>
  </si>
  <si>
    <t>Toledo</t>
  </si>
  <si>
    <t>OHTOLEDO.txt</t>
  </si>
  <si>
    <t>342</t>
  </si>
  <si>
    <t>"Florida"</t>
  </si>
  <si>
    <t>FL</t>
  </si>
  <si>
    <t>"Bradenton"</t>
  </si>
  <si>
    <t>TAMPA    FL</t>
  </si>
  <si>
    <t>Tampa St. Petersburg</t>
  </si>
  <si>
    <t>FLTAMPA.txt</t>
  </si>
  <si>
    <t>167</t>
  </si>
  <si>
    <t>"Bradford"</t>
  </si>
  <si>
    <t>ERIE    PA</t>
  </si>
  <si>
    <t>Erie</t>
  </si>
  <si>
    <t>PAERIE.txt</t>
  </si>
  <si>
    <t>564</t>
  </si>
  <si>
    <t>"Brainerd"</t>
  </si>
  <si>
    <t>SAINT CLOUD    MN</t>
  </si>
  <si>
    <t>Minneapolis St. Paul</t>
  </si>
  <si>
    <t>MNMINPLS.txt</t>
  </si>
  <si>
    <t>053</t>
  </si>
  <si>
    <t>"Brattleboro"</t>
  </si>
  <si>
    <t>066</t>
  </si>
  <si>
    <t>"Connecticut"</t>
  </si>
  <si>
    <t>CT</t>
  </si>
  <si>
    <t>"Bridgeport"</t>
  </si>
  <si>
    <t>BRIDGEPORT    CT</t>
  </si>
  <si>
    <t>Bridgeport</t>
  </si>
  <si>
    <t>CTBRIDGE.txt</t>
  </si>
  <si>
    <t>242</t>
  </si>
  <si>
    <t>"Bristol"</t>
  </si>
  <si>
    <t>023</t>
  </si>
  <si>
    <t>Oklahoma City</t>
  </si>
  <si>
    <t>OKOKLCTY.txt</t>
  </si>
  <si>
    <t>881</t>
  </si>
  <si>
    <t>"Clovis"</t>
  </si>
  <si>
    <t>CLAYTON    NM</t>
  </si>
  <si>
    <t>838</t>
  </si>
  <si>
    <t>"Coeur D'Alene"</t>
  </si>
  <si>
    <t>Display</t>
  </si>
  <si>
    <t>Supplement</t>
  </si>
  <si>
    <t>Hot Water</t>
  </si>
  <si>
    <t>Usage</t>
  </si>
  <si>
    <t>EUI</t>
  </si>
  <si>
    <t xml:space="preserve"> </t>
  </si>
  <si>
    <t>"Whittier"</t>
  </si>
  <si>
    <t>763</t>
  </si>
  <si>
    <t>"Wichita Falls"</t>
  </si>
  <si>
    <t>670</t>
  </si>
  <si>
    <t>"Wichita"</t>
  </si>
  <si>
    <t>671</t>
  </si>
  <si>
    <t>672</t>
  </si>
  <si>
    <t>186</t>
  </si>
  <si>
    <t>"Wilkes-Barre"</t>
  </si>
  <si>
    <t>187</t>
  </si>
  <si>
    <t>177</t>
  </si>
  <si>
    <t>"Williamsport"</t>
  </si>
  <si>
    <t>062</t>
  </si>
  <si>
    <t>"Willimantic"</t>
  </si>
  <si>
    <t>588</t>
  </si>
  <si>
    <t>"Williston"</t>
  </si>
  <si>
    <t>562</t>
  </si>
  <si>
    <t>"Willmar"</t>
  </si>
  <si>
    <t>HURON    SD</t>
  </si>
  <si>
    <t>197</t>
  </si>
  <si>
    <t>"Wilmington"</t>
  </si>
  <si>
    <t>198</t>
  </si>
  <si>
    <t>284</t>
  </si>
  <si>
    <t>226</t>
  </si>
  <si>
    <t>"Winchester"</t>
  </si>
  <si>
    <t>561</t>
  </si>
  <si>
    <t>"Windom"</t>
  </si>
  <si>
    <t>865</t>
  </si>
  <si>
    <t>"Window Rock"</t>
  </si>
  <si>
    <t>270</t>
  </si>
  <si>
    <t>"Winston-Salem"</t>
  </si>
  <si>
    <t>271</t>
  </si>
  <si>
    <t>018</t>
  </si>
  <si>
    <t>"Woburn"</t>
  </si>
  <si>
    <t>592</t>
  </si>
  <si>
    <t>"Wolf Point"</t>
  </si>
  <si>
    <t>738</t>
  </si>
  <si>
    <t>"Woodward"</t>
  </si>
  <si>
    <t>014</t>
  </si>
  <si>
    <t>"Worcester"</t>
  </si>
  <si>
    <t>015</t>
  </si>
  <si>
    <t>016</t>
  </si>
  <si>
    <t>Hartford-Springfield</t>
  </si>
  <si>
    <t>CTHARTFO.txt</t>
  </si>
  <si>
    <t>061</t>
  </si>
  <si>
    <t>HARTFORD    CT</t>
  </si>
  <si>
    <t>689</t>
  </si>
  <si>
    <t>"Hastings"</t>
  </si>
  <si>
    <t>394</t>
  </si>
  <si>
    <t>"Hattiesburg"</t>
  </si>
  <si>
    <t>MOBILE    AL</t>
  </si>
  <si>
    <t>Mobile</t>
  </si>
  <si>
    <t>ALMOBILE.txt</t>
  </si>
  <si>
    <t>595</t>
  </si>
  <si>
    <t>"Havre"</t>
  </si>
  <si>
    <t>676</t>
  </si>
  <si>
    <t>"Hays"</t>
  </si>
  <si>
    <t>417</t>
  </si>
  <si>
    <t>"Hazard"</t>
  </si>
  <si>
    <t>418</t>
  </si>
  <si>
    <t>182</t>
  </si>
  <si>
    <t>"Hazleton"</t>
  </si>
  <si>
    <t>AVOCA    PA</t>
  </si>
  <si>
    <t>596</t>
  </si>
  <si>
    <t>"Helena"</t>
  </si>
  <si>
    <t>HELENA    MT</t>
  </si>
  <si>
    <t>424</t>
  </si>
  <si>
    <t>"Henderson"</t>
  </si>
  <si>
    <t>286</t>
  </si>
  <si>
    <t>"Hickory"</t>
  </si>
  <si>
    <t>117</t>
  </si>
  <si>
    <t>"Hicksville"</t>
  </si>
  <si>
    <t>118</t>
  </si>
  <si>
    <t>967</t>
  </si>
  <si>
    <t>"Hawaii"</t>
  </si>
  <si>
    <t>HI</t>
  </si>
  <si>
    <t>"Honolulu"</t>
  </si>
  <si>
    <t>HILO    HI</t>
  </si>
  <si>
    <t>Honolulu</t>
  </si>
  <si>
    <t>HIHONOLU.txt</t>
  </si>
  <si>
    <t>968</t>
  </si>
  <si>
    <t>HONOLULU    HI</t>
  </si>
  <si>
    <t>970</t>
  </si>
  <si>
    <t>"Hood River"</t>
  </si>
  <si>
    <t>SALEM    OR</t>
  </si>
  <si>
    <t>Salem</t>
  </si>
  <si>
    <t>ORSALEM.txt</t>
  </si>
  <si>
    <t>718</t>
  </si>
  <si>
    <t>"Hope"</t>
  </si>
  <si>
    <t>719</t>
  </si>
  <si>
    <t>"Hot Springs"</t>
  </si>
  <si>
    <t>499</t>
  </si>
  <si>
    <t>"Houghton"</t>
  </si>
  <si>
    <t>HOUGHTON LAKE    MI</t>
  </si>
  <si>
    <t>Sault Ste Marie</t>
  </si>
  <si>
    <t>MISTEMAR.txt</t>
  </si>
  <si>
    <t>770</t>
  </si>
  <si>
    <t>"Houston"</t>
  </si>
  <si>
    <t>771</t>
  </si>
  <si>
    <t>772</t>
  </si>
  <si>
    <t>774</t>
  </si>
  <si>
    <t>255</t>
  </si>
  <si>
    <t>"Huntington"</t>
  </si>
  <si>
    <t>257</t>
  </si>
  <si>
    <t>357</t>
  </si>
  <si>
    <t>"Huntsville"</t>
  </si>
  <si>
    <t>358</t>
  </si>
  <si>
    <t>675</t>
  </si>
  <si>
    <t>"Hutchinson"</t>
  </si>
  <si>
    <t>026</t>
  </si>
  <si>
    <t>Baseline Design</t>
  </si>
  <si>
    <t>952</t>
  </si>
  <si>
    <t>"Stockton"</t>
  </si>
  <si>
    <t>STOCKTON    CA</t>
  </si>
  <si>
    <t>183</t>
  </si>
  <si>
    <t>"Stroudsburg"</t>
  </si>
  <si>
    <t>439</t>
  </si>
  <si>
    <t>"Stuebenville"</t>
  </si>
  <si>
    <t>109</t>
  </si>
  <si>
    <t>"Suffern"</t>
  </si>
  <si>
    <t>079</t>
  </si>
  <si>
    <t>"Summit"</t>
  </si>
  <si>
    <t>178</t>
  </si>
  <si>
    <t>"Sunbury"</t>
  </si>
  <si>
    <t>961</t>
  </si>
  <si>
    <t>"Susanville"</t>
  </si>
  <si>
    <t>WINNEMUCCA    NV</t>
  </si>
  <si>
    <t>304</t>
  </si>
  <si>
    <t>"Swainsboro"</t>
  </si>
  <si>
    <t>130</t>
  </si>
  <si>
    <t>"Syracuse"</t>
  </si>
  <si>
    <t>131</t>
  </si>
  <si>
    <t>132</t>
  </si>
  <si>
    <t>983</t>
  </si>
  <si>
    <t>"Tacoma"</t>
  </si>
  <si>
    <t>SEATTLE SEA-TAC AP    WA</t>
  </si>
  <si>
    <t>984</t>
  </si>
  <si>
    <t>323</t>
  </si>
  <si>
    <t>"Tallahassee"</t>
  </si>
  <si>
    <t>TALLAHASSEE    FL</t>
  </si>
  <si>
    <t>335</t>
  </si>
  <si>
    <t>"Tampa"</t>
  </si>
  <si>
    <t>336</t>
  </si>
  <si>
    <t>246</t>
  </si>
  <si>
    <t>"Tazewell"</t>
  </si>
  <si>
    <t>765</t>
  </si>
  <si>
    <t>"Temple"</t>
  </si>
  <si>
    <t>478</t>
  </si>
  <si>
    <t>"Terre Haute"</t>
  </si>
  <si>
    <t>755</t>
  </si>
  <si>
    <t>"Texarkana"</t>
  </si>
  <si>
    <t>703</t>
  </si>
  <si>
    <t>"Thibodaux"</t>
  </si>
  <si>
    <t>567</t>
  </si>
  <si>
    <t>"Thief River Falls"</t>
  </si>
  <si>
    <t>327</t>
  </si>
  <si>
    <t>"Titusville"</t>
  </si>
  <si>
    <t>436</t>
  </si>
  <si>
    <t>"Toledo"</t>
  </si>
  <si>
    <t>890</t>
  </si>
  <si>
    <t>"Tonopah"</t>
  </si>
  <si>
    <t>664</t>
  </si>
  <si>
    <t>"Topeka"</t>
  </si>
  <si>
    <t>665</t>
  </si>
  <si>
    <t>666</t>
  </si>
  <si>
    <t>905</t>
  </si>
  <si>
    <t>"Torrance"</t>
  </si>
  <si>
    <t>496</t>
  </si>
  <si>
    <t>Showerheads</t>
  </si>
  <si>
    <t>Bathroom Faucets</t>
  </si>
  <si>
    <t>Kitchen Faucets</t>
  </si>
  <si>
    <t>Baseline Fixtures, per EPAct 1992</t>
  </si>
  <si>
    <t>Fixture</t>
  </si>
  <si>
    <t>Flow Rate</t>
  </si>
  <si>
    <t>Baseline Toilets (GPF)</t>
  </si>
  <si>
    <t>Baseline Urinals (GPF)</t>
  </si>
  <si>
    <t>Baseline Showerheads (GPM)</t>
  </si>
  <si>
    <t>Baseline Bathroom Faucets (GPM)</t>
  </si>
  <si>
    <t>Baseline Kitchen Faucets (GPM)</t>
  </si>
  <si>
    <t>Fixture Use</t>
  </si>
  <si>
    <t>Fixture Type</t>
  </si>
  <si>
    <t>Duration (sec)</t>
  </si>
  <si>
    <t>Uses/Day/Occupant</t>
  </si>
  <si>
    <t>-</t>
  </si>
  <si>
    <t>SqFt</t>
  </si>
  <si>
    <t>W</t>
  </si>
  <si>
    <t>Basic Project Information</t>
  </si>
  <si>
    <t>Residential</t>
  </si>
  <si>
    <t>KALISPELL    MT</t>
  </si>
  <si>
    <t>609</t>
  </si>
  <si>
    <t>"Kankakee"</t>
  </si>
  <si>
    <t>PEORIA    IL</t>
  </si>
  <si>
    <t>660</t>
  </si>
  <si>
    <t>"Kansas City"</t>
  </si>
  <si>
    <t>TOPEKA    KS</t>
  </si>
  <si>
    <t>661</t>
  </si>
  <si>
    <t>640</t>
  </si>
  <si>
    <t>641</t>
  </si>
  <si>
    <t>034</t>
  </si>
  <si>
    <t>"Keene"</t>
  </si>
  <si>
    <t>831</t>
  </si>
  <si>
    <t>"Kemmerer"</t>
  </si>
  <si>
    <t>999</t>
  </si>
  <si>
    <t>"Ketchikan"</t>
  </si>
  <si>
    <t>KING SALMON    AK</t>
  </si>
  <si>
    <t>267</t>
  </si>
  <si>
    <t>"Keyser"</t>
  </si>
  <si>
    <t>864</t>
  </si>
  <si>
    <t>"Kingman"</t>
  </si>
  <si>
    <t>LAS VEGAS    NV</t>
  </si>
  <si>
    <t>Las Vegas</t>
  </si>
  <si>
    <t>NVLASVEG.txt</t>
  </si>
  <si>
    <t>124</t>
  </si>
  <si>
    <t>"Kingston"</t>
  </si>
  <si>
    <t>285</t>
  </si>
  <si>
    <t>"Kinston"</t>
  </si>
  <si>
    <t>635</t>
  </si>
  <si>
    <t>"Kirksville"</t>
  </si>
  <si>
    <t>162</t>
  </si>
  <si>
    <t>"Kittanning"</t>
  </si>
  <si>
    <t>039</t>
  </si>
  <si>
    <t>"Kittery"</t>
  </si>
  <si>
    <t>976</t>
  </si>
  <si>
    <t>"Klamath Falls"</t>
  </si>
  <si>
    <t>MEDFORD    OR</t>
  </si>
  <si>
    <t>377</t>
  </si>
  <si>
    <t>"Knoxville"</t>
  </si>
  <si>
    <t>378</t>
  </si>
  <si>
    <t>379</t>
  </si>
  <si>
    <t>469</t>
  </si>
  <si>
    <t>"Kokomo"</t>
  </si>
  <si>
    <t>546</t>
  </si>
  <si>
    <t>"La Crosse"</t>
  </si>
  <si>
    <t>MADISON    WI</t>
  </si>
  <si>
    <t>Madison</t>
  </si>
  <si>
    <t>WIMADISO.txt</t>
  </si>
  <si>
    <t>613</t>
  </si>
  <si>
    <t>"La Salle"</t>
  </si>
  <si>
    <t>479</t>
  </si>
  <si>
    <t>"Lafayette"</t>
  </si>
  <si>
    <t>705</t>
  </si>
  <si>
    <t>706</t>
  </si>
  <si>
    <t>"Lake Charles"</t>
  </si>
  <si>
    <t>LAKE CHARLES    LA</t>
  </si>
  <si>
    <t>Lake Charles</t>
  </si>
  <si>
    <t>LALAKECH.txt</t>
  </si>
  <si>
    <t>338</t>
  </si>
  <si>
    <t>"Lakeland"</t>
  </si>
  <si>
    <t>087</t>
  </si>
  <si>
    <t>"Lakewood"</t>
  </si>
  <si>
    <t>935</t>
  </si>
  <si>
    <t>"Lancaster"</t>
  </si>
  <si>
    <t>BISHOP    CA</t>
  </si>
  <si>
    <t>175</t>
  </si>
  <si>
    <t>176</t>
  </si>
  <si>
    <t>488</t>
  </si>
  <si>
    <t>"Lansing"</t>
  </si>
  <si>
    <t>Lansing</t>
  </si>
  <si>
    <t>MILANSIN.txt</t>
  </si>
  <si>
    <t>489</t>
  </si>
  <si>
    <t>780</t>
  </si>
  <si>
    <t>"Laredo/Pearsall"</t>
  </si>
  <si>
    <t>VICTORIA    TX</t>
  </si>
  <si>
    <t>San Antonio</t>
  </si>
  <si>
    <t>TXSANANT.txt</t>
  </si>
  <si>
    <t>880</t>
  </si>
  <si>
    <t>"Las Cruces"</t>
  </si>
  <si>
    <t>877</t>
  </si>
  <si>
    <t>"Las Vegas"</t>
  </si>
  <si>
    <t>Storage, active</t>
  </si>
  <si>
    <t>Storage, inactive</t>
  </si>
  <si>
    <t>Food Preparation</t>
  </si>
  <si>
    <t>Dining Area - For Family Dining</t>
  </si>
  <si>
    <t>Lobby</t>
  </si>
  <si>
    <t>Corridor/Transition</t>
  </si>
  <si>
    <t>Stairs - Active</t>
  </si>
  <si>
    <t>Restroom</t>
  </si>
  <si>
    <t>Electrical/Mechanical</t>
  </si>
  <si>
    <t>Workshop</t>
  </si>
  <si>
    <t>Parking garage</t>
  </si>
  <si>
    <t>Baseline</t>
  </si>
  <si>
    <t>Proposed</t>
  </si>
  <si>
    <t>951</t>
  </si>
  <si>
    <t>"San Jose"</t>
  </si>
  <si>
    <t>009</t>
  </si>
  <si>
    <t>"Puerto_Rico"</t>
  </si>
  <si>
    <t>PR</t>
  </si>
  <si>
    <t>"San Juan"</t>
  </si>
  <si>
    <t>SAN JUAN    PR</t>
  </si>
  <si>
    <t>San Juan Puerto Rico</t>
  </si>
  <si>
    <t>XXSANJUA.txt</t>
  </si>
  <si>
    <t>934</t>
  </si>
  <si>
    <t>"San Luis Obispo"</t>
  </si>
  <si>
    <t>SANTA MARIA    CA</t>
  </si>
  <si>
    <t>944</t>
  </si>
  <si>
    <t>"San Mateo"</t>
  </si>
  <si>
    <t>907</t>
  </si>
  <si>
    <t>"San Pedro"</t>
  </si>
  <si>
    <t>949</t>
  </si>
  <si>
    <t>"San Rafael"</t>
  </si>
  <si>
    <t>926</t>
  </si>
  <si>
    <t>"Santa Ana"</t>
  </si>
  <si>
    <t>927</t>
  </si>
  <si>
    <t>931</t>
  </si>
  <si>
    <t>"Santa Barbara"</t>
  </si>
  <si>
    <t>SANTA BARBARA    CA</t>
  </si>
  <si>
    <t>875</t>
  </si>
  <si>
    <t>"Santa Fe"</t>
  </si>
  <si>
    <t>Santa Fe</t>
  </si>
  <si>
    <t>NMSANTAF.txt</t>
  </si>
  <si>
    <t>904</t>
  </si>
  <si>
    <t>"Santa Monica"</t>
  </si>
  <si>
    <t>954</t>
  </si>
  <si>
    <t>"Santa Rosa"</t>
  </si>
  <si>
    <t>313</t>
  </si>
  <si>
    <t>"Savannah"</t>
  </si>
  <si>
    <t>314</t>
  </si>
  <si>
    <t>123</t>
  </si>
  <si>
    <t>"Schenectady"</t>
  </si>
  <si>
    <t>184</t>
  </si>
  <si>
    <t>"Scranton"</t>
  </si>
  <si>
    <t>185</t>
  </si>
  <si>
    <t>980</t>
  </si>
  <si>
    <t>Instructions:</t>
  </si>
  <si>
    <t>Open Parms.csv file that corresponds to baseline and proposed eQuest models.</t>
  </si>
  <si>
    <t>ELKO    NV</t>
  </si>
  <si>
    <t>219</t>
  </si>
  <si>
    <t>"Elkton"</t>
  </si>
  <si>
    <t>WILMINGTON    DE</t>
  </si>
  <si>
    <t>Wilmington</t>
  </si>
  <si>
    <t>DEWILMIN.txt</t>
  </si>
  <si>
    <t>046</t>
  </si>
  <si>
    <t>"Ellsworth"</t>
  </si>
  <si>
    <t>149</t>
  </si>
  <si>
    <t>"Elmira"</t>
  </si>
  <si>
    <t>Syracuse</t>
  </si>
  <si>
    <t>NYSYRACU.txt</t>
  </si>
  <si>
    <t>893</t>
  </si>
  <si>
    <t>"Ely"</t>
  </si>
  <si>
    <t>ELY    NV</t>
  </si>
  <si>
    <t>668</t>
  </si>
  <si>
    <t>"Emporia"</t>
  </si>
  <si>
    <t>WICHITA    KS</t>
  </si>
  <si>
    <t>737</t>
  </si>
  <si>
    <t>"Enid"</t>
  </si>
  <si>
    <t>164</t>
  </si>
  <si>
    <t>Fuel</t>
  </si>
  <si>
    <t>Type</t>
  </si>
  <si>
    <t>Loads</t>
  </si>
  <si>
    <t>#s</t>
  </si>
  <si>
    <t>Name</t>
  </si>
  <si>
    <t>Fwd</t>
  </si>
  <si>
    <t>First Cost ($)</t>
  </si>
  <si>
    <t>Average of 4 exposures (needed in Simulation Summary)</t>
  </si>
  <si>
    <t>Parking Garage</t>
  </si>
  <si>
    <t>Mean LnEUSo =</t>
  </si>
  <si>
    <r>
      <t>kBtu/</t>
    </r>
    <r>
      <rPr>
        <sz val="10"/>
        <rFont val="Arial"/>
        <family val="2"/>
      </rPr>
      <t>yr</t>
    </r>
  </si>
  <si>
    <t>Bdrms</t>
  </si>
  <si>
    <t>CDDCOOLP</t>
  </si>
  <si>
    <t>Resid ES Target Source EU</t>
  </si>
  <si>
    <t>/Unit</t>
  </si>
  <si>
    <t>HDDHEATP</t>
  </si>
  <si>
    <t>Bedrooms/unit</t>
  </si>
  <si>
    <t>Actual Score</t>
  </si>
  <si>
    <t>Predicted LnEUSo =</t>
  </si>
  <si>
    <t>Secondary Space</t>
  </si>
  <si>
    <t>SF</t>
  </si>
  <si>
    <t>Wkly Hrs</t>
  </si>
  <si>
    <t>SF Un- heat- ed</t>
  </si>
  <si>
    <t>127</t>
  </si>
  <si>
    <t>"Monticello"</t>
  </si>
  <si>
    <t>056</t>
  </si>
  <si>
    <t>"Montpelier"</t>
  </si>
  <si>
    <t>814</t>
  </si>
  <si>
    <t>"Montrose"</t>
  </si>
  <si>
    <t>188</t>
  </si>
  <si>
    <t>265</t>
  </si>
  <si>
    <t>"Morgantown"</t>
  </si>
  <si>
    <t>473</t>
  </si>
  <si>
    <t>"Muncie"</t>
  </si>
  <si>
    <t>494</t>
  </si>
  <si>
    <t>"Muskegon"</t>
  </si>
  <si>
    <t>744</t>
  </si>
  <si>
    <t>"Muskogee"</t>
  </si>
  <si>
    <t>435</t>
  </si>
  <si>
    <t>"Napoleon"</t>
  </si>
  <si>
    <t>370</t>
  </si>
  <si>
    <t>"Nashville"</t>
  </si>
  <si>
    <t>371</t>
  </si>
  <si>
    <t>372</t>
  </si>
  <si>
    <t>471</t>
  </si>
  <si>
    <t>"New Albany"</t>
  </si>
  <si>
    <t>027</t>
  </si>
  <si>
    <t>"New Bedford"</t>
  </si>
  <si>
    <t>088</t>
  </si>
  <si>
    <t>"New Brunswick"</t>
  </si>
  <si>
    <t>089</t>
  </si>
  <si>
    <t>161</t>
  </si>
  <si>
    <t>"New Castle"</t>
  </si>
  <si>
    <t>064</t>
  </si>
  <si>
    <t>"New Haven"</t>
  </si>
  <si>
    <t>065</t>
  </si>
  <si>
    <t>063</t>
  </si>
  <si>
    <t>"New London"</t>
  </si>
  <si>
    <t>700</t>
  </si>
  <si>
    <t>"New Orleans"</t>
  </si>
  <si>
    <t>701</t>
  </si>
  <si>
    <t>108</t>
  </si>
  <si>
    <t>"New Rochelle"</t>
  </si>
  <si>
    <t>100</t>
  </si>
  <si>
    <t>"New York"</t>
  </si>
  <si>
    <t>NEW YORK C.PARK    NY</t>
  </si>
  <si>
    <t>101</t>
  </si>
  <si>
    <t>102</t>
  </si>
  <si>
    <t>070</t>
  </si>
  <si>
    <t>"Newark"</t>
  </si>
  <si>
    <t>071</t>
  </si>
  <si>
    <t>410</t>
  </si>
  <si>
    <t>EER</t>
  </si>
  <si>
    <t>396</t>
  </si>
  <si>
    <t>"McComb"</t>
  </si>
  <si>
    <t>690</t>
  </si>
  <si>
    <t>"McCook"</t>
  </si>
  <si>
    <t>975</t>
  </si>
  <si>
    <t>"Medford"</t>
  </si>
  <si>
    <t>329</t>
  </si>
  <si>
    <t>"Melbourne"</t>
  </si>
  <si>
    <t>VERO BEACH    FL</t>
  </si>
  <si>
    <t>Orlando</t>
  </si>
  <si>
    <t>FLORLAND.txt</t>
  </si>
  <si>
    <t>380</t>
  </si>
  <si>
    <t>"Memphis"</t>
  </si>
  <si>
    <t>MEMPHIS    TN</t>
  </si>
  <si>
    <t>Memphis</t>
  </si>
  <si>
    <t>GUAM    PC</t>
  </si>
  <si>
    <t>PC</t>
  </si>
  <si>
    <t>560</t>
  </si>
  <si>
    <t>"Mankato"</t>
  </si>
  <si>
    <t>ROCHESTER    MN</t>
  </si>
  <si>
    <t>448</t>
  </si>
  <si>
    <t>"Mansfield"</t>
  </si>
  <si>
    <t>MANSFIELD    OH</t>
  </si>
  <si>
    <t>449</t>
  </si>
  <si>
    <t>433</t>
  </si>
  <si>
    <t>"Marion"</t>
  </si>
  <si>
    <t>254</t>
  </si>
  <si>
    <t>"Martinsburg"</t>
  </si>
  <si>
    <t>959</t>
  </si>
  <si>
    <t>"Marysville"</t>
  </si>
  <si>
    <t>504</t>
  </si>
  <si>
    <t>"Mason City"</t>
  </si>
  <si>
    <t>382</t>
  </si>
  <si>
    <t>"Mc_Kenzie"</t>
  </si>
  <si>
    <t>745</t>
  </si>
  <si>
    <t>"McAlester"</t>
  </si>
  <si>
    <t>Building Area Summary (conditioned spaces only)</t>
  </si>
  <si>
    <t>NORFOLK    NE</t>
  </si>
  <si>
    <t>233</t>
  </si>
  <si>
    <t>234</t>
  </si>
  <si>
    <t>235</t>
  </si>
  <si>
    <t>236</t>
  </si>
  <si>
    <t>600</t>
  </si>
  <si>
    <t>"North Chicago Sub."</t>
  </si>
  <si>
    <t>ROCKFORD    IL</t>
  </si>
  <si>
    <t>Rockford</t>
  </si>
  <si>
    <t>ILROCKFO.txt</t>
  </si>
  <si>
    <t>601</t>
  </si>
  <si>
    <t>916</t>
  </si>
  <si>
    <t>"North Hollywood"</t>
  </si>
  <si>
    <t>691</t>
  </si>
  <si>
    <t>"North_Platte"</t>
  </si>
  <si>
    <t>NORTH PLATTE    NE</t>
  </si>
  <si>
    <t>North Platte</t>
  </si>
  <si>
    <t>NENPLATT.txt</t>
  </si>
  <si>
    <t>220</t>
  </si>
  <si>
    <t>"Northern VA"</t>
  </si>
  <si>
    <t>221</t>
  </si>
  <si>
    <t>603</t>
  </si>
  <si>
    <t>"Oak Park"</t>
  </si>
  <si>
    <t>946</t>
  </si>
  <si>
    <t>"Oakland"</t>
  </si>
  <si>
    <t>344</t>
  </si>
  <si>
    <t>"Ocala"</t>
  </si>
  <si>
    <t>DAYTONA BEACH    FL</t>
  </si>
  <si>
    <t>Daytona Beach</t>
  </si>
  <si>
    <t>FLDAYTNA.txt</t>
  </si>
  <si>
    <t>844</t>
  </si>
  <si>
    <t>"Utah"</t>
  </si>
  <si>
    <t>UT</t>
  </si>
  <si>
    <t>"Ogden"</t>
  </si>
  <si>
    <t>SALT LAKE CITY    UT</t>
  </si>
  <si>
    <t>Salt Lake City</t>
  </si>
  <si>
    <t>UTSALTLK.txt</t>
  </si>
  <si>
    <t>843</t>
  </si>
  <si>
    <t>SF Not Cool -ed</t>
  </si>
  <si>
    <t>W/sf</t>
  </si>
  <si>
    <t>Office</t>
  </si>
  <si>
    <t>Toilets</t>
  </si>
  <si>
    <t>Urinals</t>
  </si>
  <si>
    <t>TNMEMPHI.txt</t>
  </si>
  <si>
    <t>381</t>
  </si>
  <si>
    <t>953</t>
  </si>
  <si>
    <t>"Merced"</t>
  </si>
  <si>
    <t>393</t>
  </si>
  <si>
    <t>Area, SqFt</t>
  </si>
  <si>
    <t>Notes</t>
  </si>
  <si>
    <t xml:space="preserve">Residential </t>
  </si>
  <si>
    <t>605</t>
  </si>
  <si>
    <t>082</t>
  </si>
  <si>
    <t>"South Jersey"</t>
  </si>
  <si>
    <t>083</t>
  </si>
  <si>
    <t>845</t>
  </si>
  <si>
    <t>"Southeast Utah/Green River"</t>
  </si>
  <si>
    <t>193</t>
  </si>
  <si>
    <t>"Southeastern"</t>
  </si>
  <si>
    <t>194</t>
  </si>
  <si>
    <t>847</t>
  </si>
  <si>
    <t>"Southwest Utah/Cedar City"</t>
  </si>
  <si>
    <t>MILFORD    UT</t>
  </si>
  <si>
    <t>293</t>
  </si>
  <si>
    <t>"Spartanburg"</t>
  </si>
  <si>
    <t>513</t>
  </si>
  <si>
    <t>"Spencer"</t>
  </si>
  <si>
    <t>990</t>
  </si>
  <si>
    <t>"Spokane"</t>
  </si>
  <si>
    <t>991</t>
  </si>
  <si>
    <t>992</t>
  </si>
  <si>
    <t>548</t>
  </si>
  <si>
    <t>"Spooner"</t>
  </si>
  <si>
    <t>625</t>
  </si>
  <si>
    <t>"Springfield"</t>
  </si>
  <si>
    <t>626</t>
  </si>
  <si>
    <t>627</t>
  </si>
  <si>
    <t>010</t>
  </si>
  <si>
    <t>011</t>
  </si>
  <si>
    <t>656</t>
  </si>
  <si>
    <t>657</t>
  </si>
  <si>
    <t>658</t>
  </si>
  <si>
    <t>455</t>
  </si>
  <si>
    <t>058</t>
  </si>
  <si>
    <t>"St. Johnsbury"</t>
  </si>
  <si>
    <t>337</t>
  </si>
  <si>
    <t>"St. Petersburg"</t>
  </si>
  <si>
    <t>068</t>
  </si>
  <si>
    <t>"Stamford"</t>
  </si>
  <si>
    <t>069</t>
  </si>
  <si>
    <t>168</t>
  </si>
  <si>
    <t>"State College"</t>
  </si>
  <si>
    <t>103</t>
  </si>
  <si>
    <t>"Staten Island"</t>
  </si>
  <si>
    <t>244</t>
  </si>
  <si>
    <t>"Staunton"</t>
  </si>
  <si>
    <t>764</t>
  </si>
  <si>
    <t>"Stephenville"</t>
  </si>
  <si>
    <t>Pumps</t>
  </si>
  <si>
    <t>Total</t>
  </si>
  <si>
    <t>Studio</t>
  </si>
  <si>
    <t>1 - Bedroom</t>
  </si>
  <si>
    <t>2 - Bedroom</t>
  </si>
  <si>
    <t>Building Area</t>
  </si>
  <si>
    <t>Conference/meeting/multipurpose</t>
  </si>
  <si>
    <t>Garage</t>
  </si>
  <si>
    <t>Other</t>
  </si>
  <si>
    <t>Natural Gas</t>
  </si>
  <si>
    <t>If oil is used rather than natural gas, modifications to table are needed.</t>
  </si>
  <si>
    <t>Include combined floor area of corridors, recreation areas, lobbies, elevator shafts, etc.</t>
  </si>
  <si>
    <t>"Seattle"</t>
  </si>
  <si>
    <t>SEATTLE C.O.    WA</t>
  </si>
  <si>
    <t>981</t>
  </si>
  <si>
    <t>653</t>
  </si>
  <si>
    <t>"Sedalia"</t>
  </si>
  <si>
    <t>367</t>
  </si>
  <si>
    <t>"Selma"</t>
  </si>
  <si>
    <t>748</t>
  </si>
  <si>
    <t>"Shawnee"</t>
  </si>
  <si>
    <t>662</t>
  </si>
  <si>
    <t>"Shawnee/Mission"</t>
  </si>
  <si>
    <t>512</t>
  </si>
  <si>
    <t>"Sheldon"</t>
  </si>
  <si>
    <t>SIOUX FALLS    SD</t>
  </si>
  <si>
    <t>Sioux Falls</t>
  </si>
  <si>
    <t>SDSIOFAL.txt</t>
  </si>
  <si>
    <t>516</t>
  </si>
  <si>
    <t>"Shenandoah"</t>
  </si>
  <si>
    <t>828</t>
  </si>
  <si>
    <t>"Sheridan"</t>
  </si>
  <si>
    <t>859</t>
  </si>
  <si>
    <t>NYNEWYOR.txt</t>
  </si>
  <si>
    <t>112</t>
  </si>
  <si>
    <t>"Brooklyn"</t>
  </si>
  <si>
    <t>785</t>
  </si>
  <si>
    <t>"Brownsville"</t>
  </si>
  <si>
    <t>BROWNSVILLE    TX</t>
  </si>
  <si>
    <t>Brownsville</t>
  </si>
  <si>
    <t>TXBROWNS.txt</t>
  </si>
  <si>
    <t>768</t>
  </si>
  <si>
    <t>"Brownwood"</t>
  </si>
  <si>
    <t>778</t>
  </si>
  <si>
    <t>"Bryan"</t>
  </si>
  <si>
    <t>853</t>
  </si>
  <si>
    <t>"Arizona"</t>
  </si>
  <si>
    <t>AZ</t>
  </si>
  <si>
    <t>"Buckeye/Yuma"</t>
  </si>
  <si>
    <t>YUMA    AZ</t>
  </si>
  <si>
    <t>Yuma</t>
  </si>
  <si>
    <t>AZYUMA.txt</t>
  </si>
  <si>
    <t>262</t>
  </si>
  <si>
    <t>"Buckhannon"</t>
  </si>
  <si>
    <t>CHARLESTON    WV</t>
  </si>
  <si>
    <t>140</t>
  </si>
  <si>
    <t>"Buffalo"</t>
  </si>
  <si>
    <t>141</t>
  </si>
  <si>
    <t>ROCHESTER    NY</t>
  </si>
  <si>
    <t>Rochester</t>
  </si>
  <si>
    <t>NYROCHES.txt</t>
  </si>
  <si>
    <t>142</t>
  </si>
  <si>
    <t>BUFFALO    NY</t>
  </si>
  <si>
    <t>Buffalo</t>
  </si>
  <si>
    <t>NTBUFFAL.txt</t>
  </si>
  <si>
    <t>915</t>
  </si>
  <si>
    <t>"Burbank"</t>
  </si>
  <si>
    <t>526</t>
  </si>
  <si>
    <t>"Iowa"</t>
  </si>
  <si>
    <t>IA</t>
  </si>
  <si>
    <t>"Burlington"</t>
  </si>
  <si>
    <t>MOLINE    IL</t>
  </si>
  <si>
    <t>Des Moines</t>
  </si>
  <si>
    <t>IADESMOI.txt</t>
  </si>
  <si>
    <t>054</t>
  </si>
  <si>
    <t>BURLINGTON    VT</t>
  </si>
  <si>
    <t>Burlington</t>
  </si>
  <si>
    <t>VTBURLIN.txt</t>
  </si>
  <si>
    <t>369</t>
  </si>
  <si>
    <t>"Butler"</t>
  </si>
  <si>
    <t>MERIDIAN    MS</t>
  </si>
  <si>
    <t>MS</t>
  </si>
  <si>
    <t>Jackson</t>
  </si>
  <si>
    <t>MSJACKSO.txt</t>
  </si>
  <si>
    <t>160</t>
  </si>
  <si>
    <t>YOUNGSTOWN    OH</t>
  </si>
  <si>
    <t>Youngstown</t>
  </si>
  <si>
    <t>OHYOUNGS.txt</t>
  </si>
  <si>
    <t>597</t>
  </si>
  <si>
    <t>"Butte"</t>
  </si>
  <si>
    <t>MISSOULA    MT</t>
  </si>
  <si>
    <t>Helena</t>
  </si>
  <si>
    <t>MTHELENA.txt</t>
  </si>
  <si>
    <t>025</t>
  </si>
  <si>
    <t>"Buzzards Bay"</t>
  </si>
  <si>
    <t>717</t>
  </si>
  <si>
    <t>"Camden"</t>
  </si>
  <si>
    <t>LITTLE ROCK    AR</t>
  </si>
  <si>
    <t>081</t>
  </si>
  <si>
    <t>PHILADELPHIA    PA</t>
  </si>
  <si>
    <t>Philadelphia</t>
  </si>
  <si>
    <t>PAPHILAD.txt</t>
  </si>
  <si>
    <t>413</t>
  </si>
  <si>
    <t>"Campton"</t>
  </si>
  <si>
    <t>JACKSON    KY</t>
  </si>
  <si>
    <t>414</t>
  </si>
  <si>
    <t>059</t>
  </si>
  <si>
    <t>"Canaan"</t>
  </si>
  <si>
    <t>446</t>
  </si>
  <si>
    <t>"Canton"</t>
  </si>
  <si>
    <t>447</t>
  </si>
  <si>
    <t>637</t>
  </si>
  <si>
    <t>"Missouri"</t>
  </si>
  <si>
    <t>MO</t>
  </si>
  <si>
    <t>"Cape Girardeau"</t>
  </si>
  <si>
    <t>ST. LOUIS    MO</t>
  </si>
  <si>
    <t>St Louis</t>
  </si>
  <si>
    <t>MOSTLOUI.txt</t>
  </si>
  <si>
    <t>629</t>
  </si>
  <si>
    <t>"Carbondale"</t>
  </si>
  <si>
    <t>EVANSVILLE    IN</t>
  </si>
  <si>
    <t>Evansville</t>
  </si>
  <si>
    <t>INEVANSV.txt</t>
  </si>
  <si>
    <t>047</t>
  </si>
  <si>
    <t>"Caribou"</t>
  </si>
  <si>
    <t>CARIBOU    ME</t>
  </si>
  <si>
    <t>Caribou</t>
  </si>
  <si>
    <t>MECARIBO.txt</t>
  </si>
  <si>
    <t>883</t>
  </si>
  <si>
    <t>"Carrizozo"</t>
  </si>
  <si>
    <t>514</t>
  </si>
  <si>
    <t>"Carroll"</t>
  </si>
  <si>
    <t>SIOUX CITY    IA</t>
  </si>
  <si>
    <t>Sioux City</t>
  </si>
  <si>
    <t>IASIOCTY.txt</t>
  </si>
  <si>
    <t>897</t>
  </si>
  <si>
    <t>"Nevada"</t>
  </si>
  <si>
    <t>NV</t>
  </si>
  <si>
    <t>"Carson City"</t>
  </si>
  <si>
    <t>RENO    NV</t>
  </si>
  <si>
    <t>Reno</t>
  </si>
  <si>
    <t>NVRENO.txt</t>
  </si>
  <si>
    <t>852</t>
  </si>
  <si>
    <t>"Casa Grande"</t>
  </si>
  <si>
    <t>TUCSON    AZ</t>
  </si>
  <si>
    <t>Tucson</t>
  </si>
  <si>
    <t>AZTUCSON.txt</t>
  </si>
  <si>
    <t>826</t>
  </si>
  <si>
    <t>"Wyoming"</t>
  </si>
  <si>
    <t>WY</t>
  </si>
  <si>
    <t>"Casper"</t>
  </si>
  <si>
    <t>SHERIDAN    WY</t>
  </si>
  <si>
    <t>Casper</t>
  </si>
  <si>
    <t>947</t>
  </si>
  <si>
    <t>"Berkeley"</t>
  </si>
  <si>
    <t>SAN FRANCISCO AP    CA</t>
  </si>
  <si>
    <t>San Jose</t>
  </si>
  <si>
    <t>CASANJOS.txt</t>
  </si>
  <si>
    <t>870</t>
  </si>
  <si>
    <t>"Bernalillo"</t>
  </si>
  <si>
    <t>590</t>
  </si>
  <si>
    <t>"Montana"</t>
  </si>
  <si>
    <t>MT</t>
  </si>
  <si>
    <t>"Billings"</t>
  </si>
  <si>
    <t>BILLINGS    MT</t>
  </si>
  <si>
    <t>Billings</t>
  </si>
  <si>
    <t>MTBILLIN.txt</t>
  </si>
  <si>
    <t>591</t>
  </si>
  <si>
    <t>137</t>
  </si>
  <si>
    <t>"Binghamton"</t>
  </si>
  <si>
    <t>138</t>
  </si>
  <si>
    <t>139</t>
  </si>
  <si>
    <t>BINGHAMTON    NY</t>
  </si>
  <si>
    <t>Wilkes-Barre</t>
  </si>
  <si>
    <t>PAWILKES.txt</t>
  </si>
  <si>
    <t>350</t>
  </si>
  <si>
    <t>"Birmingham"</t>
  </si>
  <si>
    <t>351</t>
  </si>
  <si>
    <t>352</t>
  </si>
  <si>
    <t>585</t>
  </si>
  <si>
    <t>"North_Dakota"</t>
  </si>
  <si>
    <t>"Bismarck"</t>
  </si>
  <si>
    <t>"Ogden/Logan"</t>
  </si>
  <si>
    <t>163</t>
  </si>
  <si>
    <t>"Oil City"</t>
  </si>
  <si>
    <t>730</t>
  </si>
  <si>
    <t>"Oklahoma City"</t>
  </si>
  <si>
    <t>731</t>
  </si>
  <si>
    <t>985</t>
  </si>
  <si>
    <t>"Olympia"</t>
  </si>
  <si>
    <t>OLYMPIA    WA</t>
  </si>
  <si>
    <t>680</t>
  </si>
  <si>
    <t>"Omaha"</t>
  </si>
  <si>
    <t>OMAHA EPPLEY AP    NE</t>
  </si>
  <si>
    <t>681</t>
  </si>
  <si>
    <t>979</t>
  </si>
  <si>
    <t>"Ontario"</t>
  </si>
  <si>
    <t>368</t>
  </si>
  <si>
    <t>"Opelika"</t>
  </si>
  <si>
    <t>328</t>
  </si>
  <si>
    <t>"Orlando"</t>
  </si>
  <si>
    <t>ORLANDO    FL</t>
  </si>
  <si>
    <t>347</t>
  </si>
  <si>
    <t>549</t>
  </si>
  <si>
    <t>"Oshkosh"</t>
  </si>
  <si>
    <t>525</t>
  </si>
  <si>
    <t>"Ottumwa"</t>
  </si>
  <si>
    <t>423</t>
  </si>
  <si>
    <t>"Owensboro"</t>
  </si>
  <si>
    <t>386</t>
  </si>
  <si>
    <t>"Oxford"</t>
  </si>
  <si>
    <t>420</t>
  </si>
  <si>
    <t>"Paducah"</t>
  </si>
  <si>
    <t xml:space="preserve">PADUCAH   KY </t>
  </si>
  <si>
    <t>Paducah</t>
  </si>
  <si>
    <t>Include total floor area of all residential units in building</t>
  </si>
  <si>
    <t>Common Area</t>
  </si>
  <si>
    <t>Commercial Area</t>
  </si>
  <si>
    <t>Total Conditioned</t>
  </si>
  <si>
    <t>Fuel Cost</t>
  </si>
  <si>
    <t>Electricity</t>
  </si>
  <si>
    <t>$/kWh</t>
  </si>
  <si>
    <t>$/Therm</t>
  </si>
  <si>
    <t>Oil</t>
  </si>
  <si>
    <t>Performance Rating Calculation</t>
  </si>
  <si>
    <t>BTU Savings, %</t>
  </si>
  <si>
    <t>$ Savings, %</t>
  </si>
  <si>
    <t>Electricity, Btu</t>
  </si>
  <si>
    <t>Yes</t>
  </si>
  <si>
    <t>No</t>
  </si>
  <si>
    <t>Cost, $</t>
  </si>
  <si>
    <t>Annual Heating</t>
  </si>
  <si>
    <t xml:space="preserve">Annual Cooling </t>
  </si>
  <si>
    <t>Annual Lighting</t>
  </si>
  <si>
    <t>Annual Hot Water</t>
  </si>
  <si>
    <t>Annual Appliance</t>
  </si>
  <si>
    <t>Annual Other</t>
  </si>
  <si>
    <t>SPOKANE    WA</t>
  </si>
  <si>
    <t>Spokane</t>
  </si>
  <si>
    <t>WASPOKAN.txt</t>
  </si>
  <si>
    <t>677</t>
  </si>
  <si>
    <t>"Kansas"</t>
  </si>
  <si>
    <t>KS</t>
  </si>
  <si>
    <t>"Colby"</t>
  </si>
  <si>
    <t>GOODLAND    KS</t>
  </si>
  <si>
    <t>Goodland</t>
  </si>
  <si>
    <t>KSGOODLA.txt</t>
  </si>
  <si>
    <t>808</t>
  </si>
  <si>
    <t>"Colorado Springs"</t>
  </si>
  <si>
    <t>COLORADO SPRINGS    CO</t>
  </si>
  <si>
    <t>809</t>
  </si>
  <si>
    <t>652</t>
  </si>
  <si>
    <t>"Columbia"</t>
  </si>
  <si>
    <t>COLUMBIA    MO</t>
  </si>
  <si>
    <t>290</t>
  </si>
  <si>
    <t>291</t>
  </si>
  <si>
    <t>292</t>
  </si>
  <si>
    <t>384</t>
  </si>
  <si>
    <t>NASHVILLE    TN</t>
  </si>
  <si>
    <t>Nashville</t>
  </si>
  <si>
    <t>LEXINGTON    KY</t>
  </si>
  <si>
    <t>Lexington</t>
  </si>
  <si>
    <t>KYLEXING.txt</t>
  </si>
  <si>
    <t>412</t>
  </si>
  <si>
    <t>HUNTINGTON    WV</t>
  </si>
  <si>
    <t>WV</t>
  </si>
  <si>
    <t>Charleston</t>
  </si>
  <si>
    <t>WVCHARLE.txt</t>
  </si>
  <si>
    <t>306</t>
  </si>
  <si>
    <t>"Athens"</t>
  </si>
  <si>
    <t>ATHENS    GA</t>
  </si>
  <si>
    <t>Atlanta</t>
  </si>
  <si>
    <t>GAATLANT.txt</t>
  </si>
  <si>
    <t>457</t>
  </si>
  <si>
    <t>COLUMBUS    OH</t>
  </si>
  <si>
    <t>OHCOLMBS.txt</t>
  </si>
  <si>
    <t>300</t>
  </si>
  <si>
    <t>"Atlanta"</t>
  </si>
  <si>
    <t>ATLANTA    GA</t>
  </si>
  <si>
    <t>301</t>
  </si>
  <si>
    <t>302</t>
  </si>
  <si>
    <t>303</t>
  </si>
  <si>
    <t>084</t>
  </si>
  <si>
    <t>"New_Jersey"</t>
  </si>
  <si>
    <t>NJ</t>
  </si>
  <si>
    <t>"Atlantic City"</t>
  </si>
  <si>
    <t>ATLANTIC CITY AP    NJ</t>
  </si>
  <si>
    <t>Atlantic City</t>
  </si>
  <si>
    <t>NJATLCTY.txt</t>
  </si>
  <si>
    <t>042</t>
  </si>
  <si>
    <t>"Maine"</t>
  </si>
  <si>
    <t>ME</t>
  </si>
  <si>
    <t>"Auburn"</t>
  </si>
  <si>
    <t>PORTLAND    ME</t>
  </si>
  <si>
    <t>Portland</t>
  </si>
  <si>
    <t>MEPORTLA.txt</t>
  </si>
  <si>
    <t>308</t>
  </si>
  <si>
    <t>"Augusta"</t>
  </si>
  <si>
    <t>309</t>
  </si>
  <si>
    <t>AUGUSTA    GA</t>
  </si>
  <si>
    <t>043</t>
  </si>
  <si>
    <t>786</t>
  </si>
  <si>
    <t>"Austin"</t>
  </si>
  <si>
    <t>SAN ANTONIO    TX</t>
  </si>
  <si>
    <t>Austin</t>
  </si>
  <si>
    <t>TXAUSTIN.txt</t>
  </si>
  <si>
    <t>787</t>
  </si>
  <si>
    <t>AUSTIN    TX</t>
  </si>
  <si>
    <t>933</t>
  </si>
  <si>
    <t>"Bakersfield"</t>
  </si>
  <si>
    <t>BAKERSFIELD    CA</t>
  </si>
  <si>
    <t>Fresno</t>
  </si>
  <si>
    <t>CAFRESNO.txt</t>
  </si>
  <si>
    <t>932</t>
  </si>
  <si>
    <t>"Bakersfield/Visalia"</t>
  </si>
  <si>
    <t>FRESNO    CA</t>
  </si>
  <si>
    <t>210</t>
  </si>
  <si>
    <t>"Baltimore"</t>
  </si>
  <si>
    <t>211</t>
  </si>
  <si>
    <t>212</t>
  </si>
  <si>
    <t>213</t>
  </si>
  <si>
    <t>044</t>
  </si>
  <si>
    <t>"Bangor"</t>
  </si>
  <si>
    <t>725</t>
  </si>
  <si>
    <t>"Arkansas"</t>
  </si>
  <si>
    <t>AR</t>
  </si>
  <si>
    <t>"Batesville"</t>
  </si>
  <si>
    <t>NORTH LITTLE ROCK    AR</t>
  </si>
  <si>
    <t>Little Rock</t>
  </si>
  <si>
    <t>ARLIROCK.txt</t>
  </si>
  <si>
    <t>045</t>
  </si>
  <si>
    <t>"Bath"</t>
  </si>
  <si>
    <t>707</t>
  </si>
  <si>
    <t>"Baton Rouge"</t>
  </si>
  <si>
    <t>BATON ROUGE    LA</t>
  </si>
  <si>
    <t>Baton Rouge</t>
  </si>
  <si>
    <t>LABATONR.txt</t>
  </si>
  <si>
    <t>708</t>
  </si>
  <si>
    <t>408</t>
  </si>
  <si>
    <t>"Baxter"</t>
  </si>
  <si>
    <t>299</t>
  </si>
  <si>
    <t>"Beaufort"</t>
  </si>
  <si>
    <t>SAVANNAH    GA</t>
  </si>
  <si>
    <t>Savannah</t>
  </si>
  <si>
    <t>GASAVANN.txt</t>
  </si>
  <si>
    <t>776</t>
  </si>
  <si>
    <t>"Beaumont"</t>
  </si>
  <si>
    <t>PORT ARTHUR    TX</t>
  </si>
  <si>
    <t>Houston</t>
  </si>
  <si>
    <t>TXHOUSTO.txt</t>
  </si>
  <si>
    <t>777</t>
  </si>
  <si>
    <t>258</t>
  </si>
  <si>
    <t>"West_Virginia"</t>
  </si>
  <si>
    <t>"Beckley"</t>
  </si>
  <si>
    <t>BECKLEY    WV</t>
  </si>
  <si>
    <t>259</t>
  </si>
  <si>
    <t>051</t>
  </si>
  <si>
    <t>"Vermont"</t>
  </si>
  <si>
    <t>VT</t>
  </si>
  <si>
    <t>"Bellows Falls"</t>
  </si>
  <si>
    <t>566</t>
  </si>
  <si>
    <t>"Minnesota"</t>
  </si>
  <si>
    <t>MN</t>
  </si>
  <si>
    <t>"Bemidji"</t>
  </si>
  <si>
    <t>INTERNATIONAL FALLS    MN</t>
  </si>
  <si>
    <t>Duluth</t>
  </si>
  <si>
    <t>MNDULUTH.txt</t>
  </si>
  <si>
    <t>977</t>
  </si>
  <si>
    <t>"Oregon"</t>
  </si>
  <si>
    <t>OR</t>
  </si>
  <si>
    <t>"Bend"</t>
  </si>
  <si>
    <t>BURNS    OR</t>
  </si>
  <si>
    <t>Yakima</t>
  </si>
  <si>
    <t>WA</t>
  </si>
  <si>
    <t>WAYAKIMA.txt</t>
  </si>
  <si>
    <t>052</t>
  </si>
  <si>
    <t>"Bennington"</t>
  </si>
  <si>
    <t>604</t>
  </si>
  <si>
    <t>BISMARCK    ND</t>
  </si>
  <si>
    <t>Bismarck</t>
  </si>
  <si>
    <t>NDBISMAR.txt</t>
  </si>
  <si>
    <t>617</t>
  </si>
  <si>
    <t>"Illinois"</t>
  </si>
  <si>
    <t>IL</t>
  </si>
  <si>
    <t>"Bloomington"</t>
  </si>
  <si>
    <t>SPRINGFIELD    IL</t>
  </si>
  <si>
    <t>Springfield</t>
  </si>
  <si>
    <t>773</t>
  </si>
  <si>
    <t>"Conroe"</t>
  </si>
  <si>
    <t>HOUSTON    TX</t>
  </si>
  <si>
    <t>385</t>
  </si>
  <si>
    <t>"Cookeville"</t>
  </si>
  <si>
    <t>407</t>
  </si>
  <si>
    <t>"Corbin"</t>
  </si>
  <si>
    <t>783</t>
  </si>
  <si>
    <t>"Corpus Christi"</t>
  </si>
  <si>
    <t>CORPUS CHRISTI    TX</t>
  </si>
  <si>
    <t>Corpus Christi</t>
  </si>
  <si>
    <t>TXCORPUS.txt</t>
  </si>
  <si>
    <t>784</t>
  </si>
  <si>
    <t>515</t>
  </si>
  <si>
    <t>"Council Bluffs"</t>
  </si>
  <si>
    <t>OMAHA (NORTH)    NE</t>
  </si>
  <si>
    <t>Omaha</t>
  </si>
  <si>
    <t>NEOMAHA.txt</t>
  </si>
  <si>
    <t>917</t>
  </si>
  <si>
    <t>"Covina"</t>
  </si>
  <si>
    <t>508</t>
  </si>
  <si>
    <t>"Creston"</t>
  </si>
  <si>
    <t>227</t>
  </si>
  <si>
    <t>"Culpeper"</t>
  </si>
  <si>
    <t>WASHINGTON DULLES AP DC</t>
  </si>
  <si>
    <t>215</t>
  </si>
  <si>
    <t>"Cumberland"</t>
  </si>
  <si>
    <t>750</t>
  </si>
  <si>
    <t>"Dallas"</t>
  </si>
  <si>
    <t>751</t>
  </si>
  <si>
    <t>752</t>
  </si>
  <si>
    <t>753</t>
  </si>
  <si>
    <t>307</t>
  </si>
  <si>
    <t>"Dalton"</t>
  </si>
  <si>
    <t>527</t>
  </si>
  <si>
    <t>"Davenport"</t>
  </si>
  <si>
    <t>528</t>
  </si>
  <si>
    <t>453</t>
  </si>
  <si>
    <t>"Dayton"</t>
  </si>
  <si>
    <t>Dayton</t>
  </si>
  <si>
    <t>OHDAYTON.txt</t>
  </si>
  <si>
    <t>454</t>
  </si>
  <si>
    <t>DAYTON    OH</t>
  </si>
  <si>
    <t>356</t>
  </si>
  <si>
    <t>"Decatur/Florence"</t>
  </si>
  <si>
    <t>Huntsville</t>
  </si>
  <si>
    <t>ALHUNTSV.txt</t>
  </si>
  <si>
    <t>521</t>
  </si>
  <si>
    <t>"Decorah"</t>
  </si>
  <si>
    <t>LA CROSSE    WI</t>
  </si>
  <si>
    <t>WI</t>
  </si>
  <si>
    <t>762</t>
  </si>
  <si>
    <t>"Denton"</t>
  </si>
  <si>
    <t>800</t>
  </si>
  <si>
    <t>"Denver"</t>
  </si>
  <si>
    <t>801</t>
  </si>
  <si>
    <t>802</t>
  </si>
  <si>
    <t>500</t>
  </si>
  <si>
    <t>"Des Moines"</t>
  </si>
  <si>
    <t>501</t>
  </si>
  <si>
    <t>502</t>
  </si>
  <si>
    <t>503</t>
  </si>
  <si>
    <t>565</t>
  </si>
  <si>
    <t>"Detroit Lakes"</t>
  </si>
  <si>
    <t>FARGO    ND</t>
  </si>
  <si>
    <t>482</t>
  </si>
  <si>
    <t>"Detroit"</t>
  </si>
  <si>
    <t>483</t>
  </si>
  <si>
    <t>583</t>
  </si>
  <si>
    <t>"Devils Lake"</t>
  </si>
  <si>
    <t>586</t>
  </si>
  <si>
    <t>"Dickinson"</t>
  </si>
  <si>
    <t>678</t>
  </si>
  <si>
    <t>"Dodge City"</t>
  </si>
  <si>
    <t>DODGE CITY    KS</t>
  </si>
  <si>
    <t>Wichita</t>
  </si>
  <si>
    <t>KSWICHIT.txt</t>
  </si>
  <si>
    <t>363</t>
  </si>
  <si>
    <t>"Dothan"</t>
  </si>
  <si>
    <t>MONTGOMERY    AL</t>
  </si>
  <si>
    <t>Montgomery</t>
  </si>
  <si>
    <t xml:space="preserve">ALMONTGO.txt </t>
  </si>
  <si>
    <t>199</t>
  </si>
  <si>
    <t>"Delaware"</t>
  </si>
  <si>
    <t>DE</t>
  </si>
  <si>
    <t>"Dover"</t>
  </si>
  <si>
    <t>078</t>
  </si>
  <si>
    <t>189</t>
  </si>
  <si>
    <t>"Doylestown"</t>
  </si>
  <si>
    <t>158</t>
  </si>
  <si>
    <t>"Du Bois"</t>
  </si>
  <si>
    <t>WILLIAMSPORT    PA</t>
  </si>
  <si>
    <t>520</t>
  </si>
  <si>
    <t>"Dubuque"</t>
  </si>
  <si>
    <t>DUBUQUE    IA</t>
  </si>
  <si>
    <t>556</t>
  </si>
  <si>
    <t>"Duluth"</t>
  </si>
  <si>
    <t>DULUTH    MN</t>
  </si>
  <si>
    <t>557</t>
  </si>
  <si>
    <t>558</t>
  </si>
  <si>
    <t>813</t>
  </si>
  <si>
    <t>"Durango"</t>
  </si>
  <si>
    <t>GRAND JUNCTION    CO</t>
  </si>
  <si>
    <t>Grand Junction</t>
  </si>
  <si>
    <t>COGRNDJU.txt</t>
  </si>
  <si>
    <t>747</t>
  </si>
  <si>
    <t>"Durant"</t>
  </si>
  <si>
    <t>"Traverse City"</t>
  </si>
  <si>
    <t>ALPENA    MI</t>
  </si>
  <si>
    <t>085</t>
  </si>
  <si>
    <t>"Trenton"</t>
  </si>
  <si>
    <t>086</t>
  </si>
  <si>
    <t>879</t>
  </si>
  <si>
    <t>"Truth or Conseq."</t>
  </si>
  <si>
    <t>857</t>
  </si>
  <si>
    <t>"Tucson"</t>
  </si>
  <si>
    <t>884</t>
  </si>
  <si>
    <t>"Tucumcari"</t>
  </si>
  <si>
    <t>740</t>
  </si>
  <si>
    <t>"Tulsa"</t>
  </si>
  <si>
    <t>741</t>
  </si>
  <si>
    <t>388</t>
  </si>
  <si>
    <t>"Tupelo"</t>
  </si>
  <si>
    <t>TUPELO    MS</t>
  </si>
  <si>
    <t>354</t>
  </si>
  <si>
    <t>"Tuscaloosa"</t>
  </si>
  <si>
    <t>833</t>
  </si>
  <si>
    <t>"Twin Falls"</t>
  </si>
  <si>
    <t>757</t>
  </si>
  <si>
    <t>"Tyler"</t>
  </si>
  <si>
    <t>154</t>
  </si>
  <si>
    <t>"Uniontown"</t>
  </si>
  <si>
    <t>133</t>
  </si>
  <si>
    <t>"Utica"</t>
  </si>
  <si>
    <t>134</t>
  </si>
  <si>
    <t>135</t>
  </si>
  <si>
    <t>788</t>
  </si>
  <si>
    <t>"Uvalde"</t>
  </si>
  <si>
    <t>DEL RIO    TX</t>
  </si>
  <si>
    <t>316</t>
  </si>
  <si>
    <t>"Valdosta"</t>
  </si>
  <si>
    <t>692</t>
  </si>
  <si>
    <t>"Valentine"</t>
  </si>
  <si>
    <t>VALENTINE    NE</t>
  </si>
  <si>
    <t>913</t>
  </si>
  <si>
    <t>"Van Nuys"</t>
  </si>
  <si>
    <t>914</t>
  </si>
  <si>
    <t>986</t>
  </si>
  <si>
    <t>"Vancouver"</t>
  </si>
  <si>
    <t>930</t>
  </si>
  <si>
    <t>"Ventura/Oxnard"</t>
  </si>
  <si>
    <t>779</t>
  </si>
  <si>
    <t>"Victoria"</t>
  </si>
  <si>
    <t>743</t>
  </si>
  <si>
    <t>"Vinita"</t>
  </si>
  <si>
    <t>766</t>
  </si>
  <si>
    <t>"Waco"</t>
  </si>
  <si>
    <t>767</t>
  </si>
  <si>
    <t>206</t>
  </si>
  <si>
    <t>"Waldorf"</t>
  </si>
  <si>
    <t>200</t>
  </si>
  <si>
    <t>"DC"</t>
  </si>
  <si>
    <t>201</t>
  </si>
  <si>
    <t>202</t>
  </si>
  <si>
    <t>203</t>
  </si>
  <si>
    <t>204</t>
  </si>
  <si>
    <t>205</t>
  </si>
  <si>
    <t>475</t>
  </si>
  <si>
    <t>153</t>
  </si>
  <si>
    <t>067</t>
  </si>
  <si>
    <t>"Waterbury"</t>
  </si>
  <si>
    <t>506</t>
  </si>
  <si>
    <t>"Waterloo"</t>
  </si>
  <si>
    <t>507</t>
  </si>
  <si>
    <t>136</t>
  </si>
  <si>
    <t>"Watertown"</t>
  </si>
  <si>
    <t>572</t>
  </si>
  <si>
    <t>049</t>
  </si>
  <si>
    <t>"Waterville"</t>
  </si>
  <si>
    <t>544</t>
  </si>
  <si>
    <t>"Wausau"</t>
  </si>
  <si>
    <t>315</t>
  </si>
  <si>
    <t>"Waycross"</t>
  </si>
  <si>
    <t>248</t>
  </si>
  <si>
    <t>"Welch"</t>
  </si>
  <si>
    <t>169</t>
  </si>
  <si>
    <t>"Wellsboro"</t>
  </si>
  <si>
    <t>988</t>
  </si>
  <si>
    <t>"Wenatchee"</t>
  </si>
  <si>
    <t>YAKIMA    WA</t>
  </si>
  <si>
    <t>723</t>
  </si>
  <si>
    <t>"West Memphis"</t>
  </si>
  <si>
    <t>334</t>
  </si>
  <si>
    <t>"West Palm Beach"</t>
  </si>
  <si>
    <t>WEST PALM BEACH    FL</t>
  </si>
  <si>
    <t>West Palm Beach</t>
  </si>
  <si>
    <t>FLWPALMB.txt</t>
  </si>
  <si>
    <t>105</t>
  </si>
  <si>
    <t>"Westchester"</t>
  </si>
  <si>
    <t>822</t>
  </si>
  <si>
    <t>"Wheatland"</t>
  </si>
  <si>
    <t>SCOTTSBLUFF    NE</t>
  </si>
  <si>
    <t>260</t>
  </si>
  <si>
    <t>"Wheeling"</t>
  </si>
  <si>
    <t>106</t>
  </si>
  <si>
    <t>"White Plains"</t>
  </si>
  <si>
    <t>050</t>
  </si>
  <si>
    <t>"White River Junction"</t>
  </si>
  <si>
    <t>906</t>
  </si>
  <si>
    <t>824</t>
  </si>
  <si>
    <t>"Worland"</t>
  </si>
  <si>
    <t>989</t>
  </si>
  <si>
    <t>"Yakima"</t>
  </si>
  <si>
    <t>821</t>
  </si>
  <si>
    <t>"Yellowstone Nat Pk"</t>
  </si>
  <si>
    <t>107</t>
  </si>
  <si>
    <t>"Yonkers"</t>
  </si>
  <si>
    <t>173</t>
  </si>
  <si>
    <t>"York"</t>
  </si>
  <si>
    <t>174</t>
  </si>
  <si>
    <t>444</t>
  </si>
  <si>
    <t>"Youngstown"</t>
  </si>
  <si>
    <t>445</t>
  </si>
  <si>
    <t>437</t>
  </si>
  <si>
    <t>"Zanesville"</t>
  </si>
  <si>
    <t>438</t>
  </si>
  <si>
    <t>901 Unique Zip Codes</t>
  </si>
  <si>
    <t>242 Unique Climates</t>
  </si>
  <si>
    <t>159 IWIN - NCDC Sites</t>
  </si>
  <si>
    <t>Elec. Units</t>
  </si>
  <si>
    <t>Gas Units</t>
  </si>
  <si>
    <t>Oil Units</t>
  </si>
  <si>
    <t>Steam Units</t>
  </si>
  <si>
    <t>Chilled Water Units</t>
  </si>
  <si>
    <t>Cooking</t>
  </si>
  <si>
    <t>Cooling</t>
  </si>
  <si>
    <t>Months in Use</t>
  </si>
  <si>
    <t>Source</t>
  </si>
  <si>
    <t>Site</t>
  </si>
  <si>
    <t>Value</t>
  </si>
  <si>
    <t>Therms</t>
  </si>
  <si>
    <t>Gal</t>
  </si>
  <si>
    <t>MLbs</t>
  </si>
  <si>
    <t>Ton-Hrs</t>
  </si>
  <si>
    <t>kBTU</t>
  </si>
  <si>
    <t>Old Below Ground EUI =</t>
  </si>
  <si>
    <t>kBtu/ft2-yr</t>
  </si>
  <si>
    <t>New Below Ground EUI =</t>
  </si>
  <si>
    <t>%Source</t>
  </si>
  <si>
    <t>%Site</t>
  </si>
  <si>
    <t>User Data:</t>
  </si>
  <si>
    <t>Electric</t>
  </si>
  <si>
    <t>Multi-Family Residential Building</t>
  </si>
  <si>
    <t>Design Assistant Worksheet</t>
  </si>
  <si>
    <t>Unit</t>
  </si>
  <si>
    <t>Building</t>
  </si>
  <si>
    <t>Expected Results</t>
  </si>
  <si>
    <t>Side Calculations</t>
  </si>
  <si>
    <t>Residential SQFT</t>
  </si>
  <si>
    <t>Resid ES Target Site EU</t>
  </si>
  <si>
    <t>TDV-kBtu/sf/yr</t>
  </si>
  <si>
    <t>116</t>
  </si>
  <si>
    <t>"Far Rockaway"</t>
  </si>
  <si>
    <t>ISLIP    NY</t>
  </si>
  <si>
    <t>580</t>
  </si>
  <si>
    <t>"Fargo"</t>
  </si>
  <si>
    <t>581</t>
  </si>
  <si>
    <t>874</t>
  </si>
  <si>
    <t>"Farmington"</t>
  </si>
  <si>
    <t>239</t>
  </si>
  <si>
    <t>"Farmville"</t>
  </si>
  <si>
    <t>727</t>
  </si>
  <si>
    <t>"Fayetteville"</t>
  </si>
  <si>
    <t>SPRINGFIELD    MO</t>
  </si>
  <si>
    <t>MOSPRING.txt</t>
  </si>
  <si>
    <t>283</t>
  </si>
  <si>
    <t>860</t>
  </si>
  <si>
    <t>"Flagstaff"</t>
  </si>
  <si>
    <t>FLAGSTAFF    AZ</t>
  </si>
  <si>
    <t>Flagstaff</t>
  </si>
  <si>
    <t>AZFLAGST.txt</t>
  </si>
  <si>
    <t>636</t>
  </si>
  <si>
    <t>"Flat River"</t>
  </si>
  <si>
    <t>484</t>
  </si>
  <si>
    <t>"Flint"</t>
  </si>
  <si>
    <t>LANSING    MI</t>
  </si>
  <si>
    <t>Flint</t>
  </si>
  <si>
    <t>MIFLINT.txt</t>
  </si>
  <si>
    <t>485</t>
  </si>
  <si>
    <t>FLINT    MI</t>
  </si>
  <si>
    <t>295</t>
  </si>
  <si>
    <t>"Florence"</t>
  </si>
  <si>
    <t>WILMINGTON    NC</t>
  </si>
  <si>
    <t>113</t>
  </si>
  <si>
    <t>"Flushing"</t>
  </si>
  <si>
    <t>NEW YORK (JFK AP)    NY</t>
  </si>
  <si>
    <t>505</t>
  </si>
  <si>
    <t>"Fort Dodge"</t>
  </si>
  <si>
    <t>333</t>
  </si>
  <si>
    <t>"Fort Lauderdale"</t>
  </si>
  <si>
    <t>MIAMI    FL</t>
  </si>
  <si>
    <t>Miami Beach</t>
  </si>
  <si>
    <t>FLMIAMIB.txt</t>
  </si>
  <si>
    <t>807</t>
  </si>
  <si>
    <t>"Fort Morgan"</t>
  </si>
  <si>
    <t>339</t>
  </si>
  <si>
    <t>"Fort Myers"</t>
  </si>
  <si>
    <t>FORT MYERS    FL</t>
  </si>
  <si>
    <t>349</t>
  </si>
  <si>
    <t>"Fort Pierce"</t>
  </si>
  <si>
    <t>667</t>
  </si>
  <si>
    <t>"Fort Scott"</t>
  </si>
  <si>
    <t>729</t>
  </si>
  <si>
    <t>"Fort Smith"</t>
  </si>
  <si>
    <t>FORT SMITH    AR</t>
  </si>
  <si>
    <t>Fort Smith</t>
  </si>
  <si>
    <t>ARFTSMIT.txt</t>
  </si>
  <si>
    <t>467</t>
  </si>
  <si>
    <t>"Fort Wayne"</t>
  </si>
  <si>
    <t>SOUTH BEND    IN</t>
  </si>
  <si>
    <t>Fort Wayne</t>
  </si>
  <si>
    <t>INFTWAYN.txt</t>
  </si>
  <si>
    <t>468</t>
  </si>
  <si>
    <t>FORT WAYNE    IN</t>
  </si>
  <si>
    <t>760</t>
  </si>
  <si>
    <t>"Fort Worth"</t>
  </si>
  <si>
    <t>761</t>
  </si>
  <si>
    <t>017</t>
  </si>
  <si>
    <t>"Framingham"</t>
  </si>
  <si>
    <t>406</t>
  </si>
  <si>
    <t>"Frankfort"</t>
  </si>
  <si>
    <t>217</t>
  </si>
  <si>
    <t>"Frederick"</t>
  </si>
  <si>
    <t>224</t>
  </si>
  <si>
    <t>"Fredericksburg"</t>
  </si>
  <si>
    <t>225</t>
  </si>
  <si>
    <t>936</t>
  </si>
  <si>
    <t>"Fresno"</t>
  </si>
  <si>
    <t>937</t>
  </si>
  <si>
    <t>359</t>
  </si>
  <si>
    <t>"Gadsden"</t>
  </si>
  <si>
    <t>326</t>
  </si>
  <si>
    <t>"Gainesville"</t>
  </si>
  <si>
    <t>GAINESVILLE    FL</t>
  </si>
  <si>
    <t>Jacksonville</t>
  </si>
  <si>
    <t>FLJACKSV.txt</t>
  </si>
  <si>
    <t>305</t>
  </si>
  <si>
    <t>614</t>
  </si>
  <si>
    <t>"Galesburg"</t>
  </si>
  <si>
    <t>Peoria</t>
  </si>
  <si>
    <t>ILPEORIA.txt</t>
  </si>
  <si>
    <t>873</t>
  </si>
  <si>
    <t>"Gallup"</t>
  </si>
  <si>
    <t>775</t>
  </si>
  <si>
    <t>"Galveston"</t>
  </si>
  <si>
    <t>GALVESTON    TX</t>
  </si>
  <si>
    <t>463</t>
  </si>
  <si>
    <t>"Gary"</t>
  </si>
  <si>
    <t>South Bend</t>
  </si>
  <si>
    <t>INSOBEND.txt</t>
  </si>
  <si>
    <t>464</t>
  </si>
  <si>
    <t>266</t>
  </si>
  <si>
    <t>"Gassaway"</t>
  </si>
  <si>
    <t>789</t>
  </si>
  <si>
    <t>"Giddings"</t>
  </si>
  <si>
    <t>827</t>
  </si>
  <si>
    <t>"Gillette"</t>
  </si>
  <si>
    <t>CASPER    WY</t>
  </si>
  <si>
    <t>950</t>
  </si>
  <si>
    <t>"Gilroy"</t>
  </si>
  <si>
    <t>912</t>
  </si>
  <si>
    <t>"Glendale"</t>
  </si>
  <si>
    <t>128</t>
  </si>
  <si>
    <t>"Glens Falls"</t>
  </si>
  <si>
    <t>816</t>
  </si>
  <si>
    <t>"Glenwood Springs"</t>
  </si>
  <si>
    <t>855</t>
  </si>
  <si>
    <t>"Globe"</t>
  </si>
  <si>
    <t>804</t>
  </si>
  <si>
    <t>"Golden/Dillon"</t>
  </si>
  <si>
    <t>582</t>
  </si>
  <si>
    <t>"Grand Forks"</t>
  </si>
  <si>
    <t>688</t>
  </si>
  <si>
    <t>"Grand Island"</t>
  </si>
  <si>
    <t>815</t>
  </si>
  <si>
    <t>"Grand Junction"</t>
  </si>
  <si>
    <t>493</t>
  </si>
  <si>
    <t>"Grand Rapids"</t>
  </si>
  <si>
    <t>MUSKEGON    MI</t>
  </si>
  <si>
    <t>Grand Rapids</t>
  </si>
  <si>
    <t>MIGRNDRA.txt</t>
  </si>
  <si>
    <t>495</t>
  </si>
  <si>
    <t>GRAND RAPIDS    MI</t>
  </si>
  <si>
    <t>594</t>
  </si>
  <si>
    <t>"Great Falls"</t>
  </si>
  <si>
    <t>GREAT FALLS    MT</t>
  </si>
  <si>
    <t>Great Falls</t>
  </si>
  <si>
    <t>MTGRFALL.txt</t>
  </si>
  <si>
    <t>110</t>
  </si>
  <si>
    <t>"Great Neck"</t>
  </si>
  <si>
    <t>806</t>
  </si>
  <si>
    <t>"Greeley"</t>
  </si>
  <si>
    <t>541</t>
  </si>
  <si>
    <t>"Green Bay"</t>
  </si>
  <si>
    <t>GREEN BAY    WI</t>
  </si>
  <si>
    <t>Green Bay</t>
  </si>
  <si>
    <t>WIGREBAY.txt</t>
  </si>
  <si>
    <t>542</t>
  </si>
  <si>
    <t>543</t>
  </si>
  <si>
    <t>013</t>
  </si>
  <si>
    <t>"Greenfield"</t>
  </si>
  <si>
    <t>272</t>
  </si>
  <si>
    <t>"Greensboro"</t>
  </si>
  <si>
    <t>GREENSBORO-WNSTN-SALM-HGHPT NC</t>
  </si>
  <si>
    <t>Greensboro</t>
  </si>
  <si>
    <t>NCGRNSBO.txt</t>
  </si>
  <si>
    <t>273</t>
  </si>
  <si>
    <t>274</t>
  </si>
  <si>
    <t>156</t>
  </si>
  <si>
    <t>"Greensburg"</t>
  </si>
  <si>
    <t>387</t>
  </si>
  <si>
    <t>"Greenville"</t>
  </si>
  <si>
    <t>JACKSON    MS</t>
  </si>
  <si>
    <t>296</t>
  </si>
  <si>
    <t>754</t>
  </si>
  <si>
    <t>389</t>
  </si>
  <si>
    <t>"Grenada"</t>
  </si>
  <si>
    <t>Tupelo</t>
  </si>
  <si>
    <t>MSTUPELO.txt</t>
  </si>
  <si>
    <t>395</t>
  </si>
  <si>
    <t>"Gulfport"</t>
  </si>
  <si>
    <t>NEW ORLEANS    LA</t>
  </si>
  <si>
    <t>New Orleans</t>
  </si>
  <si>
    <t>LANEWORL.txt</t>
  </si>
  <si>
    <t>739</t>
  </si>
  <si>
    <t>"Guymon"</t>
  </si>
  <si>
    <t>076</t>
  </si>
  <si>
    <t>"Hackensack"</t>
  </si>
  <si>
    <t>704</t>
  </si>
  <si>
    <t>"Hammond"</t>
  </si>
  <si>
    <t>634</t>
  </si>
  <si>
    <t>"Hannibal"</t>
  </si>
  <si>
    <t>170</t>
  </si>
  <si>
    <t>"Harrisburg"</t>
  </si>
  <si>
    <t>171</t>
  </si>
  <si>
    <t>726</t>
  </si>
  <si>
    <t>Energy Usage per Square Foot of Conditioned Area</t>
  </si>
  <si>
    <t>Btu/SqFt</t>
  </si>
  <si>
    <t>PUEBLO    CO</t>
  </si>
  <si>
    <t>Pueblo</t>
  </si>
  <si>
    <t>COPUEBLO.txt</t>
  </si>
  <si>
    <t>891</t>
  </si>
  <si>
    <t>207</t>
  </si>
  <si>
    <t>"Laurel"</t>
  </si>
  <si>
    <t>470</t>
  </si>
  <si>
    <t>"Lawrenceburg"</t>
  </si>
  <si>
    <t>735</t>
  </si>
  <si>
    <t>"Lawton"</t>
  </si>
  <si>
    <t>WICHITA FALLS    TX</t>
  </si>
  <si>
    <t>Wichita Falls</t>
  </si>
  <si>
    <t>TXWICHFA.txt</t>
  </si>
  <si>
    <t>180</t>
  </si>
  <si>
    <t>"Lehigh_Valley"</t>
  </si>
  <si>
    <t>249</t>
  </si>
  <si>
    <t>"Lewisburg"</t>
  </si>
  <si>
    <t>835</t>
  </si>
  <si>
    <t>"Lewiston"</t>
  </si>
  <si>
    <t>LEWISTON    ID</t>
  </si>
  <si>
    <t>403</t>
  </si>
  <si>
    <t>"Lexington"</t>
  </si>
  <si>
    <t>404</t>
  </si>
  <si>
    <t>405</t>
  </si>
  <si>
    <t>679</t>
  </si>
  <si>
    <t>"Liberal"</t>
  </si>
  <si>
    <t>458</t>
  </si>
  <si>
    <t>"Lima"</t>
  </si>
  <si>
    <t>683</t>
  </si>
  <si>
    <t>"Lincoln"</t>
  </si>
  <si>
    <t>LINCOLN    NE</t>
  </si>
  <si>
    <t>684</t>
  </si>
  <si>
    <t>685</t>
  </si>
  <si>
    <t>720</t>
  </si>
  <si>
    <t>"Little Rock"</t>
  </si>
  <si>
    <t>721</t>
  </si>
  <si>
    <t>722</t>
  </si>
  <si>
    <t>035</t>
  </si>
  <si>
    <t>"Littleton"</t>
  </si>
  <si>
    <t>256</t>
  </si>
  <si>
    <t>"Logan"</t>
  </si>
  <si>
    <t>908</t>
  </si>
  <si>
    <t>"Long Beach"</t>
  </si>
  <si>
    <t>805</t>
  </si>
  <si>
    <t>"Longmont"</t>
  </si>
  <si>
    <t>756</t>
  </si>
  <si>
    <t>"Longview"</t>
  </si>
  <si>
    <t>900</t>
  </si>
  <si>
    <t>"Los Angeles"</t>
  </si>
  <si>
    <t>901</t>
  </si>
  <si>
    <t>902</t>
  </si>
  <si>
    <t>400</t>
  </si>
  <si>
    <t>"Louisville"</t>
  </si>
  <si>
    <t>401</t>
  </si>
  <si>
    <t>402</t>
  </si>
  <si>
    <t>793</t>
  </si>
  <si>
    <t>"Lubbock"</t>
  </si>
  <si>
    <t>794</t>
  </si>
  <si>
    <t>759</t>
  </si>
  <si>
    <t>"Lufkin"</t>
  </si>
  <si>
    <t>WACO    TX</t>
  </si>
  <si>
    <t>Waco</t>
  </si>
  <si>
    <t>TXWACO.txt</t>
  </si>
  <si>
    <t>245</t>
  </si>
  <si>
    <t>"Lynchburg"</t>
  </si>
  <si>
    <t>LYNCHBURG    VA</t>
  </si>
  <si>
    <t>019</t>
  </si>
  <si>
    <t>"Lynn"</t>
  </si>
  <si>
    <t>497</t>
  </si>
  <si>
    <t>"Mackinaw City"</t>
  </si>
  <si>
    <t>SAULT STE. MARIE    MI</t>
  </si>
  <si>
    <t>310</t>
  </si>
  <si>
    <t>"Macon"</t>
  </si>
  <si>
    <t>Macon</t>
  </si>
  <si>
    <t>GAMACON.txt</t>
  </si>
  <si>
    <t>311</t>
  </si>
  <si>
    <t>312</t>
  </si>
  <si>
    <t>535</t>
  </si>
  <si>
    <t>"Madison"</t>
  </si>
  <si>
    <t>536</t>
  </si>
  <si>
    <t>537</t>
  </si>
  <si>
    <t>030</t>
  </si>
  <si>
    <t>"Manchester"</t>
  </si>
  <si>
    <t>031</t>
  </si>
  <si>
    <t>"Guam"</t>
  </si>
  <si>
    <t>GU</t>
  </si>
  <si>
    <t>"Mangilao"</t>
  </si>
  <si>
    <t>"Harrison"</t>
  </si>
  <si>
    <t>228</t>
  </si>
  <si>
    <t>"Harrisonburg"</t>
  </si>
  <si>
    <t>647</t>
  </si>
  <si>
    <t>"Harrisonville"</t>
  </si>
  <si>
    <t>060</t>
  </si>
  <si>
    <t>"Hartford"</t>
  </si>
  <si>
    <t>Under Ground Garage</t>
  </si>
  <si>
    <t>Above Ground Garage</t>
  </si>
  <si>
    <t>Parking Lot</t>
  </si>
  <si>
    <t>Gas</t>
  </si>
  <si>
    <t>Steam</t>
  </si>
  <si>
    <t>Chilled Water</t>
  </si>
  <si>
    <t>Energy</t>
  </si>
  <si>
    <t>Average</t>
  </si>
  <si>
    <t>kBtu</t>
  </si>
  <si>
    <t>Source Total</t>
  </si>
  <si>
    <t>Site EUI</t>
  </si>
  <si>
    <t>Bldg Source Total minus Commercial, Garage, Parking Lot</t>
  </si>
  <si>
    <t>Bldg Source Total</t>
  </si>
  <si>
    <t>Residential &amp; common</t>
  </si>
  <si>
    <t>Source EUI</t>
  </si>
  <si>
    <t>Resid Site EU (50) =</t>
  </si>
  <si>
    <t>Commercial, Garage, and Parking</t>
  </si>
  <si>
    <t>Adj Source EUI</t>
  </si>
  <si>
    <t>Resid Source EU (50) =</t>
  </si>
  <si>
    <t>Ln Resid So kBtu</t>
  </si>
  <si>
    <t>Building Site EU (50) =</t>
  </si>
  <si>
    <t xml:space="preserve">Per CBECS 1999, average energy use for commercial space </t>
  </si>
  <si>
    <t>Building Source EU (50) =</t>
  </si>
  <si>
    <t>is about 200 source kBtu/sqft (office - 213, store - 182)</t>
  </si>
  <si>
    <t>Model:</t>
  </si>
  <si>
    <t>Thus, calc commercial space EU above by sqft x 200.</t>
  </si>
  <si>
    <t>Ln Source Total = C0 + C1*LN (sqftreg) + C2*CDDcoolp + C3*hddheatp + C4*Bedrooms/unit</t>
  </si>
  <si>
    <t>Assume common space EU is 75% of residential.</t>
  </si>
  <si>
    <t>Parameter Estimates</t>
  </si>
  <si>
    <t xml:space="preserve">(Reference:  Answers to Ques. 10 in 10/6/2004 email response </t>
  </si>
  <si>
    <t>Parameter</t>
  </si>
  <si>
    <t>Variable</t>
  </si>
  <si>
    <t>Mean</t>
  </si>
  <si>
    <t>Minimum</t>
  </si>
  <si>
    <t>Maximum</t>
  </si>
  <si>
    <t>to Stephanie Jones at CEE)</t>
  </si>
  <si>
    <t>DF</t>
  </si>
  <si>
    <t>Estimate</t>
  </si>
  <si>
    <t>LNSRCEUI</t>
  </si>
  <si>
    <t>N=217</t>
  </si>
  <si>
    <t>Intercept</t>
  </si>
  <si>
    <t>Exit Signs</t>
  </si>
  <si>
    <t>"Show Low"</t>
  </si>
  <si>
    <t>710</t>
  </si>
  <si>
    <t>"Shreveport"</t>
  </si>
  <si>
    <t>711</t>
  </si>
  <si>
    <t>856</t>
  </si>
  <si>
    <t>"Sierra Vista/Nogales"</t>
  </si>
  <si>
    <t>638</t>
  </si>
  <si>
    <t>"Sikeston"</t>
  </si>
  <si>
    <t>209</t>
  </si>
  <si>
    <t>"Silver Spring"</t>
  </si>
  <si>
    <t>510</t>
  </si>
  <si>
    <t>"Sioux City"</t>
  </si>
  <si>
    <t>511</t>
  </si>
  <si>
    <t>570</t>
  </si>
  <si>
    <t>"Sioux Falls"</t>
  </si>
  <si>
    <t>571</t>
  </si>
  <si>
    <t>940</t>
  </si>
  <si>
    <t>"So. San Francisco"</t>
  </si>
  <si>
    <t>878</t>
  </si>
  <si>
    <t>"Socorro"</t>
  </si>
  <si>
    <t>425</t>
  </si>
  <si>
    <t>"Somerset"</t>
  </si>
  <si>
    <t>426</t>
  </si>
  <si>
    <t>155</t>
  </si>
  <si>
    <t>465</t>
  </si>
  <si>
    <t>"South Bend"</t>
  </si>
  <si>
    <t>466</t>
  </si>
  <si>
    <t>Fill in cells highlighted with this color.</t>
  </si>
  <si>
    <t>CFM</t>
  </si>
  <si>
    <t>"South Chicago Sub."</t>
  </si>
  <si>
    <t>Space Type</t>
  </si>
  <si>
    <t>Type of Garage</t>
  </si>
  <si>
    <t>"Brockton"</t>
  </si>
  <si>
    <t>PROVIDENCE    RI</t>
  </si>
  <si>
    <t>RI</t>
  </si>
  <si>
    <t>Rhode Island</t>
  </si>
  <si>
    <t>RIPROVID.txt</t>
  </si>
  <si>
    <t>024</t>
  </si>
  <si>
    <t>104</t>
  </si>
  <si>
    <t>"Bronx"</t>
  </si>
  <si>
    <t>NEW YORK (LAGUARDIA AP)    NY</t>
  </si>
  <si>
    <t>New York City</t>
  </si>
  <si>
    <t>ILSPRING.txt</t>
  </si>
  <si>
    <t>474</t>
  </si>
  <si>
    <t>"Indiana"</t>
  </si>
  <si>
    <t>IN</t>
  </si>
  <si>
    <t>INDIANAPOLIS    IN</t>
  </si>
  <si>
    <t>Indianapolis</t>
  </si>
  <si>
    <t>ININDIAN.txt</t>
  </si>
  <si>
    <t>247</t>
  </si>
  <si>
    <t>"Bluefield"</t>
  </si>
  <si>
    <t>ROANOKE    VA</t>
  </si>
  <si>
    <t>Roanoke</t>
  </si>
  <si>
    <t>VAROANOK.txt</t>
  </si>
  <si>
    <t>836</t>
  </si>
  <si>
    <t>"Idaho"</t>
  </si>
  <si>
    <t>ID</t>
  </si>
  <si>
    <t>"Boise"</t>
  </si>
  <si>
    <t>BOISE    ID</t>
  </si>
  <si>
    <t>Boise</t>
  </si>
  <si>
    <t>IDBOISE.txt</t>
  </si>
  <si>
    <t>837</t>
  </si>
  <si>
    <t>020</t>
  </si>
  <si>
    <t>"Massachusetts"</t>
  </si>
  <si>
    <t>MA</t>
  </si>
  <si>
    <t>"Boston"</t>
  </si>
  <si>
    <t>KYPADUCA.txt</t>
  </si>
  <si>
    <t>758</t>
  </si>
  <si>
    <t>"Palestine"</t>
  </si>
  <si>
    <t>922</t>
  </si>
  <si>
    <t>"Palm Springs"</t>
  </si>
  <si>
    <t>SAN DIEGO    CA</t>
  </si>
  <si>
    <t>San Diego</t>
  </si>
  <si>
    <t>CASANDIE.txt</t>
  </si>
  <si>
    <t>943</t>
  </si>
  <si>
    <t>Proposed Design</t>
  </si>
  <si>
    <t>277</t>
  </si>
  <si>
    <t>"Durham"</t>
  </si>
  <si>
    <t>RALEIGH    NC</t>
  </si>
  <si>
    <t xml:space="preserve">WYCASPER.txt </t>
  </si>
  <si>
    <t>522</t>
  </si>
  <si>
    <t>"Cedar Rapids"</t>
  </si>
  <si>
    <t>DES MOINES    IA</t>
  </si>
  <si>
    <t>523</t>
  </si>
  <si>
    <t>524</t>
  </si>
  <si>
    <t>WATERLOO    IA</t>
  </si>
  <si>
    <t>628</t>
  </si>
  <si>
    <t>"Centralia"</t>
  </si>
  <si>
    <t>172</t>
  </si>
  <si>
    <t>"Chambersburg"</t>
  </si>
  <si>
    <t>HARRISBURG    PA</t>
  </si>
  <si>
    <t>Harrisburg</t>
  </si>
  <si>
    <t xml:space="preserve">PAHARRIS.txt </t>
  </si>
  <si>
    <t>618</t>
  </si>
  <si>
    <t>"Champaign/Urbana"</t>
  </si>
  <si>
    <t>619</t>
  </si>
  <si>
    <t>294</t>
  </si>
  <si>
    <t>"Charleston"</t>
  </si>
  <si>
    <t>CHARLESTON AP    SC</t>
  </si>
  <si>
    <t>SCCHARLE.txt</t>
  </si>
  <si>
    <t>250</t>
  </si>
  <si>
    <t>251</t>
  </si>
  <si>
    <t>252</t>
  </si>
  <si>
    <t>253</t>
  </si>
  <si>
    <t>280</t>
  </si>
  <si>
    <t>"Charlotte"</t>
  </si>
  <si>
    <t>GREENVILLE-SPARTANBURG AP    SC</t>
  </si>
  <si>
    <t>Charlotte</t>
  </si>
  <si>
    <t>NCCHARLO.txt</t>
  </si>
  <si>
    <t>281</t>
  </si>
  <si>
    <t>282</t>
  </si>
  <si>
    <t>CHARLOTTE   NC</t>
  </si>
  <si>
    <t>229</t>
  </si>
  <si>
    <t>"Charlottesville"</t>
  </si>
  <si>
    <t>RICHMOND    VA</t>
  </si>
  <si>
    <t>Richmond</t>
  </si>
  <si>
    <t>VARICHMO.txt</t>
  </si>
  <si>
    <t>373</t>
  </si>
  <si>
    <t>"Tennessee"</t>
  </si>
  <si>
    <t>"Chattanooga"</t>
  </si>
  <si>
    <t>HUNTSVILLE    AL</t>
  </si>
  <si>
    <t>Chattanooga</t>
  </si>
  <si>
    <t>TNCHATTA.txt</t>
  </si>
  <si>
    <t>374</t>
  </si>
  <si>
    <t>CHATTANOOGA    TN</t>
  </si>
  <si>
    <t>080</t>
  </si>
  <si>
    <t>"Cherry Hill"</t>
  </si>
  <si>
    <t>820</t>
  </si>
  <si>
    <t>"Cheyenne"</t>
  </si>
  <si>
    <t>CHEYENNE    WY</t>
  </si>
  <si>
    <t>Cheyenne</t>
  </si>
  <si>
    <t>WYCHEYEN.txt</t>
  </si>
  <si>
    <t>606</t>
  </si>
  <si>
    <t>"Chicago"</t>
  </si>
  <si>
    <t>CHICAGO    IL</t>
  </si>
  <si>
    <t>Chicago</t>
  </si>
  <si>
    <t>ILCHICAG.txt</t>
  </si>
  <si>
    <t>607</t>
  </si>
  <si>
    <t>792</t>
  </si>
  <si>
    <t>"Childress"</t>
  </si>
  <si>
    <t>LUBBOCK    TX</t>
  </si>
  <si>
    <t>Lubbock</t>
  </si>
  <si>
    <t>TXLUBBOC.txt</t>
  </si>
  <si>
    <t>646</t>
  </si>
  <si>
    <t>"Chillicothe"</t>
  </si>
  <si>
    <t>KANSAS CITY    MO</t>
  </si>
  <si>
    <t>Kansas City</t>
  </si>
  <si>
    <t>MOKANCTY.txt</t>
  </si>
  <si>
    <t>456</t>
  </si>
  <si>
    <t>GREATER CINCINNATI AP KY</t>
  </si>
  <si>
    <t>Cincinnati</t>
  </si>
  <si>
    <t>OHCINCIN.txt</t>
  </si>
  <si>
    <t>450</t>
  </si>
  <si>
    <t>"Cincinnati"</t>
  </si>
  <si>
    <t>451</t>
  </si>
  <si>
    <t>452</t>
  </si>
  <si>
    <t>037</t>
  </si>
  <si>
    <t>"Claremont"</t>
  </si>
  <si>
    <t>263</t>
  </si>
  <si>
    <t>"Clarksburg"</t>
  </si>
  <si>
    <t>ELKINS    WV</t>
  </si>
  <si>
    <t>Elkins</t>
  </si>
  <si>
    <t>"Evansville"</t>
  </si>
  <si>
    <t>477</t>
  </si>
  <si>
    <t>982</t>
  </si>
  <si>
    <t>"Everett"</t>
  </si>
  <si>
    <t>QUILLAYUTE    WA</t>
  </si>
  <si>
    <t>Seattle</t>
  </si>
  <si>
    <t>WASEATTL.txt</t>
  </si>
  <si>
    <t>364</t>
  </si>
  <si>
    <t>"Evergreen"</t>
  </si>
  <si>
    <t>997</t>
  </si>
  <si>
    <t>"Fairbanks"</t>
  </si>
  <si>
    <t>FAIRBANKS    AK</t>
  </si>
  <si>
    <t>Fairbanks</t>
  </si>
  <si>
    <t xml:space="preserve">AKFAIRBA.txt </t>
  </si>
  <si>
    <t>325</t>
  </si>
  <si>
    <t>"Pensacola"</t>
  </si>
  <si>
    <t>PENSACOLA    FL</t>
  </si>
  <si>
    <t>615</t>
  </si>
  <si>
    <t>"Peoria"</t>
  </si>
  <si>
    <t>616</t>
  </si>
  <si>
    <t>238</t>
  </si>
  <si>
    <t>"Petersburg"</t>
  </si>
  <si>
    <t>268</t>
  </si>
  <si>
    <t>190</t>
  </si>
  <si>
    <t>"Philadelphia"</t>
  </si>
  <si>
    <t>191</t>
  </si>
  <si>
    <t>850</t>
  </si>
  <si>
    <t>"Phoenix"</t>
  </si>
  <si>
    <t>PHOENIX    AZ</t>
  </si>
  <si>
    <t>Phoenix</t>
  </si>
  <si>
    <t>AZPHOENI.txt</t>
  </si>
  <si>
    <t>851</t>
  </si>
  <si>
    <t>575</t>
  </si>
  <si>
    <t>"Pierre"</t>
  </si>
  <si>
    <t>415</t>
  </si>
  <si>
    <t>"Pikeville"</t>
  </si>
  <si>
    <t>416</t>
  </si>
  <si>
    <t>716</t>
  </si>
  <si>
    <t>"Pine Bluff"</t>
  </si>
  <si>
    <t>150</t>
  </si>
  <si>
    <t>"Pittsburgh"</t>
  </si>
  <si>
    <t>151</t>
  </si>
  <si>
    <t>152</t>
  </si>
  <si>
    <t>012</t>
  </si>
  <si>
    <t>"Pittsfield"</t>
  </si>
  <si>
    <t>032</t>
  </si>
  <si>
    <t>538</t>
  </si>
  <si>
    <t>"Platteville"</t>
  </si>
  <si>
    <t>129</t>
  </si>
  <si>
    <t>"Plattsburgh"</t>
  </si>
  <si>
    <t>832</t>
  </si>
  <si>
    <t>"Pocatello"</t>
  </si>
  <si>
    <t>957</t>
  </si>
  <si>
    <t>"Pollock Pines"</t>
  </si>
  <si>
    <t>746</t>
  </si>
  <si>
    <t>"Ponca City"</t>
  </si>
  <si>
    <t>TULSA    OK</t>
  </si>
  <si>
    <t>Tulsa</t>
  </si>
  <si>
    <t>OKTULSA.txt</t>
  </si>
  <si>
    <t>639</t>
  </si>
  <si>
    <t>"Poplar Bluff"</t>
  </si>
  <si>
    <t>539</t>
  </si>
  <si>
    <t>"Portage"</t>
  </si>
  <si>
    <t>040</t>
  </si>
  <si>
    <t>"Portland"</t>
  </si>
  <si>
    <t>041</t>
  </si>
  <si>
    <t>971</t>
  </si>
  <si>
    <t>PORTLAND    OR</t>
  </si>
  <si>
    <t>ORPORTLA.txt</t>
  </si>
  <si>
    <t>972</t>
  </si>
  <si>
    <t>038</t>
  </si>
  <si>
    <t>"Portsmouth"</t>
  </si>
  <si>
    <t>237</t>
  </si>
  <si>
    <t>749</t>
  </si>
  <si>
    <t>"Poteau"</t>
  </si>
  <si>
    <t>179</t>
  </si>
  <si>
    <t>"Pottsville"</t>
  </si>
  <si>
    <t>125</t>
  </si>
  <si>
    <t>"Poughkeepsie"</t>
  </si>
  <si>
    <t>126</t>
  </si>
  <si>
    <t>863</t>
  </si>
  <si>
    <t>"Prescott"</t>
  </si>
  <si>
    <t>028</t>
  </si>
  <si>
    <t>"Rhode_Island"</t>
  </si>
  <si>
    <t>"Providence"</t>
  </si>
  <si>
    <t>029</t>
  </si>
  <si>
    <t>846</t>
  </si>
  <si>
    <t>"Provo"</t>
  </si>
  <si>
    <t>810</t>
  </si>
  <si>
    <t>"Pueblo"</t>
  </si>
  <si>
    <t>243</t>
  </si>
  <si>
    <t>"Pulaski"</t>
  </si>
  <si>
    <t>111</t>
  </si>
  <si>
    <t>"Queens"</t>
  </si>
  <si>
    <t>623</t>
  </si>
  <si>
    <t>"Quincy"</t>
  </si>
  <si>
    <t>534</t>
  </si>
  <si>
    <t>"Racine"</t>
  </si>
  <si>
    <t>275</t>
  </si>
  <si>
    <t>"Raleigh"</t>
  </si>
  <si>
    <t>276</t>
  </si>
  <si>
    <t>577</t>
  </si>
  <si>
    <t>"Rapid City"</t>
  </si>
  <si>
    <t>823</t>
  </si>
  <si>
    <t>"Rawlins"</t>
  </si>
  <si>
    <t>195</t>
  </si>
  <si>
    <t>"Reading"</t>
  </si>
  <si>
    <t>196</t>
  </si>
  <si>
    <t>077</t>
  </si>
  <si>
    <t>"Red Bank"</t>
  </si>
  <si>
    <t>960</t>
  </si>
  <si>
    <t>"Redding"</t>
  </si>
  <si>
    <t>REDDING    CA</t>
  </si>
  <si>
    <t>894</t>
  </si>
  <si>
    <t>"Reno"</t>
  </si>
  <si>
    <t>895</t>
  </si>
  <si>
    <t>896</t>
  </si>
  <si>
    <t>545</t>
  </si>
  <si>
    <t>"Rhinelander"</t>
  </si>
  <si>
    <t>Discount Rate:</t>
  </si>
  <si>
    <t>Baseline Components</t>
  </si>
  <si>
    <t>Proposed Components</t>
  </si>
  <si>
    <t>Incremental Metrics</t>
  </si>
  <si>
    <t>Lifecycle Savings</t>
  </si>
  <si>
    <t>Weighted Lifetime</t>
  </si>
  <si>
    <t>Description</t>
  </si>
  <si>
    <t>Lifetime</t>
  </si>
  <si>
    <t>Energy Savings</t>
  </si>
  <si>
    <t>Payback</t>
  </si>
  <si>
    <t>Energy Reduction Measures and Incremental Hard Costs</t>
  </si>
  <si>
    <t>Table 1. General Project Information</t>
  </si>
  <si>
    <t>Current Project Status:</t>
  </si>
  <si>
    <t>Builder / Developer:</t>
  </si>
  <si>
    <t>Name of contact:</t>
  </si>
  <si>
    <t>Project Name:</t>
  </si>
  <si>
    <t>Phone:</t>
  </si>
  <si>
    <t>Project Address:</t>
  </si>
  <si>
    <t>E-mail:</t>
  </si>
  <si>
    <t>Table 2. Modeling Information</t>
  </si>
  <si>
    <t>Company:</t>
  </si>
  <si>
    <t>Baseline:</t>
  </si>
  <si>
    <t>Weather File:</t>
  </si>
  <si>
    <t>Table 3. Building Information</t>
  </si>
  <si>
    <t># of stories</t>
  </si>
  <si>
    <t>Space heating fuel:</t>
  </si>
  <si>
    <t>Common space</t>
  </si>
  <si>
    <t>DHW fuel:</t>
  </si>
  <si>
    <t>Commercial</t>
  </si>
  <si>
    <t>Heating system:</t>
  </si>
  <si>
    <t>Cooling system:</t>
  </si>
  <si>
    <t>Ventilation system:</t>
  </si>
  <si>
    <t>Heated &amp; cooled</t>
  </si>
  <si>
    <t>Heated-only</t>
  </si>
  <si>
    <t>Cooled-only</t>
  </si>
  <si>
    <t>Apartment type</t>
  </si>
  <si>
    <t>1-BR</t>
  </si>
  <si>
    <t>2-BR</t>
  </si>
  <si>
    <t>3-BR</t>
  </si>
  <si>
    <t>4-BR</t>
  </si>
  <si>
    <t>Model Input Parameter</t>
  </si>
  <si>
    <t>Example Unit</t>
  </si>
  <si>
    <t>Baseline Design
(provide description and specification)</t>
  </si>
  <si>
    <t>Proposed Final Design
(provide description and specification)</t>
  </si>
  <si>
    <t>Building envelope</t>
  </si>
  <si>
    <t>Window/floor area ratio</t>
  </si>
  <si>
    <t>Windows</t>
  </si>
  <si>
    <t>U-factor</t>
  </si>
  <si>
    <t>SHGC</t>
  </si>
  <si>
    <t>Shading devices</t>
  </si>
  <si>
    <t>Lighting &amp; appliances</t>
  </si>
  <si>
    <t>In-unit lighting power density</t>
  </si>
  <si>
    <t>Exterior lighting</t>
  </si>
  <si>
    <t>Lighting controls</t>
  </si>
  <si>
    <t>Refrigerator</t>
  </si>
  <si>
    <t>Energy Star?</t>
  </si>
  <si>
    <t>Dishwasher</t>
  </si>
  <si>
    <t>Primary HVAC system type</t>
  </si>
  <si>
    <t>Exhaust fans</t>
  </si>
  <si>
    <t>AFUE / HSPF</t>
  </si>
  <si>
    <t>SEER / EER</t>
  </si>
  <si>
    <t>Fan supply power</t>
  </si>
  <si>
    <t>Domestic Hot Water System</t>
  </si>
  <si>
    <t>EF</t>
  </si>
  <si>
    <t>Solar DHW system</t>
  </si>
  <si>
    <t>% of load</t>
  </si>
  <si>
    <t>Renewable Electric Generation System</t>
  </si>
  <si>
    <t>Type of system</t>
  </si>
  <si>
    <t>Rated capacity</t>
  </si>
  <si>
    <t>End Use</t>
  </si>
  <si>
    <t>Fuel Oil</t>
  </si>
  <si>
    <t>Non-Residential Associated Spaces</t>
  </si>
  <si>
    <t>First fill in the Basic Info worksheet and copy results into Result Summary eQuest worksheet.</t>
  </si>
  <si>
    <t>Baseline and Proposed design fuel usage is copied from the corresponding rows in Result Summary eQuest worksheet.</t>
  </si>
  <si>
    <t>Sign-off by energy modeler</t>
  </si>
  <si>
    <t>Signature:</t>
  </si>
  <si>
    <t>I hereby verify that the information provided in the tables below is accurate and complete, to the best of my knowledge.</t>
  </si>
  <si>
    <t>Name:</t>
  </si>
  <si>
    <t>Date:</t>
  </si>
  <si>
    <t>Sign-off by project team leader</t>
  </si>
  <si>
    <t>Cost</t>
  </si>
  <si>
    <t>Difference</t>
  </si>
  <si>
    <t>DHW system:</t>
  </si>
  <si>
    <t>average monthly electricity costs per apartment</t>
  </si>
  <si>
    <t>average monthly gas costs per apartment</t>
  </si>
  <si>
    <t>Parametric Run</t>
  </si>
  <si>
    <t>Site BTU Savings, %</t>
  </si>
  <si>
    <t>5 W/face</t>
  </si>
  <si>
    <t>None Installed</t>
  </si>
  <si>
    <t>HSPF</t>
  </si>
  <si>
    <t>SEER</t>
  </si>
  <si>
    <t>Equipment efficiency</t>
  </si>
  <si>
    <t>COP</t>
  </si>
  <si>
    <t>% AFUE</t>
  </si>
  <si>
    <t>% Et</t>
  </si>
  <si>
    <t>Inline</t>
  </si>
  <si>
    <t>Rooftop</t>
  </si>
  <si>
    <t>Ceiling (10-80 CFM)</t>
  </si>
  <si>
    <t>Ceiling (90-500 CFM)</t>
  </si>
  <si>
    <r>
      <t>Disclaimer:  Values represented herein are approximations and are not intended to represent official E</t>
    </r>
    <r>
      <rPr>
        <b/>
        <sz val="8"/>
        <rFont val="Arial"/>
        <family val="2"/>
      </rPr>
      <t>NERGY</t>
    </r>
    <r>
      <rPr>
        <b/>
        <sz val="10"/>
        <rFont val="Arial"/>
        <family val="2"/>
      </rPr>
      <t xml:space="preserve"> S</t>
    </r>
    <r>
      <rPr>
        <b/>
        <sz val="8"/>
        <rFont val="Arial"/>
        <family val="2"/>
      </rPr>
      <t>TAR</t>
    </r>
    <r>
      <rPr>
        <b/>
        <sz val="10"/>
        <rFont val="Arial"/>
        <family val="2"/>
      </rPr>
      <t xml:space="preserve"> values.</t>
    </r>
  </si>
  <si>
    <r>
      <t xml:space="preserve">E-Mail:  </t>
    </r>
    <r>
      <rPr>
        <sz val="10"/>
        <color indexed="62"/>
        <rFont val="Arial"/>
        <family val="2"/>
      </rPr>
      <t>energystar.buildings@epa.gov</t>
    </r>
  </si>
  <si>
    <t>www.epa.gov/buildings/label</t>
  </si>
  <si>
    <t>Web Site:</t>
  </si>
  <si>
    <t>Total Annual Energy Cost ($/year)</t>
  </si>
  <si>
    <t>Energy Cost Intensity ($/ft2-year)</t>
  </si>
  <si>
    <t>Site Energy Use Intensity (kBtu/ft2-year)</t>
  </si>
  <si>
    <r>
      <t>Building Site Energy Use (kBtu/</t>
    </r>
    <r>
      <rPr>
        <sz val="10"/>
        <color indexed="62"/>
        <rFont val="Arial"/>
        <family val="2"/>
      </rPr>
      <t>year)</t>
    </r>
  </si>
  <si>
    <t>Score</t>
  </si>
  <si>
    <t>Delta to Minimum Energy Star Design</t>
  </si>
  <si>
    <t>Your Building</t>
  </si>
  <si>
    <r>
      <t>E</t>
    </r>
    <r>
      <rPr>
        <sz val="8"/>
        <color indexed="62"/>
        <rFont val="Arial"/>
        <family val="2"/>
      </rPr>
      <t>NERGY</t>
    </r>
    <r>
      <rPr>
        <sz val="10"/>
        <color indexed="62"/>
        <rFont val="Arial"/>
        <family val="2"/>
      </rPr>
      <t xml:space="preserve"> S</t>
    </r>
    <r>
      <rPr>
        <sz val="8"/>
        <color indexed="62"/>
        <rFont val="Arial"/>
        <family val="2"/>
      </rPr>
      <t>TAR</t>
    </r>
    <r>
      <rPr>
        <sz val="10"/>
        <color indexed="62"/>
        <rFont val="Arial"/>
        <family val="2"/>
      </rPr>
      <t xml:space="preserve"> Design</t>
    </r>
  </si>
  <si>
    <t>Results</t>
  </si>
  <si>
    <t>**Optional**</t>
  </si>
  <si>
    <t>Cost ($)</t>
  </si>
  <si>
    <t>(Required)</t>
  </si>
  <si>
    <t>$/SF</t>
  </si>
  <si>
    <t>$8/MMBtu</t>
  </si>
  <si>
    <t>$0.08/kWh</t>
  </si>
  <si>
    <t>Select Units:</t>
  </si>
  <si>
    <t>cost in</t>
  </si>
  <si>
    <t>in</t>
  </si>
  <si>
    <t>at</t>
  </si>
  <si>
    <t>Estimated Annual Consumption</t>
  </si>
  <si>
    <t>(estimates assume common &amp; commercial use same as residential)</t>
  </si>
  <si>
    <t xml:space="preserve"> - Excludes garage and parking lot areas</t>
  </si>
  <si>
    <t>Building Total</t>
  </si>
  <si>
    <t>(# units x unit NG kBtu)</t>
  </si>
  <si>
    <t>Bldg NG kBtu</t>
  </si>
  <si>
    <t xml:space="preserve"> - Optional (minimal impact to score)</t>
  </si>
  <si>
    <t>(# units x unit kWh)</t>
  </si>
  <si>
    <t>Bldg kWh</t>
  </si>
  <si>
    <t>Unit NG kBtu</t>
  </si>
  <si>
    <t xml:space="preserve"> - Optional (limited impact to score)</t>
  </si>
  <si>
    <t>Unit kWh:</t>
  </si>
  <si>
    <t xml:space="preserve"> - Optional (potential large impact to score)</t>
  </si>
  <si>
    <t>Commercial Space</t>
  </si>
  <si>
    <t># Units:</t>
  </si>
  <si>
    <t>Common Space</t>
  </si>
  <si>
    <t>Resid SF:</t>
  </si>
  <si>
    <t>Unit SF:</t>
  </si>
  <si>
    <t>Watertown, NY</t>
  </si>
  <si>
    <t>Location:</t>
  </si>
  <si>
    <t>Total Number of Bedrooms in Building</t>
  </si>
  <si>
    <t>Number of Units in Building</t>
  </si>
  <si>
    <t>Air Conditioned Floor Area (ft2)</t>
  </si>
  <si>
    <t>Heated Floor Area (ft2)</t>
  </si>
  <si>
    <t>Floor Area (ft2)</t>
  </si>
  <si>
    <t>DOEID #:</t>
  </si>
  <si>
    <t>Mapping Location:</t>
  </si>
  <si>
    <t>TEST BUILDING:</t>
  </si>
  <si>
    <t>5-digit Zip Code:</t>
  </si>
  <si>
    <t>Building Name</t>
  </si>
  <si>
    <t>PROTOTYPE</t>
  </si>
  <si>
    <t>Building Description</t>
  </si>
  <si>
    <t>Multi-Family Building Design Assistant</t>
  </si>
  <si>
    <t>Designed for ENERGY STAR</t>
  </si>
  <si>
    <t>Mechanically Ventilated?</t>
  </si>
  <si>
    <t>Please Select</t>
  </si>
  <si>
    <t>Condition</t>
  </si>
  <si>
    <t>YN</t>
  </si>
  <si>
    <t>N/A</t>
  </si>
  <si>
    <t>Project Name</t>
  </si>
  <si>
    <t>Project Name (caps)</t>
  </si>
  <si>
    <t>Building Address (1)</t>
  </si>
  <si>
    <t>Building Address (2)</t>
  </si>
  <si>
    <t>Project City, State, Zip:</t>
  </si>
  <si>
    <t>Developer</t>
  </si>
  <si>
    <t>Developer Firm Name</t>
  </si>
  <si>
    <t>Developer Phone</t>
  </si>
  <si>
    <t>Milestone</t>
  </si>
  <si>
    <t>As-Built</t>
  </si>
  <si>
    <t>Rev</t>
  </si>
  <si>
    <t>GHSF</t>
  </si>
  <si>
    <t>Total Project Square Footage</t>
  </si>
  <si>
    <t>Total Project GHSF</t>
  </si>
  <si>
    <t>Revision</t>
  </si>
  <si>
    <t>Standard Used</t>
  </si>
  <si>
    <t>Standard</t>
  </si>
  <si>
    <t>Please select</t>
  </si>
  <si>
    <t>RESNET HERS Technical Guidelines Standard</t>
  </si>
  <si>
    <t>ASHRAE 90.1-2004 &amp; Simulation Guidelines V4.0</t>
  </si>
  <si>
    <t>Software</t>
  </si>
  <si>
    <t>Simulation Program &amp; Version #:</t>
  </si>
  <si>
    <t>Only use 'Unconditioned' for spaces that have no active heating or cooling AND are not indirectly conditioned by adjacent conditioned spaces.</t>
  </si>
  <si>
    <t>Partner Firm Contact</t>
  </si>
  <si>
    <t xml:space="preserve">Partner Firm </t>
  </si>
  <si>
    <t>Partner Phone Number</t>
  </si>
  <si>
    <t>Lead Modeler:</t>
  </si>
  <si>
    <t>Partner Email</t>
  </si>
  <si>
    <t>Company Name</t>
  </si>
  <si>
    <t>Contact Name</t>
  </si>
  <si>
    <t>Email</t>
  </si>
  <si>
    <t>Address</t>
  </si>
  <si>
    <t>Building Type</t>
  </si>
  <si>
    <t>Income</t>
  </si>
  <si>
    <t>Market Rate</t>
  </si>
  <si>
    <t>Affordable</t>
  </si>
  <si>
    <t>New Construction</t>
  </si>
  <si>
    <t>Gut-rehab</t>
  </si>
  <si>
    <t>Construction</t>
  </si>
  <si>
    <t>Housing Income Classification</t>
  </si>
  <si>
    <t>Housing Income Type</t>
  </si>
  <si>
    <t>Fuel Type</t>
  </si>
  <si>
    <t>Construction Type</t>
  </si>
  <si>
    <t>DHW Method</t>
  </si>
  <si>
    <t>Apartment Method</t>
  </si>
  <si>
    <t>Occupancy Method</t>
  </si>
  <si>
    <t>Electricity Cost</t>
  </si>
  <si>
    <t>Electricity Cost per kWh</t>
  </si>
  <si>
    <t>Fuel Cost per therm</t>
  </si>
  <si>
    <t>Baseline Simulation</t>
  </si>
  <si>
    <t>Percent Difference</t>
  </si>
  <si>
    <t>Electricity Consumption (kWh/yr)</t>
  </si>
  <si>
    <t>Fuel Consumption (MMBtu/yr)</t>
  </si>
  <si>
    <t>Total Energy Consumption (MMBtu/yr)</t>
  </si>
  <si>
    <t>Projected Annual Cost Savings ($)</t>
  </si>
  <si>
    <t>Projected Annual Cost Savings (%)</t>
  </si>
  <si>
    <t>Minimum Performance Target (%)</t>
  </si>
  <si>
    <t>Project Exceeds Performance Target By</t>
  </si>
  <si>
    <t>Baseline Design RECS Score</t>
  </si>
  <si>
    <t>Total Projected Incremental Costs</t>
  </si>
  <si>
    <t>Simple Payback Period (SPP in years)</t>
  </si>
  <si>
    <t>Savings-to-Investment Ratio (SIR)</t>
  </si>
  <si>
    <t>Weighted Average Lifetime</t>
  </si>
  <si>
    <t xml:space="preserve">Cost </t>
  </si>
  <si>
    <t>Cost Source</t>
  </si>
  <si>
    <t>Measure Category</t>
  </si>
  <si>
    <t>Measure</t>
  </si>
  <si>
    <t>Quantity</t>
  </si>
  <si>
    <t>cubic feet</t>
  </si>
  <si>
    <t>degrees</t>
  </si>
  <si>
    <t>each</t>
  </si>
  <si>
    <t>gallons</t>
  </si>
  <si>
    <t>linear feet</t>
  </si>
  <si>
    <t>square feet</t>
  </si>
  <si>
    <t>tons</t>
  </si>
  <si>
    <t>kBtu/hr</t>
  </si>
  <si>
    <t>TOTAL INCREMENTAL COSTS:</t>
  </si>
  <si>
    <t>TOTAL COST:</t>
  </si>
  <si>
    <t>Partner Fees - Modeling</t>
  </si>
  <si>
    <t>Partner Fees - Inspection &amp;Verification</t>
  </si>
  <si>
    <t>PARTNER FEES - MODELING:</t>
  </si>
  <si>
    <t>PARTNER FEES - INSPECTION &amp; VERIFICATION:</t>
  </si>
  <si>
    <t>Project</t>
  </si>
  <si>
    <t>Savings</t>
  </si>
  <si>
    <t>Lifecycle</t>
  </si>
  <si>
    <t>PROJECT SUMMARY</t>
  </si>
  <si>
    <t>Weighted</t>
  </si>
  <si>
    <t xml:space="preserve">Average </t>
  </si>
  <si>
    <t>NYSERDA Incentives</t>
  </si>
  <si>
    <t>Building Component</t>
  </si>
  <si>
    <t>Manufacturer</t>
  </si>
  <si>
    <t>Model No.</t>
  </si>
  <si>
    <t>Above Grade Wall Construction</t>
  </si>
  <si>
    <t>Above Grade Wall U-value</t>
  </si>
  <si>
    <t>Below Grade Wall Construction</t>
  </si>
  <si>
    <t>Window to Gross Wall Ratio</t>
  </si>
  <si>
    <t>Fenestration Framing</t>
  </si>
  <si>
    <t>Fenestration Glazing</t>
  </si>
  <si>
    <t>Fenestration Assembly U-factor</t>
  </si>
  <si>
    <t>Fenestration Assembly SHGC</t>
  </si>
  <si>
    <t>Shading Devices</t>
  </si>
  <si>
    <t>Exterior Lighting Power (kW)</t>
  </si>
  <si>
    <t>Lighting Controls (Spaces)</t>
  </si>
  <si>
    <t>DHW System Type</t>
  </si>
  <si>
    <t>DHW Storage Tank Size (gal)</t>
  </si>
  <si>
    <t>Heating Pump Capacity Control</t>
  </si>
  <si>
    <t>Heating Pump Size (HP)</t>
  </si>
  <si>
    <t>Heating System Supply Water Temp.</t>
  </si>
  <si>
    <t>Heating System Return Water Temp.</t>
  </si>
  <si>
    <t>DHW Storage Tank Insulation R-value</t>
  </si>
  <si>
    <t>End use</t>
  </si>
  <si>
    <t>Baseline Electricity (kWh/yr)</t>
  </si>
  <si>
    <t>Baseline Fuel (MMBtu/yr)</t>
  </si>
  <si>
    <t>Percent Improvement</t>
  </si>
  <si>
    <t xml:space="preserve">Space Heating </t>
  </si>
  <si>
    <t>Space Cooling</t>
  </si>
  <si>
    <t>Heat rejection</t>
  </si>
  <si>
    <t>Fans - interior</t>
  </si>
  <si>
    <t>Service water heating</t>
  </si>
  <si>
    <t>Refrigerator (kWh/yr)</t>
  </si>
  <si>
    <t>Dishwasher (kWh/yr)</t>
  </si>
  <si>
    <t>Clothes Washer (kWh/yr)</t>
  </si>
  <si>
    <t>Elevator (kWh/yr)</t>
  </si>
  <si>
    <t>Door Description</t>
  </si>
  <si>
    <t>Door U-value</t>
  </si>
  <si>
    <t>Appliances and Process Loads</t>
  </si>
  <si>
    <t>Fan Control</t>
  </si>
  <si>
    <t>Envelope Components</t>
  </si>
  <si>
    <t>Lighting Components</t>
  </si>
  <si>
    <t>Climate Zone</t>
  </si>
  <si>
    <t>Ext. wall construction (above grade)</t>
  </si>
  <si>
    <t>Roof Construction</t>
  </si>
  <si>
    <t>Roof U-value</t>
  </si>
  <si>
    <t>Ext. wall construction (below grade)</t>
  </si>
  <si>
    <t>Floor construction</t>
  </si>
  <si>
    <t>None</t>
  </si>
  <si>
    <t>Doors</t>
  </si>
  <si>
    <t>Renewable System Type</t>
  </si>
  <si>
    <t>Project Address</t>
  </si>
  <si>
    <t>Simulation Program &amp; Version #</t>
  </si>
  <si>
    <t>Weather File</t>
  </si>
  <si>
    <t>Space Heating Fuel Type</t>
  </si>
  <si>
    <t>DHW Fuel Type</t>
  </si>
  <si>
    <t>Phone</t>
  </si>
  <si>
    <t>Construction Milestone</t>
  </si>
  <si>
    <t>Planned Date</t>
  </si>
  <si>
    <t>Actual Date</t>
  </si>
  <si>
    <t>Schematic Design Completion date</t>
  </si>
  <si>
    <t>Design Development Completion Date</t>
  </si>
  <si>
    <t>Construction Documents Completion Date</t>
  </si>
  <si>
    <t>Project Bid Date</t>
  </si>
  <si>
    <t>Construction Complete Date</t>
  </si>
  <si>
    <t>Lighting</t>
  </si>
  <si>
    <t>Energy Star</t>
  </si>
  <si>
    <t>Non-Energy Star</t>
  </si>
  <si>
    <t>Not Applicable</t>
  </si>
  <si>
    <t>Primary Heating System Type</t>
  </si>
  <si>
    <t>Secondary Heating System Type</t>
  </si>
  <si>
    <t>Tertiary Heating System Type</t>
  </si>
  <si>
    <t>One-Speed</t>
  </si>
  <si>
    <t>Two-Speed</t>
  </si>
  <si>
    <t>Variable Speed</t>
  </si>
  <si>
    <t>Cycle</t>
  </si>
  <si>
    <t>Pump Type</t>
  </si>
  <si>
    <t>Heating Pump Motor Class</t>
  </si>
  <si>
    <t>Pump Class</t>
  </si>
  <si>
    <t>High Efficiency</t>
  </si>
  <si>
    <t>Premium</t>
  </si>
  <si>
    <t>Heating Pump Efficacy</t>
  </si>
  <si>
    <t>Inlet</t>
  </si>
  <si>
    <t>Discharge</t>
  </si>
  <si>
    <t>Cycling</t>
  </si>
  <si>
    <t>Two Speed</t>
  </si>
  <si>
    <t>Constant Volume</t>
  </si>
  <si>
    <t>Primary System Cooling efficiency</t>
  </si>
  <si>
    <t>Primary System Heating efficiency</t>
  </si>
  <si>
    <t>Heating Control</t>
  </si>
  <si>
    <t>Fixed</t>
  </si>
  <si>
    <t>OA Reset</t>
  </si>
  <si>
    <t>Scheduled</t>
  </si>
  <si>
    <t>Load Reset</t>
  </si>
  <si>
    <t>HW Loop Setpoint Control</t>
  </si>
  <si>
    <t>Primary Heating System Capacity (kBtu)</t>
  </si>
  <si>
    <t>Seconday Heating System Capacity (kBtu)</t>
  </si>
  <si>
    <t>Tertiary Heating System Capacity (kBtu)</t>
  </si>
  <si>
    <t>Primary Cooling System Capacity (tons)</t>
  </si>
  <si>
    <t>Primary Cooling System Type</t>
  </si>
  <si>
    <t>Secondary Cooling System Type</t>
  </si>
  <si>
    <t>Secondary Cooling System Capacity (tons)</t>
  </si>
  <si>
    <t>Heating Components</t>
  </si>
  <si>
    <t>Cooling Components</t>
  </si>
  <si>
    <t>DHW Components</t>
  </si>
  <si>
    <t>As per Minimum Performance Standards, garages shall not be heated for comfort or to prevent pipes from freezing.</t>
  </si>
  <si>
    <t>Slab-Below-Grade Construction</t>
  </si>
  <si>
    <t>Slab-below grade construction</t>
  </si>
  <si>
    <t>Ventilation Components</t>
  </si>
  <si>
    <t xml:space="preserve">Renewable System Size </t>
  </si>
  <si>
    <t>Spaces Served?</t>
  </si>
  <si>
    <t>&lt;Other Appliance&gt; (kWh/yr)</t>
  </si>
  <si>
    <t>Milestone (CAPS)</t>
  </si>
  <si>
    <t>Report Date</t>
  </si>
  <si>
    <t># of stories above grade</t>
  </si>
  <si>
    <t># of stories below grade</t>
  </si>
  <si>
    <t>Stories above grade</t>
  </si>
  <si>
    <t>Stories below grade</t>
  </si>
  <si>
    <t>Number of Occupants</t>
  </si>
  <si>
    <t># of building occupants</t>
  </si>
  <si>
    <t>Non-residential space</t>
  </si>
  <si>
    <t>natural gas</t>
  </si>
  <si>
    <t>oil</t>
  </si>
  <si>
    <t>propane</t>
  </si>
  <si>
    <t>steam</t>
  </si>
  <si>
    <t>electric</t>
  </si>
  <si>
    <t>Partner Firm - Underline</t>
  </si>
  <si>
    <t>Report Date - underline</t>
  </si>
  <si>
    <t>Project Name - underline</t>
  </si>
  <si>
    <t>Total Square Footage</t>
  </si>
  <si>
    <t>Developer Contact Name</t>
  </si>
  <si>
    <t>Developer Email</t>
  </si>
  <si>
    <t>Fan</t>
  </si>
  <si>
    <t>Unheated Square Footage</t>
  </si>
  <si>
    <t xml:space="preserve">The following worksheets detail the information regarding the recommended scope of work and document the achievement of the 15% Performance Target. Some cells are protected to prevent accidental over-writing of formulas. </t>
  </si>
  <si>
    <t>Basic Info</t>
  </si>
  <si>
    <t>Reporting Summary</t>
  </si>
  <si>
    <t>Results from eQuest</t>
  </si>
  <si>
    <t>Simulation Summary</t>
  </si>
  <si>
    <t>ASHRAE 90.1-2007</t>
  </si>
  <si>
    <t>Wood Frame</t>
  </si>
  <si>
    <t>SpaceType</t>
  </si>
  <si>
    <t>LightingSpaceType</t>
  </si>
  <si>
    <t>LPD</t>
  </si>
  <si>
    <t>Footcandles</t>
  </si>
  <si>
    <t>YesNo</t>
  </si>
  <si>
    <t xml:space="preserve">Additional Cooling Systems Note:  If there are more than 2 cooling systems, copy and paste the table above and paste it below the Renewable Energy system table.  For each additional cooling system,. there should be an additional set of three rows (Type, Efficiency, Capacity).  The words "Primary," "Secondary," etc. should be removed from the cooling system type row. </t>
  </si>
  <si>
    <t>Heating MMBtu</t>
  </si>
  <si>
    <t>Cooling kWh</t>
  </si>
  <si>
    <t>Non- CoolingkWh</t>
  </si>
  <si>
    <t>Non-Heating MMBtu</t>
  </si>
  <si>
    <t>1000 Btu/hr</t>
  </si>
  <si>
    <t>HVAC - Boiler</t>
  </si>
  <si>
    <t>HVAC - Central AC/HP</t>
  </si>
  <si>
    <t>HVAC - Duct Sealing</t>
  </si>
  <si>
    <t>HVAC - Economizer (dry bulb)</t>
  </si>
  <si>
    <t>HVAC - Furnace</t>
  </si>
  <si>
    <t>HVAC - HRV</t>
  </si>
  <si>
    <t>HVAC - Split System AC/HP</t>
  </si>
  <si>
    <t>HVAC - Water Source AC/HP</t>
  </si>
  <si>
    <t>Upstate (non-cooling)</t>
  </si>
  <si>
    <t>Upstate (cooling)</t>
  </si>
  <si>
    <t>Downstate (non-cooling)</t>
  </si>
  <si>
    <t>Downstate (cooling)</t>
  </si>
  <si>
    <t>Present Value Factor Calculations</t>
  </si>
  <si>
    <t>Discount rate:</t>
  </si>
  <si>
    <t>Avoided Cost Forecast</t>
  </si>
  <si>
    <t>Year</t>
  </si>
  <si>
    <t>Residual Oil</t>
  </si>
  <si>
    <t>Co2 Adder per KWh</t>
  </si>
  <si>
    <t>Co2 Adder per MMBtu Nat Gas</t>
  </si>
  <si>
    <t>Co2 Adder per MMBtu Oil (place holder values)</t>
  </si>
  <si>
    <t>Avoided Cost Present Value Forecast</t>
  </si>
  <si>
    <t>Co2 Adder per kWh ($2008)</t>
  </si>
  <si>
    <t>Co2 Adder per MMBtu</t>
  </si>
  <si>
    <t xml:space="preserve">Co2 Adder per MMBtu Oil </t>
  </si>
  <si>
    <t>Electric Utility</t>
  </si>
  <si>
    <t>CENTRAL HUDSON</t>
  </si>
  <si>
    <t>Avoided energy per kWh with line loss</t>
  </si>
  <si>
    <t>Avoided Capacity per KW with reserve margin, line loss and avoided distribution</t>
  </si>
  <si>
    <t>Avoided gas $/MMBtu (Heating)</t>
  </si>
  <si>
    <t>Natural gas $ per MMBtu (Hot Water)</t>
  </si>
  <si>
    <t>Con Ed</t>
  </si>
  <si>
    <t>O &amp; R</t>
  </si>
  <si>
    <t>CON ED</t>
  </si>
  <si>
    <t>RG &amp; E</t>
  </si>
  <si>
    <t>NYSEG</t>
  </si>
  <si>
    <t>Utility</t>
  </si>
  <si>
    <t>Central Hudson</t>
  </si>
  <si>
    <t>UtilityLookup</t>
  </si>
  <si>
    <t>Avoided energy per kWh with line loss (PV)</t>
  </si>
  <si>
    <t>Avoided Capacity per KW with reserve margin, line loss and avoided distribution (PV)</t>
  </si>
  <si>
    <t>Avoided gas $/MMBtu (Heating) (PV)</t>
  </si>
  <si>
    <t>Natural gas $ per MMBtu (Hot Water) (PV)</t>
  </si>
  <si>
    <t>Residual Oil (PV)</t>
  </si>
  <si>
    <t>gas - firm</t>
  </si>
  <si>
    <t>gas - non firm</t>
  </si>
  <si>
    <t>Measure Lifetime</t>
  </si>
  <si>
    <t>Include in Project-Level TRC?</t>
  </si>
  <si>
    <t>PV for Project Level TRC</t>
  </si>
  <si>
    <t>Measure Cost for Project Level TRC</t>
  </si>
  <si>
    <t>Funding Source Code</t>
  </si>
  <si>
    <t>Primary Impacted Energy</t>
  </si>
  <si>
    <t>PV of Cooling kWh Savings</t>
  </si>
  <si>
    <t>PV of Non-Cooling kWh Savings</t>
  </si>
  <si>
    <t>PV of kW Savings</t>
  </si>
  <si>
    <t>PV of Heating MMBtu Savings</t>
  </si>
  <si>
    <t>PV of Hot Water MMBtu Savings</t>
  </si>
  <si>
    <t>PV of Water Savings</t>
  </si>
  <si>
    <t>PV of O&amp;M Savings</t>
  </si>
  <si>
    <t>Present Value of Benefits</t>
  </si>
  <si>
    <t>PV of Electric CO2</t>
  </si>
  <si>
    <t>PV of Gas CO2</t>
  </si>
  <si>
    <t>TRC B/C Ratio</t>
  </si>
  <si>
    <t>Enter Total EEPS Incentives</t>
  </si>
  <si>
    <t>Maximum:</t>
  </si>
  <si>
    <t>Total PV for Project Level TRC</t>
  </si>
  <si>
    <t>Total Cost for Project Level TRC</t>
  </si>
  <si>
    <t>Project Level TRC B/C Ratio</t>
  </si>
  <si>
    <t>EEPS-Gas</t>
  </si>
  <si>
    <t>EEPS-Electric</t>
  </si>
  <si>
    <t>RGGI</t>
  </si>
  <si>
    <t>OHGAH</t>
  </si>
  <si>
    <t>Funding</t>
  </si>
  <si>
    <t>KEDLI</t>
  </si>
  <si>
    <t>GasUtility</t>
  </si>
  <si>
    <t>Gas Utility</t>
  </si>
  <si>
    <t>Contact Information</t>
  </si>
  <si>
    <t>Project City and State</t>
  </si>
  <si>
    <t>Project Zip Code</t>
  </si>
  <si>
    <t>Energy Reduction Plan Tables</t>
  </si>
  <si>
    <t>Instructions</t>
  </si>
  <si>
    <t>Use the same order as the parametric runs copied in the "Results from eQUEST" worksheet.</t>
  </si>
  <si>
    <t>Instructions:  Detailed instruction below table.</t>
  </si>
  <si>
    <t>TRC</t>
  </si>
  <si>
    <t>SIR</t>
  </si>
  <si>
    <t>Costs
$</t>
  </si>
  <si>
    <t>Cost Savings
$</t>
  </si>
  <si>
    <t>Payback
years</t>
  </si>
  <si>
    <t>Totals:</t>
  </si>
  <si>
    <t>Demand Savings kW</t>
  </si>
  <si>
    <t>Water Savings 1000 gal</t>
  </si>
  <si>
    <t>O&amp;M Savings 
$</t>
  </si>
  <si>
    <t>Lifetime
years</t>
  </si>
  <si>
    <r>
      <t xml:space="preserve">3. </t>
    </r>
    <r>
      <rPr>
        <b/>
        <sz val="9"/>
        <rFont val="Calibri"/>
        <family val="2"/>
        <scheme val="minor"/>
      </rPr>
      <t xml:space="preserve">Cost </t>
    </r>
    <r>
      <rPr>
        <sz val="9"/>
        <rFont val="Calibri"/>
        <family val="2"/>
        <scheme val="minor"/>
      </rPr>
      <t>- Provide the  cost of the measure, following the Estimated Incremental Cost Guidelines, for both Baseline Component (column E) and Proposed Component (column H).</t>
    </r>
  </si>
  <si>
    <r>
      <t xml:space="preserve">4. </t>
    </r>
    <r>
      <rPr>
        <b/>
        <sz val="9"/>
        <rFont val="Calibri"/>
        <family val="2"/>
        <scheme val="minor"/>
      </rPr>
      <t>Cost Source</t>
    </r>
    <r>
      <rPr>
        <sz val="9"/>
        <rFont val="Calibri"/>
        <family val="2"/>
        <scheme val="minor"/>
      </rPr>
      <t xml:space="preserve"> - Provide the cost source of the measure, following the Estimated Incremental Cost Guidelines, for both Baseline Component (column F) and Proposed Component (column I).</t>
    </r>
  </si>
  <si>
    <t>Envelope - Exterior Doors</t>
  </si>
  <si>
    <t>Envelope - BGW Insulation</t>
  </si>
  <si>
    <t>Envelope - AGW Insulation</t>
  </si>
  <si>
    <t>Envelope - Roof Insulation</t>
  </si>
  <si>
    <t>Envelope - Slab Insulation</t>
  </si>
  <si>
    <t>Envelope - Interior Doors</t>
  </si>
  <si>
    <t>Lighting - In-unit Fixtures</t>
  </si>
  <si>
    <t>Other - Compressors</t>
  </si>
  <si>
    <t>DHW - Controls</t>
  </si>
  <si>
    <t>Other - Elevators</t>
  </si>
  <si>
    <t>Other - Exhaust fans</t>
  </si>
  <si>
    <t>Other - Exhaust fan demand control</t>
  </si>
  <si>
    <t>Other - Fan/air handlers</t>
  </si>
  <si>
    <t>Other - Motors</t>
  </si>
  <si>
    <t>Other - Pumps</t>
  </si>
  <si>
    <t>Other - Ventilation Fans</t>
  </si>
  <si>
    <t>Appliances - Dishwashers</t>
  </si>
  <si>
    <t>Appliances - Refrigerator</t>
  </si>
  <si>
    <t>Appliances - Clothes washers</t>
  </si>
  <si>
    <t>HVAC - Window AC</t>
  </si>
  <si>
    <t>HVAC - Chiller</t>
  </si>
  <si>
    <t>Lighting - Common Timers/Sensors</t>
  </si>
  <si>
    <t>DHW - Condensing boiler</t>
  </si>
  <si>
    <t>DHW - Indirect</t>
  </si>
  <si>
    <t>DHW - Direct</t>
  </si>
  <si>
    <t>DHW - Insulate tank</t>
  </si>
  <si>
    <t>DHW - Low-flow Devices</t>
  </si>
  <si>
    <t>Other - Pipe Insulation</t>
  </si>
  <si>
    <t>Other - Var. Speed Drive</t>
  </si>
  <si>
    <t>Model Inputs Summary</t>
  </si>
  <si>
    <r>
      <t xml:space="preserve">Partner Fees - </t>
    </r>
    <r>
      <rPr>
        <sz val="9"/>
        <color rgb="FFFF0000"/>
        <rFont val="Calibri"/>
        <family val="2"/>
        <scheme val="minor"/>
      </rPr>
      <t xml:space="preserve">&lt;Other&gt; </t>
    </r>
  </si>
  <si>
    <r>
      <t>W/ft</t>
    </r>
    <r>
      <rPr>
        <vertAlign val="superscript"/>
        <sz val="9"/>
        <rFont val="Calibri"/>
        <family val="2"/>
        <scheme val="minor"/>
      </rPr>
      <t>2</t>
    </r>
  </si>
  <si>
    <r>
      <t>Total bldg ft</t>
    </r>
    <r>
      <rPr>
        <vertAlign val="superscript"/>
        <sz val="9"/>
        <rFont val="Calibri"/>
        <family val="2"/>
        <scheme val="minor"/>
      </rPr>
      <t>2</t>
    </r>
    <r>
      <rPr>
        <sz val="9"/>
        <rFont val="Calibri"/>
        <family val="2"/>
        <scheme val="minor"/>
      </rPr>
      <t>:</t>
    </r>
  </si>
  <si>
    <r>
      <t>Average ft</t>
    </r>
    <r>
      <rPr>
        <vertAlign val="superscript"/>
        <sz val="9"/>
        <rFont val="Calibri"/>
        <family val="2"/>
        <scheme val="minor"/>
      </rPr>
      <t>2</t>
    </r>
  </si>
  <si>
    <r>
      <t xml:space="preserve">Performance rating is shown in </t>
    </r>
    <r>
      <rPr>
        <b/>
        <sz val="9"/>
        <color indexed="10"/>
        <rFont val="Calibri"/>
        <family val="2"/>
        <scheme val="minor"/>
      </rPr>
      <t>Red Font</t>
    </r>
  </si>
  <si>
    <r>
      <t xml:space="preserve">Include combined floor area of </t>
    </r>
    <r>
      <rPr>
        <b/>
        <sz val="9"/>
        <color indexed="12"/>
        <rFont val="Calibri"/>
        <family val="2"/>
        <scheme val="minor"/>
      </rPr>
      <t>residential-associated</t>
    </r>
    <r>
      <rPr>
        <sz val="9"/>
        <rFont val="Calibri"/>
        <family val="2"/>
        <scheme val="minor"/>
      </rPr>
      <t xml:space="preserve"> office, retail, food sales, etc.</t>
    </r>
  </si>
  <si>
    <r>
      <t xml:space="preserve">Include floor area of </t>
    </r>
    <r>
      <rPr>
        <b/>
        <sz val="9"/>
        <color indexed="12"/>
        <rFont val="Calibri"/>
        <family val="2"/>
        <scheme val="minor"/>
      </rPr>
      <t>residential-associated</t>
    </r>
    <r>
      <rPr>
        <sz val="9"/>
        <rFont val="Calibri"/>
        <family val="2"/>
        <scheme val="minor"/>
      </rPr>
      <t xml:space="preserve"> enclosed/underground garages [ventilated] </t>
    </r>
  </si>
  <si>
    <t>TOTAL GHSF</t>
  </si>
  <si>
    <t>In blue cells only, enter the basic information about the building.</t>
  </si>
  <si>
    <t>Model Inputs</t>
  </si>
  <si>
    <t>In blue cells only, enter information about how the baseline and proposed buildings were modeled.  Follow the formatting guidelines presented as comments (red corners) where available.</t>
  </si>
  <si>
    <t>For eQuest users only, this worksheet is based upon the Parms.csv file that is generated upon simulation of your building. If those results are pasted into this worksheet, according to the directions, a significant amount of this workbook will autofill.</t>
  </si>
  <si>
    <t>Results from eQUEST Parms.csv file</t>
  </si>
  <si>
    <t>Annual Maint.($)</t>
  </si>
  <si>
    <t>of Run</t>
  </si>
  <si>
    <t>Date &amp; Time</t>
  </si>
  <si>
    <t>TOTAL</t>
  </si>
  <si>
    <t>Step 1:</t>
  </si>
  <si>
    <t>Step 2:</t>
  </si>
  <si>
    <t>Step 3:</t>
  </si>
  <si>
    <t>Project Energy Savings and Financial Summary per Building</t>
  </si>
  <si>
    <t>Total Annual Energy Cost (All Fuels)</t>
  </si>
  <si>
    <t>Energy Use by End Use</t>
  </si>
  <si>
    <t>Number of Units</t>
  </si>
  <si>
    <t>Average Baseline</t>
  </si>
  <si>
    <t>Step 4:</t>
  </si>
  <si>
    <t>Baseline Design (copy runs corresponding to four exposures from &lt;project name&gt;-Parms.csv to row 14-17 below).  If not rotated, copy into row 14 only.</t>
  </si>
  <si>
    <t>Proposed Design (copy run that corresponds to proposed design from &lt;project name&gt;-Parms.csv to row 21 below) - this should represent your building with ALL measures included.</t>
  </si>
  <si>
    <t>NOTE:</t>
  </si>
  <si>
    <t>**If building uses more than one fossil fuel or uses oil instead of gas for heating, adjustments to the performance rating calculation in the Reporting Summary are needed.</t>
  </si>
  <si>
    <t>*To account for calculations done outside of eQuest, you can add rows after your last eQUEST parametric row with appropriate savings.</t>
  </si>
  <si>
    <t>Energy Savings By Measure (copy runs that correspond to EACH parametric run from &lt;project name&gt;-Parms.csv to rows below; do not include BASELINE run). These are used to calculate savings in Detailed Measures worksheet.</t>
  </si>
  <si>
    <t>Hours Outside Throttling Range:</t>
  </si>
  <si>
    <t>SS-E</t>
  </si>
  <si>
    <t>Zone Outsd</t>
  </si>
  <si>
    <t>Plant Ld</t>
  </si>
  <si>
    <t>Hours</t>
  </si>
  <si>
    <t>Cool Loads</t>
  </si>
  <si>
    <t>Heat Loads</t>
  </si>
  <si>
    <t>Thrtlng Rng</t>
  </si>
  <si>
    <t>Not Met</t>
  </si>
  <si>
    <t>Fans On</t>
  </si>
  <si>
    <t>% hrs</t>
  </si>
  <si>
    <t># hrs</t>
  </si>
  <si>
    <t>Envelope - Windows</t>
  </si>
  <si>
    <t>Estimated Construction Completion Date (mo/yr):</t>
  </si>
  <si>
    <t>HVAC System</t>
  </si>
  <si>
    <t>Other interior lighting power density</t>
  </si>
  <si>
    <t>Exterior lighting power</t>
  </si>
  <si>
    <r>
      <t>Total conditioned ft</t>
    </r>
    <r>
      <rPr>
        <vertAlign val="superscript"/>
        <sz val="9"/>
        <rFont val="Calibri"/>
        <family val="2"/>
        <scheme val="minor"/>
      </rPr>
      <t>2</t>
    </r>
    <r>
      <rPr>
        <sz val="9"/>
        <rFont val="Calibri"/>
        <family val="2"/>
        <scheme val="minor"/>
      </rPr>
      <t>:</t>
    </r>
  </si>
  <si>
    <t>Annual Equipment</t>
  </si>
  <si>
    <t>Annual Fans</t>
  </si>
  <si>
    <t>Annual Pumps</t>
  </si>
  <si>
    <t>Other exterior</t>
  </si>
  <si>
    <t>Window SHGC</t>
  </si>
  <si>
    <t>Window type and U-factor</t>
  </si>
  <si>
    <t>Project Level TRC</t>
  </si>
  <si>
    <t>Architect</t>
  </si>
  <si>
    <t>MEP Engineer</t>
  </si>
  <si>
    <t>General Contractor</t>
  </si>
  <si>
    <t>MEP Contractor</t>
  </si>
  <si>
    <t>T&amp;V Protocol Number and Description</t>
  </si>
  <si>
    <t>T&amp;V Worksheet</t>
  </si>
  <si>
    <t>Potential Inspection Schedule Categories</t>
  </si>
  <si>
    <t>Protocol 1.1 - ENERGY STAR Compliant Appliances</t>
  </si>
  <si>
    <t>1.1 - APPLIANCES</t>
  </si>
  <si>
    <t>Post-Completion</t>
  </si>
  <si>
    <t>Protocol 2.1 - Central Systems (Serving 5 units or more)</t>
  </si>
  <si>
    <t>2.1-2.2, 5.1, 5.3 - HEATING&amp;DHW</t>
  </si>
  <si>
    <t>Finishes</t>
  </si>
  <si>
    <t>Protocol 2.2 - Distributed (Individual Apartment) Systems</t>
  </si>
  <si>
    <t>Protocol 3.1 - Wall Construction/Insulation, R-value</t>
  </si>
  <si>
    <t>3.1 - ENV_BELOW GRADE WALL</t>
  </si>
  <si>
    <t>Pre-Drywall</t>
  </si>
  <si>
    <t>3.1 - ENV_ABOVE GRADE WALL</t>
  </si>
  <si>
    <t>8.1 - INF_EXT AIR BARRIER</t>
  </si>
  <si>
    <t>Protocol 3.2 - Roof Construction/Insulation, R-value</t>
  </si>
  <si>
    <t>3.2 - ENV_ROOF</t>
  </si>
  <si>
    <t>Protocol 3.3 - Floor Construction/Insulation, R-value</t>
  </si>
  <si>
    <t>3.3 - ENV_FLOORS</t>
  </si>
  <si>
    <t>Protocol 3.4 - Window Selection, U-value, SHGC, and Visual Transmittance</t>
  </si>
  <si>
    <t>3.4 - ENV_WINDOWS</t>
  </si>
  <si>
    <t xml:space="preserve">Protocol 3.5 - Exterior Door Selection, Entranceway Design, Use of Vestibules, Weather-stripping, and Air Leakage </t>
  </si>
  <si>
    <t>3.5 - ENV_EXTERIOR DOORS</t>
  </si>
  <si>
    <t>Protocol 5.1 - Central Heating Systems (Serving 5 units or more)</t>
  </si>
  <si>
    <t>Protocol 5.2 - Central Cooling Systems (Serving 5 units or more)</t>
  </si>
  <si>
    <t>5.2, 5.4 - COOLING</t>
  </si>
  <si>
    <t>Protocol 5.3 - Distributed (Individual Apartment) Heating Systems</t>
  </si>
  <si>
    <t>Protocol 5.4 - Distributed (Individual Apartment) Cooling Systems</t>
  </si>
  <si>
    <t>Protocol 6.1 - Common Areas, In-Unit, Garage and Exterior Lighting</t>
  </si>
  <si>
    <t>6.1, 6.2, 6.3 - LIGHTING</t>
  </si>
  <si>
    <t>Protocol 6.2 – Emergency Lighting (Exit Signs)</t>
  </si>
  <si>
    <t>Protocol 6.3 – Controls</t>
  </si>
  <si>
    <t>Protocol 7.1 - Motors</t>
  </si>
  <si>
    <t>7.1 - MOTORS</t>
  </si>
  <si>
    <t>Protocol 8.1 - Envelope Air Sealing and Total Air Leakage - Common Area, Apartments, and Exterior</t>
  </si>
  <si>
    <t>8.1-INF_COMPTZN VIS INSPECTION</t>
  </si>
  <si>
    <t>8.1 - INF_BLOWER DOOR TEST</t>
  </si>
  <si>
    <t>Protocol 8.2 - Common Area and In-Unit Ventilation (CFM), Intake Source, and Intake/Exhaust Fan Efficiency</t>
  </si>
  <si>
    <t>8.2 - VENT_DUCT TIGHTNESS</t>
  </si>
  <si>
    <t>Proposed Method of Compliance 
(by PM/client)</t>
  </si>
  <si>
    <t>Values Used in Energy Model  
(Modeling Submittal Notes)</t>
  </si>
  <si>
    <t xml:space="preserve">Inspection Comments </t>
  </si>
  <si>
    <t>APPLIANCES</t>
  </si>
  <si>
    <t>Clothes Washer</t>
  </si>
  <si>
    <t>Stove</t>
  </si>
  <si>
    <t>Dryer</t>
  </si>
  <si>
    <t>DOMESTIC HOT WATER</t>
  </si>
  <si>
    <t>Domestic Hot Water-Type &amp; Efficiency</t>
  </si>
  <si>
    <t>Domestic Hot Water - Storage Insulation</t>
  </si>
  <si>
    <t>Domestic Hot Water - Low Flow Fixtures</t>
  </si>
  <si>
    <t xml:space="preserve">ENVELOPE </t>
  </si>
  <si>
    <t>The envelope measures listed below must comply with ASHRAE Standard 90.1-2007 Section 5.4 in addition to the listed requirements.</t>
  </si>
  <si>
    <t>Below Grade Wall Insulation</t>
  </si>
  <si>
    <t>Above Grade Wall Insulation</t>
  </si>
  <si>
    <t>Floor Perimeter/Plank Edge Insulation</t>
  </si>
  <si>
    <t>Roof Insulation</t>
  </si>
  <si>
    <t>Floor Insulation Above Unconditioned Space</t>
  </si>
  <si>
    <t>Below Grade Slab Floor Insulation</t>
  </si>
  <si>
    <t>Uninsulated</t>
  </si>
  <si>
    <t>Exterior Doors</t>
  </si>
  <si>
    <t>HEATING &amp; COOLING</t>
  </si>
  <si>
    <t>The Heating and Cooling measures listed below must comply with ASHRAE Standard 90.1-2007 Section 6.4 in addition to the listed requirements below.</t>
  </si>
  <si>
    <t>Space Heating - Type &amp; Efficiency</t>
  </si>
  <si>
    <t>Heating Terminal Units - Electric or Freeze Protection</t>
  </si>
  <si>
    <t>Space Heating Distribution -Fan Power</t>
  </si>
  <si>
    <t>Space Heating - Sizing</t>
  </si>
  <si>
    <t>Space Heating - Design Temperatures</t>
  </si>
  <si>
    <t>Space Heating - Controls</t>
  </si>
  <si>
    <t>Thermostat Setting</t>
  </si>
  <si>
    <t>Space Cooling - Type and Efficiency</t>
  </si>
  <si>
    <t>Gas Heat: PTAC, 9.305 EER, 0.0003 kW/CFM
Electric Heat: PTHP, 9.105 EER, 0.0003 kW/CFM</t>
  </si>
  <si>
    <t>Space Cooling - Sizing</t>
  </si>
  <si>
    <t>Space Cooling - Controls</t>
  </si>
  <si>
    <t xml:space="preserve">LIGHTING </t>
  </si>
  <si>
    <t>Lighting Controls</t>
  </si>
  <si>
    <t>Exterior Lights</t>
  </si>
  <si>
    <t>Garage Lighting</t>
  </si>
  <si>
    <t>In-Unit Lighting</t>
  </si>
  <si>
    <t>MOTORS (3-PHASE , &gt; 1 HP)</t>
  </si>
  <si>
    <t>Heating Circulating Pumps</t>
  </si>
  <si>
    <t>DHW Circulating Pumps</t>
  </si>
  <si>
    <t>Use system parameters (head, efficiency) or Ppump=BHP*746/Pump Motor Efficiency to model pump power. Use ASHRAE Table 10.8 to determine Motor Efficiency</t>
  </si>
  <si>
    <t>VENTILATION</t>
  </si>
  <si>
    <t>Ventilation: Thermal
Corridors</t>
  </si>
  <si>
    <t>Same as Proposed or As-Built, but not to exceed ASHRAE 62.1-2007 rates by more than 50%</t>
  </si>
  <si>
    <t>Ventilation: Thermal
(Heat Recovery)</t>
  </si>
  <si>
    <t>Ventilation: Thermal
(Duct Sealing)</t>
  </si>
  <si>
    <t>Add 10 CFM per floor per shaft to Exhaust CFM to represent ventilation duct leakage</t>
  </si>
  <si>
    <t>Ventilation: Electric
(Apartments)</t>
  </si>
  <si>
    <t>Ceiling Exhaust: 1.2 CFM/W
Inline Exhaust: 2.3 CFM/W</t>
  </si>
  <si>
    <t>Ventilation: Electric
(Non-Apartment)</t>
  </si>
  <si>
    <t>Ventilation: Demand  Control</t>
  </si>
  <si>
    <t>Ventilation: Thermal &amp; Electric
(Garage Exhaust fan)</t>
  </si>
  <si>
    <t>MISC.</t>
  </si>
  <si>
    <t>Renewables</t>
  </si>
  <si>
    <t>1) This tab serves as an overview of a project's energy efficiency components including modeling assumptions, plan review and inspection comments.</t>
  </si>
  <si>
    <t xml:space="preserve">Project Name: </t>
  </si>
  <si>
    <t xml:space="preserve">Project Code: </t>
  </si>
  <si>
    <t xml:space="preserve">Address: </t>
  </si>
  <si>
    <t>City, State, Zip:</t>
  </si>
  <si>
    <t>Item #</t>
  </si>
  <si>
    <t xml:space="preserve">BUILDING COMPONENT </t>
  </si>
  <si>
    <t xml:space="preserve">Values Used in Energy Model  </t>
  </si>
  <si>
    <t>Verified</t>
  </si>
  <si>
    <t>APPLIANCES - ENERGY STAR</t>
  </si>
  <si>
    <t>1.1.1</t>
  </si>
  <si>
    <t>1.1.2</t>
  </si>
  <si>
    <t>1.1.3</t>
  </si>
  <si>
    <t>1.1.4</t>
  </si>
  <si>
    <t>Stoves</t>
  </si>
  <si>
    <t>1.1.5</t>
  </si>
  <si>
    <t>Dryers</t>
  </si>
  <si>
    <t>1.1.6</t>
  </si>
  <si>
    <t>Statement of Substantial Completion</t>
  </si>
  <si>
    <t xml:space="preserve">HEATING &amp; DOMESTIC HOT WATER </t>
  </si>
  <si>
    <t>2.1.1</t>
  </si>
  <si>
    <t>General</t>
  </si>
  <si>
    <t>MODELING INPUTS</t>
  </si>
  <si>
    <t>2.2.1</t>
  </si>
  <si>
    <t>2.2.3</t>
  </si>
  <si>
    <t>Heating Terminal Units - Electric Resistance or Freeze Protection</t>
  </si>
  <si>
    <t>2.2.4</t>
  </si>
  <si>
    <t>Space Heating Distribution - Fan Power</t>
  </si>
  <si>
    <t>2.2.5</t>
  </si>
  <si>
    <t>2.2.6</t>
  </si>
  <si>
    <t>2.2.7</t>
  </si>
  <si>
    <t>2.2.8</t>
  </si>
  <si>
    <t>DHW - Type &amp; Efficiency</t>
  </si>
  <si>
    <t>2.2.9</t>
  </si>
  <si>
    <t>DHW - Storage Insulation</t>
  </si>
  <si>
    <t>2.2.10</t>
  </si>
  <si>
    <t>DHW - Low Flow Fixtures</t>
  </si>
  <si>
    <t>HEATING &amp; DHW</t>
  </si>
  <si>
    <t>2.3.1</t>
  </si>
  <si>
    <t>Space Heating / DHW Central Plant - Boiler room location and venting</t>
  </si>
  <si>
    <t>2.3.2</t>
  </si>
  <si>
    <t>Space Heating / DHW - Insulation for Piping</t>
  </si>
  <si>
    <t>DHW</t>
  </si>
  <si>
    <t>2.4.1</t>
  </si>
  <si>
    <t>DHW - Temperature</t>
  </si>
  <si>
    <t>2.4.2</t>
  </si>
  <si>
    <t>HYDRONIC DISTRIBUTION</t>
  </si>
  <si>
    <t>2.5.1</t>
  </si>
  <si>
    <t>Heating Distribution - Piping Configuration</t>
  </si>
  <si>
    <t>2.5.2</t>
  </si>
  <si>
    <t>Heating Distribution - Pump Sizing</t>
  </si>
  <si>
    <t>2.5.3</t>
  </si>
  <si>
    <t>Heating Distribution - Pressure Control Set-points</t>
  </si>
  <si>
    <t>2.5.4</t>
  </si>
  <si>
    <t>Heating Terminal Units - Thermostatic Controls</t>
  </si>
  <si>
    <t>ALL FORCED AIR HEATING SYSTEMS</t>
  </si>
  <si>
    <t>2.6.1</t>
  </si>
  <si>
    <t>Heating Distribution - Outdoor Air Damper</t>
  </si>
  <si>
    <t>2.6.2</t>
  </si>
  <si>
    <t>Heating Distribution - Flex Duct Installation</t>
  </si>
  <si>
    <t>2.6.3</t>
  </si>
  <si>
    <t>Heating Distribution - Duct Insulation</t>
  </si>
  <si>
    <t>2.6.4</t>
  </si>
  <si>
    <t>Heating Distribution - Duct Sealing Details</t>
  </si>
  <si>
    <t>2.6.5</t>
  </si>
  <si>
    <t>Heating System - Combustion Venting</t>
  </si>
  <si>
    <t>IN-UNIT FORCED AIR HEATING SYSTEMS</t>
  </si>
  <si>
    <t>2.7.1</t>
  </si>
  <si>
    <t>Heating Distribution - In-Unit Duct Sizing</t>
  </si>
  <si>
    <t>2.7.2</t>
  </si>
  <si>
    <t>Heating Distribution - HVAC Contractor Checklist</t>
  </si>
  <si>
    <t>2.7.3</t>
  </si>
  <si>
    <t>Heating Distribution - In-Unit Duct Leakage Testing</t>
  </si>
  <si>
    <t>2.7.4</t>
  </si>
  <si>
    <t>Heating System - True Flow Pressure Plate</t>
  </si>
  <si>
    <t>HEATING SYSTEMS MISC</t>
  </si>
  <si>
    <t>2.8.1</t>
  </si>
  <si>
    <t>Heating Distribution - Thermostat</t>
  </si>
  <si>
    <t>2.8.2</t>
  </si>
  <si>
    <t>Space Heating and DHW - Training and Manuals</t>
  </si>
  <si>
    <t>2.8.3</t>
  </si>
  <si>
    <t>Space Heating and DHW - Manufacturer's Product Data</t>
  </si>
  <si>
    <t>2.8.4</t>
  </si>
  <si>
    <t>Statement of Substantial Completion - HVAC</t>
  </si>
  <si>
    <t>BELOW GRADE WALLS</t>
  </si>
  <si>
    <t>3.1.1</t>
  </si>
  <si>
    <t>Below Grade Walls - General</t>
  </si>
  <si>
    <t>3.1.2</t>
  </si>
  <si>
    <t>Below Grade Walls - Insulalation and Initial Framing Inspection</t>
  </si>
  <si>
    <t>3.1.3</t>
  </si>
  <si>
    <t>Below Grade Walls - Wood-Framed Construction</t>
  </si>
  <si>
    <t>3.1.4</t>
  </si>
  <si>
    <t>Below Grade Walls - Final Inspection</t>
  </si>
  <si>
    <t>ABOVE GRADE WALLS</t>
  </si>
  <si>
    <t>3.2.1</t>
  </si>
  <si>
    <t>Above Grade Walls - General</t>
  </si>
  <si>
    <t>3.2.2</t>
  </si>
  <si>
    <t>Above Grade Walls - Insulalation and Initial Framing Inspection</t>
  </si>
  <si>
    <t>3.2.3</t>
  </si>
  <si>
    <t>Above Grade Walls - Floor Perimeter/Plank Edge - Insulation and Framing Inspection</t>
  </si>
  <si>
    <t>3.2.4</t>
  </si>
  <si>
    <t>Above Grade Walls - Wood-Framed Construction</t>
  </si>
  <si>
    <t>3.2.5</t>
  </si>
  <si>
    <t>Above Grade Walls - Final Inspection</t>
  </si>
  <si>
    <t>ROOF</t>
  </si>
  <si>
    <t>3.3.1</t>
  </si>
  <si>
    <t>Roof - General</t>
  </si>
  <si>
    <t>3.3.2</t>
  </si>
  <si>
    <t>Roof - Insulation and Initial Framing Inspection</t>
  </si>
  <si>
    <t>3.3.3</t>
  </si>
  <si>
    <t>Wood-Framed Construction</t>
  </si>
  <si>
    <t>3.3.4</t>
  </si>
  <si>
    <t>Final Inspection</t>
  </si>
  <si>
    <t>FLOORS</t>
  </si>
  <si>
    <t>3.4.1</t>
  </si>
  <si>
    <t>Floors - General</t>
  </si>
  <si>
    <t>3.4.2</t>
  </si>
  <si>
    <t>Floor Insulation Above Unconditioned Space - Insulalation and Initial Framing Inspection</t>
  </si>
  <si>
    <t>3.4.3</t>
  </si>
  <si>
    <t>Below Grade Slab Floor- Insulation Inspection</t>
  </si>
  <si>
    <t>3.4.4</t>
  </si>
  <si>
    <t>Slab-on-Grade (unheated) - Insulation Inspection</t>
  </si>
  <si>
    <t>3.4.5</t>
  </si>
  <si>
    <t>Slab-on-Grade (embedded heated only) - Insulation Inspection</t>
  </si>
  <si>
    <t>3.4.6</t>
  </si>
  <si>
    <t>3.4.7</t>
  </si>
  <si>
    <t>WINDOWS</t>
  </si>
  <si>
    <t>3.5.1</t>
  </si>
  <si>
    <t>Windows - General</t>
  </si>
  <si>
    <t>3.5.2</t>
  </si>
  <si>
    <t>Rough Openings</t>
  </si>
  <si>
    <t>3.5.3</t>
  </si>
  <si>
    <t>Window/Wall Mock Up</t>
  </si>
  <si>
    <t>3.5.4</t>
  </si>
  <si>
    <t>On-Going Site Inspections</t>
  </si>
  <si>
    <t>3.5.5</t>
  </si>
  <si>
    <t>Air Tightness</t>
  </si>
  <si>
    <t>3.5.6</t>
  </si>
  <si>
    <t>Windows - Manuafacturer's Product Data</t>
  </si>
  <si>
    <t>3.5.7</t>
  </si>
  <si>
    <t>DOORS</t>
  </si>
  <si>
    <t>3.6.1</t>
  </si>
  <si>
    <t>Exterior Doors - General</t>
  </si>
  <si>
    <t>3.6.2</t>
  </si>
  <si>
    <t>Vestibules and Entryways</t>
  </si>
  <si>
    <t>3.6.3</t>
  </si>
  <si>
    <t>Operation and Fit</t>
  </si>
  <si>
    <t>3.6.4</t>
  </si>
  <si>
    <t>Weather-Stripping</t>
  </si>
  <si>
    <t>3.6.5</t>
  </si>
  <si>
    <t>Smoke Testing</t>
  </si>
  <si>
    <t>3.6.6</t>
  </si>
  <si>
    <t xml:space="preserve">GARAGES </t>
  </si>
  <si>
    <t>4.1.1</t>
  </si>
  <si>
    <t>Garage Heating</t>
  </si>
  <si>
    <t>4.1.2</t>
  </si>
  <si>
    <t>Compartmentalization</t>
  </si>
  <si>
    <t>4.1.3</t>
  </si>
  <si>
    <t>4.1.4</t>
  </si>
  <si>
    <t>Doors Between Garage and Building</t>
  </si>
  <si>
    <t>COOLING</t>
  </si>
  <si>
    <t>5.1.1</t>
  </si>
  <si>
    <t>5.2.1</t>
  </si>
  <si>
    <t>5.2.2</t>
  </si>
  <si>
    <t>Space Cooling  - Sizing</t>
  </si>
  <si>
    <t>5.2.3</t>
  </si>
  <si>
    <t>Space Cooling  - Controls</t>
  </si>
  <si>
    <t>5.3.1</t>
  </si>
  <si>
    <t>Cooling Distribution - Piping Configuration</t>
  </si>
  <si>
    <t>5.3.2</t>
  </si>
  <si>
    <t>Cooling Distribution - Pump Sizing</t>
  </si>
  <si>
    <t>5.3.3</t>
  </si>
  <si>
    <t>Cooling Distribution - Pressure Control Set-points</t>
  </si>
  <si>
    <t>5.3.4</t>
  </si>
  <si>
    <t>Cooling Distribution - Pipe Insulation</t>
  </si>
  <si>
    <t>5.3.5</t>
  </si>
  <si>
    <t>Cooling Terminal Units - Thermostatic Controls</t>
  </si>
  <si>
    <t>5.3.6</t>
  </si>
  <si>
    <t>Cooling Distribution - Refrigerant Charge</t>
  </si>
  <si>
    <t>ALL FORCED AIR COOLING SYSTEMS</t>
  </si>
  <si>
    <t>5.4.1</t>
  </si>
  <si>
    <t>Cooling Distribution System - In-Unit Duct Sizing</t>
  </si>
  <si>
    <t>5.4.2</t>
  </si>
  <si>
    <t>Cooling Distribution - Duct Insulation</t>
  </si>
  <si>
    <t>5.4.3</t>
  </si>
  <si>
    <t>Cooling System - Outdoor Air Damper</t>
  </si>
  <si>
    <t>5.4.4</t>
  </si>
  <si>
    <t>Cooling Distribution - Duct Sealing Details</t>
  </si>
  <si>
    <t>5.4.5</t>
  </si>
  <si>
    <t>Cooling Distribution - Flex Duct Installation</t>
  </si>
  <si>
    <t>5.4.6</t>
  </si>
  <si>
    <t>Cooling System - HVAC Contractor Checklist</t>
  </si>
  <si>
    <t>5.4.7</t>
  </si>
  <si>
    <t>Cooling Distribution - In-Unit Duct Leakage Testing</t>
  </si>
  <si>
    <t>5.4.8</t>
  </si>
  <si>
    <t>Cooling System - True Flow Pressure Plate</t>
  </si>
  <si>
    <t>COOLING SYSTEMS MISC</t>
  </si>
  <si>
    <t>5.5.1</t>
  </si>
  <si>
    <t>Cooling - A/C Sleeves</t>
  </si>
  <si>
    <t>5.5.2</t>
  </si>
  <si>
    <t>Cooling Distribution - Thermostat</t>
  </si>
  <si>
    <t>5.5.3</t>
  </si>
  <si>
    <t>Cooling - Training and Manuals</t>
  </si>
  <si>
    <t>5.5.4</t>
  </si>
  <si>
    <t>Cooling - Manuafacturer's Product Data</t>
  </si>
  <si>
    <t>5.5.5</t>
  </si>
  <si>
    <t>LIGHTING</t>
  </si>
  <si>
    <t>6.1.1</t>
  </si>
  <si>
    <t>Lighting Power Density</t>
  </si>
  <si>
    <t>6.1.2</t>
  </si>
  <si>
    <t>Lighting Controls - Verification</t>
  </si>
  <si>
    <t>6.1.3</t>
  </si>
  <si>
    <t>Common Area Lighting - 24/7</t>
  </si>
  <si>
    <t>6.1.4</t>
  </si>
  <si>
    <t>Common Area Lighting - Non 24/7</t>
  </si>
  <si>
    <t>6.1.5</t>
  </si>
  <si>
    <t>Emergency Lighting - Exit Signs</t>
  </si>
  <si>
    <t>6.1.6</t>
  </si>
  <si>
    <t xml:space="preserve">Exterior, Security &amp; Decorative Lighting  </t>
  </si>
  <si>
    <t>6.1.7</t>
  </si>
  <si>
    <t>6.1.8</t>
  </si>
  <si>
    <t xml:space="preserve">In-Unit Lighting  </t>
  </si>
  <si>
    <t>INSPECTION ONLY</t>
  </si>
  <si>
    <t>6.2.1</t>
  </si>
  <si>
    <t>Lighting - Ballasts</t>
  </si>
  <si>
    <t>6.2.2</t>
  </si>
  <si>
    <t>Lighting - Type</t>
  </si>
  <si>
    <t>6.2.3</t>
  </si>
  <si>
    <t>Lighting - Statement of Substantial Completion - Non 24/7 Spaces</t>
  </si>
  <si>
    <t>6.2.4</t>
  </si>
  <si>
    <t>Lighting - Statement of Substantial Completion - 24/7 Spaces</t>
  </si>
  <si>
    <t>MOTORS</t>
  </si>
  <si>
    <t>7.1.1</t>
  </si>
  <si>
    <t>7.1.2</t>
  </si>
  <si>
    <t>Heating Distribution - Motors</t>
  </si>
  <si>
    <t>7.1.3</t>
  </si>
  <si>
    <t>DHW Distribution - Motors</t>
  </si>
  <si>
    <t>7.1.4</t>
  </si>
  <si>
    <t>Booster Pump Setpoints</t>
  </si>
  <si>
    <t>7.1.5</t>
  </si>
  <si>
    <t>Motors- Manuafacturer's Product Data</t>
  </si>
  <si>
    <t>7.1.6</t>
  </si>
  <si>
    <t>Heating and DHW - Training and Manuals</t>
  </si>
  <si>
    <t>7.1.7</t>
  </si>
  <si>
    <t>INFILTRATION</t>
  </si>
  <si>
    <t>EXTERIOR AIR BARRIERS</t>
  </si>
  <si>
    <t>8.1.1</t>
  </si>
  <si>
    <t>Exterior Air Barrier - General</t>
  </si>
  <si>
    <t>8.1.2</t>
  </si>
  <si>
    <t>8.1.3</t>
  </si>
  <si>
    <r>
      <t>Masonry Wall Preparation</t>
    </r>
    <r>
      <rPr>
        <sz val="10"/>
        <rFont val="Arial"/>
        <family val="2"/>
      </rPr>
      <t/>
    </r>
  </si>
  <si>
    <t>8.1.4</t>
  </si>
  <si>
    <r>
      <t>General Coverage - Liquid Membrane</t>
    </r>
    <r>
      <rPr>
        <sz val="10"/>
        <rFont val="Arial"/>
        <family val="2"/>
      </rPr>
      <t/>
    </r>
  </si>
  <si>
    <t>8.1.5</t>
  </si>
  <si>
    <t>General Coverage at Adjacent Building Conditions - Liquid Membrane</t>
  </si>
  <si>
    <t>8.1.6</t>
  </si>
  <si>
    <t>General Coverage / Transition Membrane - Seams</t>
  </si>
  <si>
    <t>8.1.7</t>
  </si>
  <si>
    <t>Air Barrier Penetrations</t>
  </si>
  <si>
    <t>8.1.8</t>
  </si>
  <si>
    <r>
      <t>Rough Openings (Concrete Masonry Construction) - Windows and Doors</t>
    </r>
    <r>
      <rPr>
        <sz val="10"/>
        <rFont val="Arial"/>
        <family val="2"/>
      </rPr>
      <t/>
    </r>
  </si>
  <si>
    <t>8.1.9</t>
  </si>
  <si>
    <t>Rough Openings (Steel Stud Construction) - Windows and Doors</t>
  </si>
  <si>
    <t>8.1.10</t>
  </si>
  <si>
    <r>
      <t>Rough Openings - Pipes, Conduits, Ducts, Etc</t>
    </r>
    <r>
      <rPr>
        <sz val="10"/>
        <rFont val="Arial"/>
        <family val="2"/>
      </rPr>
      <t/>
    </r>
  </si>
  <si>
    <t>8.1.11</t>
  </si>
  <si>
    <r>
      <t>Rough Openings - Cast Stone Sills</t>
    </r>
    <r>
      <rPr>
        <sz val="10"/>
        <rFont val="Arial"/>
        <family val="2"/>
      </rPr>
      <t/>
    </r>
  </si>
  <si>
    <t>8.1.12</t>
  </si>
  <si>
    <t>Rough Openings - Gap at Window Frame</t>
  </si>
  <si>
    <t>8.1.13</t>
  </si>
  <si>
    <t>Rough Openings - Gap at Door Frame</t>
  </si>
  <si>
    <t>8.1.14</t>
  </si>
  <si>
    <t>Rough Openings - A/C Sleeves</t>
  </si>
  <si>
    <t>8.1.15</t>
  </si>
  <si>
    <t>Plank Edges (Steel Stud Construction) - At plank / exterior sheathing joint</t>
  </si>
  <si>
    <t>8.1.16</t>
  </si>
  <si>
    <t>Plank Edges (Concrete Masonry Construction) -
At plank / CMU joint</t>
  </si>
  <si>
    <t>8.1.17</t>
  </si>
  <si>
    <t>Plank Edges - At plank / steel girder joint</t>
  </si>
  <si>
    <t>8.1.18</t>
  </si>
  <si>
    <t>Steel Columns - Steel / CMU joints</t>
  </si>
  <si>
    <t>8.1.19</t>
  </si>
  <si>
    <t>Wall to Roof Connections</t>
  </si>
  <si>
    <t>COMPARTMENTALIZATION - VISUAL INSPECTION</t>
  </si>
  <si>
    <t>8.2.1</t>
  </si>
  <si>
    <t>8.2.2</t>
  </si>
  <si>
    <t>Sample Unit - Visual Inspection</t>
  </si>
  <si>
    <t>8.2.3</t>
  </si>
  <si>
    <t>Inspect framing layout</t>
  </si>
  <si>
    <t>8.2.4</t>
  </si>
  <si>
    <t xml:space="preserve">Gypsum board to concrete floor plank connection </t>
  </si>
  <si>
    <t>8.2.5</t>
  </si>
  <si>
    <t>Gypsum board to concrete ceiling plank connection</t>
  </si>
  <si>
    <t>8.2.6</t>
  </si>
  <si>
    <t>Window to interior gypsum board</t>
  </si>
  <si>
    <t>8.2.7</t>
  </si>
  <si>
    <r>
      <t>A/C Sleeve Cover (if A/Cs provided by building)</t>
    </r>
    <r>
      <rPr>
        <sz val="10"/>
        <rFont val="Arial"/>
        <family val="2"/>
      </rPr>
      <t/>
    </r>
  </si>
  <si>
    <t>8.2.8</t>
  </si>
  <si>
    <t>Air conditioner sleeve sealed to drywall</t>
  </si>
  <si>
    <t>8.2.9</t>
  </si>
  <si>
    <t>Outlet/Electrical Box - Exterior and Demising Walls</t>
  </si>
  <si>
    <t>8.2.10</t>
  </si>
  <si>
    <t>Heating pipe penetrations through exterior walls</t>
  </si>
  <si>
    <t>8.2.11</t>
  </si>
  <si>
    <t>Heating pipe penetrations through interior partitions</t>
  </si>
  <si>
    <t>8.2.12</t>
  </si>
  <si>
    <t>Plumbing / Sprinkler Pipe Penetrations</t>
  </si>
  <si>
    <t>8.2.13</t>
  </si>
  <si>
    <t>Range Gas Line Penetration</t>
  </si>
  <si>
    <t>8.2.14</t>
  </si>
  <si>
    <t>Gap between take off duct and gypsum board</t>
  </si>
  <si>
    <t>8.2.15</t>
  </si>
  <si>
    <t>Electrical Panel</t>
  </si>
  <si>
    <t>8.2.16</t>
  </si>
  <si>
    <t>HVAC Access Doors</t>
  </si>
  <si>
    <t>8.2.17</t>
  </si>
  <si>
    <t>Thermostats</t>
  </si>
  <si>
    <t>8.2.18</t>
  </si>
  <si>
    <t>Intercoms</t>
  </si>
  <si>
    <t>8.2.19</t>
  </si>
  <si>
    <t>Lighting Fixtures</t>
  </si>
  <si>
    <t>8.2.20</t>
  </si>
  <si>
    <t>Door Latch Hole</t>
  </si>
  <si>
    <t>8.2.21</t>
  </si>
  <si>
    <t>Medicine Cabinet</t>
  </si>
  <si>
    <t>BLOWER DOOR TESTING</t>
  </si>
  <si>
    <t>8.3.1</t>
  </si>
  <si>
    <t>Blower Door Test - General</t>
  </si>
  <si>
    <t>8.3.4</t>
  </si>
  <si>
    <t>Blower Door Test</t>
  </si>
  <si>
    <t>MODELING INPUTS - SIZING AND BALANCING</t>
  </si>
  <si>
    <t>8.5.1</t>
  </si>
  <si>
    <t>Non - Apartment Fan Efficiency</t>
  </si>
  <si>
    <t>8.5.2</t>
  </si>
  <si>
    <t>Apartment Fan Efficiency (Roof)</t>
  </si>
  <si>
    <t>8.5.3</t>
  </si>
  <si>
    <t>Apartment Fan Efficiency (In-Unit)</t>
  </si>
  <si>
    <t>8.5.4</t>
  </si>
  <si>
    <t>Apartment and Non-Corridor - Capacity, Testing and Balancing</t>
  </si>
  <si>
    <t>8.5.5</t>
  </si>
  <si>
    <t>Demand Controls</t>
  </si>
  <si>
    <t>8.5.6</t>
  </si>
  <si>
    <t>Central Supply to Corridor</t>
  </si>
  <si>
    <t>8.5.7</t>
  </si>
  <si>
    <t>Heat Recovery</t>
  </si>
  <si>
    <t>GARAGE VENTILATION</t>
  </si>
  <si>
    <t>8.6.1</t>
  </si>
  <si>
    <t>Garage Exhaust Fan CFM and Efficiency</t>
  </si>
  <si>
    <t>8.6.2</t>
  </si>
  <si>
    <t>Test Sensor Operation (Statement of Substantial Completion Accepted)</t>
  </si>
  <si>
    <t>8.6.3</t>
  </si>
  <si>
    <t>CO Sensor Locations</t>
  </si>
  <si>
    <t>8.6.4</t>
  </si>
  <si>
    <t>Garage Fan and CO Sensor - Manufacturer's Product Data</t>
  </si>
  <si>
    <t>VENTILATION MISC</t>
  </si>
  <si>
    <t>8.7.1</t>
  </si>
  <si>
    <t>Toilet, Kitchen, General Exhaust Grilles and Corridor Supply Ventilation Grilles</t>
  </si>
  <si>
    <t>8.7.2</t>
  </si>
  <si>
    <t>Intake  Systems - Operating Sequence</t>
  </si>
  <si>
    <t>8.7.3</t>
  </si>
  <si>
    <t>Make Up Air Systems</t>
  </si>
  <si>
    <t>8.7.4</t>
  </si>
  <si>
    <t>Common Area Supply Ventilation Controls</t>
  </si>
  <si>
    <t>8.7.5</t>
  </si>
  <si>
    <t>Smoke Vents</t>
  </si>
  <si>
    <t>8.7.6</t>
  </si>
  <si>
    <t>Passive Intake Systems (Trickle Vents)</t>
  </si>
  <si>
    <t>8.7.7</t>
  </si>
  <si>
    <t>Ventilation - Manuafacturer's Product Data</t>
  </si>
  <si>
    <t>8.7.8</t>
  </si>
  <si>
    <t>Ventilation - Training and Manuals</t>
  </si>
  <si>
    <t>DUCT TIGHTNESS</t>
  </si>
  <si>
    <t>8.8.1</t>
  </si>
  <si>
    <t>Duct Tightness - General</t>
  </si>
  <si>
    <t>8.8.2</t>
  </si>
  <si>
    <t>Duct Leakage Testing - Cenral Exhaust Systems</t>
  </si>
  <si>
    <t>8.8.3</t>
  </si>
  <si>
    <t>Roof Curb (Central)</t>
  </si>
  <si>
    <t>8.8.4</t>
  </si>
  <si>
    <t>Transverse Joints (Central and Through Wall)</t>
  </si>
  <si>
    <t>8.8.5</t>
  </si>
  <si>
    <t>Transitions (Central and Through Wall)</t>
  </si>
  <si>
    <t>8.8.6</t>
  </si>
  <si>
    <t>Pinned Ducts  (Central and Through Wall)</t>
  </si>
  <si>
    <t>8.8.7</t>
  </si>
  <si>
    <t>Elbow Joints (Round Duct Work)</t>
  </si>
  <si>
    <t>8.8.8</t>
  </si>
  <si>
    <t>Exterior Wall Connection  (Through Wall)</t>
  </si>
  <si>
    <t>METERS</t>
  </si>
  <si>
    <t>9.1.1</t>
  </si>
  <si>
    <t>Location - Residential</t>
  </si>
  <si>
    <t>9.1.2</t>
  </si>
  <si>
    <t>Location - Non Residential</t>
  </si>
  <si>
    <t>9.1.3</t>
  </si>
  <si>
    <t>Configuration</t>
  </si>
  <si>
    <t>9.1.5</t>
  </si>
  <si>
    <t>Utility Release Forms</t>
  </si>
  <si>
    <t>9.1.6</t>
  </si>
  <si>
    <t>The maximum storage tank capacity shall be specified based on occupancy.</t>
  </si>
  <si>
    <t>When required by local building code, entranceways shall be designed with vestibules with weather-stripping hard-fastened to the door or frame.</t>
  </si>
  <si>
    <t>The heating and cooling measures must comply with ASHRAE 90.1-2007 Section 6.4.</t>
  </si>
  <si>
    <t>Atmospherically vented gas furnaces and boilers shall not be specified.</t>
  </si>
  <si>
    <t xml:space="preserve">Provide load sizing calculations that reflect the design; installed capacity cannot exceed design by more than 20%. Outdoor temperatures shall be the 1.0% design temperatures as published by the ASHRAE Handbook of Fundamentals. Indoor temperatures shall be 70°F for heating. </t>
  </si>
  <si>
    <t xml:space="preserve">Provide load sizing calculations that reflect the design; installed capacity cannot exceed design by more than 20%, except when smaller sizes are not available. Outdoor temperatures shall be the 99.0% design temperatures as published by the ASHRAE Handbook of Fundamentals. Indoor temperatures shall be 75°F for cooling. </t>
  </si>
  <si>
    <t>All non-apartment spaces, except those intended for 24-hour operation or where automatic shutoff would endanger the safety of occupants, must have occupancy sensors or automatic bi-level lighting controls.</t>
  </si>
  <si>
    <t>All light fixtures in non-apartment spaces, including hallways, stairwells, lobbies, elevators, garages and decorative fixtures, shall have combined lamp and ballast efficacies meeting or exceeding ENERGY STAR specifications.  
ENERGY STAR qualified screw-in lamps may be used for the Performance Path only, however, per ASHRAE 90.1-2007, Section 9.1.4, they MUST be modeled with the maximum labeled wattage of the fixture .
Total specified lighting power for the combined non-apartment spaces should not exceed ASHRAE allowances for those combined spaces by more than 20%.</t>
  </si>
  <si>
    <t>All outdoor lighting fixtures shall have combined lamp and ballast efficacies meeting or exceeding ENERGY STAR specifications. Fixtures must include automatic switching on timers or photocell controls except fixtures intended for 24-hour operation, required for security, or located on apartment balconies.</t>
  </si>
  <si>
    <t>All three-phase pump motors 1 horse-power or larger shall meet or exceed efficiency standards for NEMA Premium™ motors.</t>
  </si>
  <si>
    <t>The building plans shall demonstrate a continuous, unbroken air barrier separating the conditioned space of the building from the exterior, unconditioned spaces within the building, non-residential spaces, vented mechanical rooms, mechanical chases opening to unconditioned spaces, elevator shafts, and garages or other vehicle/equipment storage facilities.</t>
  </si>
  <si>
    <t>In-unit exhaust fans must be ENERGY STAR qualified.</t>
  </si>
  <si>
    <t>Ductwork penetrations shall be sealed at the roof curb to prevent air leakage through the duct system and/or the building envelope.</t>
  </si>
  <si>
    <t>ENERGY STAR</t>
  </si>
  <si>
    <t>TOC</t>
  </si>
  <si>
    <t>Field Verified By:</t>
  </si>
  <si>
    <t>1) The developer or GC should ensure that deliveries are inspected prior to accepting them to verify that product substitutions by the distributor or manufacturer have not resulted in non-ENERGY STAR qualified appliances.</t>
  </si>
  <si>
    <t xml:space="preserve">2) Minimum of one on-site inspection required, preferably immediately after installation so that corrective action can be taken if necessary.  Delivery tickets may be used to verify complete shipments but on-site inspections of a sample of installed appliances is required.
</t>
  </si>
  <si>
    <t>1) Camera</t>
  </si>
  <si>
    <t>2) Installation Schedule</t>
  </si>
  <si>
    <t>3) Floor Plans</t>
  </si>
  <si>
    <t xml:space="preserve">2) For buildings with common laundry rooms, RESNET sampling protocols are modified to require inspection of all the clothes washers in at least one laundry room. </t>
  </si>
  <si>
    <t>3) *PHOTOS REQUIRED*</t>
  </si>
  <si>
    <t>- Include a CLEAR photo of the nameplate of each type of appliance showing ENERGY STAR qualification</t>
  </si>
  <si>
    <t>PROPOSED 
ERM</t>
  </si>
  <si>
    <t>ENERGY 
MODEL</t>
  </si>
  <si>
    <t>MFR</t>
  </si>
  <si>
    <t>MODEL #</t>
  </si>
  <si>
    <t>QUANTITY</t>
  </si>
  <si>
    <t>LOCATION</t>
  </si>
  <si>
    <t>PLAN REVIEW COMMENTS</t>
  </si>
  <si>
    <t>PLAN REVIEW</t>
  </si>
  <si>
    <t>INSPECTION</t>
  </si>
  <si>
    <t>Refrigerators</t>
  </si>
  <si>
    <t>General Electric</t>
  </si>
  <si>
    <t>XRT2394JD</t>
  </si>
  <si>
    <t>Apartments</t>
  </si>
  <si>
    <t>Energy model assumes 423 kWh/yr, energy consultant recommends specifying Model XRT2837 which meets this criteria.</t>
  </si>
  <si>
    <t>M-303 Spec 15349</t>
  </si>
  <si>
    <t>Dishwashers</t>
  </si>
  <si>
    <t>ABC340982</t>
  </si>
  <si>
    <t>No comment</t>
  </si>
  <si>
    <t>Clothes Washers</t>
  </si>
  <si>
    <t>FHF394873</t>
  </si>
  <si>
    <t>Laundry Room</t>
  </si>
  <si>
    <t>Laundry room is on the second floor.</t>
  </si>
  <si>
    <t>46 stoves have been specified however they are gas.</t>
  </si>
  <si>
    <t>4 dryers are specified however they are gas.</t>
  </si>
  <si>
    <t>1) The quality assurance and verification procedures occur during the pre-construction, construction, and post-construction phases of system installation.  Refer to the appropriate standards (BPI, NFPA) to determine exact timing of inspections.</t>
  </si>
  <si>
    <t>2) Inspection, testing, and commissioning are conducted upon completion of the installation of the system.</t>
  </si>
  <si>
    <t xml:space="preserve">3) Training shall occur following installation of the system and completion of all quality assurance and verification procedures.  
</t>
  </si>
  <si>
    <t>1) Mechanical Schedule and Floor Plans</t>
  </si>
  <si>
    <t>2) Camera</t>
  </si>
  <si>
    <t>DESCRIPTION</t>
  </si>
  <si>
    <t>EFFICIENCY</t>
  </si>
  <si>
    <t>HORSEPOWER (HP)</t>
  </si>
  <si>
    <t>See below</t>
  </si>
  <si>
    <t>see below</t>
  </si>
  <si>
    <t>Apartment#</t>
  </si>
  <si>
    <t>Equipment ID</t>
  </si>
  <si>
    <t>Design CFM</t>
  </si>
  <si>
    <t>CFM25 Total Leakage</t>
  </si>
  <si>
    <t>% Leakage of Design CFM</t>
  </si>
  <si>
    <t>Comments</t>
  </si>
  <si>
    <t>1) Inspections must take place during construction:  before pouring slab, before back-filling foundation walls, at framing (pre-insulation), post-insulation and pre-drywall, and post-completion.</t>
  </si>
  <si>
    <t xml:space="preserve">2) Inspections of exterior insulation, air, vapor, and weather barrier systems must be completed prior to enclosure.
</t>
  </si>
  <si>
    <t>2) Measuring Tape or ruler</t>
  </si>
  <si>
    <t>3) Relevant Wall Sections and Details</t>
  </si>
  <si>
    <t>4) Cellar Plan</t>
  </si>
  <si>
    <t>3) Documentation of post-repair conditions is required for correction of problems that represent large surface areas (greater than 50 square feet) and/or systemic problems (e.g. all corner units are insulated improperly).  On-site inspection to verify corrections is preferable, but if this is not possible/practical due to construction schedules, photographic documentation of repairs submitted to the Energy Consultant by the GC are an acceptable alternative.</t>
  </si>
  <si>
    <t>4) *PHOTOS REQUIRED*</t>
  </si>
  <si>
    <t>• Interior and cavity insulation must be protected from air intrusion, moisture intrusion, and free of voids, gaps, and compression.  
• Cavity insulation must be in contact with the interior wall surface (i.e. drywall) and completely fill the interior wall cavity.
• Batt insulation must be installed properly using splices to surround wires, electrical outlet/switch/junction boxes, pipes, and other obstructions within the insulated cavity. 
• Insulation that is intended to be continuous (interior or exterior) must be installed without breaks and at full thickness at all locations.
• Vapor impermeable air barriers for general coverage should only be specified on the warm side of insulation (i.e. interior side of insulation in predominately heating dominated climates). Vapor permeable air barriers should be specified in other cases.</t>
  </si>
  <si>
    <t>Insulation Type</t>
  </si>
  <si>
    <t>Typical Thermal Resistance R-value per Inch</t>
  </si>
  <si>
    <t>Application</t>
  </si>
  <si>
    <t>Wall Assembly</t>
  </si>
  <si>
    <t>Layer 1</t>
  </si>
  <si>
    <t>Extruded polystyrene (XPS)</t>
  </si>
  <si>
    <t>Walls, Roof, Slab</t>
  </si>
  <si>
    <t>Layer 2</t>
  </si>
  <si>
    <t>Extruded polystyrene Ultra (XPS Ultra)</t>
  </si>
  <si>
    <t>Walls</t>
  </si>
  <si>
    <t>Layer 3</t>
  </si>
  <si>
    <t>Mineral Wool Batts</t>
  </si>
  <si>
    <t>Walls, Attic, Floor</t>
  </si>
  <si>
    <t>Layer 4</t>
  </si>
  <si>
    <t>Fiberglass Batts</t>
  </si>
  <si>
    <t>Layer 5</t>
  </si>
  <si>
    <t>Low-Density Sprayed Polyurethane Foam; “½ pound foam” (e.g. Icynene)</t>
  </si>
  <si>
    <t>Layer 6</t>
  </si>
  <si>
    <t>High-Density Sprayed Polyurethane Foam; “2 pound foam” (e.g. Corbond)</t>
  </si>
  <si>
    <t>5.0-7.0</t>
  </si>
  <si>
    <t>Overall R-value</t>
  </si>
  <si>
    <t>Cellulose</t>
  </si>
  <si>
    <t>Polyisocyanurate (Polyiso)</t>
  </si>
  <si>
    <t xml:space="preserve">Walls, Roof </t>
  </si>
  <si>
    <t>Expanded Polystyrene (EPS)</t>
  </si>
  <si>
    <t>Walls, Roof</t>
  </si>
  <si>
    <t>PROPOSED
ERM</t>
  </si>
  <si>
    <t>A minimum of three (3) and as many as five (5) separate site visits are required for most multifamily high-rise buildings.</t>
  </si>
  <si>
    <t>1) Inspections of interior and cavity insulation must take place during construction:  at framing pre-insulation, post-insulation and pre-drywall, and post-completion.</t>
  </si>
  <si>
    <t>4) Floor Plans</t>
  </si>
  <si>
    <t>1) Each unique wall assembly shall be inspected.  (For example:  if the basement walls are constructed differently from the upper floors, both areas must be inspected independently; also, if insulation specifications are different for living areas vs. common areas or other special use areas, each different specification shall be inspected independently.)</t>
  </si>
  <si>
    <t xml:space="preserve">WHOLE WALL R-Value </t>
  </si>
  <si>
    <t>1) Inspections must take place during construction:  pre-insulation, post-insulation and pre-drywall or prior to roof finish, and post-completion.</t>
  </si>
  <si>
    <t>3) Relevant Wall and Roof Sections and Details</t>
  </si>
  <si>
    <t>4) Roof Plan</t>
  </si>
  <si>
    <t>1) Each unique roof assembly shall be inspected.  (For example:  if there are exposed roofs on lower levels, that are constructed differently from the upper floors, both areas must be inspected independently; also, if insulation specifications are different for living areas vs. common areas or other special use areas, each different specification shall be inspected independently.)</t>
  </si>
  <si>
    <t xml:space="preserve">3) To verify the predicted overall R-value, 100% of locations where roof insulation achieves the minimum thickness are to be inspected.  Insulation thickness at roof perimeters should be inspected at 1 location per 70 feet of roof perimeter. This should include, at a minimum, two instances where the roof insulation achieves its maximum thickness.  Each location inspected cannot be within 70 feet of each other along the roof perimeter.  </t>
  </si>
  <si>
    <t>4) Documentation of post-repair conditions is required for correction of problems that represent large surface areas (greater than 50 square feet) and/or systemic problems (e.g. all corner units are insulated improperly).  On-site inspection to verify corrections is preferable, but if this is not possible/practical due to construction schedules, photographic documentation of repairs submitted to the Energy Consultant by the GC are an acceptable alternative.</t>
  </si>
  <si>
    <t>ROOF ASSEMBLY</t>
  </si>
  <si>
    <t>3) Relevant Floor Plan Sections and Details</t>
  </si>
  <si>
    <t>1) Each unique floor assembly shall be inspected.  (For example:  if unique sections of the building are constructed differently, all distinct areas must be inspected independently; also, if insulation specifications are different for living areas vs. common areas or other special use areas, each different specification shall be inspected independently.)</t>
  </si>
  <si>
    <t>2) Sampling may be used to inspect floor assemblies that are consistent throughout large sections of the building.  At each stage of the inspection process, a minimum of 15% of total floor area must be inspected for each unique floor type.  If problems are found in the sample set, additional inspections must be conducted to determine the full extent of the problems and to ensure that repairs are completed in all areas of the building where they are needed.</t>
  </si>
  <si>
    <t xml:space="preserve">Floor Assembly </t>
  </si>
  <si>
    <t xml:space="preserve">Floor Over Unconditioned Space Assembly </t>
  </si>
  <si>
    <t xml:space="preserve">1) If the developer has elected, the initial sample installation shall be inspected upon completion.  If problems are identified with the sample installation, a return site visit may be necessary to verify that the problems were properly addressed and corrected before proceeding with the installation of windows building-wide.
</t>
  </si>
  <si>
    <t xml:space="preserve">2) All other window inspections will take place on an on-going basis during construction at the same time that other building envelope components are inspected to ensure specifications are being met throughout the construction process.
</t>
  </si>
  <si>
    <t>3) Window Schedule and Relevant Details</t>
  </si>
  <si>
    <t xml:space="preserve">2)  In addition, the sample set shall include, at a minimum, the inspection of all windows in a representative apartment from each apartment style or type. </t>
  </si>
  <si>
    <t>3)  If problems are identified, additional windows must be inspected to determine if problems are systemic.  Problems found will be reported to the GC for correction and re-inspection on an on-going basis throughout construction.</t>
  </si>
  <si>
    <t>MFR/MODEL</t>
  </si>
  <si>
    <t xml:space="preserve">CENTER OF GLASS U-VALUE </t>
  </si>
  <si>
    <t>ASSEMBLY U-VALUE</t>
  </si>
  <si>
    <t xml:space="preserve">SHGC </t>
  </si>
  <si>
    <t>1)  Final inspection may occur anytime following completion of installations .</t>
  </si>
  <si>
    <t>4) Door Manufacturer's Specifications</t>
  </si>
  <si>
    <t>5) As-built Door Schedule provided by the developer</t>
  </si>
  <si>
    <t>6) Smoke Pencil (Optional)</t>
  </si>
  <si>
    <t>1)  100% of entryways and designed vestibule areas shall be inspected.</t>
  </si>
  <si>
    <t>FLOOR / LOCATION</t>
  </si>
  <si>
    <t>U-VALUE</t>
  </si>
  <si>
    <t xml:space="preserve">ERM </t>
  </si>
  <si>
    <t xml:space="preserve">1) Inspect air sealing details at framing before insulation is installed.
</t>
  </si>
  <si>
    <t>2) Inspect insulation after installation and prior to enclosure with finish materials.</t>
  </si>
  <si>
    <t xml:space="preserve">3) Final inspection may occur anytime following completion of installations.
</t>
  </si>
  <si>
    <t>1) Relevant floor plans and wall sections</t>
  </si>
  <si>
    <t>1) Inspect 100% of the connections between the garage and the conditioned space of the building for air sealing.</t>
  </si>
  <si>
    <t>2) Inspect 100% of heating elements and controls.</t>
  </si>
  <si>
    <t>1) Mechanical Schedule, relevant floor plans and details</t>
  </si>
  <si>
    <t xml:space="preserve">1)  100% of centralized primary equipment (i.e. cooling plants) shall be inspected in the quality assurance and verification process.  </t>
  </si>
  <si>
    <t>-Take a photo of all primary equipment, should include a CLEAR photo of nameplate.</t>
  </si>
  <si>
    <t>INPUT (BTU/H)</t>
  </si>
  <si>
    <t>OUTPUT (BTU/H)</t>
  </si>
  <si>
    <t>HORSEPOWER (HP)
/Watts</t>
  </si>
  <si>
    <t>ENERGY STAR / NEMA PREMIUM</t>
  </si>
  <si>
    <t>1) Begin lighting inspections as early in the construction process as possible.  Verify manufacturer, model, ENERGY STAR qualification, and rated wattage upon delivery or when lighting installations commence or during construction if earlier access (before ceiling closure) is needed to check circuiting layouts (e.g. for day lighting control). This will allow time for corrections before all of the fixtures have been installed.</t>
  </si>
  <si>
    <t>2) If possible, ask to have a sample installation completed for verification and testing before the electrician proceeds with all installations.</t>
  </si>
  <si>
    <t>1) Lighting Schedule (with fixture type and lamp wattage)</t>
  </si>
  <si>
    <t>FIXTURE WATTAGE</t>
  </si>
  <si>
    <t xml:space="preserve">MANUFACTURER AND MODEL </t>
  </si>
  <si>
    <t>ESTAR</t>
  </si>
  <si>
    <t>24/7?</t>
  </si>
  <si>
    <t>FLOOR</t>
  </si>
  <si>
    <t>ROOM NAME</t>
  </si>
  <si>
    <t>FIXTURE CODE</t>
  </si>
  <si>
    <t>TOTAL INSTALLED WATTAGE</t>
  </si>
  <si>
    <t>TYPE OF CONTROL / RECOMMENDATIONS</t>
  </si>
  <si>
    <t>1) The developer or GC should ensure that deliveries are inspected prior to accepting them to verify that product substitutions by the distributor or manufacturer have not resulted in motors with lower efficiencies than those in the Proposed Design.</t>
  </si>
  <si>
    <t>2) Minimum of one on-site inspection required, preferably immediately after installation so that corrective action can be taken if necessary.  Delivery tickets may be used to verify complete shipments but on-site inspections of a sample of installed motors is required.</t>
  </si>
  <si>
    <t>3) Commissioning is conducted upon completion of the installation of the system.</t>
  </si>
  <si>
    <t>4) Training shall occur following installation of the system and completion of all quality assurance and verification procedures.</t>
  </si>
  <si>
    <t>1) Commissioning Report</t>
  </si>
  <si>
    <t>2) Mechanical Schedule and Floor Plans</t>
  </si>
  <si>
    <t>3) Camera</t>
  </si>
  <si>
    <t>*Many motors are NEMA labeled and this label alone, does not ensure that a motor is energy-efficient.  This requirement refers specifically to the NEMA Premium energy efficient motors program.  Product specifications for NEMA Premium Motors may be found at http://www.nema.org/stds/complimentary-docs/upload/MG1premium.pdf</t>
  </si>
  <si>
    <t>This process begins with the construction documentation.  A minimum of 3 site visits are recommended to properly inspect air sealing details:</t>
  </si>
  <si>
    <t>1) Window/Wall Mock Up Inspection (If applicable)</t>
  </si>
  <si>
    <t>2) Load-bearing wall and slab-edge/rim-joist inspection:  air/vapor/weather barrier prior to enclosure</t>
  </si>
  <si>
    <t>3) Pre-drywall visual inspection of penetrations</t>
  </si>
  <si>
    <t xml:space="preserve">
</t>
  </si>
  <si>
    <t>4) Relevant Wall and Window Sections and Details</t>
  </si>
  <si>
    <t>3)  For elements that provide central services to the building (i.e. entry doors, central duct chases, utility service penetrations, etc.) a minimum 50% sample shall be inspected.  For elements that are repeated throughout the building or occur in every living unit (i.e. windows, wall/floor connections, air conditioner sleeves, etc.) follow RESNET sampling protocol.  If problems are identified, additional units must be inspected to determine if the problems are systemic so an appropriate repair order can be issued.</t>
  </si>
  <si>
    <t>Provide one representative photographs of continuous air barrier at all types of typical joints, junctions, and general coverage areas to include the following at a minimum:</t>
  </si>
  <si>
    <t>Air Barrier Component</t>
  </si>
  <si>
    <t>General Coverage</t>
  </si>
  <si>
    <t>Through Wall Flashing</t>
  </si>
  <si>
    <t>Transition Membrane</t>
  </si>
  <si>
    <t>Primer (For Transition Membrane)</t>
  </si>
  <si>
    <t>Sealant for Seams and Air Barrier Penetrations</t>
  </si>
  <si>
    <t>Sealant for Gap Between Window Frame and Rough Opening</t>
  </si>
  <si>
    <t>Sealant for System for Expansion Gaps</t>
  </si>
  <si>
    <t>Interior General Coverage at Adjacent Building Conditions</t>
  </si>
  <si>
    <t>This process begins with the construction documentation.  Each common area and in-unit element on the air sealing checklist must be inspected during construction, prior to drywall, to ensure use of proper materials and complete seals exist for each juncture or penetration.  A minimum of 3-5 site visits are recommended to properly inspect air sealing details:</t>
  </si>
  <si>
    <t xml:space="preserve">1) Interior framing layout
</t>
  </si>
  <si>
    <t>2) Pre-drywall visual inspection of penetrations</t>
  </si>
  <si>
    <t xml:space="preserve">3) Sample apartment inspection and blower door test </t>
  </si>
  <si>
    <t>4) Post-correction testing of sample apartment</t>
  </si>
  <si>
    <t xml:space="preserve">5) Final inspection and testing of apartments post completion
</t>
  </si>
  <si>
    <t>3) Floor Plans and Relavant Details</t>
  </si>
  <si>
    <t>1)  For elements that provide central services to the building (i.e. entry doors, central duct chases, utility service penetrations, etc.) a minimum 50% sample shall be inspected.  For elements that are repeated throughout the building or occur in every living unit (i.e. windows, wall/floor connections, air conditioner sleeves, etc.) follow RESNET sampling protocol.  If problems are identified, additional units must be inspected to determine if the problems are systemic so an appropriate repair order can be issued.</t>
  </si>
  <si>
    <t>2) One sample apartment will be inspected and tested to ensure air sealing details are correct before building-wide installations continue.</t>
  </si>
  <si>
    <t>3) During construction, apartment units must be visually inspected prior to drywall and upon final completion following RESNET sampling protocol.  The sample set shall be representative of the variety of apartment types in the building, including:  end/corner units and inside units; top-floor, middle-floor, bottom-floor units; and at least one unit of each size/type (i.e., studios, 1-bed, 2-bed, etc.).</t>
  </si>
  <si>
    <t>Provide one representative photograph of continuous air barrier at all types of typical joints, junctions, and general coverage areas. Include the following at a minimum:</t>
  </si>
  <si>
    <t>3) Knife</t>
  </si>
  <si>
    <t>4) Screwdrivers (Hex, Phillips, Flat)</t>
  </si>
  <si>
    <t>5) Duct Mask</t>
  </si>
  <si>
    <t>6) Blue Painter's Tape</t>
  </si>
  <si>
    <t>7) Metal Tape</t>
  </si>
  <si>
    <t>8) Floor Plans</t>
  </si>
  <si>
    <t>9) Riser Diagrams</t>
  </si>
  <si>
    <t>10) Duct Blaster</t>
  </si>
  <si>
    <t>11) Manometer</t>
  </si>
  <si>
    <t>4) Post-construction, single point blower door testing of apartment units must be conducted following RESNET sampling protocol. The sample set shall require testing of at least 5 units and be representative of the variety of apartment types in the building, including: end/corner units and inside units; top-floor, middle-floor, bottom-floor units; and at least one unit of each size/type (i.e., studios, 1-bed, 2-bed, etc.).  Any apartment that exceeds the allowed leakage rate (1.75 ELA at 4 Pascals per 100 square feet of enclosure or 0.315 CFM50 per square foot of enclosure), must confirm that all items below have been properly sealed prior to retesting. Per RESNET Section 603.7.8, until the failure is corrected in all identified (failed) apartments in the sample set, none of the apartments shall be deemed to meet the threshold or labeling criteria.</t>
  </si>
  <si>
    <t>*1.75 square inches of leakage (ELA @ 4 Pascals) per 100 square feet of enclosure OR 0.315 CFM50/sqft of enclosure.  These limits are consistent with other energy efficiency, green, and IAQ related programs including LEED,  the American Lung Association’s Health House standard, and the Battery Park City Authority Green Building Guidelines.</t>
  </si>
  <si>
    <t>Apt #</t>
  </si>
  <si>
    <t># of Bedrooms</t>
  </si>
  <si>
    <t>Floor Area
(FA)</t>
  </si>
  <si>
    <t xml:space="preserve">Perimeter Wall Length
(PWL) </t>
  </si>
  <si>
    <t>Ceiling Height
(CH)</t>
  </si>
  <si>
    <t>Enclosure Area 
(2* FA) + (PWL*CH)</t>
  </si>
  <si>
    <t>CFM50</t>
  </si>
  <si>
    <t>CFM50 SF of Enclosure Area
(Criteria is &lt;=.315)</t>
  </si>
  <si>
    <t>ELA/100 SF of Enclosure Area @ 4 Pascals
(Criteria is &lt;=1.75)</t>
  </si>
  <si>
    <t>1) The developer or GC should ensure that deliveries are inspected prior to accepting them to verify that product substitutions by the distributor or manufacturer have not resulted in non-ENERGY STAR qualified exhaust fans for in-unit ventilation systems.</t>
  </si>
  <si>
    <t>2) Minimum of one on-site inspection required, preferably immediately after installation so that corrective action can be taken if necessary.  Delivery tickets may be used to verify complete shipments but on-site inspections of a sample of installed appliances is required.</t>
  </si>
  <si>
    <t>3) Flow measurements cannot be verified until the building envelope including interior partitions are completed.</t>
  </si>
  <si>
    <t>3) Screwdrivers (Hex, Phillips, Flat)</t>
  </si>
  <si>
    <t>4) Floor Plans (preferably with mechanicals)</t>
  </si>
  <si>
    <t>5) Roof Plans (preferably with mechanicals)</t>
  </si>
  <si>
    <t>6) Mechanical Schedule</t>
  </si>
  <si>
    <t>7) Cut Sheets from Contractor Submittals</t>
  </si>
  <si>
    <t>8) Pressure Pan</t>
  </si>
  <si>
    <t>9) Manometer</t>
  </si>
  <si>
    <t>10) Quantified CO release (if applicable)</t>
  </si>
  <si>
    <t>1) 100% of common area ventilation equipment must be inspected and verified for system performance.  System performance at the delivery location (register) can be sampled at every other floor.</t>
  </si>
  <si>
    <t>DESIGN CFM</t>
  </si>
  <si>
    <t>DESIGN PRESSURE (Pa)</t>
  </si>
  <si>
    <t>BRAKE HORSEPOWER (HP)</t>
  </si>
  <si>
    <t>MODELING INPUTS - SIZING &amp; BALANCING</t>
  </si>
  <si>
    <t>Fan/Shaft ID</t>
  </si>
  <si>
    <t>Total Design CFM</t>
  </si>
  <si>
    <t>Floor</t>
  </si>
  <si>
    <t>Bottom Floor Pressure (Pa)</t>
  </si>
  <si>
    <t>1)  Inspect and test duct systems for leakage upon installation and prior to enclosure with drywall.</t>
  </si>
  <si>
    <t>2) Ducts should be tested after takeoffs, bottom caps, and permanent roof curbs are on and sealed. Takeoffs are typically installed floor by floor.</t>
  </si>
  <si>
    <t>6) Foam Blocks (***If dry wall has started)</t>
  </si>
  <si>
    <t>8) Floor and Roof Plans (preferably with mechanicals)</t>
  </si>
  <si>
    <t>INSPECTION COMMENTS 
Problems, sample details/apt #s, etc.</t>
  </si>
  <si>
    <t>Fan ID / Apt #</t>
  </si>
  <si>
    <t>Grills Served</t>
  </si>
  <si>
    <t>Design CFM per grill</t>
  </si>
  <si>
    <t>CFM 50 leakage per grill</t>
  </si>
  <si>
    <t>% Leakage</t>
  </si>
  <si>
    <t># of Floors Served</t>
  </si>
  <si>
    <t>CFM50 Leakage from Linear Regression Assistant</t>
  </si>
  <si>
    <t>CFM50 Leakage/Flr</t>
  </si>
  <si>
    <t>Approximate Indoor Temp (F):</t>
  </si>
  <si>
    <t>Approximate Outdoor Temp (F):</t>
  </si>
  <si>
    <t>Baseline Pressure (Pa):</t>
  </si>
  <si>
    <t>Shaft Pressure</t>
  </si>
  <si>
    <t>Fan Pressure (Pa)</t>
  </si>
  <si>
    <t>Plate Position</t>
  </si>
  <si>
    <t>Flow Rate (cfm)</t>
  </si>
  <si>
    <t>Temp Corc Flo (cfm)</t>
  </si>
  <si>
    <t>Log (Duct Curb Press)</t>
  </si>
  <si>
    <t>Log (Flowrate)</t>
  </si>
  <si>
    <t>Slope:</t>
  </si>
  <si>
    <t>Intercept:</t>
  </si>
  <si>
    <t>C:</t>
  </si>
  <si>
    <t>n:</t>
  </si>
  <si>
    <t>R:</t>
  </si>
  <si>
    <t>From Regression:</t>
  </si>
  <si>
    <t>Pressurization</t>
  </si>
  <si>
    <t>Depressurization</t>
  </si>
  <si>
    <t>1) After piping and wiring are complete</t>
  </si>
  <si>
    <t>2) After installation, hook-up, and activation of meters for sub-metering tests</t>
  </si>
  <si>
    <t>2) Plans and Specifications</t>
  </si>
  <si>
    <t xml:space="preserve">2) Conduct sub-metering tests on apartments following modified RESNET sampling protocol. </t>
  </si>
  <si>
    <t>- Provide photographs of all types of meters (electrical, gas, water) for building.  Be sure to properly label location and type of meter represented.</t>
  </si>
  <si>
    <t>METER TYPE:</t>
  </si>
  <si>
    <t>Water</t>
  </si>
  <si>
    <t>Location</t>
  </si>
  <si>
    <t># of Meters</t>
  </si>
  <si>
    <t>2) The columns on the right serve as a quick visual aid to see which compents we're not verfied, red means not verified.</t>
  </si>
  <si>
    <t>3) Rows and columns can be hidden and adjusted to condense as much as possible before printing to send to members of the project team.</t>
  </si>
  <si>
    <t>Inspection Administration Column</t>
  </si>
  <si>
    <t>Does this element comply?</t>
  </si>
  <si>
    <t>Summary</t>
  </si>
  <si>
    <t>Below Grade Walls - Summary</t>
  </si>
  <si>
    <t>Below Grade Walls - Insulation and Initial Framing Inspection</t>
  </si>
  <si>
    <t>Above Grade Walls - Summary</t>
  </si>
  <si>
    <t>Above Grade Walls - Insulation and Initial Framing Inspection</t>
  </si>
  <si>
    <t>Roof - Summary</t>
  </si>
  <si>
    <t>Floors - Summary</t>
  </si>
  <si>
    <t>Floor Insulation Above Unconditioned Space - Insulation and Initial Framing Inspection</t>
  </si>
  <si>
    <t>Windows - Summary</t>
  </si>
  <si>
    <t>Windows - Manufacturer's Product Data</t>
  </si>
  <si>
    <t>Exterior Doors - Summary</t>
  </si>
  <si>
    <t>Booster Pump Set points</t>
  </si>
  <si>
    <t>Exterior Air Barrier - Summary</t>
  </si>
  <si>
    <t>Compartmentalization Vis Inspection - Summary</t>
  </si>
  <si>
    <t>Blower Door Test - Summary</t>
  </si>
  <si>
    <t>Ventilation - Manufacturer's Product Data</t>
  </si>
  <si>
    <t>Duct Tightness - Summary</t>
  </si>
  <si>
    <t>Duct Leakage Testing - Central Exhaust Systems</t>
  </si>
  <si>
    <t xml:space="preserve">= Fill data in this cell after site Inspection </t>
  </si>
  <si>
    <t xml:space="preserve">= Information in this cell is fed to other spreadsheets </t>
  </si>
  <si>
    <t>= Introductory tabs</t>
  </si>
  <si>
    <t>= Worksheets for inspections typically done Pre-Drywall/During Drywall</t>
  </si>
  <si>
    <t>= Worksheets for inspections typically done during Finishes</t>
  </si>
  <si>
    <t>= Worksheets for inspections typically done at Construction Completion</t>
  </si>
  <si>
    <r>
      <rPr>
        <b/>
        <i/>
        <sz val="11"/>
        <color indexed="8"/>
        <rFont val="Calibri"/>
        <family val="2"/>
      </rPr>
      <t>T&amp;V Worksheets</t>
    </r>
    <r>
      <rPr>
        <b/>
        <sz val="11"/>
        <color indexed="8"/>
        <rFont val="Calibri"/>
        <family val="2"/>
      </rPr>
      <t xml:space="preserve"> - Overview</t>
    </r>
  </si>
  <si>
    <r>
      <t xml:space="preserve">Each </t>
    </r>
    <r>
      <rPr>
        <i/>
        <sz val="10"/>
        <rFont val="Arial"/>
        <family val="2"/>
      </rPr>
      <t xml:space="preserve">T&amp;V Worksheet </t>
    </r>
    <r>
      <rPr>
        <sz val="10"/>
        <rFont val="Arial"/>
        <family val="2"/>
      </rPr>
      <t>is formatted similarly to easily locate the sections used at different stages throughout the project.  The header contains the name of the project, building component being reviewed/inspected and a box to enter the date inspections occur and who conducted them.</t>
    </r>
  </si>
  <si>
    <r>
      <t xml:space="preserve">Each </t>
    </r>
    <r>
      <rPr>
        <i/>
        <sz val="10"/>
        <rFont val="Arial"/>
        <family val="2"/>
      </rPr>
      <t>T&amp;V Worksheet</t>
    </r>
    <r>
      <rPr>
        <sz val="10"/>
        <rFont val="Arial"/>
        <family val="2"/>
      </rPr>
      <t xml:space="preserve"> also contains sections titled "Schedule", "Equipment Needed" and "Sampling Requirements".  The "Schedule" section gives recommendations about the appropriate time to begin inspecting that particular component and sometimes suggests the minimum number of inspections.  "Sampling Requirements" outlines appropriate sampling rates, minimum sample set requirements and mandatory photographs to be included as documentation.</t>
    </r>
  </si>
  <si>
    <r>
      <t xml:space="preserve">Some </t>
    </r>
    <r>
      <rPr>
        <i/>
        <sz val="10"/>
        <rFont val="Arial"/>
        <family val="2"/>
      </rPr>
      <t>T&amp;V Worksheets</t>
    </r>
    <r>
      <rPr>
        <sz val="10"/>
        <rFont val="Arial"/>
        <family val="2"/>
      </rPr>
      <t xml:space="preserve"> have schedules for building HVAC equipment or envelope assemblies for easier tracking of characteristics specific to that type of component.  This rows have been left unlocked so they can be copied for various assemblies, or rows can be inserted for additional equipment.</t>
    </r>
  </si>
  <si>
    <t>a)  Yes - Verified</t>
  </si>
  <si>
    <t>b)  No - Not Verified</t>
  </si>
  <si>
    <t>c)  N/A - Not Applicable</t>
  </si>
  <si>
    <r>
      <t xml:space="preserve">After the plan review or inspection has been completed the </t>
    </r>
    <r>
      <rPr>
        <i/>
        <sz val="10"/>
        <rFont val="Arial"/>
        <family val="2"/>
      </rPr>
      <t>T&amp;V Worksheets</t>
    </r>
    <r>
      <rPr>
        <sz val="10"/>
        <rFont val="Arial"/>
        <family val="2"/>
      </rPr>
      <t xml:space="preserve"> or sections of the 'Overview' tab can be printed and used as deliverables to provide feedback to the project team.</t>
    </r>
  </si>
  <si>
    <t>There are three main types of tabs used in this spreadsheet for entering information during design, post inspection and supplying deliverable to clients.
- ERMS used to identify reduction measures and modeling inputs
- Individual worksheets used to provide feedback on construction documents and on site inspections
- Master is an overview of all information provided by the Energy Consultant and can be used as a deliverable to project teams.</t>
  </si>
  <si>
    <t>maybe delete this line</t>
  </si>
  <si>
    <t>At __% CDs a plan review is done by completing al the worksheets</t>
  </si>
  <si>
    <t>save a copy as __</t>
  </si>
  <si>
    <t>at 100% CDs ___</t>
  </si>
  <si>
    <t>Photographs</t>
  </si>
  <si>
    <t>each tab has a summary comment line which can be used to describe all feedback regarding modeling or other pertinent (maybe not the right word) information</t>
  </si>
  <si>
    <t>each tab has a notes and specifications section, hove over to see full notes and insert in the plan review box as needed</t>
  </si>
  <si>
    <t>The following lists outline when the particular building components should typically be inspected during the construction schedule, equipment needed in the field as well as sampling requirements to satisfactorily confirm compliance.</t>
  </si>
  <si>
    <t>Proposed Component</t>
  </si>
  <si>
    <t>Prepared by:</t>
  </si>
  <si>
    <t>AS BUILT REVIEW</t>
  </si>
  <si>
    <t>Table of Contents for T&amp;V Worksheets</t>
  </si>
  <si>
    <r>
      <t xml:space="preserve">ENERGY STAR
</t>
    </r>
    <r>
      <rPr>
        <sz val="9"/>
        <rFont val="Calibri"/>
        <family val="2"/>
        <scheme val="minor"/>
      </rPr>
      <t>(Yes/No)</t>
    </r>
  </si>
  <si>
    <r>
      <t xml:space="preserve">LOCATION
</t>
    </r>
    <r>
      <rPr>
        <sz val="9"/>
        <rFont val="Calibri"/>
        <family val="2"/>
        <scheme val="minor"/>
      </rPr>
      <t>(dwg/spec)</t>
    </r>
  </si>
  <si>
    <r>
      <t xml:space="preserve">INSPECTION COMMENTS 
</t>
    </r>
    <r>
      <rPr>
        <sz val="9"/>
        <rFont val="Calibri"/>
        <family val="2"/>
        <scheme val="minor"/>
      </rPr>
      <t>(Problems, sample details/apt #s, etc.)</t>
    </r>
  </si>
  <si>
    <r>
      <rPr>
        <b/>
        <sz val="9"/>
        <rFont val="Calibri"/>
        <family val="2"/>
        <scheme val="minor"/>
      </rPr>
      <t xml:space="preserve">Stoves
</t>
    </r>
    <r>
      <rPr>
        <sz val="9"/>
        <rFont val="Calibri"/>
        <family val="2"/>
        <scheme val="minor"/>
      </rPr>
      <t>• Electric or Gas</t>
    </r>
  </si>
  <si>
    <r>
      <rPr>
        <b/>
        <sz val="9"/>
        <rFont val="Calibri"/>
        <family val="2"/>
        <scheme val="minor"/>
      </rPr>
      <t xml:space="preserve">Dryers
</t>
    </r>
    <r>
      <rPr>
        <sz val="9"/>
        <rFont val="Calibri"/>
        <family val="2"/>
        <scheme val="minor"/>
      </rPr>
      <t>• Electric or Gas</t>
    </r>
  </si>
  <si>
    <t>Appliances - Protocol 1.1</t>
  </si>
  <si>
    <t>1) For spaces containing appliances, follow the modified RESNET sampling protocol outlined in the How to Use this Manual section of the Testing and Verification Protocols.</t>
  </si>
  <si>
    <r>
      <rPr>
        <b/>
        <sz val="9"/>
        <rFont val="Calibri"/>
        <family val="2"/>
        <scheme val="minor"/>
      </rPr>
      <t>General</t>
    </r>
    <r>
      <rPr>
        <sz val="9"/>
        <rFont val="Calibri"/>
        <family val="2"/>
        <scheme val="minor"/>
      </rPr>
      <t xml:space="preserve">
• All refrigerators, dishwashers and clothes washers are consistent with the project specifications and Proposed Design model or meet or exceed the requirements listed in the Prescriptive Path.</t>
    </r>
  </si>
  <si>
    <r>
      <rPr>
        <b/>
        <sz val="9"/>
        <rFont val="Calibri"/>
        <family val="2"/>
        <scheme val="minor"/>
      </rPr>
      <t xml:space="preserve">Statement of Substantial Completion
</t>
    </r>
    <r>
      <rPr>
        <sz val="9"/>
        <rFont val="Calibri"/>
        <family val="2"/>
        <scheme val="minor"/>
      </rPr>
      <t>•</t>
    </r>
    <r>
      <rPr>
        <b/>
        <sz val="9"/>
        <rFont val="Calibri"/>
        <family val="2"/>
        <scheme val="minor"/>
      </rPr>
      <t xml:space="preserve"> </t>
    </r>
    <r>
      <rPr>
        <sz val="9"/>
        <rFont val="Calibri"/>
        <family val="2"/>
        <scheme val="minor"/>
      </rPr>
      <t>A Statement of Substantial Completion or approved proxy may be submitted to establish completion of the work associated with this protocol. A Statement of Substantial Completion is to be completed by the installation contractor or other qualified representative on company letter head and attached to all relevant T&amp;V Worksheets complete with all required information, photographs, cut sheets, etc.</t>
    </r>
  </si>
  <si>
    <t>Equipment and Documentation Needed</t>
  </si>
  <si>
    <t>Notes to be Included in Drawings and Specifications</t>
  </si>
  <si>
    <t>• Require appliances are ENERGY STAR qualified.</t>
  </si>
  <si>
    <t>• Include a schedule with location and quantity.</t>
  </si>
  <si>
    <t>Date</t>
  </si>
  <si>
    <t>Field Verified By</t>
  </si>
  <si>
    <t>HVAC - Heating and DHW Systems - PROTOCOL 2.1, 2.2, 5.1, 5.3</t>
  </si>
  <si>
    <t>4) The developer or GC should ensure that deliveries are inspected prior to accepting them to verify that product substitutions by the distributor or manufacturer have not resulted in plumbing fixtures with higher flow rates than those in the Proposed Design or required by the Prescriptive Path.</t>
  </si>
  <si>
    <t xml:space="preserve">2)  Individual spaces or apartments containing electric or fossil-fuel heating and/or DHW systems shall be inspected and tested following the modified RESNET sampling protocol outlined in the How to Use this Manual section on page 10 of the T&amp;V Protocols, including at least one of each unique type. </t>
  </si>
  <si>
    <t xml:space="preserve">3)  Spaces containing terminal devices (fan coils, PTHPS, unit heaters, VAV boxes) must be inspected following the modified RESNET sampling protocol outlined in the How to Use this Manual section on page 10 of the T&amp;V Protocols, including at least one of each unique type. </t>
  </si>
  <si>
    <t>INPUT (BTU/H)
(kW)</t>
  </si>
  <si>
    <t>OUTPUT (BTU/H)
(kW)</t>
  </si>
  <si>
    <t>If following the Prescriptive Path, electric resistance heating is not permitted in any space.</t>
  </si>
  <si>
    <t>General
• All heating systems are consistent with the project specifications and Proposed Design model or meet or exceed the requirements listed in the Prescriptive Path.</t>
  </si>
  <si>
    <t>Space Heating - Type &amp; Efficiency
• If following the Prescriptive Path,based on the climate zone, the specified heating equipment must meet the Prescriptive requirements for efficiency.</t>
  </si>
  <si>
    <t xml:space="preserve">Heating Terminal Units - Electric Resistance or Freeze Protection
• Avoidable electric resistance heating should not be specified in apartments or common areas (top of stairwells, vestibules and other common areas).
• Supplemental heating systems should not be specified for pipe freeze protection in unconditioned spaces. If specified, their energy consumption must be modeled.
</t>
  </si>
  <si>
    <t>Space Heating - Sizing
• Sizing calculations meeting the standards set forth in the Air-Conditioning Contractors Association (ACCA) Manual J and S, the ASHRAE Handbook of Fundamentals, or equivalent procedure shall be detailed and provided by the design engineer to the Energy Consultant.  For condensing boilers, plans must specify return water temperature at design conditions.</t>
  </si>
  <si>
    <t>Space Heating - Controls
• System controls and settings shall match operating assumptions made in the Proposed Design model. At a minimum, controls for central heating systems shall have the capability for outdoor reset of supply water temperature, warm weather shut down and night setback. Individual apartment heating system controls shall have the capability for night setback, which may be provided via a programmable thermostat.
• Verify outdoor temperature sensor is functioning properly.
• Verify supply temperature is set correctly and sensor is functioning properly.</t>
  </si>
  <si>
    <t>DHW - Storage Insulation
• Ensure storage tanks for central DHW systems are insulated per code.</t>
  </si>
  <si>
    <t>DHW - Low Flow fixtures
• Plumbing fixture flow rates for all showerheads, bath aerators and kitchen aerators have been specified to match assumptions made in the Proposed Design model.   If following the requirements listed in the Prescriptive Path, in-unit lavatory faucets must not exceed 1.0 GPM, shower stalls  must not exceed 1.75 GPM.
• A schedule showing plumbing fixtures with GPM, location and quantity has been included in the construction documents.</t>
  </si>
  <si>
    <t>Space Heating / DHW Central Plant - Boiler room location and venting
• Boiler room location (i.e. cellar or roof), 
• Combustion air venting configuration (i.e. combustion air piped  to boilers or boiler room air used for combustion)
Venting Configuration:  (if required, inducer fan specified and sequence of operation verified)</t>
  </si>
  <si>
    <t>Heating Distribution - Piping Configuration
• Specifications for distribution system (supply and return) piping configuration, mixing valves, and zoning shall match assumptions made in Proposed Design model or meet or exceed the requirements listed in the Prescriptive Path.
• All supply/return headers must be designed in a “reverse return” configuration (i.e. first riser supplied is the last returned, etc.) and/or sized based on a water velocity of less than 4 ft/s.  Total pressure drop of terminal unit branch piping and fittings between a supply and return riser must be significantly greater than the total pressure drop from the top to the bottom of these risers.</t>
  </si>
  <si>
    <t>Heating Distribution - Pump Sizing
• Size circulating pumps to meet Chapter 43 of the ASHRAE Handbook.</t>
  </si>
  <si>
    <t>Heating Distribution - Pressure Control Set-points
• Although not required, EPA recommends adding a Note requiring heating circulator pressure controls to be adjusted to ensure that: (1) at terminal units furthest from the pump, sufficient GPM is achieved and (2) at terminal units closest to the pump, differential pressure across terminal unit zone valves when closed does not exceed valve manufacturer guidelines.</t>
  </si>
  <si>
    <t>Heating Terminal Units - Thermostatic Controls
• All terminal heating distribution equipment must be separated from the riser or distribution loop by a control valve or terminal distribution pump, so that heated fluid is not delivered to the apartment distribution equipment when there is no call from the apartment thermostats.</t>
  </si>
  <si>
    <t>Heating Distribution - Flex Duct Installation
• Heating ductwork that is specified as flex duct shall follow the Sheet Metal and Air Conditioning Contractors’ (SMACNA) installation standards for flex ducts (see Appendix A of Performance Path or Prescriptive Path).  This criteria also applies to heat pump units.</t>
  </si>
  <si>
    <t xml:space="preserve">Heating Distribution - Duct Sealing Details
• Call out a preliminary list of duct sealing details to be integrated into the construction documents and inspected must include the following at a minimum.  This criteria also applies to heat pump units:
a  Roof curb penetration has been sealed  
b. Mastic or other UL-181 compliant material has been applied within temperature range and according to all other manufacturer's requirements at ALL transverse joints and take offs.
c. All duct transitional junctions have been sealed with mastic or other UL-181 compliant material.
d. Gap between take off duct and gypsum board has been effectively sealed.
</t>
  </si>
  <si>
    <t>Heating System - Combustion Venting
• Visual inspection of combustion venting system to verify conformance with Proposed Design model, the requirements listed in the Prescriptive Path, and appropriate National Fire Protection Association (NFPA)  standards.  This criteria also applies to heat pump units.
• For gas systems reference NFPA 54 (National Fuel Gas Code).  For oil systems reference NFPA 31.</t>
  </si>
  <si>
    <t xml:space="preserve">Heating Distribution - In-Unit Duct Sizing
• For in-unit forced air distribution systems, perform design calculations (using ACCA Manuals J and D, the ASHRAE Handbook of Fundamentals, or an equivalent procedure) and install ducts accordingly. </t>
  </si>
  <si>
    <t>Heating Distribution - HVAC Contractor Checklist
• Inspection procedures shall include the quality assurance and verification requirements outlined in Version 3.0 of the ENERGY STAR Qualified Homes HVAC System Quality Installation Contractor Checklist, where applicable to forced air heating systems.  This criteria also applies to heat pump units.</t>
  </si>
  <si>
    <t>Heating System - True Flow Pressure Plate
• Test for proper airflow over the heat exchanger by measuring the heat rise at steady state to verify compliance with the manufacturer’s specification.  This criteria also applies to heat pump units.</t>
  </si>
  <si>
    <t>Heating Distribution - Thermostat
• Terminal heating distribution equipment serving an apartment shall be controlled by a thermostat(s) within the same apartment.</t>
  </si>
  <si>
    <t>Space Heating and DHW - Training and Manuals
• Summarize the training performed and personnel involved.  Confirm that all applicable operating and specification manuals are delivered to the building staff.  Verify that staff members have been trained and are aware of their responsibilities to maintain and operate the systems properly.</t>
  </si>
  <si>
    <t>Space Heating and DHW - Manuafacturer's Product Data
• Provide manufacturer’s cut sheets or invoice detailing system manufacturer, model, size, and location (including all space heating systems, e.g. vestibule).</t>
  </si>
  <si>
    <t>Statement of Substantial Completion - HVAC
• A Statement of Substantial Completion or approved proxy may be submitted to establish completion of the work associated with this protocol. For HVAC protocols a Statement of Substantial Completion must be completed by a third party qualified representative on company letter head and attached to all relevant T&amp;V Worksheets complete with all required information, photographs, cut sheets, etc.</t>
  </si>
  <si>
    <t xml:space="preserve">Duct Leakage Summary: This section can be duplicated, copy and insert rows </t>
  </si>
  <si>
    <r>
      <t>Space Heating - Design Temperatures
• Plans must specify supply and return water temperature at design conditions.  
• Verify installation of temperature gauges and temperature readings during inspection</t>
    </r>
    <r>
      <rPr>
        <sz val="9"/>
        <color indexed="10"/>
        <rFont val="Calibri"/>
        <family val="2"/>
        <scheme val="minor"/>
      </rPr>
      <t>.</t>
    </r>
  </si>
  <si>
    <t>-Take photo of each type of plumbing fixture being inspected CLEARLY indicating the flowrate.</t>
  </si>
  <si>
    <t>-Take photo of all primary equipment, should include a CLEAR photo of nameplate.</t>
  </si>
  <si>
    <t xml:space="preserve">3) Training shall occur following installation of the system and completion of all quality assurance and verification procedures.  </t>
  </si>
  <si>
    <r>
      <t xml:space="preserve">INSPECTION COMMENTS 
</t>
    </r>
    <r>
      <rPr>
        <sz val="9"/>
        <rFont val="Calibri"/>
        <family val="2"/>
        <scheme val="minor"/>
      </rPr>
      <t>Problems, sample details/apt #s, etc.</t>
    </r>
  </si>
  <si>
    <t>MINIMUM PERFORMANCE STANDARDS</t>
  </si>
  <si>
    <t xml:space="preserve">DHW - Type &amp; Efficiency
• Provide Proposed DHW system type, efficiency, capacity, fuel; include number, efficiency and HP of pumps, and whether VFD is specified in the MOTOR section below.
If following the Prescriptive Path, these requirements must be met.
Water Heater Efficiency
      •  In-Unit Electric OR Gas Water Heaters (storage or instantaneous)
         - Gas (EF): 0.69-(0.002 x Tank Gallon Capacity)
         - Electric (EF): 0.97-(0.001 x Tank Gallon Capacity)
      •  Hot Water Supply Boiler (Oil or Gas): 85% Et
</t>
  </si>
  <si>
    <t>1) The testing &amp; verification procedures occur during the pre-construction, construction, &amp; post-construction phases of system installation.  Refer to the appropriate standards (BPI, NFPA) to determine exact timing of inspections.</t>
  </si>
  <si>
    <t>1) Each unique assembly shall be inspected.  (For example:  if unique sections of the building are constructed differently, all distinct areas must be inspected independently; also, if insulation specifications are different for living areas vs. common areas or other special use areas, each different specification shall be inspected independently.)</t>
  </si>
  <si>
    <t>2) Sampling may be used to inspect assemblies that are consistent throughout large sections of the building.  At each stage of the inspection process, a minimum of 15% of total wall area must be inspected for each unique wall type.  If problems are found in the sample set, additional inspections must be conducted to determine the full extent of the problems and to ensure that repairs are completed in all areas of the building where they are needed.</t>
  </si>
  <si>
    <t>WALL TYPE:  This section can be duplicated, copy and insert rows</t>
  </si>
  <si>
    <t>DESCRIPTION
(Type/Thickness)</t>
  </si>
  <si>
    <t>INSPECTION COMMENTS 
(Problems, sample details/apt #s, etc.)</t>
  </si>
  <si>
    <t>General
• Assembly is consistent with the project specifications and Proposed Design model or meet or exceed the requirements listed in the Prescriptive Path.</t>
  </si>
  <si>
    <t>Wood-Framed Construction
• For wood-framed construction, Version 3.0 of the ENERGY STAR Qualified Homes Thermal Enclosure System Rater Checklist must be followed in addition to all applicable T&amp;V Protocols.</t>
  </si>
  <si>
    <t>Final Inspection
• Verify proper enclosure of insulated cavities through visual inspection.</t>
  </si>
  <si>
    <t xml:space="preserve">*Estimated R-values for insulation that is improperly installed must be derated using the standards and procedures described in the Mortgage Industry’s National Home Energy Rating Systems, Section 303.4.1.4.2 and Appendix A, “On-Site Inspection Procedures for Minimum Rated Features”.
</t>
  </si>
  <si>
    <t>Envelope - Below Grade Walls - PROTOCOL 3.1</t>
  </si>
  <si>
    <t>Schedule</t>
  </si>
  <si>
    <t>Sampling Requirements</t>
  </si>
  <si>
    <r>
      <t xml:space="preserve">4) </t>
    </r>
    <r>
      <rPr>
        <b/>
        <sz val="9"/>
        <rFont val="Calibri"/>
        <family val="2"/>
        <scheme val="minor"/>
      </rPr>
      <t>*PHOTOS REQUIRED*</t>
    </r>
  </si>
  <si>
    <t>Envelope - Above Grade Walls - PROTOCOL 3.1</t>
  </si>
  <si>
    <t xml:space="preserve">PLANK EDGE ASSEMBLY
</t>
  </si>
  <si>
    <t>2) Sampling may be used to inspect wall assemblies that are consistent throughout large sections of the building.  Inspections done from the exterior should sample at least 15% of each wall area.  For inspections done from interior spaces, follow the modified RESNET sampling protocol outlined in the How to Use this Manual section on page 10 of the T&amp;V Protocols, for each unique wall type.  In addition, the sample set must include, at a minimum, all unique assemblies.  If problems are found in the sample set, additional inspections must be conducted to determine the full extent of the problems and to ensure that repairs are completed in all areas of the building where they are needed.</t>
  </si>
  <si>
    <t>WALL TYPE This section can be duplicated, copy and insert rows</t>
  </si>
  <si>
    <t>DESCRIPTION 
(Type / Thickness)</t>
  </si>
  <si>
    <t xml:space="preserve">WALL ASSEMBLY  1
Name: 
Location:  
</t>
  </si>
  <si>
    <t xml:space="preserve">WALL ASSEMBLY  2
Name: 
Location: 
</t>
  </si>
  <si>
    <t>Equipment and Documents Needed</t>
  </si>
  <si>
    <t>2) Sampling may be used to inspect roof assemblies that are consistent throughout large sections of the building.  Inspections done from the exterior should sample at least 15% of each roof area.  For inspections done from interior spaces, follow the modified RESNET sampling protocol outlined in the How to Use this Manual section on page 10 of the T&amp;V Protocols, for each unique roof type.  In addition, the sample set must include, at a minimum, all unique assemblies.  If problems are found in the sample set, additional inspections must be conducted to determine the full extent of the problems and to ensure that repairs are completed in all areas of the building where they are needed.</t>
  </si>
  <si>
    <t>PITCH (Pitched Plank, Built Up Roof)</t>
  </si>
  <si>
    <t>ROOF TYPE:  This section can be duplicated, copy and insert rows
(assembly name or number)</t>
  </si>
  <si>
    <t>DESCRIPTION 
(Type and Thickness)</t>
  </si>
  <si>
    <t>Roof - Insulation and Initial Framing Inspection
• Verify insulation type, thickness, location, coverage, and installation.  Improperly installed insulation must be derated*.
• Verify roof assembly is compliant with the proposed design model or requirements of the Prescriptive Path, including framing factor assumptions .  The effective R-value of the installed insulation shall be used in the Proposed Design model (from exterior finish to interior finish).
• Verify location and continuity of air and vapor barriers (if specified).
• Protection from air and moisture intrusion of interior and cavity insulation will also be verified.</t>
  </si>
  <si>
    <t>Envelope - Roof - PROTOCOL 3.2</t>
  </si>
  <si>
    <r>
      <t xml:space="preserve">5) </t>
    </r>
    <r>
      <rPr>
        <b/>
        <sz val="9"/>
        <rFont val="Calibri"/>
        <family val="2"/>
        <scheme val="minor"/>
      </rPr>
      <t>*PHOTOS REQUIRED*</t>
    </r>
  </si>
  <si>
    <t xml:space="preserve">FLOOR TYPE: This section can be duplicated, copy and insert rows </t>
  </si>
  <si>
    <t>Floor Insulation Above Unconditioned Space - Insulation and Initial Framing Inspection
• Verify insulation type, thickness, location, coverage, and installation.  Improperly installed insulation must be derated*.
• Verify floor assembly is compliant with the proposed design model or requirements of the Prescriptive Path, including framing factor assumptions .  The effective R-value of the installed insulation shall be used in the Proposed Design model (from exterior finish to interior finish).
• Verify location and continuity of air and vapor barriers (if specified).
• Protection from air and moisture intrusion of interior and cavity insulation will also be verified.</t>
  </si>
  <si>
    <t>Below Grade Slab Floor- Insulation Inspection
• Verify insulation type, thickness, location, coverage, and installation.  Improperly installed insulation must be derated*.
• Verify wall assembly is compliant with the proposed design model or requirements of the Prescriptive Path.  The effective R-value of the installed insulation shall be used in the Proposed Design model (from exterior finish to interior finish).
• Verify location and continuity of air and vapor barriers (if specified).</t>
  </si>
  <si>
    <t>Slab-on-Grade (unheated) - Insulation Inspection
• Verify insulation type, thickness, location, coverage, and installation.  Improperly installed insulation must be derated*.
• Verify wall assembly is compliant with the proposed design model or requirements of the Prescriptive Path.  The effective R-value of the installed insulation shall be used in the Proposed Design model (from exterior finish to interior finish).
• Verify location and continuity of air and vapor barriers (if specified).</t>
  </si>
  <si>
    <t>Slab-on-Grade (embedded heated only) - Insulation Inspection
• Verify insulation type, thickness, location, coverage, and installation.  Improperly installed insulation must be derated*.
• Verify wall assembly is compliant with the proposed design model or requirements of the Prescriptive Path.  The effective R-value of the installed insulation shall be used in the Proposed Design model (from exterior finish to interior finish).
• Verify location and continuity of air and vapor barriers (if specified).</t>
  </si>
  <si>
    <t>Envelope - Floors above Unconditioned Space - PROTOCOL 3.3</t>
  </si>
  <si>
    <t>5) Minimum of one on-site inspection required, preferably immediately after installation so that corrective action can be taken if necessary.   Delivery tickets may be used to verify complete shipments but on-site inspections of a sample of installed plumbing fixtures is required.</t>
  </si>
  <si>
    <t>- Photo showing continuous insulation around sample corner and other challenging details</t>
  </si>
  <si>
    <t>- Photo of pre-insulation showing application of water/vapor/air barrier</t>
  </si>
  <si>
    <t>- Photo clearly identifying type of insulation to be installed and thickness using measuring tape or ruler (can do each individual piece of insulation or entire assembly)</t>
  </si>
  <si>
    <t>- Photo of post-installation</t>
  </si>
  <si>
    <t>- Photo of pre-installation to verify framing construction</t>
  </si>
  <si>
    <t>- Photo of post insulation indicating proper installation</t>
  </si>
  <si>
    <t>- Photo of completion showing proper drywall installation</t>
  </si>
  <si>
    <t>- Photo of Plank/Slab Edge and Rim Joist Insulation between ceiling/floor levels before cladding is installed</t>
  </si>
  <si>
    <t>• Cavity insulation must be in contact with the interior wall surface (i.e. drywall) and completely fill the interior wall cavity.</t>
  </si>
  <si>
    <t xml:space="preserve">• Batt insulation must be installed properly using splices to surround wires, electrical outlet/switch/junction boxes, pipes, and other obstructions within the insulated cavity. </t>
  </si>
  <si>
    <t>• Insulation that is intended to be continuous (interior or exterior) must be installed without breaks and at full thickness at all locations.</t>
  </si>
  <si>
    <t xml:space="preserve">• Interior and cavity insulation must be protected from air intrusion, moisture intrusion, and free of voids, gaps, and compression.  
</t>
  </si>
  <si>
    <t>• Vapor impermeable air barriers for general coverage should only be specified on the warm side of insulation (i.e. interior side of insulation in predominately heating dominated climates). Vapor permeable air barriers should be specified in other cases.</t>
  </si>
  <si>
    <t xml:space="preserve">• Interior and cavity insulation must be protected from air intrusion, moisture intrusion, and free of voids, gaps, and compression.  
</t>
  </si>
  <si>
    <t>- Post insulation photo (pre-drywall for cavity insulation, prior to roof finish for exterior rigid insulation) showing complete and even distribution of insulation</t>
  </si>
  <si>
    <t>- Photo of proper enclosure of insulated cavities (if applicable)</t>
  </si>
  <si>
    <t>• Sprinkler systems to be designed to not interfere with the performance of thermal and air barriers</t>
  </si>
  <si>
    <t>• For built up insulation on flat roofs, minimum and average R-value for roof surfaces must be specified.  Specifications must require contractor to submit roof insulation software calculator results (e.g. ‘Taper Plus” or equivalent) which will be used to verify effective R-value.</t>
  </si>
  <si>
    <t xml:space="preserve">• Interior and cavity insulation must be protected from air intrusion, moisture intrusion, and free of voids, gaps, and compression.  </t>
  </si>
  <si>
    <t>- Photo showing continuous insulation around sample corner and/or trouble area</t>
  </si>
  <si>
    <t>- Sub Slab insulation – Photo of insulation before pouring of concrete or backfill of foundation</t>
  </si>
  <si>
    <t>- If moisture or insect protection is required, photo of proper installation is required</t>
  </si>
  <si>
    <t xml:space="preserve">- Photo clearly identifying type of insulation to be installed and thickness using measuring tape or ruler (can do each individual piece of insulation or entire assembly)
</t>
  </si>
  <si>
    <t xml:space="preserve">
- Framed floors – Photo of post-insulation to show proper installation showing no signs of compromised R-Value</t>
  </si>
  <si>
    <t>• If specified, rim joists between ceiling/floor levels must be insulated around the entire perimeter, and necessity of shelf angles should be evaluated by structural engineer.</t>
  </si>
  <si>
    <t>1)  For spaces containing windows, follow the modified RESNET sampling protocol outlined in the How to Use this Manual section on page 10 of the T&amp;V Protocols, which shall include, at a minimum, one of each different type of window installation based on different window types (fixed, double hung, etc.) and different energy performance specifications (e.g. if low e glass is specified on part of the building but not all of it).</t>
  </si>
  <si>
    <t>WINDOW TYPE
(Double hung, awning, casement, fixed)</t>
  </si>
  <si>
    <t>WINDOW FRAME 
(Alum, Fiberglass)</t>
  </si>
  <si>
    <t>GAS FILL
(Air / Argon)</t>
  </si>
  <si>
    <t>LOW-E
(Yes/No)</t>
  </si>
  <si>
    <t>ENERGY STAR
(Yes/No)</t>
  </si>
  <si>
    <t>INSPECTION COMMENTS
(Window has proper orientation, fit, and is easily opened)</t>
  </si>
  <si>
    <t>General
• Assembly is consistent with the project specifications and Proposed Design model
• If following the Prescriptive Path confirm assembly U-values and SHGC for the climate zone are met.  Maximum Window to Wall ratio: 30%</t>
  </si>
  <si>
    <t>Rough Openings
• The installation sub-contractor is responsible for verifying that rough openings are properly constructed  including:  structural soundness of sill, header, and jambs; opening should be square, level, and plumb; and building materials should be protected from moisture damage prior to window installation.  Construction deficiencies should be reported to the developer or GC and corrected prior to installation of windows.</t>
  </si>
  <si>
    <t>Window/Wall Mock Up
• If approved by the developer, the Energy Consultant shall inspect a sample installation of the window prior to the installation of windows building-wide.  The manufacturer’s data shall be inspected to verify energy performance specifications (window type, frame, U-value factor, gas fill, SHGC).  In addition, the installed window must be inspected for proper fit and operation and effective connections to the building envelope weather barrier and air barrier.  Low-e glass must be verified using a low-e meter.</t>
  </si>
  <si>
    <t>On-Going Site Inspections
• On inspection site visits, the Energy Consultant shall check newly installed windows for compliance with the installation specifications and confirm the assumptions in the Proposed Design model. As an alternative to the modeling approach, verify all window requirements listed in the Prescriptive Path have been met or exceeded.</t>
  </si>
  <si>
    <t>Air Tightness
• Visually confirm all joints between window frame and rough opening have been sealed.  Optional: To verify air tightness of the weather-stripping and window installation, use a smoke pencil around the window, casing, and frame.</t>
  </si>
  <si>
    <t>Windows - Manufacturer's Product Data
• Review manufacturer’s cut sheet or invoice detailing window construction, U-Value, SHGC, low–e, and ENERGY STAR qualification (if applicable)</t>
  </si>
  <si>
    <t>Statement of Substantial Completion
• A Statement of Substantial Completion or approved proxy may be submitted to establish completion of the work associated with this protocol. A Statement of Substantial Completion is to be completed by the installation contractor or other qualified representative on company letter head and attached to all relevant T&amp;V Worksheets complete with all required information, photographs, cut sheets, etc.</t>
  </si>
  <si>
    <t>Envelope - Windows - PROTOCOL 3.4</t>
  </si>
  <si>
    <t>- Photo of installed window that verifies proper fit and effective connections to envelope’s weather and air barriers</t>
  </si>
  <si>
    <t xml:space="preserve">- Photo of each unique window type with third party verification (NFRC label if applicable) of U-Value, SHGC, and ENERGY STAR qualification (if applicable)
</t>
  </si>
  <si>
    <t>- Photo with low-e sensor device verifying low-e</t>
  </si>
  <si>
    <t>• The specified windows shall be double or triple-pane, with low-emissivity glass or coatings.</t>
  </si>
  <si>
    <t>• Windows shall be installed properly to ensure weather tightness and air tightness performance within manufacturer’s specifications in addition to proper operation.</t>
  </si>
  <si>
    <t>• All joints between window frame and rough opening must be sealed with minimum 25 year sealant compatible with all surfaces.</t>
  </si>
  <si>
    <t xml:space="preserve">• Include selection of window type (by operation, e.g. double-hung, single-hung, casement, fixed, etc.), dimensions, frame, U-value factor, low-emissivity, gas fill, SHGC, visual transmittance, and labeling by an independent third party (e.g. NFRC).
</t>
  </si>
  <si>
    <t>• Specifications could include, at the discretion of the developer, the inspection of a sample mock-up installation by the Energy Consultant prior to installation of windows building-wide.</t>
  </si>
  <si>
    <t>ENERGY STAR (Yes/No)</t>
  </si>
  <si>
    <t>WEATHERSTRIPPING
(Yes/No)</t>
  </si>
  <si>
    <t>SELF CLOSING DEVICE
(Yes/No)</t>
  </si>
  <si>
    <t>VESTIBULE
(Yes/No)</t>
  </si>
  <si>
    <t>INSPECTION COMMENTS
(Door has proper orientation, fit, and weather-stripping)</t>
  </si>
  <si>
    <t xml:space="preserve">Vestibules and Entryways
• Inspect vestibule and entryway areas to verify construction is consistent with design specifications. </t>
  </si>
  <si>
    <t>Operation and Fit
• Inspect exterior doors for proper operation, fit</t>
  </si>
  <si>
    <t>Weather-Stripping
• When required by local building code, verify entranceways contain vestibules with weather-stripping hard-fastened to the door or frame.
• Weather-stripping should be applied on all cellar/mechanical doors, doors between corridors and stairwells, all exterior doors, doors between apartments and corridors, doors seperating unconditioned or vented spaces. 
• Weather-stripping with a rigid fastener and replaceable foam gasket specified for durability and less maintenance.</t>
  </si>
  <si>
    <t>Smoke Testing
• Option:  Use a smoke pencil with the building under pressurization (or depressurization) from the ventilation system to verify air tightness of components.</t>
  </si>
  <si>
    <t xml:space="preserve">• Weather-stripping should be applied on all cellar/mechanical doors, doors between corridors and stairwells, all exterior doors, doors between apartments and corridors, doors separating unconditioned or vented spaces. </t>
  </si>
  <si>
    <t>• Weather-stripping with a rigid fastener and replaceable foam gasket specified for durability and less maintenance.</t>
  </si>
  <si>
    <t xml:space="preserve">• The specified exterior doors shall be ENERGY STAR qualified, where applicable.
</t>
  </si>
  <si>
    <t>• Weather-stripping shall be installed to not interfere with door closing properly.</t>
  </si>
  <si>
    <t xml:space="preserve">- Photo of installed door that verifies proper fit and effective connections to envelope’s weather and air barriers.
</t>
  </si>
  <si>
    <t>- Photo of each unique door type with third party verification, NFRC and/or ENERGY STAR qualification (if applicable).</t>
  </si>
  <si>
    <r>
      <t xml:space="preserve">3) </t>
    </r>
    <r>
      <rPr>
        <b/>
        <sz val="9"/>
        <rFont val="Calibri"/>
        <family val="2"/>
        <scheme val="minor"/>
      </rPr>
      <t>*PHOTOS REQUIRED*</t>
    </r>
  </si>
  <si>
    <t>Envelope - Exterior Doors - PROTOCOL 3.5</t>
  </si>
  <si>
    <t>INSPECTION COMMENTS 
(Problems, sample details/floor #s, etc.)</t>
  </si>
  <si>
    <t>Garage Heating
• Confirm that space is not intentionally conditioned.
• Verify that limited heating systems, if present, are used only for safety considerations, such as ice melting, and are properly controlled and locked.</t>
  </si>
  <si>
    <t>Compartmentalization
• Visually confirm that garage is properly air-sealed and fully compartmentalized from rest of building.
• Verify all pipe and conduit penetrations have been sealed with material compatible with the surface and resilient to temperature fluctuations.</t>
  </si>
  <si>
    <t>Doors Between Garage and Building
• Inspect the door(s) leading into the building from the garage for proper operation, fit, and weather-stripping.  Optional: Use a smoke pencil around the door, casing, and frame with the garage ventilation system running.</t>
  </si>
  <si>
    <t xml:space="preserve">• Provide piping layout or insulation details that do not demonstrate heating of garage space. Radiant heating, either wall or ceiling-mounted or within the garage floor (or sidewalks) may be used to prevent ice formation on the ground as a safety feature only. 
</t>
  </si>
  <si>
    <t xml:space="preserve">2)  Spaces containing terminal devices (fan coils, PTHPS, unit heaters, VAV boxes) must be inspected following the modified RESNET sampling protocol outlined in the How to Use this Manual section on page 10 of the T&amp;V Protocols, including at least one of each unique type. </t>
  </si>
  <si>
    <t xml:space="preserve">General
• All cooling systems are consistent with the project specifications and Proposed Design model or meet or exceed the requirements listed in the Prescriptive Path.
</t>
  </si>
  <si>
    <t>Space Cooling - Type and Efficiency
• Specifications for the cooling system type, location and efficiency shall match the assumptions made in the Proposed Design model or meet or exceed the requirements listed in the Prescriptive Path.</t>
  </si>
  <si>
    <t xml:space="preserve">Space Cooling - Sizing
• Sizing calculations meeting the standards set forth in the Air-Conditioning Contractors Association (ACCA) Manual J and S, the ASHRAE Handbook of Fundamentals or equivalent procedure shall be detailed and provided by the design engineer to the Energy Consultant. </t>
  </si>
  <si>
    <t>Space Cooling  - Controls
• System controls and settings shall match operating assumptions made in the Proposed Design model or meet or exceed the requirements listed in the Prescriptive Path.
• If following the Prescriptive Path, cooling tower fan motor is equipped with VFD controlled by temperature sensor on condenser water supply pipe.</t>
  </si>
  <si>
    <t>Cooling Distribution - Piping Configuration
• Specifications for distribution system (supply and return) piping configuration, mixing valves, and zoning shall match assumptions made in Proposed Design model. As an alternative to the modeling approach, verify all window requirements listed in the Prescriptive Path have been met or exceeded.
• All supply/return headers must be designed in a “reverse return” configuration (i.e. first riser supplied is the last returned, etc.) and/or sized based on a water velocity of less than 4 ft/s.  Total pressure drop of terminal unit branch piping and fittings between a supply and return riser must be significantly greater than the total pressure drop from the top to the bottom of these risers.</t>
  </si>
  <si>
    <t>Cooling Distribution - Pump Sizing
• Size circulating pumps to meet Chapter 43 of the ASHRAE Handbook.</t>
  </si>
  <si>
    <t>Cooling Distribution - Pressure Control Set-points
• Although not required, EPA recommends adding a Note requiring cooling circulator pressure controls to be adjusted to ensure that: (1) at terminal units furthest from the pump, sufficient GPM is achieved and (2) at terminal units closest to the pump, differential pressure across terminal unit zone valves when closed does not exceed valve manufacturer guidelines.</t>
  </si>
  <si>
    <t>Cooling Terminal Units - Thermostatic Controls
• All terminal cooling distribution equipment must be separated from the riser or distribution loop by a control valve or terminal distribution pump, so that cooled fluid is not delivered to the apartment distribution equipment when there is no call from the apartment thermostats.</t>
  </si>
  <si>
    <t>Cooling Distribution - Refrigerant Charge
• The installing contractor shall provide verification of proper refrigerant charge based on manufacturer’s specifications.</t>
  </si>
  <si>
    <t xml:space="preserve">Cooling Distribution System - In-Unit Duct Sizing
• For in-unit forced air distribution systems, perform design calculations (using ACCA Manuals J and D, the ASHRAE Handbook of Fundamentals, or an equivalent procedure) and install ducts accordingly. </t>
  </si>
  <si>
    <t xml:space="preserve">Cooling Distribution - Duct Sealing Details
• Call out a preliminary list of duct sealing details to be integrated into the construction documents and inspected must include the following at a minimum:
a  Roof curb penetration has been sealed  
b. Mastic or other UL-181 compliant material has been applied within temperature range and according to all other manufacturer's requirements at ALL transverse joints and take offs.
c. All duct transitional junctions have been sealed with mastic or other UL-181 compliant material.
d. Gap between take off duct and gypsum board has been effectively sealed.
</t>
  </si>
  <si>
    <t>Cooling Distribution - Flex Duct Installation
• Cooling ductwork that is specified as flex duct shall follow the Sheet Metal and Air Conditioning Contractors’ (SMACNA) installation standards for flex ducts (see Appendix A of  Performance Path or Prescriptive Path).</t>
  </si>
  <si>
    <t>Cooling System - HVAC Contractor Checklist
• Inspection procedures shall include the quality assurance and verification requirements outlined in Version 3.0 of the ENERGY STAR Qualified Homes HVAC System Quality Installation Contractor Checklist, where applicable to forced air cooling systems.</t>
  </si>
  <si>
    <t>Cooling System - True Flow Pressure Plate
• Test for proper airflow over the evaporator coil to verify compliance with the manufacturer’s specification.</t>
  </si>
  <si>
    <t>Cooling - A/C Sleeves
• Sleeves for future installation of through-wall AC units shall be insulated to achieve a minimum of R-7. Insulated covers for these sleeves must be provided by the building for use during heating season and when AC units are not installed.</t>
  </si>
  <si>
    <t>Cooling Distribution - Thermostat
• Terminal cooling distribution equipment serving an apartment shall be controlled by a thermostat(s) within the same apartment.</t>
  </si>
  <si>
    <t>Cooling - Training and Manuals
• Summarize the training performed and personnel involved.  Confirm that all applicable operating and specification manuals are delivered to the building staff.  Verify that staff members have been trained and are aware of their responsibilities to maintain and operate the systems properly.</t>
  </si>
  <si>
    <t>Cooling - Manufacturer's Product Data
• Review manufacturer’s cut sheets or invoice detailing system manufacturer model, size, and location (including all space cooling systems, e.g. lobby).  These should also be used to prove ENERGY STAR qualification and efficiency rating.</t>
  </si>
  <si>
    <t>HVAC - Cooling - PROTOCOL 5.2, 5.4</t>
  </si>
  <si>
    <t>MINIMUM PERFORMANCE STANDARD</t>
  </si>
  <si>
    <t>1)  Inspect 100% of unique common areas (basements, lobbies) with 24/7 lighting and follow the modified RESNET sampling protocol outlined in the How to Use this Manual section on page 10 of the T&amp;V Protocols for similar, or repetitive spaces (stairwells, corridors, trash chute rooms, etc.).</t>
  </si>
  <si>
    <t>2)  For all other spaces with non-24/7 lighting (apartments, storage rooms, mechanical rooms, etc.) follow the modified RESNET sampling protocol outlined in the How to Use this Manual section on page 10 of the T&amp;V Protocols. This shall include, at a minimum, one representative apartment from each floor.</t>
  </si>
  <si>
    <t xml:space="preserve">LIGHT FIXTURE SCHEDULE (copy columns from modeler's Performance Path Calculator file, insert rows as necessary)  </t>
  </si>
  <si>
    <t xml:space="preserve">FIXTURE CODE 
(from Arch. Dwgs)
Issue Date: </t>
  </si>
  <si>
    <t xml:space="preserve">COMMON AREA: (copy columns from modeler's Performance Path Calculator file, insert rows as necessary)  </t>
  </si>
  <si>
    <t xml:space="preserve">APARTMENTS: (copy columns from modeler's Performance Path Calculator file, insert rows as necessary)  </t>
  </si>
  <si>
    <t>Lighting Power Density
• Assemble documentation from plans, specs and submittals.
• Determine power density of each modeled space by calculating the luminaire wattage as indicated in ASHRAE 90.1-2007, Section 9.1.4 to verify assumptions in the Proposed Design model. As an alternative to the modeling approach, ensure the requirements listed in the Prescriptive Path have been met.</t>
  </si>
  <si>
    <t>Lighting Controls - Verification
• Check location of control types for conformance/deviation and count total number of controls in that space. 
• Confirm that each control type is operable:
• For occupancy sensors, step in and out of the zone, check for blind spots
• For timers, set timer to current time and confirm control of fixture.
• For photocells, cover or black-out photocell and confirm control of fixture.
• For daylighting controls, dim or black-out location to observe change in fixture light level.
• For occupancy dimmers, check lower power limit and on-time settings.
• If following the Prescriptive Path automatic controls must be specified for spaces intended for 24-hour operation such as lobbies, corridors and stairwells.</t>
  </si>
  <si>
    <t>Emergency Lighting - Exit Signs
• Confirm all Exit Signs are LED type 
• Fixtures located above stairwell doors and other forms of egress shall contain a battery back-up</t>
  </si>
  <si>
    <t>Exterior Lighting  
• Check quantity, locations, unit specifications for conformance/deviation including types of fixtures, wattages of lamps, etc.
• Check location of control types for conformance/deviation. 
• Confirm that each control type is operable, see above for detailed instructions.</t>
  </si>
  <si>
    <t>Garage Lighting
• Check quantity, locations, unit specifications for conformance/deviation including types of fixtures, wattages of lamps, etc.
• Check location of control types for conformance/deviation. 
• Confirm that each control type is operable, see above for detailed instructions.</t>
  </si>
  <si>
    <t>In-Unit Lighting  
• Check quantity, locations, unit specifications for conformance/deviation including types of fixtures, wattages of lamps, etc.
• Collect manufacturer and model data to confirm combined lamp and ballast efficacies meet or exceed ENERGY STAR efficacies.  
• Take photo of one sample of each fixture type with ENERGY STAR qualification affixed, where applicable. 
• Collect submittals/invoices for each unique fixture type showing ENERGY STAR qualification (where applicable) and wattage.
• If following the Prescriptive Path, hard-wired light fixtures must be specified in in living rooms and bedrooms and fixtures with screw-base lamps are not permitted.</t>
  </si>
  <si>
    <t>Lighting - Ballasts
• Fixtures specified with electronic ballasts must be confirmed in the field using an electronic ballast tester.</t>
  </si>
  <si>
    <t>Lighting - Type
• Verify that lighting fixtures are pin-based, where applicable.</t>
  </si>
  <si>
    <r>
      <t xml:space="preserve">Lighting - Statement of Substantial Completion - Non 24/7 Spaces
• A Statement of Substantial Completion or approved proxy </t>
    </r>
    <r>
      <rPr>
        <u/>
        <sz val="9"/>
        <rFont val="Calibri"/>
        <family val="2"/>
        <scheme val="minor"/>
      </rPr>
      <t>must</t>
    </r>
    <r>
      <rPr>
        <sz val="9"/>
        <rFont val="Calibri"/>
        <family val="2"/>
        <scheme val="minor"/>
      </rPr>
      <t xml:space="preserve"> be submitted to establish completion of the work associated in all spaces with lighting not operating 24/7 associated with this protocol. A Statement of Substantial Completion is to be completed by the installation contractor or other qualified representative on company letter head and attached to all relevant T&amp;V Worksheets complete with all required information, photographs, cut sheets, etc.</t>
    </r>
  </si>
  <si>
    <r>
      <t xml:space="preserve">Lighting - Statement of Substantial Completion - 24/7 Spaces
• A Statement of Substantial Completion or approved proxy </t>
    </r>
    <r>
      <rPr>
        <u/>
        <sz val="9"/>
        <rFont val="Calibri"/>
        <family val="2"/>
        <scheme val="minor"/>
      </rPr>
      <t>may</t>
    </r>
    <r>
      <rPr>
        <sz val="9"/>
        <rFont val="Calibri"/>
        <family val="2"/>
        <scheme val="minor"/>
      </rPr>
      <t xml:space="preserve"> be submitted to establish completion of all other work associated with this protocol. A Statement of Substantial Completion is to be completed by the installation contractor or other qualified representative on company letter head and attached to all relevant T&amp;V Worksheets complete with all required information, photographs, cut sheets, etc.</t>
    </r>
  </si>
  <si>
    <t>Lighting - Common Area, In-unit, Outdoor &amp; Emergency Lighting - PROTOCOL 6.1-6.3</t>
  </si>
  <si>
    <r>
      <t xml:space="preserve">3)  </t>
    </r>
    <r>
      <rPr>
        <b/>
        <sz val="9"/>
        <rFont val="Calibri"/>
        <family val="2"/>
        <scheme val="minor"/>
      </rPr>
      <t>*PHOTOS REQUIRED*</t>
    </r>
  </si>
  <si>
    <t>- Photo of one sample of each fixture type with ENERGY STAR qualification affixed, where applicable.</t>
  </si>
  <si>
    <t>- Photo of each type of lighting control specified for each unique space (motion sensors, timers, and daylight sensors).</t>
  </si>
  <si>
    <t>- Photo showing bi-level lighting is installed (half the lamps on in a fixture, or all fixtures dimmed)</t>
  </si>
  <si>
    <t xml:space="preserve">- Photo of exterior lighting timers and provide lighting schedule that demonstrates hours of operation. </t>
  </si>
  <si>
    <t>- Photo showing daylight sensors, if used - one photo with the light fixture off during the day and another photo showing the fixture is on when the daylight sensor is covered.</t>
  </si>
  <si>
    <t>- Photo of each space with sensors, with their location clearly labeled, if there are sensors in the stairwell and corridor.</t>
  </si>
  <si>
    <t>• Include location of fixtures on plans.</t>
  </si>
  <si>
    <t>• Type and wattage of fixtures and lamps, on lighting schedule, specifications, submittals to conform with modeled power density in Proposed Design or meet or exceed the requirements listed in the Prescriptive Path.</t>
  </si>
  <si>
    <t>• When ENERGY STAR fixtures are specified, label to remain affixed to fixture.</t>
  </si>
  <si>
    <t>• Specify that lighting performance (illumination levels) will be expected to meet the requirements specified in the Illumination Engineering Society Lighting Handbook. http://lpd.ies.org/cgi-bin/lpd/ShowSpaceTypes.pl</t>
  </si>
  <si>
    <t>• Fixtures located above stairwell doors and other forms of egress shall contain a battery back-up feature.</t>
  </si>
  <si>
    <t>• All illuminated exit signs shall meet or exceed LED efficiency levels and conform to local building code</t>
  </si>
  <si>
    <t>• Include a schedule with manufacturer, model, total wattage, bulb type, control, location, and count of each type of lighting fixture.</t>
  </si>
  <si>
    <t>Common Area, In-Unit, Garage and Exterior Lighting</t>
  </si>
  <si>
    <t>• All non-apartment spaces, except those intended for 24-hour operation or where automatic shutoff would endanger the safety of occupants, must have occupancy sensors or automatic bi-level lighting controls.</t>
  </si>
  <si>
    <t>• Exterior fixtures shall include automatic switching on timers or photocell controls for lighting not intended for 24-hour operation or required for security.</t>
  </si>
  <si>
    <t>• Operational sensitivity settings (adjust so lights turn on when occupant enters controlled area, but remain off while unoccupied, i.e. unaffected by HVAC and VAV systems, etc.) Shut-off delay period (5 minutes or owner preference).</t>
  </si>
  <si>
    <t>• Power settings (as low as possible while still meeting any code requirements).</t>
  </si>
  <si>
    <t>• Include type and count of controls and associated fixtures in lighting schedule.</t>
  </si>
  <si>
    <t>• Note all locations of sensors on plans, and indicate which fixtures each sensor controls.</t>
  </si>
  <si>
    <t xml:space="preserve">Controls
</t>
  </si>
  <si>
    <t>General
• Compare the performance data of the inspected motors (http://www.nema.org/stds/complimentary-docs/upload/MG1premium.pdf) to the assumptions made in the Proposed Design model and adjust data inputs for Final Building model as necessary.  As an alternative to the modeling approach, ensure the motor requirements listed in the Prescriptive Path have been met or exceeded.</t>
  </si>
  <si>
    <t>Booster Pump Set points
• Booster pump should be adjusted so pressure at top floor apartments is no more then 35 psi.  This pressure can be measured at the faucet using a water pressure gauge and adapters found at a plumbing store.  Faucet thread style and size should be found on product specification and data sheets.</t>
  </si>
  <si>
    <t>Motors- Manufacturer's Product Data
• Review manufacturer’s cut sheets or invoice verifying  motor size and efficiency.</t>
  </si>
  <si>
    <t>Heating and DHW - Training and Manuals
• Summarize the training performed and personnel involved.  Confirm that all applicable operating and specification manuals are delivered to the building staff.  Verify that staff members have been trained and are aware of their responsibilities to maintain and operate the systems properly.</t>
  </si>
  <si>
    <r>
      <t xml:space="preserve">Heating Distribution - Pump Motors
• Confirm manufacturer and model number is NEMA </t>
    </r>
    <r>
      <rPr>
        <u/>
        <sz val="9"/>
        <rFont val="Calibri"/>
        <family val="2"/>
        <scheme val="minor"/>
      </rPr>
      <t>Premium</t>
    </r>
    <r>
      <rPr>
        <sz val="9"/>
        <rFont val="Calibri"/>
        <family val="2"/>
        <scheme val="minor"/>
      </rPr>
      <t xml:space="preserve">* labeled and/or complies with minimum performance criteria established by that program.
Pressure Controls
• VFD on heating circulator pumps. Note VFD pressure location. Self Contained Pressure Differential Bypass Valve between supply and return lines.
</t>
    </r>
  </si>
  <si>
    <r>
      <t xml:space="preserve">DHW Distribution - Pump Motors
• Confirm manufacturer and model number is NEMA </t>
    </r>
    <r>
      <rPr>
        <u/>
        <sz val="9"/>
        <rFont val="Calibri"/>
        <family val="2"/>
        <scheme val="minor"/>
      </rPr>
      <t>Premium</t>
    </r>
    <r>
      <rPr>
        <sz val="9"/>
        <rFont val="Calibri"/>
        <family val="2"/>
        <scheme val="minor"/>
      </rPr>
      <t>* labeled and/or complies with minimum performance criteria established by that program.
Pressure Controls
• VFD on DHW circulator pumps. Note VFD pressure location. Self Contained Pressure Differential Bypass Valve between supply and return lines.</t>
    </r>
  </si>
  <si>
    <t>HVAC - Motors - PROTOCOL 7.1</t>
  </si>
  <si>
    <r>
      <t xml:space="preserve">2) </t>
    </r>
    <r>
      <rPr>
        <b/>
        <sz val="9"/>
        <rFont val="Calibri"/>
        <family val="2"/>
        <scheme val="minor"/>
      </rPr>
      <t xml:space="preserve">*PHOTOS REQUIRED* </t>
    </r>
  </si>
  <si>
    <t>• Motor size, type, design, and rated efficiency shall match assumptions made in the Proposed Design model or meet or exceed the requirements listed in the Prescriptive Path.</t>
  </si>
  <si>
    <t>- Photo faceplate of one representative motor of each size. Given the number of motors and pumps in any given building make sure to clearly identify location and use of each motor represented.</t>
  </si>
  <si>
    <t>1)  100% of motors over 1 HP and all those servicing primary HVAC equipment (e.g. heating/cooling plants, DHW systems, etc.) shall be inspected in the quality assurance and verification process.</t>
  </si>
  <si>
    <r>
      <rPr>
        <u/>
        <sz val="9"/>
        <rFont val="Calibri"/>
        <family val="2"/>
        <scheme val="minor"/>
      </rPr>
      <t>Motor Schedule:</t>
    </r>
    <r>
      <rPr>
        <sz val="9"/>
        <rFont val="Calibri"/>
        <family val="2"/>
        <scheme val="minor"/>
      </rPr>
      <t xml:space="preserve">
Record manufacturer and model number of all non-ventilation motors over 1 HP (they are covered in the ventilation section, Protocol 8.2 - Common Area and In-Unit Ventilation (CFM), Intake Source, and Intake/Exhaust Fan Efficiency).</t>
    </r>
  </si>
  <si>
    <t>INSPECTION COMMENTS 
(Problems, sample details/apt #s, etc)</t>
  </si>
  <si>
    <t>Wood-Framed Construction
• For wood-framed construction, Version 3.0 of the ENERGY STAR Qualified Homes Thermal Enclosure Rater Checklist must be followed in addition to all applicable T&amp;V Protocols.</t>
  </si>
  <si>
    <t>Masonry Wall Preparation
• Gaps are filled, Joints struck, CMU is dry, all snags are gone.</t>
  </si>
  <si>
    <t>General Coverage - Liquid Membrane
• Verify proper thickness of liquid-applied membranes using a wet mil gauge; at a minimum, substrate must not be visible.</t>
  </si>
  <si>
    <t>General Coverage at Adjacent Building Conditions - Liquid Membrane
• Where unable to install air barrier on the exterior of the building, a low VOC product should be installed on the interior at full height (top of plank to bottom of plank at each floor). This should happen before any interior framing is installed.</t>
  </si>
  <si>
    <t>General Coverage / Transition Membrane - Seams
• All transition membranes are installed and sealed before insulation is installed overtop. Seams are sealed with mastic type liquid membrane or with minimum 25 year compatible sealant.</t>
  </si>
  <si>
    <t>Air Barrier Penetrations
• Post air barrier penetrations should be sealed with minimum 25 year sealant compatible with all surfaces.  Transition membranes should be used to patch as necessary with seams sealed appropriately.</t>
  </si>
  <si>
    <t>Rough Openings (Concrete Masonry Construction) - Windows and Doors
• Liquid air barrier should wrap in at masonry rough openings to be flush with inside edge of window or door frame.
• Sheet membrane or metal panel enclosure can be used as alternative as long as it is clear the air barrier is continuous and any gaps are sealed with back rod as necessary and mminimum 25 year sealant compatible with all surfaces.</t>
  </si>
  <si>
    <t>Rough Openings (Steel Stud Construction) - Windows and Doors
• Rough opening must be wrapped with sheet membrane all the way inside to be flush with inside edge.</t>
  </si>
  <si>
    <t>Rough Openings - Pipes, Conduits, Ducts, Etc
• Gaps should be filled with backer rod as necessary and minimum 25 year sealant compatible with all surfaces (Where smooth surfaces are present, mechanical gasket seals can be used)</t>
  </si>
  <si>
    <t>Rough Openings - Cast Stone Sills
• Cast stone sill should be sealed to sill pan using minimum 25 year compatible sealant where not sealed by grout</t>
  </si>
  <si>
    <t>Rough Openings - Gap at Window Frames
• Gaps between window frame (header, jambs, sill) and rough opening to be sealed on the interior with backer rod as necessary and minimum 25 year sealant that is compatible with all surfaces applied to.</t>
  </si>
  <si>
    <t>Rough Openings - Gap at Exterior Door Frames
• Gaps between window frame (header, jambs, threshhold) and rough opening to be sealed on the interior with backer rod as necessary and minimum 25 year sealant that is compatible with all surfaces applied to.</t>
  </si>
  <si>
    <t>Rough Openings - A/C Sleeves
• Gaps between A/C sleeves and rough openings to be sealed on the interior with backer rod as necessary and minimum 25 year sealant that is compatible with all surfaces applied to.</t>
  </si>
  <si>
    <t>Plank Edges (Steel Stud Construction) - At plank / exterior sheathing joint
• Transition Membrane must be installed over top spanning  the sheathing / plank edge joint creating a bellows with backer rod
• (All termination seams must be sealed with minimum 25 year compatible sealant). Insulated interior cover with compressible gasket must be provided</t>
  </si>
  <si>
    <t>Plank Edges (Concrete Masonry Construction) -
At plank / CMU joint
• Option 1 - If gap is greater then 1/4" Transition Membrane must be used to seal the gap with minimum 3" over lap
• Option 2 - If gap is less then 1/4" Liquid Membrane can be used to seal the gap
• Option 3 - When shelf angles are to be installed, through wall flashing must be draped from above to completely cover the joints at top and bottom edges of the plank and sealed to the shelf angle.  The Liquid Membrane should be applied up to and continuing on the underside of the shelf angle to achieve continuity.</t>
  </si>
  <si>
    <t>Plank Edges - At plank / steel girder joint
• Through wall flashing must be draped from above to completely cover this joint and the entire face of the girder and sealed to the shelf angle.
• This can be sealed with a transition membrane from the interior underside of the plank if the girder is solid and is allowed by local code.</t>
  </si>
  <si>
    <t>Steel Columns - Steel / CMU joints
• If allowed by local code, EPA suggests gaps should be filled with backer rod  as necessary and minimum 25 year sealant that is compatible with all surfaces applied to.</t>
  </si>
  <si>
    <t>Wall to Roof Connections
• Liquid air barrier must be brought up over grout edge part of roof plank and should be sealed over the plank / grout joint</t>
  </si>
  <si>
    <t>Envelope - Exterior Air Barrier - PROTOCOL 3.1 &amp; 8.1</t>
  </si>
  <si>
    <t xml:space="preserve"> -Inspected from the exterior: Areas with liquid-applied membranes showing appropriate thickness; A/C openings; Windows, Door openings, and Door frame; Transition between wall and roof barrier; Transition between wall and foundation barrier; Plank/Slab Edge (Masonry and Steel Construction) or Rim Joist (Wood Framed Construction)
</t>
  </si>
  <si>
    <t xml:space="preserve"> - Inspected from the interior: Rough openings to windows and doors, A/C openings</t>
  </si>
  <si>
    <t>• Bid and contract documents must include detailed information that shows the air barrier continuity through the various conditions of the exterior enclosure (e.g. transitions between dissimilar materials and penetrations) and that serves as an index to relevant details.</t>
  </si>
  <si>
    <t>• Bid and contract documents shall demonstrate a continuous, unbroken air barrier separating the conditioned space of the building from the exterior, unconditioned spaces within the building, non-residential spaces, vented mechanical rooms, mechanical chases opening to unconditioned spaces, elevator shafts, and garages or other vehicle/equipment storage facilities.</t>
  </si>
  <si>
    <t>• Vapor impermeable air barriers for general coverage are only permitted on the warm side of insulation (i.e. interior side of insulation in predominately heating dominated climates). Vapor permeable air barriers should be specified in other cases.</t>
  </si>
  <si>
    <t>• Air-barrier must be continuous around the entire building.  Air barrier must be detailed at all penetrations and transitions including structural components, connections between dissimilar materials, and window rough openings. Flashing materials and sealants must be used at window openings, through-wall duct penetrations, the transition between the wall and roof barrier, and the transition between the wall and foundation barrier.</t>
  </si>
  <si>
    <t>Infiltration - Compartmentalization - PROTOCOL 8.1</t>
  </si>
  <si>
    <t>Sample Unit - Visual Inspection
• The developer shall set up a sample unit with pre-drywall air sealing details completed for initial inspection.  The sample unit inspection will be used to identify problems with the air sealing approach before building-wide construction and air sealing of apartments is completed.</t>
  </si>
  <si>
    <t>Gypsum board to concrete ceiling plank connection
• Exterior walls and all interior partition walls</t>
  </si>
  <si>
    <t>Gypsum board to concrete floor plank connection 
• Exterior walls and all interior partition walls</t>
  </si>
  <si>
    <t>A/C Sleeve Cover (if A/Cs provided by building)
• Verify that insulated covers for through-wall AC sleeves have been provided by the building for use during heating season and when AC units are not installed.  Ensure the cover is equipped with a gasket so when installed it will have an air tight seal against the drywall. As an alternative to a gasket, sealant may be used but will have to be re-sealed each time it is installed.</t>
  </si>
  <si>
    <t xml:space="preserve">Inspect framing layout
• Demising wall gypsum board extends completely to all adjacent walls.
• Demising wall gypsum board extends completely to ceiling plank (or other solid ceiling material) where drop ceilings are present.
</t>
  </si>
  <si>
    <t xml:space="preserve"> - Inspected from the interior: Window to interior gypsum board, Air conditioner sleeve sealed to drywall (cover is installed if A/Cs provided by building), Outlet/Electrical Box - Exterior and Demising Walls, Heating pipe penetrations through exterior walls, Heating pipe penetrations through interior partitions, Plumbing / Sprinkler Pipe Penetrations, Range Gas Line Penetration, Gypsum board to concrete ceiling plank connection - Exterior walls and all interior partition walls, Gap between take off duct and gypsum board, Electrical Panel, HVAC Access Doors, Thermostats, Intercoms, Lighting Fixtures, Door Latch Hole, Medicine Cabinet
</t>
  </si>
  <si>
    <t>Infiltration - Blower Door Test - PROTOCOL 8.1</t>
  </si>
  <si>
    <t xml:space="preserve">Blower Door Test
• Measure the infiltration of a sample apartment unit using a blower door before building-wide air sealing of apartments is completed.  Following the procedures outlined in Energy Conservatory's Minneapolis Blower Door Operation Manual for Model 3 and Model 4 Systems, a one-point test at 50 Pascals using the average CFM50 measured under depressurization or pressurization is acceptable for this measurement.
• When performing this test, the calibrated blower door fan should be located in the entry door of the apartment.  Windows in adjacent apartments should be open during the test.  If the apartment entry door opens to a corridor or other enclosed space, that space should be well ventilated to the outside during the test.
• It is very important to ensure that the fan flow is in the proper direction for flow measurement (e.g. from the ring-side towards the screen-side if using a Minneapolis Blower Door).  “Backwards” fan operation does not provide accurate flow measurements.  To switch between pressurization and depressurization tests, physically turn the fan around in the shroud.
• Ensure that the air leakage rate is less than 1.75 ELA per 100 square feet of enclosure (i.e. all surfaces enclosing the apartment, including exterior and party walls, floors, ceiling) .  Use the results of these tests to develop a punch list of details to be modified as construction continues. Post-construction, follow the same procedure and the sampling requirements below to test infiltration in a sample of apartments.
• Note:  This test does not distinguish between leakage from the apartment to outside and leakage from the apartment to other interior and/or interstitial spaces.  The allowable limit for measured leakage is for the total enclosure of the apartment unit.
</t>
  </si>
  <si>
    <t>Apartment Tightness Summary: This section can be duplicated, copy and insert rows</t>
  </si>
  <si>
    <t xml:space="preserve"> -  Window to interior gypsum board; Air conditioner sleeve sealed to drywall (cover is installed if A/Cs provided by building); Outlet/Electrical Box - Exterior and Demising Walls; Heating pipe penetrations through exterior walls; Heating pipe penetrations through interior partitions; Plumbing / Sprinkler Pipe Penetrations; Range Gas Line Penetration; Gypsum board to concrete ceiling plank connection - Exterior walls and all interior partition walls; Gap between take off duct and gypsum board; Electrical Panel; HVAC Access Doors; Thermostats; Intercoms; Lighting Fixtures; Door Latch Hole; Medicine Cabinet.
</t>
  </si>
  <si>
    <t>2) Apartment ventilation risers must be inspected and verified for system performance following the modified RESNET sampling protocol outlined in the How to Use this Manual section on page 10 of the T&amp;V Protocols.  For each ventilation riser in the sample set, take measurements at every other floor to obtain a representative profile.  The sample should include at least one riser for each type/size of fan installed in the building.</t>
  </si>
  <si>
    <t xml:space="preserve">Non - Apartment Fan Efficiency
• Design specifications should include fan energy efficiency criteria (BHP and motor efficiency) for the fans themselves.
• If following the Prescriptive Path, central exhaust fans up to 300 design CFM must be installed with direct-drive and variable speed control.  Central exhaust fans between 300 and 2,000 design CFM must be installed with direct-drive, variable speed control, and ECM motors. </t>
  </si>
  <si>
    <t xml:space="preserve">Apartment Fan Efficiency (Roof)
• Specifications also include fan energy efficiency criteria (BHP and motor efficiency) for the fans themselves.
• If following the Prescriptive Path, central exhaust fans up to 300 design CFM must be installed with direct-drive and variable speed control.  Central exhaust fans between 300 and 2,000 design CFM must be installed with direct-drive, variable speed control, and ECM motors. </t>
  </si>
  <si>
    <t xml:space="preserve">Apartment Fan Efficiency (In-Unit)
• Specifications should also include energy efficiency criteria (Watts/CFM) for the fans themselves. </t>
  </si>
  <si>
    <t>Central Supply to Corridor
• Common area ventilation systems shall be designed and tested to satisfy minimum requirements of ASHRAE 62.1-2007.</t>
  </si>
  <si>
    <t>Heat Recovery
• Consider heat recovery for 100% of space heating conditioning of corridor supply air.  Capacity of heat recovery unit should match the design corridor ventilation rates.</t>
  </si>
  <si>
    <t>Garage Exhaust Fan CFM and Efficiency
• Equipment is consistent with the project specifications and Proposed Design model or meet or exceed the requirements listed in the Prescriptive Path.
• Provide Testing and balancing (TAB) report showing fan’s performance and balance at intake points. TAB to be provided by the installing contractor, Energy Consultant or commissioning agent.</t>
  </si>
  <si>
    <t xml:space="preserve">Test Sensor Operation (Statement of Substantial Completion Accepted)
• If following the Prescriptive Path, when garage exhaust is required by code, CO sensors must be installed that control exhaust fan operation.
• Using quantified CO tracer gas release (obtain specifications from chemical test suppliers), confirm performance of sensor and activation of fans.
• A Statement of Substantial Completion or approved proxy may be submitted to establish completion of the work associated with this protocol. A Statement of Substantial Completion is to be completed by the installation contractor or other qualified representative on company letter head and attached to all relevant T&amp;V Worksheets complete with all required information, photographs, cut sheets, etc.
</t>
  </si>
  <si>
    <t>CO Sensor Locations
• Record sensor locations and confirm conformance with plans.</t>
  </si>
  <si>
    <t>Garage Fan and CO Sensor - Manufacturer's Product Data
• Include cut sheet showing fan and sensor specifications such as CFM and CO concentration threshold.</t>
  </si>
  <si>
    <t xml:space="preserve">Intake Systems - Operating Sequence
• For both active and passive intake systems, design specifications must indicate operation sequence as it relates to controls, sensors, fans, dampers, etc.  </t>
  </si>
  <si>
    <t>Make Up Air Systems
• For all make up air systems, ensure pollutants are not being drawn into the building unintentionally from the supply air source.</t>
  </si>
  <si>
    <t xml:space="preserve">Common Area Supply Ventilation Controls
• For systems designed with outdoor-air supplied to the ventilation distribution system, provide motorized damper control of outside air damper; provide for shutoff of outside air when distribution system is not actively providing space conditioning or ventilation.
</t>
  </si>
  <si>
    <t>Smoke Vents
• If allowed by local code, EPA suggests stairwell bulkhead and elevator hoist way smoke vents be normally closed and interlocked with motorized damper and smoke detector/fire alarm system.</t>
  </si>
  <si>
    <t>Passive Intake Systems (Trickle Vents)
• In passive intake systems (i.e. trickle vents), airflow measurements shall be taken using a capture hood and rotating vane or hot-wire anemometer to verify flow rates within design specifications under the range of conditions anticipated for system operation. Rotating vane or hot-wire anemometer shall have an accuracy better than +/- 15% of rated flow.  If air flow can not be directly measured, pressure measurements shall be used to verify that conditions exist to allow the intake apparatus to operate as intended.</t>
  </si>
  <si>
    <t>Ventilation - Manufacturer's Product Data
• Review manufacturer’s cut sheets or invoice detailing system manufacturer, model, HP and CFM.</t>
  </si>
  <si>
    <t>Ventilation - Training and Manuals
• Summarize the training performed and personnel involved.  Confirm that all applicable operating and specification manuals are delivered to the building staff.  Verify that staff members have been trained and are aware of their responsibilities to maintain and operate the systems properly.</t>
  </si>
  <si>
    <t xml:space="preserve"> - Photo of fan faceplates</t>
  </si>
  <si>
    <t>- Photo of fan installation and duct work insulation</t>
  </si>
  <si>
    <t xml:space="preserve"> - If applicable, photograph location of CO sensors and air intake point.</t>
  </si>
  <si>
    <t>• All transverse joints in ducts to be sealed with mastic or other UL-181 compliant material</t>
  </si>
  <si>
    <t>• Total exhaust shaft leakage shall not exceed 10 CFM50 per floor per shaft at a pressure of 0.2 in WC (5 CFM50 per floor per shaft if following the Prescriptive Path).</t>
  </si>
  <si>
    <t xml:space="preserve">• All connections between gypsum board and ductwork must be sealed. </t>
  </si>
  <si>
    <t>• In-unit exhaust fans must be ENERGY STAR qualified.</t>
  </si>
  <si>
    <t>The following notes apply to projects using the Prescriptive Path however EPA suggests all projects include the following notes in their design as they are critical to help ensure the system performs according to project specifications and Proposed Design model.</t>
  </si>
  <si>
    <t>• Central exhaust fans up to 300 design CFM must be installed with direct-drive and variable speed control.</t>
  </si>
  <si>
    <t xml:space="preserve">• Central exhaust fans between 300 and 2,000 design CFM must be installed with direct-drive, variable speed control, and ECM motors. </t>
  </si>
  <si>
    <t>For buildings with garages:</t>
  </si>
  <si>
    <t>• If following the Prescriptive Path, when garage exhaust is required by code, CO sensors must be installed that control exhaust fan operation.</t>
  </si>
  <si>
    <t>• Specify threshold criteria for CO concentration which activates sensors.</t>
  </si>
  <si>
    <t>• Include a schedule of CO controls with manufacturer, model, location and count.</t>
  </si>
  <si>
    <t>• Include locations, powering of sensors, and connecting wiring on plans.</t>
  </si>
  <si>
    <t>• Include fan size (CFM capacity) in ventilation schedule and air intake points on plans to properly ventilate throughout garage area.</t>
  </si>
  <si>
    <t>Construction documents must include performance criteria for common area and in-unit ventilation systems including :</t>
  </si>
  <si>
    <t>Demand Controls
• Verify control systems including timing devices, demand control sensors, or other devices match project specifications and Proposed Design model or meet or exceed the requirements listed in the Prescriptive Path.
EPA suggests including the following in the design where applicable:
• Controls to allow for intermittent (ON/OFF) operation of central exhaust fans are not permitted.
• Public/Office Bathroom Exhaust Configuration and Control:
    • If vented to the roof with a central fan:  Motorized damper controlled by light switch to open     when occupied (normally tightly closed).
    • If vented thru-wall:  ENERGY STAR qualified fan vented through-wall controlled by light switch to activate when occupied.
• Dryer Exhaust Controls - Controls to limit dryer exhaust boost fan when all dryers are not operating. Fresh air intake interlocked with dryers to only open when dryers are operating.</t>
  </si>
  <si>
    <t>1)  Apartment ventilation risers must be inspected and verified for system performance following the modified RESNET sampling protocol outlined in the How to Use this Manual section on page 10 of the T&amp;V Protocols.  For each ventilation riser in the sample set, conduct inspections at every other floor to obtain a representative profile.  The sample should include at least one riser for each type/size of fan installed in the building.</t>
  </si>
  <si>
    <t>General
• Assembly is consistent with the project specifications and Proposed Design.  Central exhaust systems must be tested for duct leakage, which cannot exceed 10 CFM50 per floor per shaft. For projects using the Prescriptive Path, leakage cannot exceed 5 CFM50 per floor per shaft.</t>
  </si>
  <si>
    <t>Roof Curb (Central)
• Roof curb penetration sealing.</t>
  </si>
  <si>
    <t>Transverse Joints (Central and Through Wall)
• All transverse joints sealed air-tight with mastic applied according to manufacturers requirements (i.e. application temperature).</t>
  </si>
  <si>
    <t>Transitions (Central and Through Wall)
• All duct transitional junctions have been sealed with mastic.</t>
  </si>
  <si>
    <t>Pinned Ducts  (Central and Through Wall)
• All joints have been completely sealed around the entire perimeter including those tight against a wall or ceiling. Before connecting ductwork at this condition, ample mastic needs to be applied to both sections and then connected while the mastic is still wet to achieve the seal.</t>
  </si>
  <si>
    <t>Elbow Joints (Round Duct Work)
• All elbow joints have been effectively sealed with mastic.</t>
  </si>
  <si>
    <t xml:space="preserve">Linear Regression Assistant: This section can be duplicated, copy and insert rows </t>
  </si>
  <si>
    <r>
      <t>CFM</t>
    </r>
    <r>
      <rPr>
        <vertAlign val="subscript"/>
        <sz val="9"/>
        <rFont val="Calibri"/>
        <family val="2"/>
        <scheme val="minor"/>
      </rPr>
      <t>50:</t>
    </r>
  </si>
  <si>
    <t>Ventilation - Duct Tightness Test - PROTOCOL 8.2</t>
  </si>
  <si>
    <t>Equipment  and Documentation Needed</t>
  </si>
  <si>
    <r>
      <t xml:space="preserve">2) </t>
    </r>
    <r>
      <rPr>
        <b/>
        <sz val="9"/>
        <rFont val="Calibri"/>
        <family val="2"/>
        <scheme val="minor"/>
      </rPr>
      <t>*PHOTOS REQUIRED*</t>
    </r>
  </si>
  <si>
    <t>- One representative photo of each duct sealing detail outlined below.</t>
  </si>
  <si>
    <t>For central ventilation systems:</t>
  </si>
  <si>
    <t>• Roof curb penetration has been sealed.</t>
  </si>
  <si>
    <t>• Mastic or other UL-181 compliant material has been applied within temperature range and according to all other manufacturer's requirements at ALL transverse joints and take offs.</t>
  </si>
  <si>
    <t>• All duct transitional junctions have been sealed with mastic or other UL-181 compliant material.</t>
  </si>
  <si>
    <t>• Gap between take off duct and gypsum board has been effectively sealed.</t>
  </si>
  <si>
    <t>For in line fan exhaust systems:</t>
  </si>
  <si>
    <t xml:space="preserve">• Mastic or other UL-181 compliant material has been applied within temperature range and according to all other manufacturer's requirements at ALL transverse joints and take offs. </t>
  </si>
  <si>
    <t>• If plank core is to be used as duct, ceiling plank penetration has been sealed.</t>
  </si>
  <si>
    <t xml:space="preserve">• If plank core is to be used as duct, plank core has been effectively connected to exterior of the building. </t>
  </si>
  <si>
    <t>• The appropriate plank core was selected that aligns with exterior louver.</t>
  </si>
  <si>
    <t>Call out a preliminary list of duct sealing details to be integrated into the construction documents. At a minimum, must include the following:</t>
  </si>
  <si>
    <t xml:space="preserve">1) Where metering is in basement or central location, check all meter banks.  Where metering is distributed in common areas, such as hallway utility closets or is inside individual apartments, follow the modified RESNET sampling protocol outlined in the How to Use this Manual section on page 10 of the T&amp;V Protocols to include, at a minimum, one apartment from each line.
</t>
  </si>
  <si>
    <t>Utility Company
(National Grid)</t>
  </si>
  <si>
    <t>Configuration
(Direct, Master, Sub)</t>
  </si>
  <si>
    <t>Areas Served
(Common, Apts, Retail)</t>
  </si>
  <si>
    <t xml:space="preserve">Location - Residential
• Confirm location and existence of electric, gas, and water meters and observe configurations (areas served) in relation to plans and specifications.   </t>
  </si>
  <si>
    <t>Location - Nonresidential
• Confirm location and existence of separate meters that serve the nonresidential associated areas of the building.</t>
  </si>
  <si>
    <t xml:space="preserve">Type
• Check meter types against specifications (and/or utility correspondence). </t>
  </si>
  <si>
    <t>Configuration
• Confirm metering configuration: master meter, sub-metered, direct metered.</t>
  </si>
  <si>
    <t>Utility Release Forms
• For buildings that are direct-metered for utilities to the apartments, verify the building owner has secured signed releases from individual apartment occupants to allow EPA, or their designated official, to assess the building’s energy performance.</t>
  </si>
  <si>
    <t>• Specify separate utility meters for any non-residential associated areas of the buildings (i.e. leased commercial spaces).</t>
  </si>
  <si>
    <t>Common area ventilation systems shall be designed and tested to satisfy minimum requirements of ASHRAE 62.1-2007.
Apartment ventilation systems shall be designed and tested to satisfy minimum requirements of ASHRAE 62.2-2007 based upon the anticipated occupancy. Compliance with ASHRAE 62.2-2007 Sections 4.3 and 5.3.1 is recommended but not required.</t>
  </si>
  <si>
    <t>Ventilation system ductwork shall be sealed at all transverse joints and connections including boot to wall/ceiling connections through drywall using UL-181 compliant materials and methods. Central exhaust systems must be tested for duct leakage, which cannot exceed 10 CFM50 per floor per shaft. See T&amp;V Protocols for details.</t>
  </si>
  <si>
    <r>
      <t>#</t>
    </r>
    <r>
      <rPr>
        <b/>
        <vertAlign val="superscript"/>
        <sz val="9"/>
        <rFont val="Calibri"/>
        <family val="2"/>
        <scheme val="minor"/>
      </rPr>
      <t xml:space="preserve"> </t>
    </r>
    <r>
      <rPr>
        <b/>
        <sz val="9"/>
        <rFont val="Calibri"/>
        <family val="2"/>
        <scheme val="minor"/>
      </rPr>
      <t xml:space="preserve">REVIEW:  75% and 100% Design Completion Review
</t>
    </r>
    <r>
      <rPr>
        <sz val="9"/>
        <rFont val="Calibri"/>
        <family val="2"/>
        <scheme val="minor"/>
      </rPr>
      <t xml:space="preserve">Prepared by: 
Date: </t>
    </r>
  </si>
  <si>
    <r>
      <t xml:space="preserve">AS BUILT REVIEW: 
</t>
    </r>
    <r>
      <rPr>
        <sz val="9"/>
        <rFont val="Calibri"/>
        <family val="2"/>
        <scheme val="minor"/>
      </rPr>
      <t xml:space="preserve">Prepared by:
Date: </t>
    </r>
  </si>
  <si>
    <r>
      <t xml:space="preserve">Proposed ERM 
</t>
    </r>
    <r>
      <rPr>
        <sz val="9"/>
        <rFont val="Calibri"/>
        <family val="2"/>
        <scheme val="minor"/>
      </rPr>
      <t>(Method of Compliance 
by Client)</t>
    </r>
  </si>
  <si>
    <t>NatGrid</t>
  </si>
  <si>
    <t xml:space="preserve">Additional Heating Systems Note:  If there are more than 3 heating systems, copy and paste the table above and paste it below the Renewable Energy system table.  For each additional heating system, there should be an additional set of three rows (Type, Efficiency, Capacity).  The words "Primary," "Secondary," etc. should be removed from the heating system type row. </t>
  </si>
  <si>
    <t>Miscellaneous Plug Load (W/SF)</t>
  </si>
  <si>
    <t>Apartment LPD (W/SF)</t>
  </si>
  <si>
    <t>Dishwasher (gal/yr)</t>
  </si>
  <si>
    <t>Clothes Washer (gal/yr)</t>
  </si>
  <si>
    <t>ASHRAE 90.1-2007 Appx G Baseline</t>
  </si>
  <si>
    <t>See Simultation Guidelines
Section 3.10</t>
  </si>
  <si>
    <t>See Simultation Guidelines
Section 3.11</t>
  </si>
  <si>
    <t>See ASHRAE Table G3.1, Section 12</t>
  </si>
  <si>
    <t>Quantity of Systems</t>
  </si>
  <si>
    <t>Showerheads (gpm)</t>
  </si>
  <si>
    <t>Kitchen Faucets (gpm)</t>
  </si>
  <si>
    <t>Lavatory Faucets (gpm)</t>
  </si>
  <si>
    <t>Toilets (gpf)</t>
  </si>
  <si>
    <t>Same type as Proposed, unless combined heating/DHW system.</t>
  </si>
  <si>
    <t>Unfired Storage tank: R-12.5</t>
  </si>
  <si>
    <t>Same as Proposed.</t>
  </si>
  <si>
    <t>2.5 gpm</t>
  </si>
  <si>
    <t>1.6 gpf</t>
  </si>
  <si>
    <t>See Simulation Guidelines
Section 3.9.2</t>
  </si>
  <si>
    <t>DHW System Capacity (kBtu/h)</t>
  </si>
  <si>
    <r>
      <t xml:space="preserve">1) If following the </t>
    </r>
    <r>
      <rPr>
        <i/>
        <sz val="9"/>
        <color indexed="8"/>
        <rFont val="Calibri"/>
        <family val="2"/>
        <scheme val="minor"/>
      </rPr>
      <t xml:space="preserve">Performance Path </t>
    </r>
    <r>
      <rPr>
        <sz val="9"/>
        <color indexed="8"/>
        <rFont val="Calibri"/>
        <family val="2"/>
        <scheme val="minor"/>
      </rPr>
      <t xml:space="preserve">fill in columns C and D which link to the respective </t>
    </r>
    <r>
      <rPr>
        <i/>
        <sz val="9"/>
        <color indexed="8"/>
        <rFont val="Calibri"/>
        <family val="2"/>
        <scheme val="minor"/>
      </rPr>
      <t>T&amp;V Worksheets</t>
    </r>
    <r>
      <rPr>
        <sz val="9"/>
        <color indexed="8"/>
        <rFont val="Calibri"/>
        <family val="2"/>
        <scheme val="minor"/>
      </rPr>
      <t xml:space="preserve">.  If following the </t>
    </r>
    <r>
      <rPr>
        <i/>
        <sz val="9"/>
        <color indexed="8"/>
        <rFont val="Calibri"/>
        <family val="2"/>
        <scheme val="minor"/>
      </rPr>
      <t xml:space="preserve">Prescriptive Path </t>
    </r>
    <r>
      <rPr>
        <sz val="9"/>
        <color indexed="8"/>
        <rFont val="Calibri"/>
        <family val="2"/>
        <scheme val="minor"/>
      </rPr>
      <t xml:space="preserve">column C should be filled in according the requirements of the </t>
    </r>
    <r>
      <rPr>
        <i/>
        <sz val="9"/>
        <color indexed="8"/>
        <rFont val="Calibri"/>
        <family val="2"/>
        <scheme val="minor"/>
      </rPr>
      <t>Prescriptive Path</t>
    </r>
    <r>
      <rPr>
        <sz val="9"/>
        <color indexed="8"/>
        <rFont val="Calibri"/>
        <family val="2"/>
        <scheme val="minor"/>
      </rPr>
      <t>, column D can be ignored.  For both paths update Row 9 in columns D-G with revision date and staff name.</t>
    </r>
  </si>
  <si>
    <r>
      <t xml:space="preserve">2) Review plan review comments to confirm project specifications are consistent with the Proposed Design model or meet or exceed the requirements listed in the </t>
    </r>
    <r>
      <rPr>
        <i/>
        <sz val="9"/>
        <color indexed="8"/>
        <rFont val="Calibri"/>
        <family val="2"/>
        <scheme val="minor"/>
      </rPr>
      <t>Prescriptive Path.</t>
    </r>
    <r>
      <rPr>
        <sz val="9"/>
        <color indexed="8"/>
        <rFont val="Calibri"/>
        <family val="2"/>
        <scheme val="minor"/>
      </rPr>
      <t xml:space="preserve"> If applicable, the energy model should be updated where the design does not match the Proposed Design model to ensure the performance target will be met.</t>
    </r>
  </si>
  <si>
    <r>
      <t xml:space="preserve">3) Review inspection comments to confirm the Final Building is consistent with the Proposed Design model or meets or exceeds the requirements listed in the </t>
    </r>
    <r>
      <rPr>
        <i/>
        <sz val="9"/>
        <color indexed="8"/>
        <rFont val="Calibri"/>
        <family val="2"/>
        <scheme val="minor"/>
      </rPr>
      <t>Prescriptive Path.</t>
    </r>
    <r>
      <rPr>
        <sz val="9"/>
        <color indexed="8"/>
        <rFont val="Calibri"/>
        <family val="2"/>
        <scheme val="minor"/>
      </rPr>
      <t xml:space="preserve"> If applicable, the energy model should be udated where the Final Building does not match the Proposed Design model to ensure the performance target has been met.</t>
    </r>
  </si>
  <si>
    <t>Baseline Design (residential)</t>
  </si>
  <si>
    <t>Baseline Design (non-residential)</t>
  </si>
  <si>
    <t>Below Grade Wall C-value</t>
  </si>
  <si>
    <t>Slab-Below Grade C-value</t>
  </si>
  <si>
    <t>Floor Perimeter/Plank Edge Construction</t>
  </si>
  <si>
    <t>Floor Perimeter/Plank Edge U-value</t>
  </si>
  <si>
    <t>Floor above Unconditioned Space Construction</t>
  </si>
  <si>
    <t>Floor above Unconditioned Space U-value</t>
  </si>
  <si>
    <t>If &lt; 40%, the Baseline is the same as the Proposed;
If &gt; 40%, the Baseline = 40%</t>
  </si>
  <si>
    <t>No shading devices</t>
  </si>
  <si>
    <t>0.7 W/SF</t>
  </si>
  <si>
    <t>See Simulation Guidelines
Section 3.8</t>
  </si>
  <si>
    <t>Per ASHRAE 90.1-2007 Table 9.4.5</t>
  </si>
  <si>
    <t>Measure #</t>
  </si>
  <si>
    <t>Fed Min Std Refrigerator</t>
  </si>
  <si>
    <t>Fed Min Std Dishwasher</t>
  </si>
  <si>
    <t>Fed Min Std Clothes Washer</t>
  </si>
  <si>
    <t>ASHRAE 90.1-2007 Appx G/Sim Guidelines Baseline</t>
  </si>
  <si>
    <t>Per ASHRAE</t>
  </si>
  <si>
    <r>
      <rPr>
        <u/>
        <sz val="9"/>
        <color rgb="FFFF0000"/>
        <rFont val="Calibri"/>
        <family val="2"/>
        <scheme val="minor"/>
      </rPr>
      <t>For gut rehabs</t>
    </r>
    <r>
      <rPr>
        <sz val="9"/>
        <color rgb="FFFF0000"/>
        <rFont val="Calibri"/>
        <family val="2"/>
        <scheme val="minor"/>
      </rPr>
      <t>, do not follow Appx G Baseline listed for envelope components.  Instead use existing conditions.  Also, include description for baseline components, instead of "Per ASHRAE".  However, follow ASHRAE Baseline for all other building components.</t>
    </r>
  </si>
  <si>
    <t>Exit Signs (kW)</t>
  </si>
  <si>
    <t>Garage Lighting (W/SF)</t>
  </si>
  <si>
    <t>0.2 W/SF</t>
  </si>
  <si>
    <t>ASHRAE 90.1 Table 9.6.1 Baseline LPD's
Lobby: 1.3 W/SF
Corridor: 0.5 W/SF
Stairs: 0.6 W/SF
Storage, Active: 0.8 W/SF
Storage, Inactive: 0.3 W/SF
Restroom: 0.9 W/SF
Office: 1.1 W/SF
Multipurpose: 1.3 W/SF
Elec/Mech: 1.5 W/SF</t>
  </si>
  <si>
    <t>Common Area LPD  (W/SF)</t>
  </si>
  <si>
    <t>Common Area Lighting</t>
  </si>
  <si>
    <t>5W/face, 24 hr/day</t>
  </si>
  <si>
    <t>Slab-on-Grade Construction (Unheated)</t>
  </si>
  <si>
    <t>Slab-on Grade F-value (Unheated)</t>
  </si>
  <si>
    <t>Slab-on-Grade Construction (Embedded Heat)</t>
  </si>
  <si>
    <t>Slab-on Grade F-value (Embedded Heat)</t>
  </si>
  <si>
    <t>Slab-on-Grade Insulation (Unheated)</t>
  </si>
  <si>
    <t>Slab-on-Grade Insulation (Embedded Heat)</t>
  </si>
  <si>
    <t>Heating Pump?</t>
  </si>
  <si>
    <t>19 W/GPM</t>
  </si>
  <si>
    <t>Simulation Guidelines
Section 3.15</t>
  </si>
  <si>
    <r>
      <t xml:space="preserve">180 </t>
    </r>
    <r>
      <rPr>
        <sz val="9"/>
        <rFont val="Calibri"/>
        <family val="2"/>
      </rPr>
      <t>°</t>
    </r>
    <r>
      <rPr>
        <sz val="9"/>
        <rFont val="Calibri"/>
        <family val="2"/>
        <scheme val="minor"/>
      </rPr>
      <t>F</t>
    </r>
  </si>
  <si>
    <t>130 °F</t>
  </si>
  <si>
    <t>DHW Circulating Pump?</t>
  </si>
  <si>
    <t>DHW Pump Motor Class</t>
  </si>
  <si>
    <t>DHW Pump Capacity Control</t>
  </si>
  <si>
    <t>DHW Pump Size (HP)</t>
  </si>
  <si>
    <t>Quantity of DHW Pumps</t>
  </si>
  <si>
    <t>Lead Energy Modeler</t>
  </si>
  <si>
    <t>Lavatory Faucets</t>
  </si>
  <si>
    <t>Other, if applicable</t>
  </si>
  <si>
    <t>MODELING/PLAN REVIEW</t>
  </si>
  <si>
    <t>T&amp;V Overview</t>
  </si>
  <si>
    <t>DHW System Efficiency (Et)</t>
  </si>
  <si>
    <t>Type?</t>
  </si>
  <si>
    <t>See ASHRAE Table 7.8</t>
  </si>
  <si>
    <t>DHW Pump Motor Efficiency</t>
  </si>
  <si>
    <t>Hot Water Demand (gpm)</t>
  </si>
  <si>
    <t>Primary Cooling System Efficiency (SEER)</t>
  </si>
  <si>
    <t>Secondary Cooling System Efficiency (SEER)</t>
  </si>
  <si>
    <t>See ASHRAE Table G3.1.1A and G3.1.1B</t>
  </si>
  <si>
    <r>
      <t xml:space="preserve">Gas: 1 or 2 80% efficient Natural Gas Boilers,
Electric: PTHP, 2.81 COP, electric resistance back-up at &lt;40 </t>
    </r>
    <r>
      <rPr>
        <sz val="9"/>
        <rFont val="Calibri"/>
        <family val="2"/>
      </rPr>
      <t>°</t>
    </r>
    <r>
      <rPr>
        <sz val="9"/>
        <rFont val="Calibri"/>
        <family val="2"/>
        <scheme val="minor"/>
      </rPr>
      <t>F</t>
    </r>
  </si>
  <si>
    <t>NA, unless there is &gt;20,000 SF of contiguous non-residential space</t>
  </si>
  <si>
    <t>Tertiary Heating System Efficiency (Et)</t>
  </si>
  <si>
    <t>Primary Heating System Quantity</t>
  </si>
  <si>
    <t xml:space="preserve">Model 1 boiler for buildings less than 15,000 SF, 2 boilers for buildings over 15,000 SF. </t>
  </si>
  <si>
    <t>Secondary Heating System Quantity</t>
  </si>
  <si>
    <t>Tertiary Heating System Quantity</t>
  </si>
  <si>
    <t>Electric Resistance Heating?</t>
  </si>
  <si>
    <t>72 °F</t>
  </si>
  <si>
    <t>70 °F</t>
  </si>
  <si>
    <t>Heating/Cooling Controls</t>
  </si>
  <si>
    <t>80 °F</t>
  </si>
  <si>
    <t>78 °F</t>
  </si>
  <si>
    <t>Primary Cooling System Quantity</t>
  </si>
  <si>
    <t>Secondary Cooling System Quantity</t>
  </si>
  <si>
    <t>Enter baseline capacity as calculated by energy modeling software calculations, plus 15% oversized. Per Appendix G, Section G3.1.2.2, unmet load hours shall not exceed 300 hours.</t>
  </si>
  <si>
    <t>Cooling Controls</t>
  </si>
  <si>
    <t>HW Loop Setpoint Control Temp.</t>
  </si>
  <si>
    <t>180°F at 20°F and below, 
150°F at 50°F and above</t>
  </si>
  <si>
    <t>Cooling Fan Control</t>
  </si>
  <si>
    <t>Cooling Fan kW/CFM</t>
  </si>
  <si>
    <t>Heating Fan Control</t>
  </si>
  <si>
    <t>Heating Fan kW/CFM</t>
  </si>
  <si>
    <t>Space Heating - Type &amp; Efficiency (Primary)</t>
  </si>
  <si>
    <t>Space Heating - Type &amp; Efficiency (Secondary)</t>
  </si>
  <si>
    <t>Space Heating - Type &amp; Efficiency (Tertiary)</t>
  </si>
  <si>
    <t>Space Cooling - Type and Efficiency (Primary)</t>
  </si>
  <si>
    <t>Space Cooling - Type and Efficiency (Secondary)</t>
  </si>
  <si>
    <t>Other motor (1)</t>
  </si>
  <si>
    <t>Other motor (2)</t>
  </si>
  <si>
    <t>Other motor (3)</t>
  </si>
  <si>
    <t>Same as Proposed or As-Built, but not to exceed 30 CFM/bathroom (continuous) or 50 CFM/bathroom (intermittent - 2hr/day)</t>
  </si>
  <si>
    <t>Same as Proposed or As-Built, but not to exceed  7.5 ACH/kitchen (continuous) or 100 CFM/kitchen (intermittent - 2hr/day)</t>
  </si>
  <si>
    <t>Apartment Kitchen Exhaust (CFM/kitchen)</t>
  </si>
  <si>
    <t>Apartment Bathroom Exhaust (CFM/bath)</t>
  </si>
  <si>
    <t>Total Corridor Supply Ventilation (CFM)</t>
  </si>
  <si>
    <t>None, unless required by ASHRAE 6.4.3.9.</t>
  </si>
  <si>
    <t>See Simulation Guidelines
Section 3.12</t>
  </si>
  <si>
    <t>See Simulation Guidelines
Section 3.14</t>
  </si>
  <si>
    <t>None, unless required by ASHRAE G3.1.2.10</t>
  </si>
  <si>
    <t>Same as Proposed or As-Built</t>
  </si>
  <si>
    <t>Non-Apt Ventilation Fans (CFM)</t>
  </si>
  <si>
    <t>Non-Apt Ventilation Fans (hp)</t>
  </si>
  <si>
    <t>Non-Apt Ventilation Fans (efficiency)</t>
  </si>
  <si>
    <t>Use Pfan=BHP*746/Fan Motor Efficiency to determine ventilation fan power. Use ASHRAE Table 10.8 to determine Fan Motor Efficiency</t>
  </si>
  <si>
    <t>See ASHRAE Table 10.8 to determine Fan Motor Efficiency</t>
  </si>
  <si>
    <t>Use Pfan=BHP*746/Fan Motor Efficiency to determine ventilation fan power.</t>
  </si>
  <si>
    <t>Non-Apt Ventilation Fans Power (kW)</t>
  </si>
  <si>
    <t>Apartment - Roof-top fans (CFM)</t>
  </si>
  <si>
    <t>Apartment - In-unit fans (CFM/W)</t>
  </si>
  <si>
    <t>Apartment - Roof-top fans (hp)</t>
  </si>
  <si>
    <t>Apartment - Roof-top fans efficiency (%)</t>
  </si>
  <si>
    <t>Apartment - Roof-top fans Total Power (kW)</t>
  </si>
  <si>
    <t>Garage Exhaust Fan (hp)</t>
  </si>
  <si>
    <t>Garage Exhaust Fan (efficiency)</t>
  </si>
  <si>
    <t>Garage Exhaust Fan - Demand Control</t>
  </si>
  <si>
    <t>Garage Exhaust Fan -Demand Control (hr/day)</t>
  </si>
  <si>
    <t>Garage Exhaust Fan (CFM)</t>
  </si>
  <si>
    <t>Heat/Energy Recovery Effectiveness (%)</t>
  </si>
  <si>
    <t>Duct Sealing</t>
  </si>
  <si>
    <t>Duct Sealing - Total CFM</t>
  </si>
  <si>
    <t>Heat/Energy Recovery</t>
  </si>
  <si>
    <t>Other Demand Control</t>
  </si>
  <si>
    <t>Other Demand Control (hr/day)</t>
  </si>
  <si>
    <t>Other Demand Control Fan Power (kW)</t>
  </si>
  <si>
    <t>Motors</t>
  </si>
  <si>
    <t>Elevator</t>
  </si>
  <si>
    <t>Space Heating Distribution - Fan Control</t>
  </si>
  <si>
    <t>Space Cooling Distribution - Fan Control</t>
  </si>
  <si>
    <t>Ventilation: Thermal (Non-apt, Non-corridor spaces)</t>
  </si>
  <si>
    <t>Ventilation: Thermal
(Apartments)</t>
  </si>
  <si>
    <t>Garage Exhaust Fan Power (kW)</t>
  </si>
  <si>
    <r>
      <t xml:space="preserve">2) All the </t>
    </r>
    <r>
      <rPr>
        <i/>
        <sz val="9"/>
        <color indexed="8"/>
        <rFont val="Calibri"/>
        <family val="2"/>
        <scheme val="minor"/>
      </rPr>
      <t>T&amp;V Worksheets</t>
    </r>
    <r>
      <rPr>
        <sz val="9"/>
        <color indexed="8"/>
        <rFont val="Calibri"/>
        <family val="2"/>
        <scheme val="minor"/>
      </rPr>
      <t xml:space="preserve"> and the Model Inputs tab are linked here so they must be completed first.</t>
    </r>
  </si>
  <si>
    <t>= Overview</t>
  </si>
  <si>
    <t xml:space="preserve">1) This tab serves as an overview of a project's energy efficiency components including modeling assumptions and inspection comments.  It can also be used as the deliverable to provide feedback to the project team.  </t>
  </si>
  <si>
    <t>3) Rows and columns can be hidden as review items become closed, or if the deliverable is being sent to the project Architect or Engineer and only certain items are applicable.  This helps minimize the size and makes the document a more manageable discussion piece.</t>
  </si>
  <si>
    <t>Post-inspection feedback entered into each worksheet is linked to the 'Overview' tab serving as a project overview from design to completion.</t>
  </si>
  <si>
    <r>
      <t xml:space="preserve">This tab can be used to quickly jump to the desired </t>
    </r>
    <r>
      <rPr>
        <i/>
        <sz val="10"/>
        <color rgb="FFFF0000"/>
        <rFont val="Arial"/>
        <family val="2"/>
      </rPr>
      <t>T&amp;V Worksheet</t>
    </r>
    <r>
      <rPr>
        <sz val="10"/>
        <color rgb="FFFF0000"/>
        <rFont val="Arial"/>
        <family val="2"/>
      </rPr>
      <t>.  Additionally each worksheet has a link in the top left corner labeled "TOC" that brings you back to this tab.</t>
    </r>
  </si>
  <si>
    <r>
      <t xml:space="preserve">Most </t>
    </r>
    <r>
      <rPr>
        <i/>
        <sz val="10"/>
        <rFont val="Arial"/>
        <family val="2"/>
      </rPr>
      <t>T&amp;V Worksheets</t>
    </r>
    <r>
      <rPr>
        <sz val="10"/>
        <rFont val="Arial"/>
        <family val="2"/>
      </rPr>
      <t xml:space="preserve"> contain sections titled "Notes to be Included in Drawings and Specifications".  This is meant to be used in the plan review stage for easy access to language to be copied into design documents.  This section and any others not needed can be hidden when printing for the field to condense the size as much as possible.  The more complex building components, such as HVAC do not have the "Notes for Drawings and Specifications" section because there are too many notes to put in one cell so they are broken up line by line in elements below.</t>
    </r>
  </si>
  <si>
    <t>General Formatting of Cells</t>
  </si>
  <si>
    <t>General Formatting of Tabs</t>
  </si>
  <si>
    <r>
      <t xml:space="preserve">Each </t>
    </r>
    <r>
      <rPr>
        <i/>
        <sz val="10"/>
        <rFont val="Arial"/>
        <family val="2"/>
      </rPr>
      <t>T&amp;V Worksheet</t>
    </r>
    <r>
      <rPr>
        <sz val="10"/>
        <rFont val="Arial"/>
        <family val="2"/>
      </rPr>
      <t xml:space="preserve"> lists the individual elements from the </t>
    </r>
    <r>
      <rPr>
        <i/>
        <sz val="10"/>
        <rFont val="Arial"/>
        <family val="2"/>
      </rPr>
      <t xml:space="preserve">Testing and Verification Protocols </t>
    </r>
    <r>
      <rPr>
        <sz val="10"/>
        <rFont val="Arial"/>
        <family val="2"/>
      </rPr>
      <t>that needs to be checked during construction. For the "Inspection" columns, there is a comment box for feedback as well as a verification input where the consultant chooses one of the following after reviewing that particular element. This information links back to the 'Overview' tab for easy reference when updating the model, communicating with the project team or EPA.</t>
    </r>
  </si>
  <si>
    <t>Once final, these T&amp;V Worksheets will be submitted with the As-Built Submittal and reviewed for completion/accuracy.</t>
  </si>
  <si>
    <t>Instructions for T&amp;V Worksheets</t>
  </si>
  <si>
    <t>1 per thermal zone</t>
  </si>
  <si>
    <t>Lighting - LED Exit Signs</t>
  </si>
  <si>
    <t>Lighting - Common Fixtures</t>
  </si>
  <si>
    <t>Project Located in NYC?</t>
  </si>
  <si>
    <t>NYC</t>
  </si>
  <si>
    <t>Non-electric heating fuel source</t>
  </si>
  <si>
    <t>Note that throughout these worksheets, common information from cells are linked and should automatically update.  Only cells shaded in blue need to be entered manually. Entering values into white cells will override pre-determined formulas.  However, depending on the project, there may be reason to write over the pre-determined formulas.</t>
  </si>
  <si>
    <r>
      <rPr>
        <b/>
        <sz val="9"/>
        <rFont val="Calibri"/>
        <family val="2"/>
        <scheme val="minor"/>
      </rPr>
      <t>Notes:</t>
    </r>
    <r>
      <rPr>
        <sz val="9"/>
        <rFont val="Calibri"/>
        <family val="2"/>
        <scheme val="minor"/>
      </rPr>
      <t xml:space="preserve">  Read the notes, which are indicated by red corners, where appropriate to assist in properly completing this tab.</t>
    </r>
  </si>
  <si>
    <r>
      <rPr>
        <b/>
        <sz val="9"/>
        <rFont val="Calibri"/>
        <family val="2"/>
        <scheme val="minor"/>
      </rPr>
      <t>Measure #:</t>
    </r>
    <r>
      <rPr>
        <sz val="9"/>
        <rFont val="Calibri"/>
        <family val="2"/>
        <scheme val="minor"/>
      </rPr>
      <t xml:space="preserve">  To auto-generate the measure descriptions in the Detailed Measures tab, number the appropriate rows in this column such that it matches the ID number (column A) on the Detailed Measures tab.</t>
    </r>
  </si>
  <si>
    <r>
      <rPr>
        <b/>
        <sz val="9"/>
        <rFont val="Calibri"/>
        <family val="2"/>
        <scheme val="minor"/>
      </rPr>
      <t>Baseline Design:</t>
    </r>
    <r>
      <rPr>
        <sz val="9"/>
        <rFont val="Calibri"/>
        <family val="2"/>
        <scheme val="minor"/>
      </rPr>
      <t xml:space="preserve">  In the blue cells, enter the baseline information used in the model.  If this project has a different baseline than listed in a white cell, you may overwrite that cell.</t>
    </r>
  </si>
  <si>
    <r>
      <rPr>
        <b/>
        <sz val="9"/>
        <rFont val="Calibri"/>
        <family val="2"/>
        <scheme val="minor"/>
      </rPr>
      <t>Proposed Design/As-Built:</t>
    </r>
    <r>
      <rPr>
        <sz val="9"/>
        <rFont val="Calibri"/>
        <family val="2"/>
        <scheme val="minor"/>
      </rPr>
      <t xml:space="preserve">  In the blue cells, enter the proposed design/as-built information used in the model and/or that matches the proposed/as-built building.</t>
    </r>
  </si>
  <si>
    <t>In blue cells only, enter general information about the project.  If the Basic Info and Model Inputs tabs are completed first, the majority of this tab will autofill.</t>
  </si>
  <si>
    <t>This worksheet should be a summary of all Energy Reduction Measures, their savings and their costs.  It is used to determine the cost effectiveness for each recommended measure and for the project as a whole.  If the Results from eQUEST and Model Inputs tabs are completed first, much of this tab will autofill.</t>
  </si>
  <si>
    <t>T&amp;V Worksheets</t>
  </si>
  <si>
    <r>
      <t xml:space="preserve">These tabs are used to facilitate and document the design review and inspection process.  These tabs have their own instruction sheet labelled T&amp;V Instructions.  </t>
    </r>
    <r>
      <rPr>
        <i/>
        <sz val="9"/>
        <rFont val="Calibri"/>
        <family val="2"/>
        <scheme val="minor"/>
      </rPr>
      <t>These sheets do NOT need to be completed at the time of the Modeling Submittal</t>
    </r>
    <r>
      <rPr>
        <sz val="9"/>
        <rFont val="Calibri"/>
        <family val="2"/>
        <scheme val="minor"/>
      </rPr>
      <t>.</t>
    </r>
  </si>
  <si>
    <t>Project using modeling software other than eQUEST will need to manually enter information in many white cells that would otherwise calculated based on inputs from the Results from eQUEST tab.</t>
  </si>
  <si>
    <r>
      <t xml:space="preserve">After the final plan review confirms all recommendations have been integrated into the construction documents, the </t>
    </r>
    <r>
      <rPr>
        <i/>
        <sz val="10"/>
        <rFont val="Arial"/>
        <family val="2"/>
      </rPr>
      <t>T&amp;V Worksheets</t>
    </r>
    <r>
      <rPr>
        <sz val="10"/>
        <rFont val="Arial"/>
        <family val="2"/>
      </rPr>
      <t xml:space="preserve"> are intended to be printed and brought to the field.  They list measures and building components to be inspected, mandatory requirements and/or energy modeling assumptions to be confirmed, and any additional relevant information identified during the plan review.</t>
    </r>
  </si>
  <si>
    <t>If "Cost Savings" is negative, delete that row as that indicates a energy penalty and therefore should not beincluded in this list of energy saving measures.</t>
  </si>
  <si>
    <t>Notes:</t>
  </si>
  <si>
    <r>
      <t xml:space="preserve">2. </t>
    </r>
    <r>
      <rPr>
        <b/>
        <sz val="9"/>
        <rFont val="Calibri"/>
        <family val="2"/>
        <scheme val="minor"/>
      </rPr>
      <t>Description</t>
    </r>
    <r>
      <rPr>
        <sz val="9"/>
        <rFont val="Calibri"/>
        <family val="2"/>
        <scheme val="minor"/>
      </rPr>
      <t xml:space="preserve"> - Provide a brief non-generic description of the measure for both Baseline Component (column D) and Proposed Component (column G).  If you complete the Model Inputs tab correctly, this will autofill.</t>
    </r>
  </si>
  <si>
    <r>
      <t xml:space="preserve">5. </t>
    </r>
    <r>
      <rPr>
        <b/>
        <sz val="9"/>
        <rFont val="Calibri"/>
        <family val="2"/>
        <scheme val="minor"/>
      </rPr>
      <t xml:space="preserve">Non-Electric Heating Fuel Source </t>
    </r>
    <r>
      <rPr>
        <sz val="9"/>
        <rFont val="Calibri"/>
        <family val="2"/>
        <scheme val="minor"/>
      </rPr>
      <t>- Select the primary fuel affected by the measure. If electricity is primary fuel, choose "N/A".</t>
    </r>
  </si>
  <si>
    <r>
      <t xml:space="preserve">6. </t>
    </r>
    <r>
      <rPr>
        <b/>
        <sz val="9"/>
        <rFont val="Calibri"/>
        <family val="2"/>
        <scheme val="minor"/>
      </rPr>
      <t xml:space="preserve">Quantity </t>
    </r>
    <r>
      <rPr>
        <sz val="9"/>
        <rFont val="Calibri"/>
        <family val="2"/>
        <scheme val="minor"/>
      </rPr>
      <t>- Provide a quantity for the proposed measure corresponding to the units automatically generated based on your measure selection.  If "Other" measure, enter appropriate units.</t>
    </r>
  </si>
  <si>
    <r>
      <t xml:space="preserve">7. </t>
    </r>
    <r>
      <rPr>
        <b/>
        <sz val="9"/>
        <rFont val="Calibri"/>
        <family val="2"/>
        <scheme val="minor"/>
      </rPr>
      <t xml:space="preserve">Demand Savings </t>
    </r>
    <r>
      <rPr>
        <sz val="9"/>
        <rFont val="Calibri"/>
        <family val="2"/>
        <scheme val="minor"/>
      </rPr>
      <t>- Enter calculated demand savings only if cell is highlighted blue.</t>
    </r>
  </si>
  <si>
    <r>
      <t xml:space="preserve">8. </t>
    </r>
    <r>
      <rPr>
        <b/>
        <sz val="9"/>
        <rFont val="Calibri"/>
        <family val="2"/>
        <scheme val="minor"/>
      </rPr>
      <t xml:space="preserve">Annual Water/Sewer and O&amp;M Savings </t>
    </r>
    <r>
      <rPr>
        <sz val="9"/>
        <rFont val="Calibri"/>
        <family val="2"/>
        <scheme val="minor"/>
      </rPr>
      <t>- Enter as appropriate</t>
    </r>
  </si>
  <si>
    <t>Enter measure title below to be included in the  Site Inspection Request Forms</t>
  </si>
  <si>
    <r>
      <t xml:space="preserve">9. </t>
    </r>
    <r>
      <rPr>
        <b/>
        <sz val="9"/>
        <rFont val="Calibri"/>
        <family val="2"/>
        <scheme val="minor"/>
      </rPr>
      <t>Column AU</t>
    </r>
    <r>
      <rPr>
        <sz val="9"/>
        <rFont val="Calibri"/>
        <family val="2"/>
        <scheme val="minor"/>
      </rPr>
      <t xml:space="preserve"> - Enter descriptive measure title in this column.  You can then autogenerate some of this information in the linked Site Inspection Request Forms.</t>
    </r>
  </si>
  <si>
    <r>
      <t xml:space="preserve">10. </t>
    </r>
    <r>
      <rPr>
        <b/>
        <sz val="9"/>
        <rFont val="Calibri"/>
        <family val="2"/>
        <scheme val="minor"/>
      </rPr>
      <t>Hide Rows</t>
    </r>
    <r>
      <rPr>
        <sz val="9"/>
        <rFont val="Calibri"/>
        <family val="2"/>
        <scheme val="minor"/>
      </rPr>
      <t xml:space="preserve"> - Hide empty rows.</t>
    </r>
  </si>
  <si>
    <r>
      <t xml:space="preserve">1. </t>
    </r>
    <r>
      <rPr>
        <b/>
        <sz val="9"/>
        <rFont val="Calibri"/>
        <family val="2"/>
        <scheme val="minor"/>
      </rPr>
      <t xml:space="preserve">Measure Classification </t>
    </r>
    <r>
      <rPr>
        <sz val="9"/>
        <rFont val="Calibri"/>
        <family val="2"/>
        <scheme val="minor"/>
      </rPr>
      <t xml:space="preserve"> - Select the appropriate measure from the drop down menu provided.  Make sure the measure corresponds to the Parametric Run that has been autofilled.</t>
    </r>
  </si>
  <si>
    <t>Clothes Dryer - Electric use (kWh/yr)</t>
  </si>
  <si>
    <t>Clothes Dryer - Gas use, if applicable (therm/yr)</t>
  </si>
  <si>
    <t xml:space="preserve">             If this tab is filled out correctly, it will autofill significant portions of the Reporting Summary, Detailed Measures and T&amp;V Worksheets.</t>
  </si>
  <si>
    <t xml:space="preserve">             If the building component does not exist in the building, enter "N/A" in the baseline and proposed/as-built columns.</t>
  </si>
  <si>
    <t>Secondary Heating System Efficiency (Et)</t>
  </si>
  <si>
    <t>F-factor</t>
  </si>
  <si>
    <t>%</t>
  </si>
  <si>
    <t>C-factor</t>
  </si>
  <si>
    <t>Slab-on-grade construction (unheated)</t>
  </si>
  <si>
    <t>Slab-on-grade construction (embedded heat)</t>
  </si>
  <si>
    <t>kW/CFM</t>
  </si>
  <si>
    <t>Compartmentalization - general</t>
  </si>
  <si>
    <t>Apartments shall be sealed to reduce air exchange between the apartment and outside as well as the apartment and other adjacent spaces.  A maximum air leakage rate of 0.30 CFM50 per 100 square feet of enclosure is allowed. Sampling procedures and tolerances are described in the T&amp;V Protocols.
Specific apartment air leakage paths to be sealed are listed in the T&amp;V Worksheet 8.1-INF_COMPTZN VIS INSPECTION.</t>
  </si>
  <si>
    <t>Garages - Heating &amp; Compartmentalizing - PROTOCOL 4.2</t>
  </si>
  <si>
    <t>Protocol 4.2 – Heating and Compartmentalization</t>
  </si>
  <si>
    <t>4.2 - GARAGES_CMPTZ &amp; HEATING</t>
  </si>
  <si>
    <t>Protocol 4.1 - Garage Ventilation Fans with CO sensors</t>
  </si>
  <si>
    <t>Ventilation - Schedule and Operation - PROTOCOL 8.2 and 4.1</t>
  </si>
  <si>
    <t>8.2, 4.1 - VENT_SCHEDULE&amp;TAB</t>
  </si>
  <si>
    <t>8.2,4.1 - VENT_SCHEDULE&amp;TAB</t>
  </si>
  <si>
    <t>Detailed Measures</t>
  </si>
  <si>
    <t>DHW - Temperature
• Verify that domestic hot water system is set to deliver temperatures within the 120-125° F range.
• Verify domestic hot water supply and return temperatures.
• If a condensing boiler system is installed, verify return water temperature meets design conditions..</t>
  </si>
  <si>
    <t>Heating - Temperature
• If a condensing boiler system is installed, verify return water temperature meets design conditions.</t>
  </si>
  <si>
    <t>2.5.5</t>
  </si>
  <si>
    <t>Heating Distribution - Temperature</t>
  </si>
  <si>
    <t xml:space="preserve">1)  100% of centralized primary equipment (i.e. heating and DHW plants) shall be inspected in the quality assurance and verification process. </t>
  </si>
  <si>
    <t>Thermal Break
• Window frames should be separated from conductive framing (metal and masonry studs, lintels and sills) with insulation designed to serve as a thermal break.</t>
  </si>
  <si>
    <t>Thermal Break</t>
  </si>
  <si>
    <t>3.5.8</t>
  </si>
  <si>
    <t>Heating Distribution - Outdoor Air Damper
• For all outdoor air supply and exhaust systems, provide motorized dampers that will automatically shut when the systems or spaces served are not in use.  This criteria also applies to heat pump units, and otherwise comply with ASHRAE 90.1 2007 6.4.3.4..</t>
  </si>
  <si>
    <t>Cooling Distribution - Outdoor Air Damper
• For all outdoor air supply and exhaust systems, provide motorized dampers that will automatically shut when the systems or spaces served are not in use.  This criteria also applies to heat pump units, and otherwise comply with ASHRAE 90.1 2007 6.4.3.4..</t>
  </si>
  <si>
    <t>Lighting - General</t>
  </si>
  <si>
    <t>The lighting measures must comply with ASHRAE 90.1-2007 Section 9.4.</t>
  </si>
  <si>
    <t>All exit signs shall be LED or photo-luminescent and shall conform to local building code; fixtures located above stairwell doors and other forms of egress shall contain a battery back-up feature.</t>
  </si>
  <si>
    <r>
      <t xml:space="preserve">• All three-phase motors 1 horse-power or larger shall meet or exceed efficiency standards for NEMA </t>
    </r>
    <r>
      <rPr>
        <u/>
        <sz val="9"/>
        <rFont val="Calibri"/>
        <family val="2"/>
        <scheme val="minor"/>
      </rPr>
      <t>Premium™</t>
    </r>
    <r>
      <rPr>
        <sz val="9"/>
        <rFont val="Calibri"/>
        <family val="2"/>
        <scheme val="minor"/>
      </rPr>
      <t xml:space="preserve">   motors.  
</t>
    </r>
  </si>
  <si>
    <t>METERS - CONFIGURATION - PROTOCOL 10.1</t>
  </si>
  <si>
    <t>10.1 - METERS</t>
  </si>
  <si>
    <t>Protocol 10.1 - Metering Configuration</t>
  </si>
  <si>
    <t>Protocol 9.1 - Common Area and In-Unit Smoke &amp; Carbon Monoxide Detectors</t>
  </si>
  <si>
    <t>HEALTH AND SAFETY - PROTOCOL 9.1</t>
  </si>
  <si>
    <t>1) Project completion</t>
  </si>
  <si>
    <t xml:space="preserve">1) Inspect 100% of unique common areas (basements, lobbies)
</t>
  </si>
  <si>
    <t xml:space="preserve">2) inspect apartments following modified RESNET sampling protocol. </t>
  </si>
  <si>
    <t xml:space="preserve">- Provide photographs of at least one (1) representative detector of each type being inspected.  </t>
  </si>
  <si>
    <t>• Specify smoke and carbon monoxide detectors per local building code in common area and apartments.</t>
  </si>
  <si>
    <t xml:space="preserve">Location - Residential
• Confirm location and existence of smoke and CO detectors in relation to plans and specifications.   </t>
  </si>
  <si>
    <t>Location - Nonresidential
• Confirm location and existence of ssmoke and Co detectors that serve the nonresidential associated areas of the building.</t>
  </si>
  <si>
    <t>10.1.1</t>
  </si>
  <si>
    <t>10.1.2</t>
  </si>
  <si>
    <t>10.1.3</t>
  </si>
  <si>
    <t>10.1.4</t>
  </si>
  <si>
    <t>10.1.5</t>
  </si>
  <si>
    <t>10.1.6</t>
  </si>
  <si>
    <t>HEALTH AND SAFTEY</t>
  </si>
  <si>
    <r>
      <rPr>
        <b/>
        <sz val="9"/>
        <rFont val="Calibri"/>
        <family val="2"/>
        <scheme val="minor"/>
      </rPr>
      <t>DHW</t>
    </r>
    <r>
      <rPr>
        <sz val="9"/>
        <rFont val="Calibri"/>
        <family val="2"/>
        <scheme val="minor"/>
      </rPr>
      <t xml:space="preserve">
Domestic water heating measures must comply with ASHRAE Standard 90.1-2007 Section 7.4 and NYS ECCC.
</t>
    </r>
    <r>
      <rPr>
        <b/>
        <sz val="9"/>
        <rFont val="Calibri"/>
        <family val="2"/>
        <scheme val="minor"/>
      </rPr>
      <t>Heating</t>
    </r>
    <r>
      <rPr>
        <sz val="9"/>
        <rFont val="Calibri"/>
        <family val="2"/>
        <scheme val="minor"/>
      </rPr>
      <t xml:space="preserve">
The heating and cooling measures must comply with ASHRAE 90.1-2007 Section 6.4.</t>
    </r>
  </si>
  <si>
    <t>The envelope components must comply with ASHRAE Standard 90.1-2007 Section 5.4 and NYS ECCC. Assembly U-value determinations must follow ASHRAE 90.1-2007 Appendix A.</t>
  </si>
  <si>
    <t>Specified windows must be double or triple-pane, with low-emissivity glass or coatings and comply with NYS ECCC.</t>
  </si>
  <si>
    <t>The specified heating  equipment shall be ENERGY STAR qualified, where applicable. For all other systems that are not covered by the ENERGY STAR labeling program, the specified heating  equipment shall have a rated efficiency according to NYS ECCC.</t>
  </si>
  <si>
    <t>The specified cooling equipment shall be ENERGY STAR qualified, where applicable. For all other systems that are not covered by the ENERGY STAR labeling program, the specified cooling equipment shall have a rated efficiency according to NYS ECCC.</t>
  </si>
  <si>
    <t>Space Heating / DHW - Insulation for Piping
• Piping carrying fluid with temperatures greater than 105°F  shall be insulated in accordance with NYS ECCC.</t>
  </si>
  <si>
    <t>Same as Proposed of As-Built</t>
  </si>
  <si>
    <t>Apartment - Fresh Air Supply Type</t>
  </si>
  <si>
    <t xml:space="preserve">Outdoor air must be provided to each unit directly from the outdoors. Projects using exhaust ventilation systems must specify how outside air is delivered at the flow rate required by ASHRAE 62.2-2007. Systems that rely on transfer air from pressurized hallways or corridors, adjacent dwelling units, attics, etc. are prohibited. </t>
  </si>
  <si>
    <t>Fresh Air Supply to Apartments
• Exhaust fans that provide the local exhaust for kitchens and bathrooms can simultaneously facilitate the outdoor air ventilation system for the apartment, with sufficient make-up air provided mechanically or by a dedicated make up outdoor air source (e.g., trickle ventilators).</t>
  </si>
  <si>
    <t>Ventilation: Supply to Apartments (Fresh Air)</t>
  </si>
  <si>
    <t>9.1 - HEALTH &amp; SAFETY</t>
  </si>
  <si>
    <t>8.5.8</t>
  </si>
  <si>
    <t>Fresh Air Supply to Apartments</t>
  </si>
  <si>
    <t>Space Cooling Distribution - Fan Power</t>
  </si>
  <si>
    <t>Enter value from ASHRAE Table 5.5-4 through 5.5-6 for Residential or Nonresidential Steel-Framed walls</t>
  </si>
  <si>
    <t>Enter value from ASHRAE Table 5.5-4 through 5.5-6 for Residential or Nonresidential Mass walls</t>
  </si>
  <si>
    <t>Enter value from ASHRAE Table 5.5-4 through 5.5-6 for Residential or Nonresidential Below-Grade walls</t>
  </si>
  <si>
    <t>Enter value from ASHRAE Table 5.5-4 through 5.5-6 for Residential or Nonresidential Steel-joist floors</t>
  </si>
  <si>
    <t>Enter value from ASHRAE Table 5.5-4 through 5.5-6 for Residential or Nonresidential Slab-on-Grade floors, Unheated</t>
  </si>
  <si>
    <t>Enter value from ASHRAE Table 5.5-4 through 5.5-6 for Residential or Nonresidential Slab-on-Grade floors, Embedded heated</t>
  </si>
  <si>
    <t>Enter value from ASHRAE Table 5.5-4 through 5.5-6 for Residential or Nonresidential Insulation Entirely above Deck</t>
  </si>
  <si>
    <t>Enter value from ASHRAE Table 5.5-4 through 5.5-6 for Vertical Glazing and Proposed frame material</t>
  </si>
  <si>
    <t>Enter value from ASHRAE Table 5.5-4 through 5.5-6 for Opaque Doors</t>
  </si>
  <si>
    <t xml:space="preserve">Enter baseline capacity as calculated by energy modeling software calculations, plus 25% oversized. Per Appendix G, Section G3.1.2.2, unmet load hours shall not exceed 300 hours, and the proposed design shall not exceed the baseline design by more than 50 unmet load hours </t>
  </si>
  <si>
    <t>16 hr</t>
  </si>
  <si>
    <t>18 hr</t>
  </si>
  <si>
    <t>Heating Setpoint - during occupied hours</t>
  </si>
  <si>
    <t>Cooling Setpoint - during occupied hours</t>
  </si>
  <si>
    <t>Cooling Setpoint - during unoccupied hours</t>
  </si>
  <si>
    <t>Heating Setpoint - during unoccupied hours</t>
  </si>
  <si>
    <t>Cooling Setpoint - occupied hours/day</t>
  </si>
  <si>
    <t>Heating Setpoint - occupied hours/day</t>
  </si>
  <si>
    <t>2) Floor Plans (with fixture locations)</t>
  </si>
  <si>
    <t>3) Contractor Submittals</t>
  </si>
  <si>
    <t>4) Camera</t>
  </si>
  <si>
    <t>(Add rows above if needed.)</t>
  </si>
  <si>
    <t>- Photo of CFLs demonstrating that they are pin based, where applicable.</t>
  </si>
  <si>
    <t xml:space="preserve">Common Area Lighting
• Check quantity, locations, unit specifications for conformance/deviation including types of fixtures, wattages of lamps, etc.
• Collect manufacturer and model data to confirm combined lamp and ballast efficacies meet or exceed ENERGY STAR efficacies.  
• Take photo of one sample of each fixture type with ENERGY STAR qualification affixed, where applicable. 
• Collect submittals/invoices for each unique fixture type showing ENERGY STAR qualification (where applicable) and wattage.
• Check location of control types for conformance/deviation. 
• Confirm that each control type is operable, see below for detailed instructions.
• If following Prescriptive Path, total specified lighting power for the combined non-apartment spaces should not exceed ASHRAE allowances for those combined spaces.
</t>
  </si>
  <si>
    <t>All hard-wired lighting fixtures and ceiling fans installed within apartments shall meet or exceed ENERGY STAR specifications. 
ENERGY STAR qualified screw-in lamps may be used in the following applications:
• Closets, storage spaces, and other locations that are not within habitable living space
• Decorative fixtures such as chandeliers</t>
  </si>
  <si>
    <t>All light fixtures in non-apartment spaces, including hallways, stairwells, lobbies, elevators, garages and decorative fixtures, shall have combined lamp and ballast efficacies meeting or exceeding ENERGY STAR specifications.  Alternatively, T-5 or T-8 lamps with electronic ballasts or ENERGY STAR screw-in lamps may be used.
Total specified lighting power for the combined non-apartment spaces should not exceed ASHRAE allowances for those combined spaces by more than 20%.</t>
  </si>
  <si>
    <t>Vending Machines</t>
  </si>
  <si>
    <t xml:space="preserve">When provided in common areas and/or apartments, refrigerators, dishwashers, clothes washers, thermostats and vending machines must be ENERGY STAR qualified.
</t>
  </si>
  <si>
    <r>
      <rPr>
        <b/>
        <sz val="9"/>
        <rFont val="Calibri"/>
        <family val="2"/>
        <scheme val="minor"/>
      </rPr>
      <t>Thermostats</t>
    </r>
    <r>
      <rPr>
        <sz val="9"/>
        <rFont val="Calibri"/>
        <family val="2"/>
        <scheme val="minor"/>
      </rPr>
      <t xml:space="preserve">
• Verify that all common area and/or apartment thermostats are ENERGY STAR qualified.</t>
    </r>
  </si>
  <si>
    <t>1.1.7</t>
  </si>
  <si>
    <t xml:space="preserve">Domestic water heating equipment shall be ENERGY STAR qualified, where applicable, and specified as dedicated or indirect fired, with or without storage. Atmospherically vented gas water heaters, tankless coils and side-arm water heaters shall not be specified.
</t>
  </si>
  <si>
    <t>Common area and in-unit faucets and showerheads must not exceed 2.0 gpm. Toilets must not exceed 1.3 gallons per flush OR must be dual-flush OR must be WaterSense labeled.
• Faucets
• Showerheads
• Toilets</t>
  </si>
  <si>
    <t>Below Grade Walls - Insulation and Initial Framing Inspection
• Verify insulation type, thickness, location, coverage, and installation.  Improperly installed insulation must be derated*.
• Verify wall assembly is compliant with the proposed design model or requirements of the Prescriptive Path, including framing factor assumptions .  The effective R-value of the installed insulation shall be used in the Proposed Design model (from exterior finish to interior finish).
• Verify that insulation achieves RESNET-defined Grade I installation or, alternatively, Grade II for walls with continuous rigid insulation.
• Verify location and continuity of air and vapor barriers (if specified).
• Protection from air and moisture intrusion of interior and cavity insulation will also be verified.</t>
  </si>
  <si>
    <t>Floor Perimeter/Plank Edge - Insulation and Framing Inspection
• Verify insulation type, thickness, location, coverage, and installation.  Improperly installed insulation must be derated*.
• Verify wall assembly is compliant with the proposed design model or requirements of the Prescriptive Path, including framing factor assumptions .  The effective R-value of the installed insulation shall be used in the Proposed Design model (from exterior finish to interior finish).
• Verify that insulation achieves RESNET-defined Grade I installation or, alternatively, Grade II for walls with continuous rigid insulation.
• Verify location and continuity of air and vapor barriers (if specified).
• Protection from air and moisture intrusion of interior and cavity insulation will also be verified.</t>
  </si>
  <si>
    <t>Above Grade Walls - Insulation and Initial Framing Inspection
• Verify insulation type, thickness, location, coverage, and installation.  Improperly installed insulation must be derated*.
• Verify wall assembly is compliant with the proposed design model or requirements of the Prescriptive Path, including framing factor assumptions .  The effective R-value of the installed insulation shall be used in the Proposed Design model (from exterior finish to interior finish).
• Verify that insulation achieves RESNET-defined Grade I installation or, alternatively, Grade II for walls with continuous rigid insulation. 
• Verify location and continuity of air and vapor barriers (if specified).
• Protection from air and moisture intrusion of interior and cavity insulation will also be verified.</t>
  </si>
  <si>
    <t>Insulation shall achieve RESNET-defined Grade I installation, or, alternatively, Grade II for walls with continuous rigid insulation.</t>
  </si>
  <si>
    <t>Continuous insulation is required for buildings utilizing metal framing.</t>
  </si>
  <si>
    <t>8.8.9</t>
  </si>
  <si>
    <t>Duct Tightness - Roof Curb</t>
  </si>
  <si>
    <t>2.2.2</t>
  </si>
  <si>
    <t>Space Heating - Type</t>
  </si>
  <si>
    <t>3.2.6</t>
  </si>
  <si>
    <t>3.2.7</t>
  </si>
  <si>
    <t>Above Grade Walls - RESNET-defined grade</t>
  </si>
  <si>
    <t>Above Grade Walls - Continuous Insulation</t>
  </si>
  <si>
    <t>Insulation shall achieve RESNET-defined Grade I installation, or, alternatively, Grade II for roofs with continuous rigid insulation.</t>
  </si>
  <si>
    <t>3.3.5</t>
  </si>
  <si>
    <t>Roof - RESNET-defined grade</t>
  </si>
  <si>
    <t>Insulation shall achieve RESNET-defined Grade I installation, or, alternatively, Grade II for floors with continuous rigid insulation.</t>
  </si>
  <si>
    <t>3.4.8</t>
  </si>
  <si>
    <t>Floors - RESNET-defined grade</t>
  </si>
  <si>
    <r>
      <t>Heating Distribution - In-Unit Duct Design
For in-unit foced air distribution systems, pressure-balance the bedrooms by:
- providing 1 in</t>
    </r>
    <r>
      <rPr>
        <vertAlign val="superscript"/>
        <sz val="9"/>
        <rFont val="Calibri"/>
        <family val="2"/>
        <scheme val="minor"/>
      </rPr>
      <t>2</t>
    </r>
    <r>
      <rPr>
        <sz val="9"/>
        <rFont val="Calibri"/>
        <family val="2"/>
        <scheme val="minor"/>
      </rPr>
      <t xml:space="preserve"> of free area opening per 1 CFM of measured supply air using transfer grills and/or jump ducts; 
- using dedicated return ducts; or 
- achieving a measured pressure differential &lt; 3 Pa (0.012 in. w.c.) with respect to the outside when bedroom doors are closed and the air handler is operating.
</t>
    </r>
  </si>
  <si>
    <r>
      <t>Cooling Distribution - In-Unit Duct Design
For in-unit foced air distribution systems, pressure-balance the bedrooms by:
- providing 1 in</t>
    </r>
    <r>
      <rPr>
        <vertAlign val="superscript"/>
        <sz val="9"/>
        <rFont val="Calibri"/>
        <family val="2"/>
        <scheme val="minor"/>
      </rPr>
      <t>2</t>
    </r>
    <r>
      <rPr>
        <sz val="9"/>
        <rFont val="Calibri"/>
        <family val="2"/>
        <scheme val="minor"/>
      </rPr>
      <t xml:space="preserve"> of free area opening per 1 CFM of measured supply air using transfer grills and/or jump ducts; 
- using dedicated return ducts; or 
- achieving a measured pressure differential &lt; 3 Pa (0.012 in. w.c.) with respect to the outside when bedroom doors are closed and the air handler is operating.
</t>
    </r>
  </si>
  <si>
    <t>Cooling Distribution System - In-Unit Duct Design</t>
  </si>
  <si>
    <t>5.4.9</t>
  </si>
  <si>
    <t>2.7.5</t>
  </si>
  <si>
    <t>Heating Distribution - In-Unit Duct Design</t>
  </si>
  <si>
    <r>
      <t>Heating Distribution - In-Unit Duct Leakage Testing
• Following the procedures outlined in Energy Conservatory's Minneapolis Duct Blaster Operation Manual (Series B Systems), a one-point test for total duct leakage in the main duct shaft using a calibrated fan measured under depressurization or pressurization is acceptable for this measurement.  Per the Minimum Performance Standard, the duct leakage for in-unit heating and cooling duct systems system must not exceed 8 CFM25 per 100 ft</t>
    </r>
    <r>
      <rPr>
        <vertAlign val="superscript"/>
        <sz val="9"/>
        <rFont val="Calibri"/>
        <family val="2"/>
        <scheme val="minor"/>
      </rPr>
      <t>2</t>
    </r>
    <r>
      <rPr>
        <sz val="9"/>
        <rFont val="Calibri"/>
        <family val="2"/>
        <scheme val="minor"/>
      </rPr>
      <t xml:space="preserve"> of conditioned floor area, or 6 CFM25 per 100 ft</t>
    </r>
    <r>
      <rPr>
        <vertAlign val="superscript"/>
        <sz val="9"/>
        <rFont val="Calibri"/>
        <family val="2"/>
        <scheme val="minor"/>
      </rPr>
      <t>2</t>
    </r>
    <r>
      <rPr>
        <sz val="9"/>
        <rFont val="Calibri"/>
        <family val="2"/>
        <scheme val="minor"/>
      </rPr>
      <t xml:space="preserve"> of conditioned floor area for apartments larger than 1200 ft</t>
    </r>
    <r>
      <rPr>
        <vertAlign val="superscript"/>
        <sz val="9"/>
        <rFont val="Calibri"/>
        <family val="2"/>
        <scheme val="minor"/>
      </rPr>
      <t>2</t>
    </r>
    <r>
      <rPr>
        <sz val="9"/>
        <rFont val="Calibri"/>
        <family val="2"/>
        <scheme val="minor"/>
      </rPr>
      <t>. This criteria also applies to heat pump units.
• When conducting a duct leakage depressurization test, the flow conditioner and one of the flow rings must always be installed.
• Provide a summary of results of any duct leakage or ventilation performance testing; a sample table is provided below.</t>
    </r>
  </si>
  <si>
    <r>
      <t>Cooling Distribution - In-Unit Duct Leakage Testing
• Following the procedures outlined in Energy Conservatory's Minneapolis Duct Blaster Operation Manual (Series B Systems), a one-point test for total duct leakage in the main duct shaft using a calibrated fan measured under depressurization or pressurization is acceptable for this measurement.   Per the Minimum Performance Standard, the duct leakage for in-unit heating and cooling duct systems system must not exceed 8 CFM25 per 100 ft</t>
    </r>
    <r>
      <rPr>
        <vertAlign val="superscript"/>
        <sz val="9"/>
        <rFont val="Calibri"/>
        <family val="2"/>
        <scheme val="minor"/>
      </rPr>
      <t>2</t>
    </r>
    <r>
      <rPr>
        <sz val="9"/>
        <rFont val="Calibri"/>
        <family val="2"/>
        <scheme val="minor"/>
      </rPr>
      <t xml:space="preserve"> of conditioned floor area, or 6 CFM25 per 100 ft</t>
    </r>
    <r>
      <rPr>
        <vertAlign val="superscript"/>
        <sz val="9"/>
        <rFont val="Calibri"/>
        <family val="2"/>
        <scheme val="minor"/>
      </rPr>
      <t>2</t>
    </r>
    <r>
      <rPr>
        <sz val="9"/>
        <rFont val="Calibri"/>
        <family val="2"/>
        <scheme val="minor"/>
      </rPr>
      <t xml:space="preserve"> of conditioned floor area for apartments larger than 1200 ft</t>
    </r>
    <r>
      <rPr>
        <vertAlign val="superscript"/>
        <sz val="9"/>
        <rFont val="Calibri"/>
        <family val="2"/>
        <scheme val="minor"/>
      </rPr>
      <t>2</t>
    </r>
    <r>
      <rPr>
        <sz val="9"/>
        <rFont val="Calibri"/>
        <family val="2"/>
        <scheme val="minor"/>
      </rPr>
      <t>. This criteria also applies to heat pump units.
• When conducting a duct leakage depressurization test, the flow conditioner and one of the flow rings must always be installed.
• Provide a summary of results of any duct leakage or ventilation performance testing; a sample table is provided below.</t>
    </r>
  </si>
  <si>
    <t>Cooling Distribution - Duct Insulation
• Cooling ductwork shall be insulated to a minimum R-4 in conditioned spaces and R-6 in unconditioned spaces . Ducts shall be insulated and sealed to the requirements of NYS ECCC.  If following the Prescriptive Path, R-8 in unconditioned spaces.</t>
  </si>
  <si>
    <t>Heating Distribution - Duct Insulation
• Heating ductwork shall be insulated to a minimum R-4 in conditioned spaces and R-6 in unconditioned spaces . Ducts shall be insulated and sealed to the requirements of NYS ECCC.  If following the Prescriptive Path, R-8 in unconditioned spaces.  This criteria also applies to heat pump units.</t>
  </si>
  <si>
    <t>Cooling Distribution - Pipe Insulation
• Piping carrying fluids with temperatures less than 60°F shall be insulated in accordance with NYS ECCC.</t>
  </si>
  <si>
    <t>• Include a list of elements to be sealed in the garage based on the plan review and the requirements listed in the Minimum Performance Standards that would minimize air flow between the garage and the rest of the building, including entrance door(s) leading into building from garage.</t>
  </si>
  <si>
    <t>• Include list of elements to be sealed in construction documents.  List must include all elements identified in ASHRAE 90.1-2007, Section 5.4.3.1, or applicable state code, all elements listed in the Testing &amp; Verification Protocols, and any additional site-specific elements identified during plan review that should be addressed to ensure air leakage in the exterior building envelope is effectively controlled.  Bid and contract documents must include locations to be sealed as well as acceptable methods and materials.</t>
  </si>
  <si>
    <t xml:space="preserve">• Include list of elements to be sealed in construction documents.  List must include all elements identified in ASHRAE 90.1-2007, Section 5.4.3.1, or applicable state code, all elements listed in the Testing &amp; Verification Protocols, and any additional site-specific elements identified during plan review that should be addressed to ensure air leakage in the exterior building envelope is effectively controlled.  Bid and contract documents must include locations to be sealed as well as acceptable methods and materials.
</t>
  </si>
  <si>
    <t>Duct Leakage Testing (Central Exhaust)
• Following the procedures outlined in Energy Conservatory's Minneapolis Duct Blaster Operation Manual (Series B Systems), a five-point test for total duct leakage in the main duct shaft using a calibrated fan between -50 and -100 Pascals measured under depressurization. Alternatively, 50 and 100 Pascals under pressurization is acceptable for this measurement.  
• When conducting a duct leakage depressurization test, the flow conditioner and one of the flow rings must always be installed.
• Use the Linear Regression Assistant below to find the CFM50 leakage.  Per the Minimum Performance Standards, the CFM50 duct leakage for central exhaust systems must not exceed 10 CFM50 leakage per floor per shaft.
• If credit is being taken for improved energy efficiency of the ventilation duct system, adjust Final Building energy model based on actual duct leakage rates as described in the Simulation Guidelines. Provide a summary of results of any duct leakage or ventilation performance testing; a sample table is provided below.</t>
  </si>
  <si>
    <t>2)  Visually verify proper installation of at least 50% of all common area exterior doors and check the manufacturer and model of all doors using the final building door schedule provided by the developer.  For garden-style apartments with doors to the exterior, follow the modified RESNET sampling protocol outlined in the How to Use this Manual section on page 10 of theTesting and Verification Protocol.</t>
  </si>
  <si>
    <t>Please Select Type of Stove</t>
  </si>
  <si>
    <t>DHW - Controls
• Verify a self-contained or electronic mixing valve is used to control hot water temperature for central domestic water heating systems. Mechanical valves should not be specified. Verify mixing valve temperature set point.
• Verify that the booster pump is adjusted so that the maximum pressure is no more than 60 psi.  This pressure can be measured at the faucet using a water pressure gauge and adapters found at a plumbing store.</t>
  </si>
  <si>
    <t>Exterior Wall Connection  (Through Wall)
• Ductwork connection with exterior shaft termination has been sealed air-tight.</t>
  </si>
  <si>
    <t>• Contractor shall adjust roof fan to provide a pressure of 0.2 – 0.3 inches WC at the shaft farthest from the fan.</t>
  </si>
  <si>
    <t>• Central exhaust and in-line exhaust systems serving apartments must have self-balancing dampers at each shaft.</t>
  </si>
  <si>
    <t>Apartment and Non-Corridor - Capacity, Testing and Balancing
• Rooftop fan sizing should include total fan flow CFM capacity and account for duct leakage at 5 CFM per floor per shaft.
• In-unit fan sizing should include total fan flow CFM capacity and account for duct leakage at 5 CFM per shaft.
• The developer may choose to hire a Test and Balance (TAB) contractor to commission the system or any part thereof.  Either the TAB contractor or the Energy Consultant shall provide a balancing report for each shaft with operating pressures at the shaft furthest from the fan and with airflow (CFM) measurements at apartment and common area shafts following RESNET sampling protocol. 
• Average supply and exhaust CFM measurement shall be updated in the As-Built model where applicable. 
• If following the Prescriptive Path, common area ventilation systems cannot exceed ASHRAE 62.1-2007 by more than 50%.  Apartment ventilation systems cannot exceed ASHRAE 62.2-2007 by more than 50%. Airflow shall be measured with a capture hood that fully encloses the shafts and is able to measure as low as 20 CFM ± 5 CFM. Air intake point should also be inspected.</t>
  </si>
  <si>
    <t>Toilet, Kitchen, General Exhaust shafts and Corridor Supply Ventilation shafts
• EPA suggests that each exhaust and supply shaft assembly should be equipped with a self-balancing damper that responds to changes in duct pressure to allow a constant airflow (+/- 20%) over a range of operating pressures from 0.2 in WC to the greater of:  0.5 in WC or the maximum system operating pressure at the particular exhaust register/shaft. This is critical to helping ensure the system performs according to project specifications and Proposed Design model and is a requirement listed in the Prescriptive Path.
• Adjustable register assemblies that allow for the free area to be manually adjusted in the field should not be used to meet this requirement. Self balancing dampers shall be designed and installed in any situation where more than one exhaust point is connected to a fan so that they may be easily removed for cleaning or replacement.
• For inspection:  Self regulating dampers have been installed in correct position and are functioning properly.</t>
  </si>
  <si>
    <t>SBC - NC</t>
  </si>
  <si>
    <t>Owner</t>
  </si>
  <si>
    <t>Total MMBtu Savings</t>
  </si>
  <si>
    <t>Summary of Measure Costs and Savings by Funding Source</t>
  </si>
  <si>
    <t>Funding Source</t>
  </si>
  <si>
    <t xml:space="preserve">Measure Cost </t>
  </si>
  <si>
    <t>MMBtu Savings</t>
  </si>
  <si>
    <t>% Total Savings</t>
  </si>
  <si>
    <t>Est. Incentives Using % Savings</t>
  </si>
  <si>
    <t>Total:</t>
  </si>
  <si>
    <t>National Grid</t>
  </si>
  <si>
    <t>Primary Heating System Efficiency (AFUE)</t>
  </si>
  <si>
    <t>Encumbered Funding</t>
  </si>
  <si>
    <t>Total Electric MMBtu Savings</t>
  </si>
  <si>
    <t>Total Fuel MMBtu Savings</t>
  </si>
  <si>
    <t>You must fill in the conditioned column.</t>
  </si>
  <si>
    <t>You must fill in the mechanical ventilation column.</t>
  </si>
  <si>
    <t>Other equipment/plug loads</t>
  </si>
  <si>
    <t>Baseline Energy (MMBtu)</t>
  </si>
  <si>
    <t>Predominent Energy Source</t>
  </si>
  <si>
    <t>Designs</t>
  </si>
  <si>
    <t>Wall (above and below grade wall construction and U-value)</t>
  </si>
  <si>
    <t>Windows (window-to-wall-ratio,frame material, U-Value and SHGC)</t>
  </si>
  <si>
    <t>Floor (U-Value and construction for exposed floor and slabs)</t>
  </si>
  <si>
    <t>Roof (U-Value and construction)</t>
  </si>
  <si>
    <t>Exterior Lighting</t>
  </si>
  <si>
    <t>Misc. Plug Loads</t>
  </si>
  <si>
    <t>Renewable Systems</t>
  </si>
  <si>
    <t>Heating/Cooling system type and efficiency (include all heating systems)</t>
  </si>
  <si>
    <t>Mechanical Ventilation (include exhaust/supply CFM and system description)</t>
  </si>
  <si>
    <t>Fan and Pump descriptino</t>
  </si>
  <si>
    <t>Domestic Water Heating (include system type, efficiency, and hot water demand)</t>
  </si>
  <si>
    <t>Version 4.2p   May 2011</t>
  </si>
  <si>
    <t>Heating Circulating Pumps - Control</t>
  </si>
  <si>
    <t>DHW Circulating Pumps - Control</t>
  </si>
</sst>
</file>

<file path=xl/styles.xml><?xml version="1.0" encoding="utf-8"?>
<styleSheet xmlns="http://schemas.openxmlformats.org/spreadsheetml/2006/main">
  <numFmts count="56">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0.0%"/>
    <numFmt numFmtId="166" formatCode="0.0"/>
    <numFmt numFmtId="167" formatCode="#,##0.0"/>
    <numFmt numFmtId="168" formatCode="0.000"/>
    <numFmt numFmtId="169" formatCode="0.0000"/>
    <numFmt numFmtId="170" formatCode="0.00000000"/>
    <numFmt numFmtId="171" formatCode="0.00000"/>
    <numFmt numFmtId="172" formatCode="0.0000000"/>
    <numFmt numFmtId="173" formatCode="0.000000"/>
    <numFmt numFmtId="174" formatCode="&quot;$&quot;#,##0"/>
    <numFmt numFmtId="175" formatCode="_(* #,##0_);_(* \(#,##0\);_(* &quot;-&quot;??_);_(@_)"/>
    <numFmt numFmtId="176" formatCode="_(* #,##0.000_);_(* \(#,##0.000\);_(* &quot;-&quot;??_);_(@_)"/>
    <numFmt numFmtId="177" formatCode="&quot;$&quot;#,##0.0000_);[Red]\(&quot;$&quot;#,##0.0000\)"/>
    <numFmt numFmtId="178" formatCode="[&lt;1]0%;0"/>
    <numFmt numFmtId="179" formatCode="0.0000%"/>
    <numFmt numFmtId="180" formatCode="0.000%"/>
    <numFmt numFmtId="181" formatCode="&quot;$&quot;#,##0.00_);[Red]\(&quot;$&quot;#,##0.00\);&quot;&quot;"/>
    <numFmt numFmtId="182" formatCode="#,##0_);[Red]\(#,##0\);&quot;&quot;"/>
    <numFmt numFmtId="183" formatCode="00000"/>
    <numFmt numFmtId="184" formatCode="&quot;$&quot;#,##0.000_);[Red]\(&quot;$&quot;#,##0.000\)"/>
    <numFmt numFmtId="185" formatCode="###\ &quot;kWh/yr&quot;"/>
    <numFmt numFmtId="186" formatCode="###\ &quot;therm/yr&quot;"/>
    <numFmt numFmtId="187" formatCode="###\ &quot;kW&quot;"/>
    <numFmt numFmtId="188" formatCode="##0.0\ &quot;W/SF&quot;"/>
    <numFmt numFmtId="189" formatCode="###\ &quot;gal/yr&quot;"/>
    <numFmt numFmtId="190" formatCode="\R\-##.0"/>
    <numFmt numFmtId="191" formatCode="#,##0\ &quot;gal&quot;"/>
    <numFmt numFmtId="192" formatCode="#,##0\ &quot;kBtu&quot;"/>
    <numFmt numFmtId="193" formatCode="&quot;U-&quot;0.##0"/>
    <numFmt numFmtId="194" formatCode="&quot;C-&quot;0.##0"/>
    <numFmt numFmtId="195" formatCode="&quot;F-&quot;0.##0"/>
    <numFmt numFmtId="196" formatCode="&quot;SHGC-&quot;0.#0"/>
    <numFmt numFmtId="197" formatCode="###.0\ &quot;W/GPM&quot;"/>
    <numFmt numFmtId="198" formatCode="###\ \°\F"/>
    <numFmt numFmtId="199" formatCode="##%\ &quot;Et&quot;"/>
    <numFmt numFmtId="200" formatCode="0.0\ &quot;gpm&quot;"/>
    <numFmt numFmtId="201" formatCode="0.0\ &quot;gpf&quot;"/>
    <numFmt numFmtId="202" formatCode="#,##0.0\ &quot;hp&quot;"/>
    <numFmt numFmtId="203" formatCode="###\ &quot;kBtu&quot;"/>
    <numFmt numFmtId="204" formatCode="0.###0\ &quot;kW/CFM&quot;"/>
    <numFmt numFmtId="205" formatCode="#.###\ &quot;SEER&quot;"/>
    <numFmt numFmtId="206" formatCode="#,###\ &quot;tons&quot;"/>
    <numFmt numFmtId="207" formatCode="0.0\ &quot;CFM/W&quot;"/>
    <numFmt numFmtId="208" formatCode="#,##0.0\ &quot;hr/day&quot;"/>
    <numFmt numFmtId="209" formatCode="###.0\ &quot;kW&quot;"/>
    <numFmt numFmtId="210" formatCode="##\ &quot;CFM&quot;"/>
    <numFmt numFmtId="211" formatCode="0.0\ &quot;hp&quot;"/>
    <numFmt numFmtId="212" formatCode="0.#0\ &quot;hp&quot;"/>
    <numFmt numFmtId="213" formatCode="##0.00\ &quot;kW&quot;"/>
    <numFmt numFmtId="214" formatCode="#,##0.0000"/>
    <numFmt numFmtId="215" formatCode="##0.0\ &quot;kW&quot;"/>
  </numFmts>
  <fonts count="130">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imes New Roman"/>
      <family val="1"/>
    </font>
    <font>
      <sz val="12"/>
      <name val="Times New Roman"/>
      <family val="1"/>
    </font>
    <font>
      <b/>
      <sz val="12"/>
      <name val="Times New Roman"/>
      <family val="1"/>
    </font>
    <font>
      <sz val="10"/>
      <name val="Arial"/>
      <family val="2"/>
    </font>
    <font>
      <sz val="8"/>
      <name val="Arial"/>
      <family val="2"/>
    </font>
    <font>
      <sz val="10"/>
      <color indexed="10"/>
      <name val="Arial"/>
      <family val="2"/>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MS Sans Serif"/>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2"/>
      <name val="Arial"/>
      <family val="2"/>
    </font>
    <font>
      <sz val="8"/>
      <name val="Arial"/>
      <family val="2"/>
    </font>
    <font>
      <b/>
      <sz val="14"/>
      <name val="Arial"/>
      <family val="2"/>
    </font>
    <font>
      <b/>
      <sz val="10"/>
      <name val="Arial"/>
      <family val="2"/>
    </font>
    <font>
      <b/>
      <sz val="12"/>
      <name val="Arial"/>
      <family val="2"/>
    </font>
    <font>
      <sz val="10"/>
      <name val="MS Sans Serif"/>
      <family val="2"/>
    </font>
    <font>
      <sz val="9"/>
      <name val="Geneva"/>
    </font>
    <font>
      <sz val="14"/>
      <name val="Arial"/>
      <family val="2"/>
    </font>
    <font>
      <sz val="10"/>
      <color indexed="22"/>
      <name val="Arial"/>
      <family val="2"/>
    </font>
    <font>
      <b/>
      <sz val="10"/>
      <color indexed="62"/>
      <name val="Arial"/>
      <family val="2"/>
    </font>
    <font>
      <sz val="11"/>
      <name val="Arial"/>
      <family val="2"/>
    </font>
    <font>
      <sz val="9"/>
      <name val="Arial"/>
      <family val="2"/>
    </font>
    <font>
      <sz val="8"/>
      <color indexed="32"/>
      <name val="Arial"/>
      <family val="2"/>
    </font>
    <font>
      <sz val="8"/>
      <color indexed="62"/>
      <name val="Arial"/>
      <family val="2"/>
    </font>
    <font>
      <b/>
      <sz val="11"/>
      <name val="Arial"/>
      <family val="2"/>
    </font>
    <font>
      <b/>
      <sz val="12"/>
      <name val="Geneva"/>
    </font>
    <font>
      <b/>
      <sz val="16"/>
      <name val="Geneva"/>
    </font>
    <font>
      <b/>
      <sz val="11"/>
      <name val="Geneva"/>
    </font>
    <font>
      <sz val="11"/>
      <color indexed="8"/>
      <name val="Calibri"/>
      <family val="2"/>
    </font>
    <font>
      <b/>
      <sz val="11"/>
      <color indexed="8"/>
      <name val="Calibri"/>
      <family val="2"/>
    </font>
    <font>
      <b/>
      <u/>
      <sz val="11"/>
      <color indexed="8"/>
      <name val="Calibri"/>
      <family val="2"/>
    </font>
    <font>
      <sz val="8"/>
      <color indexed="81"/>
      <name val="Tahoma"/>
      <family val="2"/>
    </font>
    <font>
      <b/>
      <sz val="8"/>
      <name val="Arial"/>
      <family val="2"/>
    </font>
    <font>
      <u/>
      <sz val="10"/>
      <color indexed="18"/>
      <name val="Arial"/>
      <family val="2"/>
    </font>
    <font>
      <sz val="20"/>
      <color indexed="62"/>
      <name val="Arial"/>
      <family val="2"/>
    </font>
    <font>
      <vertAlign val="superscript"/>
      <sz val="20"/>
      <color indexed="62"/>
      <name val="Arial"/>
      <family val="2"/>
    </font>
    <font>
      <sz val="12"/>
      <color indexed="62"/>
      <name val="Arial"/>
      <family val="2"/>
    </font>
    <font>
      <vertAlign val="superscript"/>
      <sz val="12"/>
      <color indexed="62"/>
      <name val="Arial"/>
      <family val="2"/>
    </font>
    <font>
      <b/>
      <sz val="12"/>
      <color indexed="62"/>
      <name val="Arial"/>
      <family val="2"/>
    </font>
    <font>
      <vertAlign val="superscript"/>
      <sz val="10"/>
      <color indexed="62"/>
      <name val="Arial"/>
      <family val="2"/>
    </font>
    <font>
      <i/>
      <sz val="10"/>
      <color indexed="62"/>
      <name val="Arial"/>
      <family val="2"/>
    </font>
    <font>
      <u/>
      <sz val="10"/>
      <color indexed="12"/>
      <name val="Arial"/>
      <family val="2"/>
    </font>
    <font>
      <b/>
      <i/>
      <sz val="10"/>
      <color indexed="10"/>
      <name val="Arial"/>
      <family val="2"/>
    </font>
    <font>
      <u/>
      <sz val="10"/>
      <color indexed="62"/>
      <name val="Arial"/>
      <family val="2"/>
    </font>
    <font>
      <sz val="14"/>
      <color indexed="10"/>
      <name val="Arial"/>
      <family val="2"/>
    </font>
    <font>
      <sz val="14"/>
      <color indexed="62"/>
      <name val="Arial"/>
      <family val="2"/>
    </font>
    <font>
      <b/>
      <sz val="14"/>
      <color indexed="62"/>
      <name val="Arial"/>
      <family val="2"/>
    </font>
    <font>
      <sz val="8"/>
      <color indexed="55"/>
      <name val="Arial"/>
      <family val="2"/>
    </font>
    <font>
      <sz val="10"/>
      <color indexed="8"/>
      <name val="Times New Roman"/>
      <family val="1"/>
    </font>
    <font>
      <b/>
      <sz val="10"/>
      <color indexed="8"/>
      <name val="Times New Roman"/>
      <family val="1"/>
    </font>
    <font>
      <u/>
      <sz val="12"/>
      <name val="Times New Roman"/>
      <family val="1"/>
    </font>
    <font>
      <b/>
      <u/>
      <sz val="12"/>
      <name val="Times New Roman"/>
      <family val="1"/>
    </font>
    <font>
      <sz val="10"/>
      <color indexed="17"/>
      <name val="Arial"/>
      <family val="2"/>
    </font>
    <font>
      <sz val="9"/>
      <name val="Calibri"/>
      <family val="2"/>
      <scheme val="minor"/>
    </font>
    <font>
      <b/>
      <sz val="14"/>
      <name val="Calibri"/>
      <family val="2"/>
      <scheme val="minor"/>
    </font>
    <font>
      <b/>
      <sz val="9"/>
      <name val="Calibri"/>
      <family val="2"/>
      <scheme val="minor"/>
    </font>
    <font>
      <b/>
      <sz val="11"/>
      <name val="Calibri"/>
      <family val="2"/>
      <scheme val="minor"/>
    </font>
    <font>
      <sz val="9"/>
      <color indexed="12"/>
      <name val="Geneva"/>
    </font>
    <font>
      <b/>
      <sz val="9"/>
      <color indexed="12"/>
      <name val="Geneva"/>
    </font>
    <font>
      <u/>
      <sz val="11"/>
      <color theme="10"/>
      <name val="Calibri"/>
      <family val="2"/>
    </font>
    <font>
      <sz val="9"/>
      <color indexed="10"/>
      <name val="Geneva"/>
    </font>
    <font>
      <sz val="10"/>
      <name val="Geneva"/>
    </font>
    <font>
      <b/>
      <sz val="12"/>
      <color theme="0" tint="-4.9989318521683403E-2"/>
      <name val="Calibri"/>
      <family val="2"/>
      <scheme val="minor"/>
    </font>
    <font>
      <sz val="10"/>
      <color theme="0"/>
      <name val="Arial"/>
      <family val="2"/>
    </font>
    <font>
      <sz val="9"/>
      <color theme="2"/>
      <name val="Calibri"/>
      <family val="2"/>
      <scheme val="minor"/>
    </font>
    <font>
      <b/>
      <sz val="9"/>
      <color theme="0"/>
      <name val="Calibri"/>
      <family val="2"/>
      <scheme val="minor"/>
    </font>
    <font>
      <i/>
      <sz val="9"/>
      <name val="Calibri"/>
      <family val="2"/>
      <scheme val="minor"/>
    </font>
    <font>
      <sz val="9"/>
      <color theme="1"/>
      <name val="Calibri"/>
      <family val="2"/>
      <scheme val="minor"/>
    </font>
    <font>
      <sz val="9"/>
      <color indexed="8"/>
      <name val="Calibri"/>
      <family val="2"/>
      <scheme val="minor"/>
    </font>
    <font>
      <b/>
      <sz val="9"/>
      <color indexed="8"/>
      <name val="Calibri"/>
      <family val="2"/>
      <scheme val="minor"/>
    </font>
    <font>
      <b/>
      <sz val="14"/>
      <color indexed="8"/>
      <name val="Calibri"/>
      <family val="2"/>
      <scheme val="minor"/>
    </font>
    <font>
      <b/>
      <sz val="9"/>
      <color rgb="FFFF0000"/>
      <name val="Calibri"/>
      <family val="2"/>
      <scheme val="minor"/>
    </font>
    <font>
      <sz val="9"/>
      <color rgb="FFFF0000"/>
      <name val="Calibri"/>
      <family val="2"/>
      <scheme val="minor"/>
    </font>
    <font>
      <b/>
      <sz val="9"/>
      <color indexed="10"/>
      <name val="Calibri"/>
      <family val="2"/>
      <scheme val="minor"/>
    </font>
    <font>
      <sz val="9"/>
      <color indexed="10"/>
      <name val="Calibri"/>
      <family val="2"/>
      <scheme val="minor"/>
    </font>
    <font>
      <b/>
      <u/>
      <sz val="9"/>
      <name val="Calibri"/>
      <family val="2"/>
      <scheme val="minor"/>
    </font>
    <font>
      <b/>
      <i/>
      <sz val="9"/>
      <name val="Calibri"/>
      <family val="2"/>
      <scheme val="minor"/>
    </font>
    <font>
      <u/>
      <sz val="9"/>
      <color indexed="12"/>
      <name val="Calibri"/>
      <family val="2"/>
      <scheme val="minor"/>
    </font>
    <font>
      <vertAlign val="superscript"/>
      <sz val="9"/>
      <name val="Calibri"/>
      <family val="2"/>
      <scheme val="minor"/>
    </font>
    <font>
      <b/>
      <sz val="9"/>
      <color indexed="9"/>
      <name val="Calibri"/>
      <family val="2"/>
      <scheme val="minor"/>
    </font>
    <font>
      <i/>
      <u/>
      <sz val="9"/>
      <name val="Calibri"/>
      <family val="2"/>
      <scheme val="minor"/>
    </font>
    <font>
      <b/>
      <sz val="9"/>
      <color indexed="12"/>
      <name val="Calibri"/>
      <family val="2"/>
      <scheme val="minor"/>
    </font>
    <font>
      <sz val="9"/>
      <color theme="0" tint="-0.34998626667073579"/>
      <name val="Calibri"/>
      <family val="2"/>
      <scheme val="minor"/>
    </font>
    <font>
      <b/>
      <sz val="9"/>
      <color theme="0" tint="-0.34998626667073579"/>
      <name val="Calibri"/>
      <family val="2"/>
      <scheme val="minor"/>
    </font>
    <font>
      <u/>
      <sz val="9"/>
      <name val="Calibri"/>
      <family val="2"/>
      <scheme val="minor"/>
    </font>
    <font>
      <u/>
      <sz val="11"/>
      <color indexed="12"/>
      <name val="Calibri"/>
      <family val="2"/>
    </font>
    <font>
      <i/>
      <sz val="10"/>
      <name val="Arial"/>
      <family val="2"/>
    </font>
    <font>
      <sz val="12"/>
      <color indexed="81"/>
      <name val="Tahoma"/>
      <family val="2"/>
    </font>
    <font>
      <sz val="10"/>
      <color rgb="FFFF0000"/>
      <name val="Arial"/>
      <family val="2"/>
    </font>
    <font>
      <b/>
      <sz val="11"/>
      <color theme="1"/>
      <name val="Calibri"/>
      <family val="2"/>
      <scheme val="minor"/>
    </font>
    <font>
      <b/>
      <sz val="16"/>
      <color theme="1"/>
      <name val="Arial"/>
      <family val="2"/>
    </font>
    <font>
      <b/>
      <i/>
      <sz val="11"/>
      <color indexed="8"/>
      <name val="Calibri"/>
      <family val="2"/>
    </font>
    <font>
      <i/>
      <sz val="9"/>
      <color indexed="8"/>
      <name val="Calibri"/>
      <family val="2"/>
      <scheme val="minor"/>
    </font>
    <font>
      <sz val="9"/>
      <color indexed="12"/>
      <name val="Calibri"/>
      <family val="2"/>
      <scheme val="minor"/>
    </font>
    <font>
      <sz val="9"/>
      <color indexed="9"/>
      <name val="Calibri"/>
      <family val="2"/>
      <scheme val="minor"/>
    </font>
    <font>
      <i/>
      <sz val="10"/>
      <name val="Calibri"/>
      <family val="2"/>
      <scheme val="minor"/>
    </font>
    <font>
      <vertAlign val="subscript"/>
      <sz val="9"/>
      <name val="Calibri"/>
      <family val="2"/>
      <scheme val="minor"/>
    </font>
    <font>
      <b/>
      <vertAlign val="superscript"/>
      <sz val="9"/>
      <name val="Calibri"/>
      <family val="2"/>
      <scheme val="minor"/>
    </font>
    <font>
      <sz val="9"/>
      <color indexed="60"/>
      <name val="Calibri"/>
      <family val="2"/>
      <scheme val="minor"/>
    </font>
    <font>
      <u/>
      <sz val="9"/>
      <color rgb="FFFF0000"/>
      <name val="Calibri"/>
      <family val="2"/>
      <scheme val="minor"/>
    </font>
    <font>
      <sz val="9"/>
      <name val="Calibri"/>
      <family val="2"/>
    </font>
    <font>
      <sz val="9"/>
      <color indexed="81"/>
      <name val="Calibri"/>
      <family val="2"/>
      <scheme val="minor"/>
    </font>
    <font>
      <i/>
      <sz val="8"/>
      <color indexed="81"/>
      <name val="Tahoma"/>
      <family val="2"/>
    </font>
    <font>
      <i/>
      <sz val="10"/>
      <color rgb="FFFF0000"/>
      <name val="Arial"/>
      <family val="2"/>
    </font>
    <font>
      <sz val="9"/>
      <color theme="0"/>
      <name val="Calibri"/>
      <family val="2"/>
      <scheme val="minor"/>
    </font>
    <font>
      <b/>
      <u/>
      <sz val="12"/>
      <name val="Calibri"/>
      <family val="2"/>
      <scheme val="minor"/>
    </font>
    <font>
      <b/>
      <sz val="10"/>
      <name val="Calibri"/>
      <family val="2"/>
      <scheme val="minor"/>
    </font>
    <font>
      <sz val="10"/>
      <name val="Calibri"/>
      <family val="2"/>
      <scheme val="minor"/>
    </font>
    <font>
      <sz val="10"/>
      <name val="Arial"/>
      <family val="2"/>
    </font>
    <font>
      <b/>
      <sz val="8"/>
      <color indexed="81"/>
      <name val="Tahoma"/>
      <family val="2"/>
    </font>
    <font>
      <u/>
      <sz val="8.5"/>
      <color indexed="12"/>
      <name val="MS Sans Serif"/>
      <family val="2"/>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7"/>
        <bgColor indexed="64"/>
      </patternFill>
    </fill>
    <fill>
      <patternFill patternType="solid">
        <fgColor indexed="43"/>
        <bgColor indexed="64"/>
      </patternFill>
    </fill>
    <fill>
      <patternFill patternType="solid">
        <fgColor indexed="55"/>
        <bgColor indexed="64"/>
      </patternFill>
    </fill>
    <fill>
      <patternFill patternType="solid">
        <fgColor indexed="22"/>
        <bgColor indexed="64"/>
      </patternFill>
    </fill>
    <fill>
      <patternFill patternType="solid">
        <fgColor indexed="29"/>
        <bgColor indexed="64"/>
      </patternFill>
    </fill>
    <fill>
      <patternFill patternType="solid">
        <fgColor indexed="26"/>
        <bgColor indexed="64"/>
      </patternFill>
    </fill>
    <fill>
      <patternFill patternType="solid">
        <fgColor indexed="9"/>
        <bgColor indexed="64"/>
      </patternFill>
    </fill>
    <fill>
      <patternFill patternType="solid">
        <fgColor indexed="41"/>
        <bgColor indexed="64"/>
      </patternFill>
    </fill>
    <fill>
      <patternFill patternType="darkDown">
        <bgColor indexed="22"/>
      </patternFill>
    </fill>
    <fill>
      <patternFill patternType="solid">
        <fgColor theme="0" tint="-0.14999847407452621"/>
        <bgColor indexed="64"/>
      </patternFill>
    </fill>
    <fill>
      <patternFill patternType="solid">
        <fgColor indexed="22"/>
        <bgColor indexed="0"/>
      </patternFill>
    </fill>
    <fill>
      <patternFill patternType="solid">
        <fgColor theme="0"/>
        <bgColor indexed="64"/>
      </patternFill>
    </fill>
    <fill>
      <patternFill patternType="solid">
        <fgColor indexed="27"/>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indexed="13"/>
        <bgColor indexed="64"/>
      </patternFill>
    </fill>
    <fill>
      <patternFill patternType="solid">
        <fgColor theme="3" tint="0.39997558519241921"/>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FFFF99"/>
        <bgColor indexed="64"/>
      </patternFill>
    </fill>
    <fill>
      <patternFill patternType="solid">
        <fgColor theme="8" tint="0.39997558519241921"/>
        <bgColor indexed="64"/>
      </patternFill>
    </fill>
    <fill>
      <patternFill patternType="solid">
        <fgColor theme="4"/>
        <bgColor indexed="64"/>
      </patternFill>
    </fill>
    <fill>
      <patternFill patternType="solid">
        <fgColor theme="9"/>
        <bgColor indexed="64"/>
      </patternFill>
    </fill>
    <fill>
      <patternFill patternType="solid">
        <fgColor theme="4" tint="0.39997558519241921"/>
        <bgColor indexed="64"/>
      </patternFill>
    </fill>
    <fill>
      <patternFill patternType="solid">
        <fgColor indexed="15"/>
        <bgColor indexed="64"/>
      </patternFill>
    </fill>
    <fill>
      <patternFill patternType="solid">
        <fgColor indexed="65"/>
        <bgColor indexed="64"/>
      </patternFill>
    </fill>
    <fill>
      <patternFill patternType="solid">
        <fgColor indexed="50"/>
        <bgColor indexed="64"/>
      </patternFill>
    </fill>
    <fill>
      <patternFill patternType="solid">
        <fgColor indexed="53"/>
        <bgColor indexed="64"/>
      </patternFill>
    </fill>
    <fill>
      <patternFill patternType="solid">
        <fgColor theme="0"/>
        <bgColor indexed="9"/>
      </patternFill>
    </fill>
    <fill>
      <patternFill patternType="solid">
        <fgColor theme="3" tint="0.3999450666829432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FFFFCC"/>
        <bgColor indexed="64"/>
      </patternFill>
    </fill>
    <fill>
      <patternFill patternType="solid">
        <fgColor theme="3" tint="0.59996337778862885"/>
        <bgColor indexed="64"/>
      </patternFill>
    </fill>
    <fill>
      <patternFill patternType="solid">
        <fgColor theme="0" tint="-0.499984740745262"/>
        <bgColor indexed="64"/>
      </patternFill>
    </fill>
    <fill>
      <patternFill patternType="solid">
        <fgColor theme="8" tint="0.79998168889431442"/>
        <bgColor indexed="9"/>
      </patternFill>
    </fill>
    <fill>
      <patternFill patternType="solid">
        <fgColor theme="0" tint="-0.14999847407452621"/>
        <bgColor indexed="9"/>
      </patternFill>
    </fill>
    <fill>
      <patternFill patternType="solid">
        <fgColor theme="0" tint="-0.34998626667073579"/>
        <bgColor indexed="64"/>
      </patternFill>
    </fill>
    <fill>
      <patternFill patternType="solid">
        <fgColor theme="5" tint="0.59999389629810485"/>
        <bgColor indexed="64"/>
      </patternFill>
    </fill>
    <fill>
      <patternFill patternType="lightDown">
        <fgColor theme="0"/>
        <bgColor theme="0" tint="-0.24994659260841701"/>
      </patternFill>
    </fill>
    <fill>
      <patternFill patternType="darkDown">
        <fgColor theme="0"/>
        <bgColor theme="0" tint="-0.24994659260841701"/>
      </patternFill>
    </fill>
    <fill>
      <patternFill patternType="solid">
        <fgColor theme="0"/>
        <bgColor theme="0"/>
      </patternFill>
    </fill>
    <fill>
      <patternFill patternType="solid">
        <fgColor theme="8" tint="0.79995117038483843"/>
        <bgColor theme="0"/>
      </patternFill>
    </fill>
    <fill>
      <patternFill patternType="darkDown">
        <fgColor theme="0"/>
        <bgColor theme="0" tint="-0.34998626667073579"/>
      </patternFill>
    </fill>
  </fills>
  <borders count="20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23"/>
      </right>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23"/>
      </left>
      <right/>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top style="thin">
        <color indexed="64"/>
      </top>
      <bottom/>
      <diagonal/>
    </border>
    <border>
      <left style="thin">
        <color indexed="8"/>
      </left>
      <right/>
      <top style="medium">
        <color indexed="64"/>
      </top>
      <bottom style="thin">
        <color indexed="64"/>
      </bottom>
      <diagonal/>
    </border>
    <border>
      <left/>
      <right/>
      <top style="medium">
        <color indexed="64"/>
      </top>
      <bottom style="thin">
        <color indexed="64"/>
      </bottom>
      <diagonal/>
    </border>
    <border>
      <left style="thin">
        <color indexed="8"/>
      </left>
      <right style="thin">
        <color indexed="8"/>
      </right>
      <top style="thin">
        <color indexed="64"/>
      </top>
      <bottom/>
      <diagonal/>
    </border>
    <border>
      <left/>
      <right style="thin">
        <color indexed="64"/>
      </right>
      <top style="thin">
        <color indexed="64"/>
      </top>
      <bottom/>
      <diagonal/>
    </border>
    <border>
      <left style="medium">
        <color indexed="64"/>
      </left>
      <right style="thin">
        <color indexed="64"/>
      </right>
      <top/>
      <bottom style="thin">
        <color indexed="8"/>
      </bottom>
      <diagonal/>
    </border>
    <border>
      <left style="thin">
        <color indexed="8"/>
      </left>
      <right style="thin">
        <color indexed="64"/>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right style="medium">
        <color indexed="64"/>
      </right>
      <top style="thin">
        <color indexed="64"/>
      </top>
      <bottom style="thin">
        <color indexed="64"/>
      </bottom>
      <diagonal/>
    </border>
    <border>
      <left/>
      <right style="thin">
        <color indexed="8"/>
      </right>
      <top/>
      <bottom style="thin">
        <color indexed="8"/>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8"/>
      </right>
      <top style="thin">
        <color indexed="64"/>
      </top>
      <bottom/>
      <diagonal/>
    </border>
    <border>
      <left style="medium">
        <color indexed="64"/>
      </left>
      <right/>
      <top style="medium">
        <color indexed="64"/>
      </top>
      <bottom style="thin">
        <color indexed="64"/>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ck">
        <color indexed="64"/>
      </left>
      <right/>
      <top style="medium">
        <color indexed="64"/>
      </top>
      <bottom style="medium">
        <color indexed="64"/>
      </bottom>
      <diagonal/>
    </border>
    <border>
      <left/>
      <right style="double">
        <color indexed="9"/>
      </right>
      <top/>
      <bottom/>
      <diagonal/>
    </border>
    <border>
      <left/>
      <right style="medium">
        <color indexed="23"/>
      </right>
      <top/>
      <bottom style="medium">
        <color indexed="23"/>
      </bottom>
      <diagonal/>
    </border>
    <border>
      <left/>
      <right/>
      <top/>
      <bottom style="medium">
        <color indexed="23"/>
      </bottom>
      <diagonal/>
    </border>
    <border>
      <left style="medium">
        <color indexed="23"/>
      </left>
      <right/>
      <top/>
      <bottom style="medium">
        <color indexed="23"/>
      </bottom>
      <diagonal/>
    </border>
    <border>
      <left/>
      <right/>
      <top style="thin">
        <color indexed="22"/>
      </top>
      <bottom style="thin">
        <color indexed="22"/>
      </bottom>
      <diagonal/>
    </border>
    <border>
      <left/>
      <right style="medium">
        <color indexed="23"/>
      </right>
      <top style="medium">
        <color indexed="23"/>
      </top>
      <bottom/>
      <diagonal/>
    </border>
    <border>
      <left/>
      <right/>
      <top style="medium">
        <color indexed="23"/>
      </top>
      <bottom/>
      <diagonal/>
    </border>
    <border>
      <left style="medium">
        <color indexed="23"/>
      </left>
      <right/>
      <top style="medium">
        <color indexed="23"/>
      </top>
      <bottom/>
      <diagonal/>
    </border>
    <border>
      <left style="double">
        <color indexed="22"/>
      </left>
      <right style="thin">
        <color indexed="22"/>
      </right>
      <top style="thin">
        <color indexed="22"/>
      </top>
      <bottom style="thin">
        <color indexed="22"/>
      </bottom>
      <diagonal/>
    </border>
    <border>
      <left style="double">
        <color indexed="22"/>
      </left>
      <right style="double">
        <color indexed="22"/>
      </right>
      <top style="thin">
        <color indexed="22"/>
      </top>
      <bottom style="thin">
        <color indexed="22"/>
      </bottom>
      <diagonal/>
    </border>
    <border>
      <left style="thin">
        <color indexed="22"/>
      </left>
      <right style="double">
        <color indexed="22"/>
      </right>
      <top style="thin">
        <color indexed="22"/>
      </top>
      <bottom style="thin">
        <color indexed="22"/>
      </bottom>
      <diagonal/>
    </border>
    <border>
      <left style="thin">
        <color indexed="22"/>
      </left>
      <right style="thin">
        <color indexed="22"/>
      </right>
      <top style="thin">
        <color indexed="22"/>
      </top>
      <bottom style="thick">
        <color indexed="22"/>
      </bottom>
      <diagonal/>
    </border>
    <border>
      <left style="thin">
        <color indexed="22"/>
      </left>
      <right style="thin">
        <color indexed="22"/>
      </right>
      <top style="thin">
        <color indexed="22"/>
      </top>
      <bottom/>
      <diagonal/>
    </border>
    <border>
      <left style="medium">
        <color indexed="23"/>
      </left>
      <right style="medium">
        <color indexed="23"/>
      </right>
      <top/>
      <bottom style="medium">
        <color indexed="23"/>
      </bottom>
      <diagonal/>
    </border>
    <border>
      <left style="medium">
        <color indexed="23"/>
      </left>
      <right style="medium">
        <color indexed="23"/>
      </right>
      <top style="medium">
        <color indexed="23"/>
      </top>
      <bottom style="medium">
        <color indexed="23"/>
      </bottom>
      <diagonal/>
    </border>
    <border>
      <left style="medium">
        <color indexed="23"/>
      </left>
      <right style="medium">
        <color indexed="23"/>
      </right>
      <top style="medium">
        <color indexed="23"/>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medium">
        <color indexed="64"/>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diagonal/>
    </border>
    <border>
      <left style="thin">
        <color indexed="8"/>
      </left>
      <right/>
      <top/>
      <bottom/>
      <diagonal/>
    </border>
    <border>
      <left style="thin">
        <color indexed="8"/>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hair">
        <color indexed="64"/>
      </left>
      <right style="thin">
        <color indexed="64"/>
      </right>
      <top/>
      <bottom/>
      <diagonal/>
    </border>
    <border>
      <left style="thin">
        <color indexed="22"/>
      </left>
      <right/>
      <top/>
      <bottom style="thin">
        <color indexed="22"/>
      </bottom>
      <diagonal/>
    </border>
    <border>
      <left style="thin">
        <color indexed="22"/>
      </left>
      <right/>
      <top/>
      <bottom/>
      <diagonal/>
    </border>
    <border>
      <left style="thin">
        <color indexed="64"/>
      </left>
      <right/>
      <top/>
      <bottom style="hair">
        <color indexed="64"/>
      </bottom>
      <diagonal/>
    </border>
    <border>
      <left/>
      <right/>
      <top style="thin">
        <color indexed="23"/>
      </top>
      <bottom style="thin">
        <color indexed="12"/>
      </bottom>
      <diagonal/>
    </border>
    <border>
      <left/>
      <right/>
      <top style="thin">
        <color indexed="21"/>
      </top>
      <bottom/>
      <diagonal/>
    </border>
    <border>
      <left style="hair">
        <color indexed="64"/>
      </left>
      <right/>
      <top/>
      <bottom style="hair">
        <color indexed="64"/>
      </bottom>
      <diagonal/>
    </border>
    <border>
      <left style="thin">
        <color indexed="64"/>
      </left>
      <right/>
      <top style="thin">
        <color indexed="64"/>
      </top>
      <bottom style="medium">
        <color indexed="64"/>
      </bottom>
      <diagonal/>
    </border>
    <border>
      <left/>
      <right style="thin">
        <color indexed="8"/>
      </right>
      <top style="medium">
        <color indexed="64"/>
      </top>
      <bottom style="thin">
        <color indexed="64"/>
      </bottom>
      <diagonal/>
    </border>
    <border>
      <left/>
      <right style="thin">
        <color indexed="8"/>
      </right>
      <top style="medium">
        <color indexed="64"/>
      </top>
      <bottom/>
      <diagonal/>
    </border>
    <border>
      <left/>
      <right style="thin">
        <color indexed="8"/>
      </right>
      <top/>
      <bottom style="medium">
        <color indexed="64"/>
      </bottom>
      <diagonal/>
    </border>
    <border>
      <left style="thin">
        <color indexed="8"/>
      </left>
      <right style="thin">
        <color indexed="64"/>
      </right>
      <top/>
      <bottom style="medium">
        <color indexed="64"/>
      </bottom>
      <diagonal/>
    </border>
    <border>
      <left style="dashDotDot">
        <color indexed="64"/>
      </left>
      <right style="dashDotDot">
        <color indexed="64"/>
      </right>
      <top style="dashDotDot">
        <color indexed="64"/>
      </top>
      <bottom style="dashDotDot">
        <color indexed="64"/>
      </bottom>
      <diagonal/>
    </border>
    <border>
      <left style="dashDotDot">
        <color indexed="64"/>
      </left>
      <right style="dashDotDot">
        <color indexed="64"/>
      </right>
      <top style="dashDotDot">
        <color indexed="64"/>
      </top>
      <bottom/>
      <diagonal/>
    </border>
    <border>
      <left/>
      <right/>
      <top/>
      <bottom style="dashDotDot">
        <color indexed="64"/>
      </bottom>
      <diagonal/>
    </border>
    <border>
      <left/>
      <right style="dashDotDot">
        <color indexed="64"/>
      </right>
      <top style="thin">
        <color indexed="64"/>
      </top>
      <bottom style="thin">
        <color indexed="64"/>
      </bottom>
      <diagonal/>
    </border>
    <border>
      <left style="dashDotDot">
        <color indexed="64"/>
      </left>
      <right/>
      <top style="dashDotDot">
        <color indexed="64"/>
      </top>
      <bottom style="dashDotDot">
        <color indexed="64"/>
      </bottom>
      <diagonal/>
    </border>
    <border>
      <left/>
      <right/>
      <top style="dashDotDot">
        <color indexed="64"/>
      </top>
      <bottom style="dashDotDot">
        <color indexed="64"/>
      </bottom>
      <diagonal/>
    </border>
    <border>
      <left/>
      <right style="dashDotDot">
        <color indexed="64"/>
      </right>
      <top style="dashDotDot">
        <color indexed="64"/>
      </top>
      <bottom style="dashDotDot">
        <color indexed="64"/>
      </bottom>
      <diagonal/>
    </border>
    <border>
      <left/>
      <right style="dashDotDot">
        <color indexed="64"/>
      </right>
      <top/>
      <bottom style="thin">
        <color indexed="64"/>
      </bottom>
      <diagonal/>
    </border>
    <border>
      <left style="medium">
        <color indexed="64"/>
      </left>
      <right style="thin">
        <color indexed="64"/>
      </right>
      <top style="thin">
        <color indexed="64"/>
      </top>
      <bottom/>
      <diagonal/>
    </border>
    <border>
      <left style="dashDotDot">
        <color indexed="64"/>
      </left>
      <right style="dashDotDot">
        <color indexed="64"/>
      </right>
      <top/>
      <bottom style="dashDotDot">
        <color indexed="64"/>
      </bottom>
      <diagonal/>
    </border>
    <border>
      <left/>
      <right style="dashDotDot">
        <color indexed="64"/>
      </right>
      <top/>
      <bottom/>
      <diagonal/>
    </border>
    <border>
      <left style="dashDotDot">
        <color indexed="64"/>
      </left>
      <right style="dashDotDot">
        <color indexed="64"/>
      </right>
      <top style="thin">
        <color indexed="64"/>
      </top>
      <bottom style="dashDotDot">
        <color indexed="64"/>
      </bottom>
      <diagonal/>
    </border>
    <border>
      <left style="dashDotDot">
        <color indexed="64"/>
      </left>
      <right style="dashDotDot">
        <color indexed="64"/>
      </right>
      <top style="dashDotDot">
        <color indexed="64"/>
      </top>
      <bottom style="thin">
        <color indexed="64"/>
      </bottom>
      <diagonal/>
    </border>
    <border>
      <left style="dashDotDot">
        <color indexed="64"/>
      </left>
      <right/>
      <top/>
      <bottom style="dashDotDot">
        <color indexed="64"/>
      </bottom>
      <diagonal/>
    </border>
    <border>
      <left/>
      <right style="dashDotDot">
        <color indexed="64"/>
      </right>
      <top/>
      <bottom style="dashDotDot">
        <color indexed="64"/>
      </bottom>
      <diagonal/>
    </border>
    <border>
      <left style="thin">
        <color indexed="64"/>
      </left>
      <right style="dashDotDot">
        <color indexed="64"/>
      </right>
      <top style="thin">
        <color indexed="64"/>
      </top>
      <bottom style="thin">
        <color indexed="64"/>
      </bottom>
      <diagonal/>
    </border>
    <border>
      <left style="dashDotDot">
        <color indexed="64"/>
      </left>
      <right style="dashDotDot">
        <color indexed="64"/>
      </right>
      <top/>
      <bottom/>
      <diagonal/>
    </border>
    <border>
      <left/>
      <right style="dashDotDot">
        <color indexed="64"/>
      </right>
      <top style="thin">
        <color indexed="64"/>
      </top>
      <bottom/>
      <diagonal/>
    </border>
    <border>
      <left/>
      <right style="dashDotDot">
        <color indexed="64"/>
      </right>
      <top style="medium">
        <color indexed="64"/>
      </top>
      <bottom style="thin">
        <color indexed="64"/>
      </bottom>
      <diagonal/>
    </border>
    <border>
      <left/>
      <right style="dashDotDot">
        <color indexed="64"/>
      </right>
      <top style="thin">
        <color indexed="64"/>
      </top>
      <bottom style="medium">
        <color indexed="64"/>
      </bottom>
      <diagonal/>
    </border>
    <border>
      <left style="thin">
        <color indexed="64"/>
      </left>
      <right style="dashDotDot">
        <color indexed="64"/>
      </right>
      <top/>
      <bottom style="thin">
        <color indexed="64"/>
      </bottom>
      <diagonal/>
    </border>
    <border>
      <left style="thin">
        <color indexed="64"/>
      </left>
      <right style="dashDotDot">
        <color indexed="64"/>
      </right>
      <top style="thin">
        <color indexed="64"/>
      </top>
      <bottom/>
      <diagonal/>
    </border>
    <border>
      <left style="dashDotDot">
        <color indexed="64"/>
      </left>
      <right/>
      <top style="medium">
        <color indexed="64"/>
      </top>
      <bottom style="dashDotDot">
        <color indexed="64"/>
      </bottom>
      <diagonal/>
    </border>
    <border>
      <left/>
      <right style="dashDotDot">
        <color indexed="64"/>
      </right>
      <top style="medium">
        <color indexed="64"/>
      </top>
      <bottom style="dashDotDot">
        <color indexed="64"/>
      </bottom>
      <diagonal/>
    </border>
    <border>
      <left/>
      <right/>
      <top style="medium">
        <color indexed="64"/>
      </top>
      <bottom style="dashDotDot">
        <color indexed="64"/>
      </bottom>
      <diagonal/>
    </border>
    <border>
      <left style="dashDotDot">
        <color indexed="64"/>
      </left>
      <right/>
      <top style="dashDotDot">
        <color indexed="64"/>
      </top>
      <bottom style="medium">
        <color indexed="64"/>
      </bottom>
      <diagonal/>
    </border>
    <border>
      <left/>
      <right/>
      <top style="dashDotDot">
        <color indexed="64"/>
      </top>
      <bottom style="medium">
        <color indexed="64"/>
      </bottom>
      <diagonal/>
    </border>
    <border>
      <left/>
      <right style="dashDotDot">
        <color indexed="64"/>
      </right>
      <top style="dashDotDot">
        <color indexed="64"/>
      </top>
      <bottom style="medium">
        <color indexed="64"/>
      </bottom>
      <diagonal/>
    </border>
    <border>
      <left style="dashDotDot">
        <color indexed="64"/>
      </left>
      <right/>
      <top style="dashDotDot">
        <color indexed="64"/>
      </top>
      <bottom/>
      <diagonal/>
    </border>
    <border>
      <left/>
      <right/>
      <top style="dashDotDot">
        <color indexed="64"/>
      </top>
      <bottom/>
      <diagonal/>
    </border>
    <border>
      <left/>
      <right style="dashDotDot">
        <color indexed="64"/>
      </right>
      <top style="dashDotDot">
        <color indexed="64"/>
      </top>
      <bottom/>
      <diagonal/>
    </border>
    <border>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top style="thin">
        <color indexed="8"/>
      </top>
      <bottom/>
      <diagonal/>
    </border>
    <border>
      <left/>
      <right/>
      <top style="thin">
        <color indexed="8"/>
      </top>
      <bottom/>
      <diagonal/>
    </border>
    <border>
      <left/>
      <right style="thin">
        <color auto="1"/>
      </right>
      <top style="thin">
        <color indexed="8"/>
      </top>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indexed="8"/>
      </right>
      <top style="thin">
        <color indexed="8"/>
      </top>
      <bottom style="thin">
        <color indexed="8"/>
      </bottom>
      <diagonal/>
    </border>
    <border>
      <left/>
      <right style="thin">
        <color indexed="8"/>
      </right>
      <top style="thin">
        <color auto="1"/>
      </top>
      <bottom/>
      <diagonal/>
    </border>
    <border>
      <left style="thin">
        <color auto="1"/>
      </left>
      <right style="thin">
        <color auto="1"/>
      </right>
      <top/>
      <bottom style="thin">
        <color auto="1"/>
      </bottom>
      <diagonal/>
    </border>
    <border>
      <left style="dashDot">
        <color auto="1"/>
      </left>
      <right style="dashDot">
        <color auto="1"/>
      </right>
      <top style="dashDot">
        <color auto="1"/>
      </top>
      <bottom style="dashDot">
        <color auto="1"/>
      </bottom>
      <diagonal/>
    </border>
    <border>
      <left/>
      <right style="dashDot">
        <color auto="1"/>
      </right>
      <top style="dashDot">
        <color auto="1"/>
      </top>
      <bottom style="dashDot">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ashDotDot">
        <color indexed="64"/>
      </right>
      <top style="thin">
        <color indexed="64"/>
      </top>
      <bottom style="thin">
        <color indexed="64"/>
      </bottom>
      <diagonal/>
    </border>
    <border>
      <left style="thin">
        <color indexed="64"/>
      </left>
      <right style="dashDotDot">
        <color indexed="64"/>
      </right>
      <top/>
      <bottom/>
      <diagonal/>
    </border>
    <border>
      <left style="dashDotDot">
        <color indexed="64"/>
      </left>
      <right/>
      <top style="thin">
        <color indexed="64"/>
      </top>
      <bottom style="dashDotDot">
        <color indexed="64"/>
      </bottom>
      <diagonal/>
    </border>
    <border>
      <left/>
      <right style="dashDotDot">
        <color indexed="64"/>
      </right>
      <top style="thin">
        <color indexed="64"/>
      </top>
      <bottom style="dashDotDot">
        <color indexed="64"/>
      </bottom>
      <diagonal/>
    </border>
  </borders>
  <cellStyleXfs count="666">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6" fillId="21" borderId="2" applyNumberFormat="0" applyAlignment="0" applyProtection="0"/>
    <xf numFmtId="43" fontId="4"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7" borderId="1" applyNumberFormat="0" applyAlignment="0" applyProtection="0"/>
    <xf numFmtId="0" fontId="24" fillId="0" borderId="6" applyNumberFormat="0" applyFill="0" applyAlignment="0" applyProtection="0"/>
    <xf numFmtId="0" fontId="25" fillId="22" borderId="0" applyNumberFormat="0" applyBorder="0" applyAlignment="0" applyProtection="0"/>
    <xf numFmtId="0" fontId="11" fillId="0" borderId="0"/>
    <xf numFmtId="0" fontId="8" fillId="0" borderId="0"/>
    <xf numFmtId="0" fontId="34" fillId="0" borderId="0"/>
    <xf numFmtId="0" fontId="4" fillId="0" borderId="0"/>
    <xf numFmtId="0" fontId="47" fillId="0" borderId="0"/>
    <xf numFmtId="0" fontId="47" fillId="0" borderId="0"/>
    <xf numFmtId="0" fontId="35" fillId="0" borderId="0"/>
    <xf numFmtId="0" fontId="11" fillId="23" borderId="7" applyNumberFormat="0" applyFont="0" applyAlignment="0" applyProtection="0"/>
    <xf numFmtId="0" fontId="26" fillId="20" borderId="8" applyNumberFormat="0" applyAlignment="0" applyProtection="0"/>
    <xf numFmtId="9" fontId="4" fillId="0" borderId="0" applyFont="0" applyFill="0" applyBorder="0" applyAlignment="0" applyProtection="0"/>
    <xf numFmtId="9" fontId="11" fillId="0" borderId="0" applyFon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10" fillId="0" borderId="0" applyNumberFormat="0" applyFill="0" applyBorder="0" applyAlignment="0" applyProtection="0"/>
    <xf numFmtId="0" fontId="22" fillId="0" borderId="0" applyNumberFormat="0" applyFill="0" applyBorder="0" applyAlignment="0" applyProtection="0"/>
    <xf numFmtId="0" fontId="60" fillId="0" borderId="0" applyNumberFormat="0" applyFill="0" applyBorder="0" applyAlignment="0" applyProtection="0">
      <alignment vertical="top"/>
      <protection locked="0"/>
    </xf>
    <xf numFmtId="0" fontId="8" fillId="0" borderId="0"/>
    <xf numFmtId="0" fontId="12" fillId="0" borderId="0"/>
    <xf numFmtId="43" fontId="8" fillId="0" borderId="0" applyFont="0" applyFill="0" applyBorder="0" applyAlignment="0" applyProtection="0"/>
    <xf numFmtId="0" fontId="8" fillId="0" borderId="0"/>
    <xf numFmtId="0" fontId="3" fillId="0" borderId="0"/>
    <xf numFmtId="0" fontId="8" fillId="23" borderId="7"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3" fillId="0" borderId="0"/>
    <xf numFmtId="0" fontId="8" fillId="0" borderId="0"/>
    <xf numFmtId="0" fontId="3" fillId="0" borderId="0"/>
    <xf numFmtId="0" fontId="8" fillId="23" borderId="7" applyNumberFormat="0" applyFont="0" applyAlignment="0" applyProtection="0"/>
    <xf numFmtId="9" fontId="8" fillId="0" borderId="0" applyFont="0" applyFill="0" applyBorder="0" applyAlignment="0" applyProtection="0"/>
    <xf numFmtId="0" fontId="8" fillId="0" borderId="0"/>
    <xf numFmtId="0" fontId="3" fillId="0" borderId="0"/>
    <xf numFmtId="43" fontId="8" fillId="0" borderId="0" applyFont="0" applyFill="0" applyBorder="0" applyAlignment="0" applyProtection="0"/>
    <xf numFmtId="0" fontId="8" fillId="23" borderId="7" applyNumberFormat="0" applyFont="0" applyAlignment="0" applyProtection="0"/>
    <xf numFmtId="0" fontId="8" fillId="0" borderId="0"/>
    <xf numFmtId="9" fontId="8" fillId="0" borderId="0" applyFont="0" applyFill="0" applyBorder="0" applyAlignment="0" applyProtection="0"/>
    <xf numFmtId="0" fontId="8" fillId="23" borderId="7" applyNumberFormat="0" applyFont="0" applyAlignment="0" applyProtection="0"/>
    <xf numFmtId="9" fontId="8" fillId="0" borderId="0" applyFont="0" applyFill="0" applyBorder="0" applyAlignment="0" applyProtection="0"/>
    <xf numFmtId="0" fontId="8" fillId="0" borderId="0"/>
    <xf numFmtId="0" fontId="3" fillId="0" borderId="0"/>
    <xf numFmtId="0" fontId="8" fillId="23" borderId="7" applyNumberFormat="0" applyFont="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3" fillId="0" borderId="0"/>
    <xf numFmtId="0" fontId="8" fillId="23" borderId="7"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3" fillId="0" borderId="0"/>
    <xf numFmtId="0" fontId="8" fillId="23" borderId="7" applyNumberFormat="0" applyFont="0" applyAlignment="0" applyProtection="0"/>
    <xf numFmtId="9" fontId="8" fillId="0" borderId="0" applyFont="0" applyFill="0" applyBorder="0" applyAlignment="0" applyProtection="0"/>
    <xf numFmtId="0" fontId="2" fillId="0" borderId="0"/>
    <xf numFmtId="0" fontId="12" fillId="8"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6" fillId="21" borderId="2" applyNumberFormat="0" applyAlignment="0" applyProtection="0"/>
    <xf numFmtId="0" fontId="12" fillId="11" borderId="0" applyNumberFormat="0" applyBorder="0" applyAlignment="0" applyProtection="0"/>
    <xf numFmtId="43" fontId="4" fillId="0" borderId="0" applyFont="0" applyFill="0" applyBorder="0" applyAlignment="0" applyProtection="0"/>
    <xf numFmtId="0" fontId="12" fillId="8" borderId="0" applyNumberFormat="0" applyBorder="0" applyAlignment="0" applyProtection="0"/>
    <xf numFmtId="0" fontId="17" fillId="0" borderId="0" applyNumberFormat="0" applyFill="0" applyBorder="0" applyAlignment="0" applyProtection="0"/>
    <xf numFmtId="0" fontId="71"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9" borderId="0" applyNumberFormat="0" applyBorder="0" applyAlignment="0" applyProtection="0"/>
    <xf numFmtId="0" fontId="23" fillId="7" borderId="1" applyNumberFormat="0" applyAlignment="0" applyProtection="0"/>
    <xf numFmtId="0" fontId="24" fillId="0" borderId="6" applyNumberFormat="0" applyFill="0" applyAlignment="0" applyProtection="0"/>
    <xf numFmtId="0" fontId="25" fillId="22" borderId="0" applyNumberFormat="0" applyBorder="0" applyAlignment="0" applyProtection="0"/>
    <xf numFmtId="0" fontId="4" fillId="0" borderId="0"/>
    <xf numFmtId="0" fontId="12" fillId="7" borderId="0" applyNumberFormat="0" applyBorder="0" applyAlignment="0" applyProtection="0"/>
    <xf numFmtId="0" fontId="12" fillId="6"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3" borderId="0" applyNumberFormat="0" applyBorder="0" applyAlignment="0" applyProtection="0"/>
    <xf numFmtId="0" fontId="12" fillId="2" borderId="0" applyNumberFormat="0" applyBorder="0" applyAlignment="0" applyProtection="0"/>
    <xf numFmtId="0" fontId="4" fillId="23" borderId="7" applyNumberFormat="0" applyFont="0" applyAlignment="0" applyProtection="0"/>
    <xf numFmtId="0" fontId="26" fillId="20" borderId="8" applyNumberFormat="0" applyAlignment="0" applyProtection="0"/>
    <xf numFmtId="0" fontId="12" fillId="8" borderId="0" applyNumberFormat="0" applyBorder="0" applyAlignment="0" applyProtection="0"/>
    <xf numFmtId="9" fontId="4" fillId="0" borderId="0" applyFon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10" fillId="0" borderId="0" applyNumberFormat="0" applyFill="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6" fillId="21" borderId="2" applyNumberFormat="0" applyAlignment="0" applyProtection="0"/>
    <xf numFmtId="0" fontId="12" fillId="11" borderId="0" applyNumberFormat="0" applyBorder="0" applyAlignment="0" applyProtection="0"/>
    <xf numFmtId="43" fontId="4" fillId="0" borderId="0" applyFont="0" applyFill="0" applyBorder="0" applyAlignment="0" applyProtection="0"/>
    <xf numFmtId="0" fontId="12" fillId="8" borderId="0" applyNumberFormat="0" applyBorder="0" applyAlignment="0" applyProtection="0"/>
    <xf numFmtId="0" fontId="17" fillId="0" borderId="0" applyNumberFormat="0" applyFill="0" applyBorder="0" applyAlignment="0" applyProtection="0"/>
    <xf numFmtId="0" fontId="71"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9" borderId="0" applyNumberFormat="0" applyBorder="0" applyAlignment="0" applyProtection="0"/>
    <xf numFmtId="0" fontId="23" fillId="7" borderId="1" applyNumberFormat="0" applyAlignment="0" applyProtection="0"/>
    <xf numFmtId="0" fontId="24" fillId="0" borderId="6" applyNumberFormat="0" applyFill="0" applyAlignment="0" applyProtection="0"/>
    <xf numFmtId="0" fontId="25" fillId="22" borderId="0" applyNumberFormat="0" applyBorder="0" applyAlignment="0" applyProtection="0"/>
    <xf numFmtId="0" fontId="4" fillId="0" borderId="0"/>
    <xf numFmtId="0" fontId="12" fillId="7" borderId="0" applyNumberFormat="0" applyBorder="0" applyAlignment="0" applyProtection="0"/>
    <xf numFmtId="0" fontId="12" fillId="6"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3" borderId="0" applyNumberFormat="0" applyBorder="0" applyAlignment="0" applyProtection="0"/>
    <xf numFmtId="0" fontId="12" fillId="2" borderId="0" applyNumberFormat="0" applyBorder="0" applyAlignment="0" applyProtection="0"/>
    <xf numFmtId="0" fontId="4" fillId="23" borderId="7" applyNumberFormat="0" applyFont="0" applyAlignment="0" applyProtection="0"/>
    <xf numFmtId="0" fontId="26" fillId="20" borderId="8" applyNumberFormat="0" applyAlignment="0" applyProtection="0"/>
    <xf numFmtId="0" fontId="12" fillId="8" borderId="0" applyNumberFormat="0" applyBorder="0" applyAlignment="0" applyProtection="0"/>
    <xf numFmtId="9" fontId="4" fillId="0" borderId="0" applyFon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10" fillId="0" borderId="0" applyNumberFormat="0" applyFill="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6" fillId="21" borderId="2" applyNumberFormat="0" applyAlignment="0" applyProtection="0"/>
    <xf numFmtId="0" fontId="12" fillId="11" borderId="0" applyNumberFormat="0" applyBorder="0" applyAlignment="0" applyProtection="0"/>
    <xf numFmtId="43" fontId="4" fillId="0" borderId="0" applyFont="0" applyFill="0" applyBorder="0" applyAlignment="0" applyProtection="0"/>
    <xf numFmtId="0" fontId="12" fillId="8" borderId="0" applyNumberFormat="0" applyBorder="0" applyAlignment="0" applyProtection="0"/>
    <xf numFmtId="0" fontId="17" fillId="0" borderId="0" applyNumberFormat="0" applyFill="0" applyBorder="0" applyAlignment="0" applyProtection="0"/>
    <xf numFmtId="0" fontId="71"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9" borderId="0" applyNumberFormat="0" applyBorder="0" applyAlignment="0" applyProtection="0"/>
    <xf numFmtId="0" fontId="23" fillId="7" borderId="1" applyNumberFormat="0" applyAlignment="0" applyProtection="0"/>
    <xf numFmtId="0" fontId="24" fillId="0" borderId="6" applyNumberFormat="0" applyFill="0" applyAlignment="0" applyProtection="0"/>
    <xf numFmtId="0" fontId="25" fillId="22" borderId="0" applyNumberFormat="0" applyBorder="0" applyAlignment="0" applyProtection="0"/>
    <xf numFmtId="0" fontId="4" fillId="0" borderId="0"/>
    <xf numFmtId="0" fontId="12" fillId="7" borderId="0" applyNumberFormat="0" applyBorder="0" applyAlignment="0" applyProtection="0"/>
    <xf numFmtId="0" fontId="12" fillId="6"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3" borderId="0" applyNumberFormat="0" applyBorder="0" applyAlignment="0" applyProtection="0"/>
    <xf numFmtId="0" fontId="12" fillId="2" borderId="0" applyNumberFormat="0" applyBorder="0" applyAlignment="0" applyProtection="0"/>
    <xf numFmtId="0" fontId="4" fillId="23" borderId="7" applyNumberFormat="0" applyFont="0" applyAlignment="0" applyProtection="0"/>
    <xf numFmtId="0" fontId="26" fillId="20" borderId="8" applyNumberFormat="0" applyAlignment="0" applyProtection="0"/>
    <xf numFmtId="0" fontId="12" fillId="8" borderId="0" applyNumberFormat="0" applyBorder="0" applyAlignment="0" applyProtection="0"/>
    <xf numFmtId="9" fontId="4" fillId="0" borderId="0" applyFon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10" fillId="0" borderId="0" applyNumberFormat="0" applyFill="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6" fillId="21" borderId="2" applyNumberFormat="0" applyAlignment="0" applyProtection="0"/>
    <xf numFmtId="0" fontId="12" fillId="11" borderId="0" applyNumberFormat="0" applyBorder="0" applyAlignment="0" applyProtection="0"/>
    <xf numFmtId="43" fontId="4" fillId="0" borderId="0" applyFont="0" applyFill="0" applyBorder="0" applyAlignment="0" applyProtection="0"/>
    <xf numFmtId="0" fontId="12" fillId="8" borderId="0" applyNumberFormat="0" applyBorder="0" applyAlignment="0" applyProtection="0"/>
    <xf numFmtId="0" fontId="17" fillId="0" borderId="0" applyNumberFormat="0" applyFill="0" applyBorder="0" applyAlignment="0" applyProtection="0"/>
    <xf numFmtId="0" fontId="71"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9" borderId="0" applyNumberFormat="0" applyBorder="0" applyAlignment="0" applyProtection="0"/>
    <xf numFmtId="0" fontId="23" fillId="7" borderId="1" applyNumberFormat="0" applyAlignment="0" applyProtection="0"/>
    <xf numFmtId="0" fontId="24" fillId="0" borderId="6" applyNumberFormat="0" applyFill="0" applyAlignment="0" applyProtection="0"/>
    <xf numFmtId="0" fontId="25" fillId="22" borderId="0" applyNumberFormat="0" applyBorder="0" applyAlignment="0" applyProtection="0"/>
    <xf numFmtId="0" fontId="4" fillId="0" borderId="0"/>
    <xf numFmtId="0" fontId="12" fillId="7" borderId="0" applyNumberFormat="0" applyBorder="0" applyAlignment="0" applyProtection="0"/>
    <xf numFmtId="0" fontId="12" fillId="6"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3" borderId="0" applyNumberFormat="0" applyBorder="0" applyAlignment="0" applyProtection="0"/>
    <xf numFmtId="0" fontId="12" fillId="2" borderId="0" applyNumberFormat="0" applyBorder="0" applyAlignment="0" applyProtection="0"/>
    <xf numFmtId="0" fontId="4" fillId="23" borderId="7" applyNumberFormat="0" applyFont="0" applyAlignment="0" applyProtection="0"/>
    <xf numFmtId="0" fontId="26" fillId="20" borderId="8" applyNumberFormat="0" applyAlignment="0" applyProtection="0"/>
    <xf numFmtId="0" fontId="12" fillId="8" borderId="0" applyNumberFormat="0" applyBorder="0" applyAlignment="0" applyProtection="0"/>
    <xf numFmtId="9" fontId="4" fillId="0" borderId="0" applyFon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10" fillId="0" borderId="0" applyNumberFormat="0" applyFill="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6" fillId="21" borderId="2" applyNumberFormat="0" applyAlignment="0" applyProtection="0"/>
    <xf numFmtId="0" fontId="12" fillId="11" borderId="0" applyNumberFormat="0" applyBorder="0" applyAlignment="0" applyProtection="0"/>
    <xf numFmtId="43" fontId="4" fillId="0" borderId="0" applyFont="0" applyFill="0" applyBorder="0" applyAlignment="0" applyProtection="0"/>
    <xf numFmtId="0" fontId="12" fillId="8" borderId="0" applyNumberFormat="0" applyBorder="0" applyAlignment="0" applyProtection="0"/>
    <xf numFmtId="0" fontId="17" fillId="0" borderId="0" applyNumberFormat="0" applyFill="0" applyBorder="0" applyAlignment="0" applyProtection="0"/>
    <xf numFmtId="0" fontId="71"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9" borderId="0" applyNumberFormat="0" applyBorder="0" applyAlignment="0" applyProtection="0"/>
    <xf numFmtId="0" fontId="23" fillId="7" borderId="1" applyNumberFormat="0" applyAlignment="0" applyProtection="0"/>
    <xf numFmtId="0" fontId="24" fillId="0" borderId="6" applyNumberFormat="0" applyFill="0" applyAlignment="0" applyProtection="0"/>
    <xf numFmtId="0" fontId="25" fillId="22" borderId="0" applyNumberFormat="0" applyBorder="0" applyAlignment="0" applyProtection="0"/>
    <xf numFmtId="0" fontId="4" fillId="0" borderId="0"/>
    <xf numFmtId="0" fontId="12" fillId="7" borderId="0" applyNumberFormat="0" applyBorder="0" applyAlignment="0" applyProtection="0"/>
    <xf numFmtId="0" fontId="12" fillId="6"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3" borderId="0" applyNumberFormat="0" applyBorder="0" applyAlignment="0" applyProtection="0"/>
    <xf numFmtId="0" fontId="12" fillId="2" borderId="0" applyNumberFormat="0" applyBorder="0" applyAlignment="0" applyProtection="0"/>
    <xf numFmtId="0" fontId="4" fillId="23" borderId="7" applyNumberFormat="0" applyFont="0" applyAlignment="0" applyProtection="0"/>
    <xf numFmtId="0" fontId="26" fillId="20" borderId="8" applyNumberFormat="0" applyAlignment="0" applyProtection="0"/>
    <xf numFmtId="0" fontId="12" fillId="8" borderId="0" applyNumberFormat="0" applyBorder="0" applyAlignment="0" applyProtection="0"/>
    <xf numFmtId="9" fontId="4" fillId="0" borderId="0" applyFon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10" fillId="0" borderId="0" applyNumberFormat="0" applyFill="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6" fillId="21" borderId="2" applyNumberFormat="0" applyAlignment="0" applyProtection="0"/>
    <xf numFmtId="0" fontId="12" fillId="11" borderId="0" applyNumberFormat="0" applyBorder="0" applyAlignment="0" applyProtection="0"/>
    <xf numFmtId="43" fontId="4" fillId="0" borderId="0" applyFont="0" applyFill="0" applyBorder="0" applyAlignment="0" applyProtection="0"/>
    <xf numFmtId="0" fontId="12" fillId="8" borderId="0" applyNumberFormat="0" applyBorder="0" applyAlignment="0" applyProtection="0"/>
    <xf numFmtId="0" fontId="17" fillId="0" borderId="0" applyNumberFormat="0" applyFill="0" applyBorder="0" applyAlignment="0" applyProtection="0"/>
    <xf numFmtId="0" fontId="71"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9" borderId="0" applyNumberFormat="0" applyBorder="0" applyAlignment="0" applyProtection="0"/>
    <xf numFmtId="0" fontId="23" fillId="7" borderId="1" applyNumberFormat="0" applyAlignment="0" applyProtection="0"/>
    <xf numFmtId="0" fontId="24" fillId="0" borderId="6" applyNumberFormat="0" applyFill="0" applyAlignment="0" applyProtection="0"/>
    <xf numFmtId="0" fontId="25" fillId="22" borderId="0" applyNumberFormat="0" applyBorder="0" applyAlignment="0" applyProtection="0"/>
    <xf numFmtId="0" fontId="4" fillId="0" borderId="0"/>
    <xf numFmtId="0" fontId="12" fillId="7" borderId="0" applyNumberFormat="0" applyBorder="0" applyAlignment="0" applyProtection="0"/>
    <xf numFmtId="0" fontId="12" fillId="6"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3" borderId="0" applyNumberFormat="0" applyBorder="0" applyAlignment="0" applyProtection="0"/>
    <xf numFmtId="0" fontId="12" fillId="2" borderId="0" applyNumberFormat="0" applyBorder="0" applyAlignment="0" applyProtection="0"/>
    <xf numFmtId="0" fontId="4" fillId="23" borderId="7" applyNumberFormat="0" applyFont="0" applyAlignment="0" applyProtection="0"/>
    <xf numFmtId="0" fontId="26" fillId="20" borderId="8" applyNumberFormat="0" applyAlignment="0" applyProtection="0"/>
    <xf numFmtId="0" fontId="12" fillId="8" borderId="0" applyNumberFormat="0" applyBorder="0" applyAlignment="0" applyProtection="0"/>
    <xf numFmtId="9" fontId="4" fillId="0" borderId="0" applyFon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10" fillId="0" borderId="0" applyNumberFormat="0" applyFill="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6" fillId="21" borderId="2" applyNumberFormat="0" applyAlignment="0" applyProtection="0"/>
    <xf numFmtId="0" fontId="12" fillId="11" borderId="0" applyNumberFormat="0" applyBorder="0" applyAlignment="0" applyProtection="0"/>
    <xf numFmtId="43" fontId="4" fillId="0" borderId="0" applyFont="0" applyFill="0" applyBorder="0" applyAlignment="0" applyProtection="0"/>
    <xf numFmtId="0" fontId="12" fillId="8" borderId="0" applyNumberFormat="0" applyBorder="0" applyAlignment="0" applyProtection="0"/>
    <xf numFmtId="0" fontId="17" fillId="0" borderId="0" applyNumberFormat="0" applyFill="0" applyBorder="0" applyAlignment="0" applyProtection="0"/>
    <xf numFmtId="0" fontId="71"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9" borderId="0" applyNumberFormat="0" applyBorder="0" applyAlignment="0" applyProtection="0"/>
    <xf numFmtId="0" fontId="23" fillId="7" borderId="1" applyNumberFormat="0" applyAlignment="0" applyProtection="0"/>
    <xf numFmtId="0" fontId="24" fillId="0" borderId="6" applyNumberFormat="0" applyFill="0" applyAlignment="0" applyProtection="0"/>
    <xf numFmtId="0" fontId="25" fillId="22" borderId="0" applyNumberFormat="0" applyBorder="0" applyAlignment="0" applyProtection="0"/>
    <xf numFmtId="0" fontId="4" fillId="0" borderId="0"/>
    <xf numFmtId="0" fontId="12" fillId="7" borderId="0" applyNumberFormat="0" applyBorder="0" applyAlignment="0" applyProtection="0"/>
    <xf numFmtId="0" fontId="12" fillId="6"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3" borderId="0" applyNumberFormat="0" applyBorder="0" applyAlignment="0" applyProtection="0"/>
    <xf numFmtId="0" fontId="12" fillId="2" borderId="0" applyNumberFormat="0" applyBorder="0" applyAlignment="0" applyProtection="0"/>
    <xf numFmtId="0" fontId="4" fillId="23" borderId="7" applyNumberFormat="0" applyFont="0" applyAlignment="0" applyProtection="0"/>
    <xf numFmtId="0" fontId="26" fillId="20" borderId="8" applyNumberFormat="0" applyAlignment="0" applyProtection="0"/>
    <xf numFmtId="0" fontId="12" fillId="8" borderId="0" applyNumberFormat="0" applyBorder="0" applyAlignment="0" applyProtection="0"/>
    <xf numFmtId="9" fontId="4" fillId="0" borderId="0" applyFon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10" fillId="0" borderId="0" applyNumberFormat="0" applyFill="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6" fillId="21" borderId="2" applyNumberFormat="0" applyAlignment="0" applyProtection="0"/>
    <xf numFmtId="0" fontId="12" fillId="11" borderId="0" applyNumberFormat="0" applyBorder="0" applyAlignment="0" applyProtection="0"/>
    <xf numFmtId="43" fontId="4" fillId="0" borderId="0" applyFont="0" applyFill="0" applyBorder="0" applyAlignment="0" applyProtection="0"/>
    <xf numFmtId="0" fontId="12" fillId="8" borderId="0" applyNumberFormat="0" applyBorder="0" applyAlignment="0" applyProtection="0"/>
    <xf numFmtId="0" fontId="17" fillId="0" borderId="0" applyNumberFormat="0" applyFill="0" applyBorder="0" applyAlignment="0" applyProtection="0"/>
    <xf numFmtId="0" fontId="71"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9" borderId="0" applyNumberFormat="0" applyBorder="0" applyAlignment="0" applyProtection="0"/>
    <xf numFmtId="0" fontId="23" fillId="7" borderId="1" applyNumberFormat="0" applyAlignment="0" applyProtection="0"/>
    <xf numFmtId="0" fontId="24" fillId="0" borderId="6" applyNumberFormat="0" applyFill="0" applyAlignment="0" applyProtection="0"/>
    <xf numFmtId="0" fontId="25" fillId="22" borderId="0" applyNumberFormat="0" applyBorder="0" applyAlignment="0" applyProtection="0"/>
    <xf numFmtId="0" fontId="4" fillId="0" borderId="0"/>
    <xf numFmtId="0" fontId="12" fillId="7" borderId="0" applyNumberFormat="0" applyBorder="0" applyAlignment="0" applyProtection="0"/>
    <xf numFmtId="0" fontId="12" fillId="6"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3" borderId="0" applyNumberFormat="0" applyBorder="0" applyAlignment="0" applyProtection="0"/>
    <xf numFmtId="0" fontId="12" fillId="2" borderId="0" applyNumberFormat="0" applyBorder="0" applyAlignment="0" applyProtection="0"/>
    <xf numFmtId="0" fontId="4" fillId="23" borderId="7" applyNumberFormat="0" applyFont="0" applyAlignment="0" applyProtection="0"/>
    <xf numFmtId="0" fontId="26" fillId="20" borderId="8" applyNumberFormat="0" applyAlignment="0" applyProtection="0"/>
    <xf numFmtId="0" fontId="12" fillId="8" borderId="0" applyNumberFormat="0" applyBorder="0" applyAlignment="0" applyProtection="0"/>
    <xf numFmtId="9" fontId="4" fillId="0" borderId="0" applyFon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10" fillId="0" borderId="0" applyNumberFormat="0" applyFill="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6" fillId="21" borderId="2" applyNumberFormat="0" applyAlignment="0" applyProtection="0"/>
    <xf numFmtId="0" fontId="12" fillId="11" borderId="0" applyNumberFormat="0" applyBorder="0" applyAlignment="0" applyProtection="0"/>
    <xf numFmtId="43" fontId="4" fillId="0" borderId="0" applyFont="0" applyFill="0" applyBorder="0" applyAlignment="0" applyProtection="0"/>
    <xf numFmtId="0" fontId="12" fillId="8" borderId="0" applyNumberFormat="0" applyBorder="0" applyAlignment="0" applyProtection="0"/>
    <xf numFmtId="0" fontId="17" fillId="0" borderId="0" applyNumberFormat="0" applyFill="0" applyBorder="0" applyAlignment="0" applyProtection="0"/>
    <xf numFmtId="0" fontId="71"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9" borderId="0" applyNumberFormat="0" applyBorder="0" applyAlignment="0" applyProtection="0"/>
    <xf numFmtId="0" fontId="23" fillId="7" borderId="1" applyNumberFormat="0" applyAlignment="0" applyProtection="0"/>
    <xf numFmtId="0" fontId="24" fillId="0" borderId="6" applyNumberFormat="0" applyFill="0" applyAlignment="0" applyProtection="0"/>
    <xf numFmtId="0" fontId="25" fillId="22" borderId="0" applyNumberFormat="0" applyBorder="0" applyAlignment="0" applyProtection="0"/>
    <xf numFmtId="0" fontId="4" fillId="0" borderId="0"/>
    <xf numFmtId="0" fontId="12" fillId="7" borderId="0" applyNumberFormat="0" applyBorder="0" applyAlignment="0" applyProtection="0"/>
    <xf numFmtId="0" fontId="12" fillId="6"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3" borderId="0" applyNumberFormat="0" applyBorder="0" applyAlignment="0" applyProtection="0"/>
    <xf numFmtId="0" fontId="12" fillId="2" borderId="0" applyNumberFormat="0" applyBorder="0" applyAlignment="0" applyProtection="0"/>
    <xf numFmtId="0" fontId="4" fillId="23" borderId="7" applyNumberFormat="0" applyFont="0" applyAlignment="0" applyProtection="0"/>
    <xf numFmtId="0" fontId="26" fillId="20" borderId="8" applyNumberFormat="0" applyAlignment="0" applyProtection="0"/>
    <xf numFmtId="0" fontId="12" fillId="8" borderId="0" applyNumberFormat="0" applyBorder="0" applyAlignment="0" applyProtection="0"/>
    <xf numFmtId="9" fontId="4" fillId="0" borderId="0" applyFon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10" fillId="0" borderId="0" applyNumberFormat="0" applyFill="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6" fillId="21" borderId="2" applyNumberFormat="0" applyAlignment="0" applyProtection="0"/>
    <xf numFmtId="0" fontId="12" fillId="11" borderId="0" applyNumberFormat="0" applyBorder="0" applyAlignment="0" applyProtection="0"/>
    <xf numFmtId="43" fontId="4" fillId="0" borderId="0" applyFont="0" applyFill="0" applyBorder="0" applyAlignment="0" applyProtection="0"/>
    <xf numFmtId="0" fontId="12" fillId="8" borderId="0" applyNumberFormat="0" applyBorder="0" applyAlignment="0" applyProtection="0"/>
    <xf numFmtId="0" fontId="17" fillId="0" borderId="0" applyNumberFormat="0" applyFill="0" applyBorder="0" applyAlignment="0" applyProtection="0"/>
    <xf numFmtId="0" fontId="71"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9" borderId="0" applyNumberFormat="0" applyBorder="0" applyAlignment="0" applyProtection="0"/>
    <xf numFmtId="0" fontId="23" fillId="7" borderId="1" applyNumberFormat="0" applyAlignment="0" applyProtection="0"/>
    <xf numFmtId="0" fontId="24" fillId="0" borderId="6" applyNumberFormat="0" applyFill="0" applyAlignment="0" applyProtection="0"/>
    <xf numFmtId="0" fontId="25" fillId="22" borderId="0" applyNumberFormat="0" applyBorder="0" applyAlignment="0" applyProtection="0"/>
    <xf numFmtId="0" fontId="4" fillId="0" borderId="0"/>
    <xf numFmtId="0" fontId="12" fillId="7" borderId="0" applyNumberFormat="0" applyBorder="0" applyAlignment="0" applyProtection="0"/>
    <xf numFmtId="0" fontId="12" fillId="6"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3" borderId="0" applyNumberFormat="0" applyBorder="0" applyAlignment="0" applyProtection="0"/>
    <xf numFmtId="0" fontId="12" fillId="2" borderId="0" applyNumberFormat="0" applyBorder="0" applyAlignment="0" applyProtection="0"/>
    <xf numFmtId="0" fontId="4" fillId="23" borderId="7" applyNumberFormat="0" applyFont="0" applyAlignment="0" applyProtection="0"/>
    <xf numFmtId="0" fontId="26" fillId="20" borderId="8" applyNumberFormat="0" applyAlignment="0" applyProtection="0"/>
    <xf numFmtId="0" fontId="12" fillId="8" borderId="0" applyNumberFormat="0" applyBorder="0" applyAlignment="0" applyProtection="0"/>
    <xf numFmtId="9" fontId="4" fillId="0" borderId="0" applyFon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10" fillId="0" borderId="0" applyNumberFormat="0" applyFill="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6" fillId="21" borderId="2" applyNumberFormat="0" applyAlignment="0" applyProtection="0"/>
    <xf numFmtId="0" fontId="12" fillId="11" borderId="0" applyNumberFormat="0" applyBorder="0" applyAlignment="0" applyProtection="0"/>
    <xf numFmtId="43" fontId="4" fillId="0" borderId="0" applyFont="0" applyFill="0" applyBorder="0" applyAlignment="0" applyProtection="0"/>
    <xf numFmtId="0" fontId="12" fillId="8" borderId="0" applyNumberFormat="0" applyBorder="0" applyAlignment="0" applyProtection="0"/>
    <xf numFmtId="0" fontId="17" fillId="0" borderId="0" applyNumberFormat="0" applyFill="0" applyBorder="0" applyAlignment="0" applyProtection="0"/>
    <xf numFmtId="0" fontId="71"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9" borderId="0" applyNumberFormat="0" applyBorder="0" applyAlignment="0" applyProtection="0"/>
    <xf numFmtId="0" fontId="23" fillId="7" borderId="1" applyNumberFormat="0" applyAlignment="0" applyProtection="0"/>
    <xf numFmtId="0" fontId="24" fillId="0" borderId="6" applyNumberFormat="0" applyFill="0" applyAlignment="0" applyProtection="0"/>
    <xf numFmtId="0" fontId="25" fillId="22" borderId="0" applyNumberFormat="0" applyBorder="0" applyAlignment="0" applyProtection="0"/>
    <xf numFmtId="0" fontId="4" fillId="0" borderId="0"/>
    <xf numFmtId="0" fontId="12" fillId="7" borderId="0" applyNumberFormat="0" applyBorder="0" applyAlignment="0" applyProtection="0"/>
    <xf numFmtId="0" fontId="12" fillId="6"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3" borderId="0" applyNumberFormat="0" applyBorder="0" applyAlignment="0" applyProtection="0"/>
    <xf numFmtId="0" fontId="12" fillId="2" borderId="0" applyNumberFormat="0" applyBorder="0" applyAlignment="0" applyProtection="0"/>
    <xf numFmtId="0" fontId="4" fillId="23" borderId="7" applyNumberFormat="0" applyFont="0" applyAlignment="0" applyProtection="0"/>
    <xf numFmtId="0" fontId="26" fillId="20" borderId="8" applyNumberFormat="0" applyAlignment="0" applyProtection="0"/>
    <xf numFmtId="9" fontId="4" fillId="0" borderId="0" applyFon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10" fillId="0" borderId="0" applyNumberFormat="0" applyFill="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6" fillId="21" borderId="2" applyNumberFormat="0" applyAlignment="0" applyProtection="0"/>
    <xf numFmtId="43" fontId="4" fillId="0" borderId="0" applyFont="0" applyFill="0" applyBorder="0" applyAlignment="0" applyProtection="0"/>
    <xf numFmtId="0" fontId="17" fillId="0" borderId="0" applyNumberFormat="0" applyFill="0" applyBorder="0" applyAlignment="0" applyProtection="0"/>
    <xf numFmtId="0" fontId="71"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3" fillId="7" borderId="1" applyNumberFormat="0" applyAlignment="0" applyProtection="0"/>
    <xf numFmtId="0" fontId="24" fillId="0" borderId="6" applyNumberFormat="0" applyFill="0" applyAlignment="0" applyProtection="0"/>
    <xf numFmtId="0" fontId="25" fillId="22" borderId="0" applyNumberFormat="0" applyBorder="0" applyAlignment="0" applyProtection="0"/>
    <xf numFmtId="0" fontId="4" fillId="0" borderId="0"/>
    <xf numFmtId="0" fontId="4" fillId="23" borderId="7" applyNumberFormat="0" applyFont="0" applyAlignment="0" applyProtection="0"/>
    <xf numFmtId="0" fontId="26" fillId="20" borderId="8" applyNumberFormat="0" applyAlignment="0" applyProtection="0"/>
    <xf numFmtId="9" fontId="4" fillId="0" borderId="0" applyFon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10" fillId="0" borderId="0" applyNumberFormat="0" applyFill="0" applyBorder="0" applyAlignment="0" applyProtection="0"/>
    <xf numFmtId="0" fontId="2" fillId="0" borderId="0"/>
    <xf numFmtId="10" fontId="35" fillId="0" borderId="123" applyFont="0" applyFill="0" applyBorder="0" applyAlignment="0" applyProtection="0">
      <alignment horizontal="right"/>
    </xf>
    <xf numFmtId="3" fontId="76" fillId="0" borderId="0" applyNumberFormat="0" applyFill="0" applyBorder="0" applyAlignment="0" applyProtection="0"/>
    <xf numFmtId="3" fontId="77" fillId="0" borderId="0" applyNumberFormat="0" applyFill="0" applyBorder="0" applyAlignment="0" applyProtection="0"/>
    <xf numFmtId="168" fontId="35" fillId="0" borderId="124" applyNumberFormat="0" applyFont="0" applyFill="0" applyAlignment="0">
      <protection locked="0"/>
    </xf>
    <xf numFmtId="43" fontId="8" fillId="0" borderId="0" applyFont="0" applyFill="0" applyBorder="0" applyAlignment="0" applyProtection="0"/>
    <xf numFmtId="43" fontId="4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81" fontId="8" fillId="0" borderId="0" applyFont="0" applyBorder="0" applyAlignment="0">
      <alignment horizontal="center"/>
    </xf>
    <xf numFmtId="181" fontId="8" fillId="0" borderId="0" applyFont="0" applyBorder="0" applyAlignment="0">
      <alignment horizontal="center"/>
    </xf>
    <xf numFmtId="0" fontId="78" fillId="0" borderId="0" applyNumberFormat="0" applyFill="0" applyBorder="0" applyAlignment="0" applyProtection="0">
      <alignment vertical="top"/>
      <protection locked="0"/>
    </xf>
    <xf numFmtId="4" fontId="76" fillId="36" borderId="125" applyNumberFormat="0" applyFont="0" applyBorder="0" applyAlignment="0" applyProtection="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182" fontId="8" fillId="0" borderId="55" applyFont="0" applyFill="0" applyBorder="0" applyAlignment="0" applyProtection="0">
      <alignment horizontal="center"/>
    </xf>
    <xf numFmtId="182" fontId="8" fillId="0" borderId="55" applyFont="0" applyFill="0" applyBorder="0" applyAlignment="0" applyProtection="0">
      <alignment horizontal="center"/>
    </xf>
    <xf numFmtId="3" fontId="35" fillId="39" borderId="125" applyNumberFormat="0" applyFont="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7" fillId="0" borderId="0" applyFont="0" applyFill="0" applyBorder="0" applyAlignment="0" applyProtection="0"/>
    <xf numFmtId="10" fontId="35" fillId="28" borderId="0" applyNumberFormat="0" applyFont="0" applyBorder="0" applyAlignment="0" applyProtection="0"/>
    <xf numFmtId="3" fontId="79" fillId="0" borderId="126" applyNumberFormat="0" applyFill="0" applyBorder="0" applyAlignment="0" applyProtection="0">
      <protection locked="0"/>
    </xf>
    <xf numFmtId="166" fontId="76" fillId="0" borderId="127" applyNumberFormat="0" applyFont="0" applyFill="0" applyAlignment="0" applyProtection="0"/>
    <xf numFmtId="3" fontId="35" fillId="0" borderId="128" applyNumberFormat="0" applyFont="0" applyFill="0" applyAlignment="0" applyProtection="0">
      <alignment horizontal="right"/>
    </xf>
    <xf numFmtId="0" fontId="80" fillId="0" borderId="129" applyNumberFormat="0" applyFont="0" applyFill="0" applyAlignment="0">
      <protection locked="0"/>
    </xf>
    <xf numFmtId="0" fontId="60"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47" fillId="0" borderId="0"/>
    <xf numFmtId="0" fontId="1" fillId="0" borderId="0"/>
    <xf numFmtId="44" fontId="4" fillId="0" borderId="0" applyFont="0" applyFill="0" applyBorder="0" applyAlignment="0" applyProtection="0"/>
    <xf numFmtId="44" fontId="127" fillId="0" borderId="0" applyFont="0" applyFill="0" applyBorder="0" applyAlignment="0" applyProtection="0"/>
  </cellStyleXfs>
  <cellXfs count="2695">
    <xf numFmtId="0" fontId="0" fillId="0" borderId="0" xfId="0"/>
    <xf numFmtId="0" fontId="32" fillId="0" borderId="0" xfId="0" applyFont="1"/>
    <xf numFmtId="0" fontId="31" fillId="0" borderId="0" xfId="0" applyFont="1"/>
    <xf numFmtId="0" fontId="0" fillId="24" borderId="0" xfId="0" applyFill="1"/>
    <xf numFmtId="0" fontId="0" fillId="0" borderId="0" xfId="0" applyFill="1" applyBorder="1"/>
    <xf numFmtId="0" fontId="0" fillId="0" borderId="0" xfId="0" applyAlignment="1">
      <alignment horizontal="right"/>
    </xf>
    <xf numFmtId="0" fontId="32" fillId="0" borderId="0" xfId="0" applyFont="1" applyBorder="1" applyAlignment="1">
      <alignment horizontal="center" wrapText="1"/>
    </xf>
    <xf numFmtId="0" fontId="0" fillId="0" borderId="0" xfId="0" applyBorder="1"/>
    <xf numFmtId="0" fontId="8" fillId="0" borderId="0" xfId="0" applyFont="1" applyAlignment="1">
      <alignment horizontal="right"/>
    </xf>
    <xf numFmtId="0" fontId="8" fillId="0" borderId="0" xfId="0" applyFont="1"/>
    <xf numFmtId="0" fontId="0" fillId="0" borderId="0" xfId="0" quotePrefix="1"/>
    <xf numFmtId="0" fontId="0" fillId="0" borderId="17" xfId="0" applyBorder="1"/>
    <xf numFmtId="0" fontId="0" fillId="0" borderId="19" xfId="0" applyBorder="1"/>
    <xf numFmtId="0" fontId="0" fillId="0" borderId="21" xfId="0" applyBorder="1"/>
    <xf numFmtId="0" fontId="8" fillId="0" borderId="0" xfId="0" applyFont="1" applyAlignment="1">
      <alignment horizontal="center"/>
    </xf>
    <xf numFmtId="3" fontId="42" fillId="25" borderId="0" xfId="0" applyNumberFormat="1" applyFont="1" applyFill="1" applyBorder="1" applyAlignment="1" applyProtection="1">
      <alignment horizontal="center"/>
      <protection hidden="1"/>
    </xf>
    <xf numFmtId="3" fontId="41" fillId="25" borderId="25" xfId="0" applyNumberFormat="1" applyFont="1" applyFill="1" applyBorder="1" applyAlignment="1" applyProtection="1">
      <alignment horizontal="center"/>
      <protection hidden="1"/>
    </xf>
    <xf numFmtId="0" fontId="29" fillId="0" borderId="0" xfId="45" applyFont="1" applyBorder="1" applyAlignment="1" applyProtection="1">
      <alignment horizontal="right"/>
      <protection locked="0"/>
    </xf>
    <xf numFmtId="3" fontId="40" fillId="0" borderId="0" xfId="45" applyNumberFormat="1" applyFont="1" applyBorder="1" applyAlignment="1" applyProtection="1">
      <alignment horizontal="right"/>
    </xf>
    <xf numFmtId="2" fontId="0" fillId="0" borderId="0" xfId="0" applyNumberFormat="1" applyAlignment="1">
      <alignment horizontal="center"/>
    </xf>
    <xf numFmtId="1" fontId="40" fillId="0" borderId="0" xfId="0" applyNumberFormat="1" applyFont="1" applyAlignment="1">
      <alignment horizontal="center"/>
    </xf>
    <xf numFmtId="1" fontId="40" fillId="0" borderId="0" xfId="45" applyNumberFormat="1" applyFont="1" applyBorder="1" applyAlignment="1" applyProtection="1">
      <alignment horizontal="center"/>
    </xf>
    <xf numFmtId="0" fontId="29" fillId="0" borderId="0" xfId="45" applyFont="1" applyBorder="1" applyProtection="1"/>
    <xf numFmtId="0" fontId="29" fillId="0" borderId="0" xfId="45" applyFont="1" applyBorder="1" applyAlignment="1" applyProtection="1">
      <alignment horizontal="right"/>
    </xf>
    <xf numFmtId="3" fontId="29" fillId="0" borderId="0" xfId="45" applyNumberFormat="1" applyFont="1" applyBorder="1" applyAlignment="1" applyProtection="1">
      <alignment horizontal="center"/>
    </xf>
    <xf numFmtId="0" fontId="40" fillId="0" borderId="0" xfId="45" applyFont="1" applyBorder="1" applyProtection="1"/>
    <xf numFmtId="0" fontId="40" fillId="0" borderId="0" xfId="45" applyFont="1" applyBorder="1" applyAlignment="1" applyProtection="1">
      <alignment horizontal="right"/>
    </xf>
    <xf numFmtId="0" fontId="40" fillId="0" borderId="0" xfId="45" applyFont="1" applyBorder="1" applyAlignment="1" applyProtection="1">
      <alignment horizontal="center"/>
    </xf>
    <xf numFmtId="0" fontId="32" fillId="27" borderId="16" xfId="0" applyFont="1" applyFill="1" applyBorder="1" applyAlignment="1">
      <alignment horizontal="center"/>
    </xf>
    <xf numFmtId="0" fontId="31" fillId="24" borderId="0" xfId="0" applyFont="1" applyFill="1"/>
    <xf numFmtId="0" fontId="31" fillId="25" borderId="14" xfId="0" applyFont="1" applyFill="1" applyBorder="1"/>
    <xf numFmtId="0" fontId="0" fillId="25" borderId="26" xfId="0" applyFill="1" applyBorder="1"/>
    <xf numFmtId="0" fontId="0" fillId="25" borderId="19" xfId="0" applyFill="1" applyBorder="1"/>
    <xf numFmtId="0" fontId="0" fillId="25" borderId="27" xfId="0" applyFill="1" applyBorder="1"/>
    <xf numFmtId="0" fontId="0" fillId="25" borderId="0" xfId="0" applyFill="1" applyBorder="1"/>
    <xf numFmtId="0" fontId="0" fillId="25" borderId="28" xfId="0" applyFill="1" applyBorder="1"/>
    <xf numFmtId="0" fontId="33" fillId="24" borderId="27" xfId="0" applyFont="1" applyFill="1" applyBorder="1" applyAlignment="1">
      <alignment horizontal="right"/>
    </xf>
    <xf numFmtId="3" fontId="29" fillId="0" borderId="0" xfId="0" applyNumberFormat="1" applyFont="1" applyBorder="1" applyAlignment="1">
      <alignment horizontal="center"/>
    </xf>
    <xf numFmtId="0" fontId="32" fillId="24" borderId="27" xfId="0" applyFont="1" applyFill="1" applyBorder="1" applyAlignment="1">
      <alignment horizontal="right"/>
    </xf>
    <xf numFmtId="0" fontId="33" fillId="24" borderId="0" xfId="0" applyFont="1" applyFill="1" applyBorder="1" applyAlignment="1">
      <alignment horizontal="right"/>
    </xf>
    <xf numFmtId="0" fontId="0" fillId="24" borderId="27" xfId="0" applyFill="1" applyBorder="1"/>
    <xf numFmtId="0" fontId="32" fillId="24" borderId="0" xfId="0" applyFont="1" applyFill="1" applyBorder="1" applyAlignment="1">
      <alignment horizontal="right"/>
    </xf>
    <xf numFmtId="2" fontId="0" fillId="0" borderId="0" xfId="0" applyNumberFormat="1" applyBorder="1"/>
    <xf numFmtId="0" fontId="0" fillId="0" borderId="28" xfId="0" applyBorder="1"/>
    <xf numFmtId="0" fontId="29" fillId="24" borderId="0" xfId="0" applyFont="1" applyFill="1" applyBorder="1" applyAlignment="1">
      <alignment horizontal="center"/>
    </xf>
    <xf numFmtId="0" fontId="0" fillId="0" borderId="28" xfId="0" applyBorder="1" applyAlignment="1">
      <alignment horizontal="center"/>
    </xf>
    <xf numFmtId="0" fontId="0" fillId="0" borderId="27" xfId="0" applyBorder="1"/>
    <xf numFmtId="0" fontId="32" fillId="0" borderId="0" xfId="0" applyFont="1" applyBorder="1" applyAlignment="1">
      <alignment horizontal="right"/>
    </xf>
    <xf numFmtId="1" fontId="29" fillId="24" borderId="0" xfId="0" applyNumberFormat="1" applyFont="1" applyFill="1" applyBorder="1" applyAlignment="1">
      <alignment horizontal="center"/>
    </xf>
    <xf numFmtId="0" fontId="29" fillId="0" borderId="0" xfId="0" applyFont="1" applyBorder="1"/>
    <xf numFmtId="0" fontId="33" fillId="0" borderId="0" xfId="0" applyFont="1" applyBorder="1" applyAlignment="1">
      <alignment horizontal="center"/>
    </xf>
    <xf numFmtId="1" fontId="0" fillId="0" borderId="0" xfId="0" applyNumberFormat="1" applyBorder="1"/>
    <xf numFmtId="0" fontId="33" fillId="0" borderId="27" xfId="0" applyFont="1" applyBorder="1" applyAlignment="1">
      <alignment horizontal="right"/>
    </xf>
    <xf numFmtId="0" fontId="29" fillId="0" borderId="0" xfId="0" applyFont="1" applyBorder="1" applyAlignment="1">
      <alignment horizontal="center"/>
    </xf>
    <xf numFmtId="0" fontId="33" fillId="0" borderId="0" xfId="0" applyFont="1" applyBorder="1" applyAlignment="1">
      <alignment horizontal="right"/>
    </xf>
    <xf numFmtId="1" fontId="33" fillId="24" borderId="0" xfId="0" applyNumberFormat="1" applyFont="1" applyFill="1" applyBorder="1" applyAlignment="1">
      <alignment horizontal="center"/>
    </xf>
    <xf numFmtId="0" fontId="0" fillId="0" borderId="0" xfId="0" applyBorder="1" applyAlignment="1">
      <alignment horizontal="right"/>
    </xf>
    <xf numFmtId="2" fontId="0" fillId="24" borderId="0" xfId="0" applyNumberFormat="1" applyFill="1" applyBorder="1"/>
    <xf numFmtId="2" fontId="8" fillId="0" borderId="15" xfId="0" applyNumberFormat="1" applyFont="1" applyBorder="1" applyAlignment="1">
      <alignment horizontal="center" wrapText="1"/>
    </xf>
    <xf numFmtId="166" fontId="0" fillId="0" borderId="0" xfId="0" applyNumberFormat="1" applyBorder="1"/>
    <xf numFmtId="0" fontId="8" fillId="0" borderId="30" xfId="0" applyFont="1" applyBorder="1" applyAlignment="1">
      <alignment horizontal="center"/>
    </xf>
    <xf numFmtId="3" fontId="8" fillId="0" borderId="30" xfId="0" applyNumberFormat="1" applyFont="1" applyBorder="1" applyAlignment="1">
      <alignment horizontal="center"/>
    </xf>
    <xf numFmtId="3" fontId="39" fillId="28" borderId="30" xfId="0" applyNumberFormat="1" applyFont="1" applyFill="1" applyBorder="1" applyAlignment="1">
      <alignment horizontal="left"/>
    </xf>
    <xf numFmtId="0" fontId="0" fillId="28" borderId="0" xfId="0" applyFill="1"/>
    <xf numFmtId="2" fontId="29" fillId="24" borderId="0" xfId="0" applyNumberFormat="1" applyFont="1" applyFill="1" applyBorder="1" applyAlignment="1">
      <alignment horizontal="center"/>
    </xf>
    <xf numFmtId="3" fontId="0" fillId="0" borderId="0" xfId="0" applyNumberFormat="1" applyBorder="1" applyAlignment="1">
      <alignment horizontal="center"/>
    </xf>
    <xf numFmtId="3" fontId="0" fillId="0" borderId="28" xfId="0" applyNumberFormat="1" applyBorder="1" applyAlignment="1">
      <alignment horizontal="center"/>
    </xf>
    <xf numFmtId="3" fontId="0" fillId="0" borderId="0" xfId="0" applyNumberFormat="1" applyAlignment="1">
      <alignment horizontal="center"/>
    </xf>
    <xf numFmtId="173" fontId="0" fillId="0" borderId="0" xfId="0" applyNumberFormat="1" applyBorder="1"/>
    <xf numFmtId="168" fontId="8" fillId="0" borderId="30" xfId="0" applyNumberFormat="1" applyFont="1" applyBorder="1" applyAlignment="1">
      <alignment horizontal="center"/>
    </xf>
    <xf numFmtId="0" fontId="0" fillId="0" borderId="0" xfId="0" applyAlignment="1">
      <alignment horizontal="center"/>
    </xf>
    <xf numFmtId="0" fontId="8" fillId="0" borderId="31" xfId="0" applyFont="1" applyBorder="1" applyAlignment="1">
      <alignment horizontal="center"/>
    </xf>
    <xf numFmtId="3" fontId="8" fillId="0" borderId="31" xfId="0" applyNumberFormat="1" applyFont="1" applyBorder="1" applyAlignment="1">
      <alignment horizontal="center"/>
    </xf>
    <xf numFmtId="168" fontId="8" fillId="0" borderId="31" xfId="0" applyNumberFormat="1" applyFont="1" applyBorder="1" applyAlignment="1">
      <alignment horizontal="center"/>
    </xf>
    <xf numFmtId="0" fontId="33" fillId="0" borderId="26" xfId="0" applyFont="1" applyBorder="1" applyAlignment="1">
      <alignment horizontal="right"/>
    </xf>
    <xf numFmtId="3" fontId="0" fillId="0" borderId="28" xfId="0" applyNumberFormat="1" applyBorder="1"/>
    <xf numFmtId="3" fontId="0" fillId="0" borderId="0" xfId="0" applyNumberFormat="1"/>
    <xf numFmtId="166" fontId="29" fillId="0" borderId="0" xfId="0" applyNumberFormat="1" applyFont="1" applyBorder="1" applyAlignment="1">
      <alignment horizontal="center"/>
    </xf>
    <xf numFmtId="175" fontId="0" fillId="0" borderId="0" xfId="0" applyNumberFormat="1"/>
    <xf numFmtId="167" fontId="29" fillId="24" borderId="0" xfId="0" applyNumberFormat="1" applyFont="1" applyFill="1" applyBorder="1" applyAlignment="1">
      <alignment horizontal="center"/>
    </xf>
    <xf numFmtId="0" fontId="0" fillId="0" borderId="21" xfId="0" applyBorder="1" applyAlignment="1">
      <alignment horizontal="center"/>
    </xf>
    <xf numFmtId="0" fontId="0" fillId="0" borderId="32" xfId="0" applyBorder="1"/>
    <xf numFmtId="166" fontId="32" fillId="0" borderId="0" xfId="0" applyNumberFormat="1" applyFont="1" applyBorder="1" applyAlignment="1">
      <alignment horizontal="center"/>
    </xf>
    <xf numFmtId="0" fontId="39" fillId="0" borderId="0" xfId="0" applyFont="1"/>
    <xf numFmtId="0" fontId="8" fillId="24" borderId="0" xfId="0" applyFont="1" applyFill="1"/>
    <xf numFmtId="0" fontId="33" fillId="0" borderId="14" xfId="0" applyFont="1" applyBorder="1"/>
    <xf numFmtId="0" fontId="0" fillId="0" borderId="26" xfId="0" applyBorder="1"/>
    <xf numFmtId="0" fontId="36" fillId="0" borderId="0" xfId="0" applyFont="1" applyFill="1" applyBorder="1" applyAlignment="1">
      <alignment horizontal="center"/>
    </xf>
    <xf numFmtId="0" fontId="32" fillId="0" borderId="22" xfId="0" applyFont="1" applyBorder="1"/>
    <xf numFmtId="0" fontId="32" fillId="0" borderId="33" xfId="0" applyFont="1" applyBorder="1"/>
    <xf numFmtId="0" fontId="32" fillId="0" borderId="34" xfId="0" applyFont="1" applyBorder="1"/>
    <xf numFmtId="0" fontId="32" fillId="0" borderId="35" xfId="0" applyFont="1" applyBorder="1"/>
    <xf numFmtId="0" fontId="32" fillId="0" borderId="36" xfId="0" applyFont="1" applyBorder="1"/>
    <xf numFmtId="0" fontId="32" fillId="0" borderId="37" xfId="0" applyFont="1" applyBorder="1"/>
    <xf numFmtId="0" fontId="39" fillId="0" borderId="0" xfId="0" applyFont="1" applyFill="1" applyBorder="1"/>
    <xf numFmtId="0" fontId="32" fillId="0" borderId="38" xfId="0" applyFont="1" applyBorder="1"/>
    <xf numFmtId="0" fontId="32" fillId="0" borderId="39" xfId="0" applyFont="1" applyBorder="1"/>
    <xf numFmtId="0" fontId="32" fillId="0" borderId="0" xfId="0" applyFont="1" applyBorder="1"/>
    <xf numFmtId="0" fontId="32" fillId="0" borderId="40" xfId="0" applyFont="1" applyBorder="1"/>
    <xf numFmtId="0" fontId="32" fillId="24" borderId="41" xfId="0" applyFont="1" applyFill="1" applyBorder="1"/>
    <xf numFmtId="173" fontId="39" fillId="24" borderId="10" xfId="0" applyNumberFormat="1" applyFont="1" applyFill="1" applyBorder="1" applyAlignment="1">
      <alignment horizontal="center"/>
    </xf>
    <xf numFmtId="0" fontId="0" fillId="24" borderId="10" xfId="0" applyFill="1" applyBorder="1" applyAlignment="1">
      <alignment horizontal="center"/>
    </xf>
    <xf numFmtId="0" fontId="0" fillId="24" borderId="42" xfId="0" applyFill="1" applyBorder="1" applyAlignment="1">
      <alignment horizontal="center"/>
    </xf>
    <xf numFmtId="0" fontId="32" fillId="24" borderId="0" xfId="0" applyFont="1" applyFill="1" applyAlignment="1">
      <alignment horizontal="center"/>
    </xf>
    <xf numFmtId="0" fontId="39" fillId="0" borderId="0" xfId="0" applyFont="1" applyFill="1" applyBorder="1" applyAlignment="1">
      <alignment horizontal="center"/>
    </xf>
    <xf numFmtId="0" fontId="39" fillId="27" borderId="43" xfId="0" applyFont="1" applyFill="1" applyBorder="1" applyAlignment="1">
      <alignment horizontal="right"/>
    </xf>
    <xf numFmtId="0" fontId="0" fillId="0" borderId="10" xfId="0" applyBorder="1"/>
    <xf numFmtId="171" fontId="39" fillId="24" borderId="44" xfId="0" applyNumberFormat="1" applyFont="1" applyFill="1" applyBorder="1" applyAlignment="1">
      <alignment horizontal="center"/>
    </xf>
    <xf numFmtId="0" fontId="32" fillId="0" borderId="41" xfId="0" applyFont="1" applyBorder="1"/>
    <xf numFmtId="168" fontId="0" fillId="0" borderId="10" xfId="0" applyNumberFormat="1" applyBorder="1"/>
    <xf numFmtId="0" fontId="0" fillId="0" borderId="42" xfId="0" applyBorder="1"/>
    <xf numFmtId="0" fontId="32" fillId="0" borderId="0" xfId="0" applyFont="1" applyFill="1" applyBorder="1"/>
    <xf numFmtId="0" fontId="39" fillId="24" borderId="43" xfId="0" applyFont="1" applyFill="1" applyBorder="1" applyAlignment="1">
      <alignment horizontal="right"/>
    </xf>
    <xf numFmtId="171" fontId="39" fillId="24" borderId="45" xfId="0" applyNumberFormat="1" applyFont="1" applyFill="1" applyBorder="1" applyAlignment="1">
      <alignment horizontal="center"/>
    </xf>
    <xf numFmtId="172" fontId="39" fillId="24" borderId="10" xfId="0" applyNumberFormat="1" applyFont="1" applyFill="1" applyBorder="1" applyAlignment="1">
      <alignment horizontal="center"/>
    </xf>
    <xf numFmtId="1" fontId="39" fillId="0" borderId="0" xfId="0" applyNumberFormat="1" applyFont="1" applyFill="1" applyBorder="1" applyAlignment="1">
      <alignment horizontal="center"/>
    </xf>
    <xf numFmtId="170" fontId="39" fillId="24" borderId="45" xfId="0" applyNumberFormat="1" applyFont="1" applyFill="1" applyBorder="1" applyAlignment="1">
      <alignment horizontal="center"/>
    </xf>
    <xf numFmtId="168" fontId="39" fillId="24" borderId="10" xfId="0" applyNumberFormat="1" applyFont="1" applyFill="1" applyBorder="1" applyAlignment="1">
      <alignment horizontal="center"/>
    </xf>
    <xf numFmtId="43" fontId="0" fillId="0" borderId="0" xfId="0" applyNumberFormat="1"/>
    <xf numFmtId="169" fontId="39" fillId="24" borderId="10" xfId="0" applyNumberFormat="1" applyFont="1" applyFill="1" applyBorder="1" applyAlignment="1">
      <alignment horizontal="center"/>
    </xf>
    <xf numFmtId="0" fontId="39" fillId="27" borderId="46" xfId="0" applyFont="1" applyFill="1" applyBorder="1" applyAlignment="1">
      <alignment horizontal="right"/>
    </xf>
    <xf numFmtId="0" fontId="0" fillId="0" borderId="47" xfId="0" applyBorder="1"/>
    <xf numFmtId="171" fontId="39" fillId="24" borderId="48" xfId="0" applyNumberFormat="1" applyFont="1" applyFill="1" applyBorder="1" applyAlignment="1">
      <alignment horizontal="center"/>
    </xf>
    <xf numFmtId="168" fontId="0" fillId="0" borderId="0" xfId="0" applyNumberFormat="1" applyBorder="1"/>
    <xf numFmtId="0" fontId="32" fillId="0" borderId="49" xfId="0" applyFont="1" applyBorder="1"/>
    <xf numFmtId="168" fontId="0" fillId="0" borderId="47" xfId="0" applyNumberFormat="1" applyBorder="1"/>
    <xf numFmtId="0" fontId="0" fillId="0" borderId="50" xfId="0" applyBorder="1"/>
    <xf numFmtId="2" fontId="32" fillId="24" borderId="18" xfId="0" applyNumberFormat="1" applyFont="1" applyFill="1" applyBorder="1" applyAlignment="1">
      <alignment horizontal="center" wrapText="1"/>
    </xf>
    <xf numFmtId="2" fontId="32" fillId="0" borderId="0" xfId="0" applyNumberFormat="1" applyFont="1" applyAlignment="1">
      <alignment horizontal="center" wrapText="1"/>
    </xf>
    <xf numFmtId="168" fontId="32" fillId="24" borderId="15" xfId="0" applyNumberFormat="1" applyFont="1" applyFill="1" applyBorder="1" applyAlignment="1">
      <alignment horizontal="center"/>
    </xf>
    <xf numFmtId="3" fontId="32" fillId="0" borderId="0" xfId="0" applyNumberFormat="1" applyFont="1" applyAlignment="1">
      <alignment horizontal="center"/>
    </xf>
    <xf numFmtId="3" fontId="32" fillId="0" borderId="0" xfId="0" applyNumberFormat="1" applyFont="1"/>
    <xf numFmtId="168" fontId="32" fillId="24" borderId="30" xfId="0" applyNumberFormat="1" applyFont="1" applyFill="1" applyBorder="1" applyAlignment="1">
      <alignment horizontal="center"/>
    </xf>
    <xf numFmtId="3" fontId="8" fillId="0" borderId="0" xfId="45" applyNumberFormat="1" applyFont="1" applyBorder="1" applyAlignment="1" applyProtection="1">
      <alignment horizontal="left"/>
    </xf>
    <xf numFmtId="3" fontId="8" fillId="0" borderId="0" xfId="45" applyNumberFormat="1" applyFont="1" applyBorder="1" applyAlignment="1" applyProtection="1">
      <alignment horizontal="center"/>
    </xf>
    <xf numFmtId="0" fontId="8" fillId="0" borderId="0" xfId="45" applyFont="1" applyBorder="1" applyProtection="1"/>
    <xf numFmtId="0" fontId="8" fillId="0" borderId="0" xfId="45" applyFont="1" applyBorder="1" applyAlignment="1" applyProtection="1">
      <alignment horizontal="right"/>
    </xf>
    <xf numFmtId="0" fontId="0" fillId="29" borderId="0" xfId="0" applyFill="1" applyBorder="1"/>
    <xf numFmtId="0" fontId="23" fillId="29" borderId="51" xfId="0" applyFont="1" applyFill="1" applyBorder="1" applyAlignment="1" applyProtection="1">
      <alignment horizontal="right"/>
      <protection hidden="1"/>
    </xf>
    <xf numFmtId="0" fontId="23" fillId="29" borderId="0" xfId="0" applyFont="1" applyFill="1" applyBorder="1" applyAlignment="1" applyProtection="1">
      <alignment horizontal="right"/>
      <protection hidden="1"/>
    </xf>
    <xf numFmtId="168" fontId="32" fillId="27" borderId="16" xfId="0" applyNumberFormat="1" applyFont="1" applyFill="1" applyBorder="1" applyAlignment="1">
      <alignment horizontal="center"/>
    </xf>
    <xf numFmtId="168" fontId="32" fillId="24" borderId="31" xfId="0" applyNumberFormat="1" applyFont="1" applyFill="1" applyBorder="1" applyAlignment="1">
      <alignment horizontal="center"/>
    </xf>
    <xf numFmtId="0" fontId="33" fillId="0" borderId="22" xfId="48" applyFont="1" applyBorder="1" applyAlignment="1">
      <alignment horizontal="center"/>
    </xf>
    <xf numFmtId="0" fontId="33" fillId="0" borderId="33" xfId="48" applyFont="1" applyBorder="1"/>
    <xf numFmtId="0" fontId="33" fillId="0" borderId="26" xfId="48" applyFont="1" applyBorder="1" applyAlignment="1">
      <alignment horizontal="center"/>
    </xf>
    <xf numFmtId="0" fontId="33" fillId="0" borderId="19" xfId="48" applyFont="1" applyBorder="1"/>
    <xf numFmtId="0" fontId="33" fillId="0" borderId="26" xfId="48" applyFont="1" applyBorder="1"/>
    <xf numFmtId="0" fontId="35" fillId="0" borderId="0" xfId="48" applyAlignment="1">
      <alignment horizontal="center"/>
    </xf>
    <xf numFmtId="0" fontId="35" fillId="0" borderId="0" xfId="48"/>
    <xf numFmtId="0" fontId="33" fillId="0" borderId="46" xfId="48" applyFont="1" applyBorder="1" applyAlignment="1">
      <alignment horizontal="center"/>
    </xf>
    <xf numFmtId="0" fontId="33" fillId="0" borderId="52" xfId="48" applyFont="1" applyBorder="1"/>
    <xf numFmtId="0" fontId="33" fillId="0" borderId="32" xfId="48" applyFont="1" applyBorder="1" applyAlignment="1">
      <alignment horizontal="center"/>
    </xf>
    <xf numFmtId="0" fontId="33" fillId="0" borderId="21" xfId="48" applyFont="1" applyBorder="1"/>
    <xf numFmtId="0" fontId="33" fillId="0" borderId="32" xfId="48" applyFont="1" applyBorder="1"/>
    <xf numFmtId="0" fontId="33" fillId="0" borderId="49" xfId="48" applyFont="1" applyBorder="1" applyAlignment="1">
      <alignment horizontal="center"/>
    </xf>
    <xf numFmtId="0" fontId="33" fillId="0" borderId="47" xfId="48" applyFont="1" applyBorder="1" applyAlignment="1">
      <alignment horizontal="center"/>
    </xf>
    <xf numFmtId="0" fontId="33" fillId="0" borderId="50" xfId="48" applyFont="1" applyBorder="1" applyAlignment="1">
      <alignment horizontal="center"/>
    </xf>
    <xf numFmtId="0" fontId="33" fillId="0" borderId="53" xfId="48" applyFont="1" applyBorder="1" applyAlignment="1">
      <alignment horizontal="right"/>
    </xf>
    <xf numFmtId="0" fontId="33" fillId="0" borderId="50" xfId="48" applyFont="1" applyBorder="1" applyAlignment="1">
      <alignment horizontal="left"/>
    </xf>
    <xf numFmtId="0" fontId="40" fillId="0" borderId="0" xfId="48" applyFont="1" applyAlignment="1">
      <alignment horizontal="right"/>
    </xf>
    <xf numFmtId="0" fontId="40" fillId="0" borderId="0" xfId="48" applyFont="1" applyAlignment="1">
      <alignment horizontal="center"/>
    </xf>
    <xf numFmtId="0" fontId="40" fillId="0" borderId="0" xfId="48" applyFont="1" applyAlignment="1">
      <alignment horizontal="left"/>
    </xf>
    <xf numFmtId="0" fontId="33" fillId="0" borderId="27" xfId="48" applyFont="1" applyBorder="1" applyAlignment="1">
      <alignment horizontal="center"/>
    </xf>
    <xf numFmtId="0" fontId="33" fillId="0" borderId="0" xfId="48" applyFont="1" applyBorder="1"/>
    <xf numFmtId="0" fontId="33" fillId="0" borderId="0" xfId="48" applyFont="1" applyBorder="1" applyAlignment="1">
      <alignment horizontal="center"/>
    </xf>
    <xf numFmtId="0" fontId="33" fillId="0" borderId="28" xfId="48" applyFont="1" applyBorder="1"/>
    <xf numFmtId="0" fontId="33" fillId="0" borderId="28" xfId="48" applyFont="1" applyBorder="1" applyAlignment="1">
      <alignment horizontal="center"/>
    </xf>
    <xf numFmtId="0" fontId="33" fillId="0" borderId="0" xfId="48" applyFont="1" applyBorder="1" applyAlignment="1">
      <alignment horizontal="right"/>
    </xf>
    <xf numFmtId="0" fontId="33" fillId="0" borderId="28" xfId="48" applyFont="1" applyBorder="1" applyAlignment="1">
      <alignment horizontal="left"/>
    </xf>
    <xf numFmtId="0" fontId="44" fillId="27" borderId="0" xfId="48" applyFont="1" applyFill="1" applyAlignment="1">
      <alignment horizontal="center"/>
    </xf>
    <xf numFmtId="0" fontId="33" fillId="27" borderId="27" xfId="48" applyFont="1" applyFill="1" applyBorder="1" applyAlignment="1">
      <alignment horizontal="center"/>
    </xf>
    <xf numFmtId="0" fontId="33" fillId="27" borderId="0" xfId="48" applyFont="1" applyFill="1" applyBorder="1" applyAlignment="1">
      <alignment horizontal="center"/>
    </xf>
    <xf numFmtId="0" fontId="33" fillId="27" borderId="28" xfId="48" applyFont="1" applyFill="1" applyBorder="1" applyAlignment="1">
      <alignment horizontal="center"/>
    </xf>
    <xf numFmtId="0" fontId="33" fillId="27" borderId="0" xfId="48" applyFont="1" applyFill="1" applyAlignment="1">
      <alignment horizontal="center"/>
    </xf>
    <xf numFmtId="0" fontId="40" fillId="0" borderId="27" xfId="48" applyFont="1" applyBorder="1" applyAlignment="1">
      <alignment horizontal="center"/>
    </xf>
    <xf numFmtId="0" fontId="40" fillId="0" borderId="0" xfId="48" applyFont="1" applyBorder="1"/>
    <xf numFmtId="0" fontId="40" fillId="0" borderId="0" xfId="48" applyFont="1" applyBorder="1" applyAlignment="1">
      <alignment horizontal="center"/>
    </xf>
    <xf numFmtId="0" fontId="40" fillId="0" borderId="28" xfId="48" applyFont="1" applyBorder="1"/>
    <xf numFmtId="0" fontId="40" fillId="0" borderId="27" xfId="45" applyFont="1" applyBorder="1" applyAlignment="1" applyProtection="1">
      <alignment horizontal="right"/>
    </xf>
    <xf numFmtId="0" fontId="40" fillId="0" borderId="28" xfId="45" applyFont="1" applyBorder="1" applyAlignment="1" applyProtection="1">
      <alignment horizontal="center"/>
    </xf>
    <xf numFmtId="0" fontId="35" fillId="0" borderId="27" xfId="48" applyBorder="1" applyAlignment="1">
      <alignment horizontal="right"/>
    </xf>
    <xf numFmtId="0" fontId="35" fillId="0" borderId="0" xfId="48" applyBorder="1" applyAlignment="1">
      <alignment horizontal="center"/>
    </xf>
    <xf numFmtId="0" fontId="35" fillId="0" borderId="28" xfId="48" applyBorder="1" applyAlignment="1">
      <alignment horizontal="left"/>
    </xf>
    <xf numFmtId="0" fontId="40" fillId="0" borderId="0" xfId="45" applyFont="1" applyBorder="1" applyAlignment="1" applyProtection="1">
      <alignment horizontal="left"/>
    </xf>
    <xf numFmtId="0" fontId="35" fillId="0" borderId="0" xfId="48" applyAlignment="1">
      <alignment horizontal="right"/>
    </xf>
    <xf numFmtId="0" fontId="35" fillId="0" borderId="0" xfId="48" applyAlignment="1">
      <alignment horizontal="left"/>
    </xf>
    <xf numFmtId="49" fontId="40" fillId="0" borderId="27" xfId="48" applyNumberFormat="1" applyFont="1" applyBorder="1" applyAlignment="1">
      <alignment horizontal="center"/>
    </xf>
    <xf numFmtId="0" fontId="40" fillId="0" borderId="28" xfId="45" applyFont="1" applyBorder="1" applyAlignment="1" applyProtection="1">
      <alignment horizontal="left"/>
    </xf>
    <xf numFmtId="0" fontId="40" fillId="0" borderId="0" xfId="45" quotePrefix="1" applyFont="1" applyBorder="1" applyAlignment="1" applyProtection="1">
      <alignment horizontal="center"/>
    </xf>
    <xf numFmtId="0" fontId="35" fillId="0" borderId="27" xfId="48" applyBorder="1" applyAlignment="1">
      <alignment horizontal="center"/>
    </xf>
    <xf numFmtId="0" fontId="35" fillId="0" borderId="0" xfId="48" applyBorder="1"/>
    <xf numFmtId="0" fontId="35" fillId="0" borderId="28" xfId="48" applyBorder="1"/>
    <xf numFmtId="0" fontId="35" fillId="0" borderId="27" xfId="48" applyBorder="1"/>
    <xf numFmtId="0" fontId="35" fillId="0" borderId="17" xfId="48" applyBorder="1" applyAlignment="1">
      <alignment horizontal="center"/>
    </xf>
    <xf numFmtId="0" fontId="35" fillId="0" borderId="32" xfId="48" applyBorder="1"/>
    <xf numFmtId="0" fontId="35" fillId="0" borderId="32" xfId="48" applyBorder="1" applyAlignment="1">
      <alignment horizontal="center"/>
    </xf>
    <xf numFmtId="0" fontId="35" fillId="0" borderId="21" xfId="48" applyBorder="1"/>
    <xf numFmtId="0" fontId="35" fillId="0" borderId="17" xfId="48" applyBorder="1"/>
    <xf numFmtId="0" fontId="45" fillId="0" borderId="29" xfId="48" applyFont="1" applyBorder="1" applyAlignment="1">
      <alignment horizontal="center"/>
    </xf>
    <xf numFmtId="0" fontId="34" fillId="0" borderId="0" xfId="44"/>
    <xf numFmtId="0" fontId="32" fillId="0" borderId="54" xfId="44" applyFont="1" applyBorder="1" applyAlignment="1">
      <alignment horizontal="center"/>
    </xf>
    <xf numFmtId="1" fontId="40" fillId="0" borderId="0" xfId="44" applyNumberFormat="1" applyFont="1" applyBorder="1" applyAlignment="1">
      <alignment horizontal="center"/>
    </xf>
    <xf numFmtId="1" fontId="40" fillId="0" borderId="55" xfId="44" applyNumberFormat="1" applyFont="1" applyBorder="1" applyAlignment="1">
      <alignment horizontal="center"/>
    </xf>
    <xf numFmtId="0" fontId="34" fillId="0" borderId="55" xfId="44" applyBorder="1" applyAlignment="1">
      <alignment horizontal="center"/>
    </xf>
    <xf numFmtId="0" fontId="29" fillId="0" borderId="54" xfId="45" applyFont="1" applyBorder="1" applyAlignment="1" applyProtection="1">
      <alignment horizontal="right"/>
      <protection locked="0"/>
    </xf>
    <xf numFmtId="3" fontId="40" fillId="0" borderId="0" xfId="45" applyNumberFormat="1" applyFont="1" applyBorder="1" applyAlignment="1" applyProtection="1">
      <alignment horizontal="center"/>
    </xf>
    <xf numFmtId="1" fontId="40" fillId="0" borderId="55" xfId="45" applyNumberFormat="1" applyFont="1" applyBorder="1" applyAlignment="1" applyProtection="1">
      <alignment horizontal="center"/>
    </xf>
    <xf numFmtId="166" fontId="40" fillId="0" borderId="0" xfId="45" applyNumberFormat="1" applyFont="1" applyBorder="1" applyAlignment="1" applyProtection="1">
      <alignment horizontal="center"/>
    </xf>
    <xf numFmtId="168" fontId="40" fillId="0" borderId="55" xfId="45" applyNumberFormat="1" applyFont="1" applyBorder="1" applyAlignment="1" applyProtection="1">
      <alignment horizontal="center"/>
    </xf>
    <xf numFmtId="168" fontId="40" fillId="0" borderId="0" xfId="45" applyNumberFormat="1" applyFont="1" applyBorder="1" applyAlignment="1" applyProtection="1">
      <alignment horizontal="center"/>
    </xf>
    <xf numFmtId="0" fontId="29" fillId="0" borderId="54" xfId="45" applyFont="1" applyBorder="1" applyProtection="1"/>
    <xf numFmtId="3" fontId="29" fillId="0" borderId="55" xfId="45" applyNumberFormat="1" applyFont="1" applyBorder="1" applyAlignment="1" applyProtection="1">
      <alignment horizontal="center"/>
    </xf>
    <xf numFmtId="1" fontId="29" fillId="0" borderId="0" xfId="45" applyNumberFormat="1" applyFont="1" applyBorder="1" applyAlignment="1" applyProtection="1">
      <alignment horizontal="center"/>
    </xf>
    <xf numFmtId="1" fontId="29" fillId="0" borderId="55" xfId="45" applyNumberFormat="1" applyFont="1" applyBorder="1" applyAlignment="1" applyProtection="1">
      <alignment horizontal="center"/>
    </xf>
    <xf numFmtId="0" fontId="40" fillId="0" borderId="54" xfId="45" applyFont="1" applyBorder="1" applyProtection="1"/>
    <xf numFmtId="0" fontId="8" fillId="0" borderId="0" xfId="44" applyFont="1" applyBorder="1" applyAlignment="1">
      <alignment horizontal="center"/>
    </xf>
    <xf numFmtId="0" fontId="8" fillId="0" borderId="55" xfId="44" applyFont="1" applyBorder="1" applyAlignment="1">
      <alignment horizontal="center"/>
    </xf>
    <xf numFmtId="1" fontId="8" fillId="0" borderId="0" xfId="44" applyNumberFormat="1" applyFont="1" applyBorder="1" applyAlignment="1">
      <alignment horizontal="center"/>
    </xf>
    <xf numFmtId="1" fontId="8" fillId="0" borderId="55" xfId="44" applyNumberFormat="1" applyFont="1" applyBorder="1" applyAlignment="1">
      <alignment horizontal="center"/>
    </xf>
    <xf numFmtId="0" fontId="40" fillId="0" borderId="56" xfId="45" applyFont="1" applyBorder="1" applyProtection="1"/>
    <xf numFmtId="0" fontId="40" fillId="0" borderId="57" xfId="45" applyFont="1" applyBorder="1" applyAlignment="1" applyProtection="1">
      <alignment horizontal="center"/>
    </xf>
    <xf numFmtId="0" fontId="40" fillId="0" borderId="58" xfId="45" applyFont="1" applyBorder="1" applyAlignment="1" applyProtection="1">
      <alignment horizontal="center"/>
    </xf>
    <xf numFmtId="2" fontId="40" fillId="0" borderId="57" xfId="45" applyNumberFormat="1" applyFont="1" applyBorder="1" applyAlignment="1" applyProtection="1">
      <alignment horizontal="center"/>
    </xf>
    <xf numFmtId="168" fontId="40" fillId="0" borderId="57" xfId="45" applyNumberFormat="1" applyFont="1" applyBorder="1" applyAlignment="1" applyProtection="1">
      <alignment horizontal="center"/>
    </xf>
    <xf numFmtId="1" fontId="40" fillId="0" borderId="57" xfId="45" applyNumberFormat="1" applyFont="1" applyBorder="1" applyAlignment="1" applyProtection="1">
      <alignment horizontal="center"/>
    </xf>
    <xf numFmtId="1" fontId="40" fillId="0" borderId="58" xfId="45" applyNumberFormat="1" applyFont="1" applyBorder="1" applyAlignment="1" applyProtection="1">
      <alignment horizontal="center"/>
    </xf>
    <xf numFmtId="0" fontId="34" fillId="0" borderId="0" xfId="44" applyAlignment="1">
      <alignment horizontal="center"/>
    </xf>
    <xf numFmtId="0" fontId="34" fillId="0" borderId="0" xfId="44" applyAlignment="1">
      <alignment horizontal="right"/>
    </xf>
    <xf numFmtId="166" fontId="34" fillId="0" borderId="0" xfId="44" applyNumberFormat="1" applyAlignment="1">
      <alignment horizontal="center"/>
    </xf>
    <xf numFmtId="3" fontId="34" fillId="0" borderId="0" xfId="44" applyNumberFormat="1" applyAlignment="1">
      <alignment horizontal="center"/>
    </xf>
    <xf numFmtId="2" fontId="34" fillId="0" borderId="0" xfId="44" applyNumberFormat="1" applyAlignment="1">
      <alignment horizontal="center"/>
    </xf>
    <xf numFmtId="168" fontId="34" fillId="0" borderId="0" xfId="44" applyNumberFormat="1" applyAlignment="1">
      <alignment horizontal="center"/>
    </xf>
    <xf numFmtId="0" fontId="34" fillId="0" borderId="0" xfId="44" applyFont="1"/>
    <xf numFmtId="166" fontId="34" fillId="0" borderId="0" xfId="44" applyNumberFormat="1"/>
    <xf numFmtId="2" fontId="34" fillId="0" borderId="0" xfId="44" applyNumberFormat="1"/>
    <xf numFmtId="1" fontId="34" fillId="0" borderId="0" xfId="44" applyNumberFormat="1" applyAlignment="1">
      <alignment horizontal="center"/>
    </xf>
    <xf numFmtId="0" fontId="46" fillId="0" borderId="0" xfId="48" applyFont="1" applyAlignment="1">
      <alignment horizontal="center"/>
    </xf>
    <xf numFmtId="0" fontId="43" fillId="27" borderId="16" xfId="48" applyFont="1" applyFill="1" applyBorder="1" applyAlignment="1">
      <alignment horizontal="center"/>
    </xf>
    <xf numFmtId="0" fontId="43" fillId="27" borderId="29" xfId="48" applyFont="1" applyFill="1" applyBorder="1" applyAlignment="1">
      <alignment horizontal="center"/>
    </xf>
    <xf numFmtId="0" fontId="43" fillId="27" borderId="20" xfId="48" applyFont="1" applyFill="1" applyBorder="1" applyAlignment="1">
      <alignment horizontal="center"/>
    </xf>
    <xf numFmtId="0" fontId="43" fillId="0" borderId="0" xfId="48" applyFont="1" applyAlignment="1">
      <alignment horizontal="center"/>
    </xf>
    <xf numFmtId="0" fontId="47" fillId="0" borderId="0" xfId="47"/>
    <xf numFmtId="0" fontId="48" fillId="25" borderId="38" xfId="47" applyFont="1" applyFill="1" applyBorder="1" applyAlignment="1">
      <alignment horizontal="center"/>
    </xf>
    <xf numFmtId="0" fontId="48" fillId="25" borderId="40" xfId="47" applyFont="1" applyFill="1" applyBorder="1" applyAlignment="1">
      <alignment horizontal="center"/>
    </xf>
    <xf numFmtId="0" fontId="47" fillId="25" borderId="41" xfId="47" applyFill="1" applyBorder="1" applyAlignment="1">
      <alignment horizontal="left"/>
    </xf>
    <xf numFmtId="166" fontId="47" fillId="25" borderId="42" xfId="47" applyNumberFormat="1" applyFill="1" applyBorder="1" applyAlignment="1">
      <alignment horizontal="center"/>
    </xf>
    <xf numFmtId="0" fontId="47" fillId="25" borderId="49" xfId="47" applyFill="1" applyBorder="1" applyAlignment="1">
      <alignment horizontal="left"/>
    </xf>
    <xf numFmtId="166" fontId="47" fillId="25" borderId="50" xfId="47" applyNumberFormat="1" applyFill="1" applyBorder="1" applyAlignment="1">
      <alignment horizontal="center"/>
    </xf>
    <xf numFmtId="0" fontId="48" fillId="25" borderId="39" xfId="47" applyFont="1" applyFill="1" applyBorder="1" applyAlignment="1">
      <alignment horizontal="center"/>
    </xf>
    <xf numFmtId="0" fontId="47" fillId="25" borderId="41" xfId="47" applyFont="1" applyFill="1" applyBorder="1" applyAlignment="1">
      <alignment horizontal="left"/>
    </xf>
    <xf numFmtId="0" fontId="47" fillId="25" borderId="10" xfId="47" applyFill="1" applyBorder="1" applyAlignment="1">
      <alignment horizontal="center"/>
    </xf>
    <xf numFmtId="0" fontId="47" fillId="25" borderId="42" xfId="47" applyFont="1" applyFill="1" applyBorder="1" applyAlignment="1">
      <alignment horizontal="center"/>
    </xf>
    <xf numFmtId="0" fontId="47" fillId="25" borderId="41" xfId="47" applyFill="1" applyBorder="1"/>
    <xf numFmtId="0" fontId="47" fillId="25" borderId="42" xfId="47" applyFill="1" applyBorder="1" applyAlignment="1">
      <alignment horizontal="center"/>
    </xf>
    <xf numFmtId="0" fontId="47" fillId="25" borderId="49" xfId="47" applyFont="1" applyFill="1" applyBorder="1" applyAlignment="1">
      <alignment horizontal="left"/>
    </xf>
    <xf numFmtId="0" fontId="47" fillId="25" borderId="47" xfId="47" applyFill="1" applyBorder="1" applyAlignment="1">
      <alignment horizontal="center"/>
    </xf>
    <xf numFmtId="0" fontId="47" fillId="25" borderId="50" xfId="47" applyFont="1" applyFill="1" applyBorder="1" applyAlignment="1">
      <alignment horizontal="center"/>
    </xf>
    <xf numFmtId="0" fontId="8" fillId="0" borderId="0" xfId="0" applyFont="1" applyFill="1" applyBorder="1"/>
    <xf numFmtId="0" fontId="0" fillId="0" borderId="0" xfId="0" applyBorder="1" applyAlignment="1">
      <alignment horizontal="center"/>
    </xf>
    <xf numFmtId="0" fontId="29" fillId="0" borderId="16" xfId="0" applyFont="1" applyBorder="1" applyAlignment="1">
      <alignment horizontal="center"/>
    </xf>
    <xf numFmtId="0" fontId="29" fillId="0" borderId="29" xfId="0" applyFont="1" applyBorder="1" applyAlignment="1">
      <alignment horizontal="center"/>
    </xf>
    <xf numFmtId="0" fontId="29" fillId="0" borderId="20" xfId="0" applyFont="1" applyBorder="1" applyAlignment="1">
      <alignment horizontal="center"/>
    </xf>
    <xf numFmtId="0" fontId="32" fillId="0" borderId="0" xfId="0" applyFont="1" applyAlignment="1">
      <alignment horizontal="center"/>
    </xf>
    <xf numFmtId="0" fontId="8" fillId="0" borderId="0" xfId="0" applyFont="1" applyAlignment="1" applyProtection="1"/>
    <xf numFmtId="0" fontId="8" fillId="0" borderId="0" xfId="0" applyFont="1" applyAlignment="1" applyProtection="1">
      <alignment horizontal="center"/>
    </xf>
    <xf numFmtId="0" fontId="32" fillId="0" borderId="0" xfId="0" applyFont="1" applyAlignment="1" applyProtection="1">
      <alignment horizontal="left"/>
    </xf>
    <xf numFmtId="1" fontId="8" fillId="0" borderId="0" xfId="0" applyNumberFormat="1" applyFont="1" applyAlignment="1" applyProtection="1">
      <alignment horizontal="center"/>
    </xf>
    <xf numFmtId="0" fontId="38" fillId="0" borderId="0" xfId="0" applyFont="1" applyAlignment="1" applyProtection="1">
      <alignment horizontal="left"/>
      <protection hidden="1"/>
    </xf>
    <xf numFmtId="0" fontId="52" fillId="0" borderId="0" xfId="56" applyFont="1" applyAlignment="1" applyProtection="1">
      <alignment horizontal="left"/>
      <protection hidden="1"/>
    </xf>
    <xf numFmtId="0" fontId="38" fillId="0" borderId="0" xfId="0" applyFont="1" applyAlignment="1" applyProtection="1">
      <alignment horizontal="right"/>
      <protection hidden="1"/>
    </xf>
    <xf numFmtId="0" fontId="8" fillId="0" borderId="0" xfId="0" applyFont="1" applyAlignment="1" applyProtection="1">
      <protection hidden="1"/>
    </xf>
    <xf numFmtId="174" fontId="53" fillId="0" borderId="0" xfId="0" applyNumberFormat="1" applyFont="1" applyFill="1" applyBorder="1" applyAlignment="1" applyProtection="1">
      <alignment horizontal="center"/>
      <protection hidden="1"/>
    </xf>
    <xf numFmtId="1" fontId="54" fillId="30" borderId="0" xfId="0" applyNumberFormat="1" applyFont="1" applyFill="1" applyBorder="1" applyAlignment="1" applyProtection="1">
      <alignment horizontal="center"/>
      <protection hidden="1"/>
    </xf>
    <xf numFmtId="0" fontId="53" fillId="30" borderId="0" xfId="0" applyFont="1" applyFill="1" applyBorder="1" applyAlignment="1" applyProtection="1">
      <alignment horizontal="right"/>
      <protection hidden="1"/>
    </xf>
    <xf numFmtId="0" fontId="53" fillId="30" borderId="95" xfId="0" applyFont="1" applyFill="1" applyBorder="1" applyAlignment="1" applyProtection="1">
      <alignment horizontal="right"/>
      <protection hidden="1"/>
    </xf>
    <xf numFmtId="0" fontId="8" fillId="25" borderId="96" xfId="0" applyFont="1" applyFill="1" applyBorder="1" applyAlignment="1" applyProtection="1">
      <protection hidden="1"/>
    </xf>
    <xf numFmtId="174" fontId="55" fillId="25" borderId="97" xfId="0" applyNumberFormat="1" applyFont="1" applyFill="1" applyBorder="1" applyAlignment="1" applyProtection="1">
      <alignment horizontal="center"/>
      <protection hidden="1"/>
    </xf>
    <xf numFmtId="1" fontId="56" fillId="25" borderId="97" xfId="0" applyNumberFormat="1" applyFont="1" applyFill="1" applyBorder="1" applyAlignment="1" applyProtection="1">
      <alignment horizontal="center"/>
      <protection hidden="1"/>
    </xf>
    <xf numFmtId="0" fontId="55" fillId="25" borderId="97" xfId="0" applyFont="1" applyFill="1" applyBorder="1" applyAlignment="1" applyProtection="1">
      <alignment horizontal="right"/>
      <protection hidden="1"/>
    </xf>
    <xf numFmtId="0" fontId="55" fillId="25" borderId="98" xfId="0" applyFont="1" applyFill="1" applyBorder="1" applyAlignment="1" applyProtection="1">
      <alignment horizontal="right"/>
      <protection hidden="1"/>
    </xf>
    <xf numFmtId="0" fontId="8" fillId="25" borderId="25" xfId="0" applyFont="1" applyFill="1" applyBorder="1" applyAlignment="1" applyProtection="1">
      <protection hidden="1"/>
    </xf>
    <xf numFmtId="3" fontId="38" fillId="25" borderId="0" xfId="0" applyNumberFormat="1" applyFont="1" applyFill="1" applyBorder="1" applyAlignment="1" applyProtection="1">
      <alignment horizontal="center"/>
      <protection hidden="1"/>
    </xf>
    <xf numFmtId="1" fontId="38" fillId="25" borderId="0" xfId="0" applyNumberFormat="1" applyFont="1" applyFill="1" applyBorder="1" applyAlignment="1" applyProtection="1">
      <alignment horizontal="center"/>
      <protection hidden="1"/>
    </xf>
    <xf numFmtId="0" fontId="23" fillId="25" borderId="0" xfId="0" applyFont="1" applyFill="1" applyBorder="1" applyAlignment="1" applyProtection="1">
      <alignment horizontal="right"/>
      <protection hidden="1"/>
    </xf>
    <xf numFmtId="0" fontId="23" fillId="25" borderId="51" xfId="0" applyFont="1" applyFill="1" applyBorder="1" applyAlignment="1" applyProtection="1">
      <alignment horizontal="right"/>
      <protection hidden="1"/>
    </xf>
    <xf numFmtId="3" fontId="9" fillId="0" borderId="0" xfId="0" applyNumberFormat="1" applyFont="1" applyAlignment="1" applyProtection="1">
      <alignment horizontal="center"/>
      <protection hidden="1"/>
    </xf>
    <xf numFmtId="0" fontId="9" fillId="0" borderId="0" xfId="0" applyFont="1" applyAlignment="1" applyProtection="1">
      <alignment horizontal="center"/>
      <protection hidden="1"/>
    </xf>
    <xf numFmtId="0" fontId="41" fillId="25" borderId="25" xfId="0" applyFont="1" applyFill="1" applyBorder="1" applyAlignment="1" applyProtection="1">
      <alignment horizontal="center"/>
      <protection hidden="1"/>
    </xf>
    <xf numFmtId="2" fontId="38" fillId="25" borderId="0" xfId="0" applyNumberFormat="1" applyFont="1" applyFill="1" applyBorder="1" applyAlignment="1" applyProtection="1">
      <alignment horizontal="center"/>
      <protection hidden="1"/>
    </xf>
    <xf numFmtId="1" fontId="42" fillId="25" borderId="0" xfId="0" applyNumberFormat="1" applyFont="1" applyFill="1" applyBorder="1" applyAlignment="1" applyProtection="1">
      <alignment horizontal="center"/>
      <protection hidden="1"/>
    </xf>
    <xf numFmtId="2" fontId="9" fillId="0" borderId="0" xfId="0" applyNumberFormat="1" applyFont="1" applyAlignment="1" applyProtection="1">
      <alignment horizontal="center"/>
      <protection hidden="1"/>
    </xf>
    <xf numFmtId="9" fontId="41" fillId="25" borderId="25" xfId="51" applyFont="1" applyFill="1" applyBorder="1" applyAlignment="1" applyProtection="1">
      <alignment horizontal="center"/>
      <protection hidden="1"/>
    </xf>
    <xf numFmtId="2" fontId="42" fillId="25" borderId="0" xfId="0" applyNumberFormat="1" applyFont="1" applyFill="1" applyBorder="1" applyAlignment="1" applyProtection="1">
      <alignment horizontal="center"/>
      <protection hidden="1"/>
    </xf>
    <xf numFmtId="174" fontId="38" fillId="25" borderId="0" xfId="0" applyNumberFormat="1" applyFont="1" applyFill="1" applyBorder="1" applyAlignment="1" applyProtection="1">
      <alignment horizontal="center"/>
      <protection hidden="1"/>
    </xf>
    <xf numFmtId="165" fontId="9" fillId="0" borderId="0" xfId="51" applyNumberFormat="1" applyFont="1" applyAlignment="1" applyProtection="1">
      <alignment horizontal="center"/>
      <protection hidden="1"/>
    </xf>
    <xf numFmtId="166" fontId="9" fillId="0" borderId="0" xfId="0" applyNumberFormat="1" applyFont="1" applyAlignment="1" applyProtection="1">
      <alignment horizontal="center"/>
      <protection hidden="1"/>
    </xf>
    <xf numFmtId="1" fontId="23" fillId="25" borderId="0" xfId="0" applyNumberFormat="1" applyFont="1" applyFill="1" applyBorder="1" applyAlignment="1" applyProtection="1">
      <alignment horizontal="center"/>
      <protection hidden="1"/>
    </xf>
    <xf numFmtId="0" fontId="23" fillId="25" borderId="0" xfId="0" applyFont="1" applyFill="1" applyBorder="1" applyAlignment="1" applyProtection="1">
      <alignment horizontal="center"/>
      <protection hidden="1"/>
    </xf>
    <xf numFmtId="0" fontId="8" fillId="0" borderId="0" xfId="0" applyFont="1" applyFill="1" applyBorder="1" applyAlignment="1" applyProtection="1">
      <protection hidden="1"/>
    </xf>
    <xf numFmtId="0" fontId="41" fillId="25" borderId="100" xfId="0" applyFont="1" applyFill="1" applyBorder="1" applyAlignment="1" applyProtection="1">
      <alignment horizontal="center" wrapText="1"/>
      <protection hidden="1"/>
    </xf>
    <xf numFmtId="174" fontId="53" fillId="25" borderId="101" xfId="0" applyNumberFormat="1" applyFont="1" applyFill="1" applyBorder="1" applyAlignment="1" applyProtection="1">
      <alignment horizontal="center"/>
      <protection hidden="1"/>
    </xf>
    <xf numFmtId="1" fontId="54" fillId="25" borderId="101" xfId="0" applyNumberFormat="1" applyFont="1" applyFill="1" applyBorder="1" applyAlignment="1" applyProtection="1">
      <alignment horizontal="center"/>
      <protection hidden="1"/>
    </xf>
    <xf numFmtId="0" fontId="53" fillId="25" borderId="101" xfId="0" applyFont="1" applyFill="1" applyBorder="1" applyAlignment="1" applyProtection="1">
      <alignment horizontal="right"/>
      <protection hidden="1"/>
    </xf>
    <xf numFmtId="0" fontId="57" fillId="25" borderId="102" xfId="0" applyFont="1" applyFill="1" applyBorder="1" applyAlignment="1" applyProtection="1">
      <alignment horizontal="left"/>
      <protection hidden="1"/>
    </xf>
    <xf numFmtId="175" fontId="34" fillId="0" borderId="0" xfId="28" applyNumberFormat="1" applyFont="1" applyFill="1" applyBorder="1" applyAlignment="1" applyProtection="1"/>
    <xf numFmtId="0" fontId="34" fillId="0" borderId="0" xfId="0" applyFont="1" applyFill="1" applyBorder="1" applyAlignment="1" applyProtection="1">
      <alignment horizontal="right"/>
    </xf>
    <xf numFmtId="0" fontId="39" fillId="25" borderId="96" xfId="0" applyFont="1" applyFill="1" applyBorder="1" applyAlignment="1" applyProtection="1">
      <protection hidden="1"/>
    </xf>
    <xf numFmtId="174" fontId="23" fillId="25" borderId="97" xfId="0" applyNumberFormat="1" applyFont="1" applyFill="1" applyBorder="1" applyAlignment="1" applyProtection="1">
      <alignment horizontal="center"/>
      <protection hidden="1"/>
    </xf>
    <xf numFmtId="1" fontId="58" fillId="25" borderId="97" xfId="0" applyNumberFormat="1" applyFont="1" applyFill="1" applyBorder="1" applyAlignment="1" applyProtection="1">
      <alignment horizontal="center"/>
      <protection hidden="1"/>
    </xf>
    <xf numFmtId="0" fontId="23" fillId="25" borderId="97" xfId="0" applyFont="1" applyFill="1" applyBorder="1" applyAlignment="1" applyProtection="1">
      <alignment horizontal="right"/>
      <protection hidden="1"/>
    </xf>
    <xf numFmtId="0" fontId="23" fillId="25" borderId="98" xfId="0" applyFont="1" applyFill="1" applyBorder="1" applyAlignment="1" applyProtection="1">
      <alignment horizontal="right"/>
      <protection hidden="1"/>
    </xf>
    <xf numFmtId="0" fontId="34" fillId="0" borderId="0" xfId="0" applyFont="1" applyFill="1" applyBorder="1" applyAlignment="1" applyProtection="1">
      <alignment horizontal="center"/>
    </xf>
    <xf numFmtId="0" fontId="39" fillId="25" borderId="25" xfId="0" applyFont="1" applyFill="1" applyBorder="1" applyAlignment="1" applyProtection="1">
      <protection hidden="1"/>
    </xf>
    <xf numFmtId="174" fontId="23" fillId="25" borderId="0" xfId="0" quotePrefix="1" applyNumberFormat="1" applyFont="1" applyFill="1" applyBorder="1" applyAlignment="1" applyProtection="1">
      <alignment horizontal="center"/>
      <protection hidden="1"/>
    </xf>
    <xf numFmtId="3" fontId="8" fillId="30" borderId="103" xfId="0" applyNumberFormat="1" applyFont="1" applyFill="1" applyBorder="1" applyAlignment="1" applyProtection="1">
      <alignment horizontal="center"/>
    </xf>
    <xf numFmtId="3" fontId="8" fillId="30" borderId="104" xfId="0" applyNumberFormat="1" applyFont="1" applyFill="1" applyBorder="1" applyAlignment="1" applyProtection="1">
      <alignment horizontal="center"/>
    </xf>
    <xf numFmtId="3" fontId="8" fillId="0" borderId="104" xfId="0" applyNumberFormat="1" applyFont="1" applyFill="1" applyBorder="1" applyAlignment="1" applyProtection="1">
      <alignment horizontal="center"/>
    </xf>
    <xf numFmtId="3" fontId="8" fillId="0" borderId="105" xfId="0" applyNumberFormat="1" applyFont="1" applyFill="1" applyBorder="1" applyAlignment="1" applyProtection="1">
      <alignment horizontal="center"/>
    </xf>
    <xf numFmtId="174" fontId="23" fillId="25" borderId="0" xfId="0" applyNumberFormat="1" applyFont="1" applyFill="1" applyBorder="1" applyAlignment="1" applyProtection="1">
      <alignment horizontal="center"/>
      <protection hidden="1"/>
    </xf>
    <xf numFmtId="1" fontId="58" fillId="25" borderId="0" xfId="0" applyNumberFormat="1" applyFont="1" applyFill="1" applyBorder="1" applyAlignment="1" applyProtection="1">
      <alignment horizontal="center"/>
      <protection hidden="1"/>
    </xf>
    <xf numFmtId="2" fontId="34" fillId="30" borderId="39" xfId="0" applyNumberFormat="1" applyFont="1" applyFill="1" applyBorder="1" applyAlignment="1" applyProtection="1">
      <alignment horizontal="center"/>
    </xf>
    <xf numFmtId="2" fontId="8" fillId="30" borderId="39" xfId="0" applyNumberFormat="1" applyFont="1" applyFill="1" applyBorder="1" applyAlignment="1" applyProtection="1">
      <alignment horizontal="center"/>
      <protection hidden="1"/>
    </xf>
    <xf numFmtId="1" fontId="34" fillId="30" borderId="39" xfId="0" applyNumberFormat="1" applyFont="1" applyFill="1" applyBorder="1" applyAlignment="1" applyProtection="1">
      <alignment horizontal="center"/>
    </xf>
    <xf numFmtId="1" fontId="8" fillId="30" borderId="39" xfId="0" applyNumberFormat="1" applyFont="1" applyFill="1" applyBorder="1" applyAlignment="1" applyProtection="1">
      <alignment horizontal="center"/>
      <protection hidden="1"/>
    </xf>
    <xf numFmtId="3" fontId="40" fillId="25" borderId="25" xfId="0" applyNumberFormat="1" applyFont="1" applyFill="1" applyBorder="1" applyAlignment="1" applyProtection="1">
      <protection hidden="1"/>
    </xf>
    <xf numFmtId="0" fontId="34" fillId="30" borderId="61" xfId="0" applyFont="1" applyFill="1" applyBorder="1" applyAlignment="1" applyProtection="1">
      <alignment horizontal="center"/>
    </xf>
    <xf numFmtId="0" fontId="8" fillId="30" borderId="61" xfId="0" applyFont="1" applyFill="1" applyBorder="1" applyAlignment="1" applyProtection="1">
      <alignment horizontal="center"/>
      <protection hidden="1"/>
    </xf>
    <xf numFmtId="3" fontId="58" fillId="25" borderId="0" xfId="0" applyNumberFormat="1" applyFont="1" applyFill="1" applyBorder="1" applyAlignment="1" applyProtection="1">
      <alignment horizontal="center"/>
      <protection hidden="1"/>
    </xf>
    <xf numFmtId="3" fontId="23" fillId="25" borderId="0" xfId="0" applyNumberFormat="1" applyFont="1" applyFill="1" applyBorder="1" applyAlignment="1" applyProtection="1">
      <alignment horizontal="center"/>
      <protection hidden="1"/>
    </xf>
    <xf numFmtId="0" fontId="59" fillId="25" borderId="51" xfId="0" applyFont="1" applyFill="1" applyBorder="1" applyAlignment="1" applyProtection="1">
      <alignment horizontal="right"/>
      <protection hidden="1"/>
    </xf>
    <xf numFmtId="0" fontId="8" fillId="30" borderId="39" xfId="0" applyFont="1" applyFill="1" applyBorder="1" applyAlignment="1" applyProtection="1">
      <alignment horizontal="center"/>
      <protection hidden="1"/>
    </xf>
    <xf numFmtId="0" fontId="8" fillId="25" borderId="100" xfId="0" applyFont="1" applyFill="1" applyBorder="1" applyAlignment="1" applyProtection="1">
      <protection hidden="1"/>
    </xf>
    <xf numFmtId="0" fontId="8" fillId="0" borderId="0" xfId="0" applyFont="1" applyFill="1" applyBorder="1" applyAlignment="1" applyProtection="1"/>
    <xf numFmtId="0" fontId="8" fillId="0" borderId="0" xfId="0" applyFont="1" applyAlignment="1" applyProtection="1">
      <alignment wrapText="1"/>
    </xf>
    <xf numFmtId="0" fontId="8" fillId="0" borderId="0" xfId="0" applyFont="1" applyFill="1" applyBorder="1" applyAlignment="1" applyProtection="1">
      <alignment wrapText="1"/>
    </xf>
    <xf numFmtId="0" fontId="8" fillId="25" borderId="25" xfId="0" applyFont="1" applyFill="1" applyBorder="1" applyAlignment="1" applyProtection="1">
      <alignment wrapText="1"/>
    </xf>
    <xf numFmtId="9" fontId="37" fillId="25" borderId="0" xfId="51" applyFont="1" applyFill="1" applyBorder="1" applyAlignment="1" applyProtection="1">
      <alignment horizontal="center"/>
      <protection hidden="1"/>
    </xf>
    <xf numFmtId="0" fontId="8" fillId="25" borderId="0" xfId="0" applyFont="1" applyFill="1" applyBorder="1" applyAlignment="1" applyProtection="1">
      <alignment wrapText="1"/>
    </xf>
    <xf numFmtId="0" fontId="8" fillId="25" borderId="0" xfId="0" applyFont="1" applyFill="1" applyBorder="1" applyAlignment="1" applyProtection="1">
      <alignment horizontal="center"/>
    </xf>
    <xf numFmtId="0" fontId="23" fillId="25" borderId="0" xfId="0" applyFont="1" applyFill="1" applyBorder="1" applyAlignment="1" applyProtection="1">
      <alignment horizontal="left"/>
    </xf>
    <xf numFmtId="3" fontId="8" fillId="25" borderId="0" xfId="0" applyNumberFormat="1" applyFont="1" applyFill="1" applyBorder="1" applyAlignment="1" applyProtection="1">
      <alignment horizontal="center"/>
    </xf>
    <xf numFmtId="0" fontId="38" fillId="25" borderId="51" xfId="57" applyFont="1" applyFill="1" applyBorder="1" applyAlignment="1" applyProtection="1">
      <alignment horizontal="right"/>
      <protection hidden="1"/>
    </xf>
    <xf numFmtId="1" fontId="8" fillId="0" borderId="0" xfId="0" applyNumberFormat="1" applyFont="1" applyAlignment="1" applyProtection="1">
      <alignment wrapText="1"/>
    </xf>
    <xf numFmtId="0" fontId="8" fillId="0" borderId="0" xfId="0" applyFont="1" applyAlignment="1" applyProtection="1">
      <alignment horizontal="left" wrapText="1"/>
    </xf>
    <xf numFmtId="0" fontId="61" fillId="25" borderId="0" xfId="0" applyFont="1" applyFill="1" applyBorder="1" applyAlignment="1" applyProtection="1">
      <alignment horizontal="left"/>
    </xf>
    <xf numFmtId="3" fontId="8" fillId="0" borderId="106" xfId="0" applyNumberFormat="1" applyFont="1" applyFill="1" applyBorder="1" applyAlignment="1" applyProtection="1">
      <alignment horizontal="center"/>
    </xf>
    <xf numFmtId="1" fontId="8" fillId="25" borderId="0" xfId="0" applyNumberFormat="1" applyFont="1" applyFill="1" applyBorder="1" applyAlignment="1" applyProtection="1">
      <alignment horizontal="center"/>
      <protection hidden="1"/>
    </xf>
    <xf numFmtId="3" fontId="8" fillId="0" borderId="107" xfId="0" applyNumberFormat="1" applyFont="1" applyFill="1" applyBorder="1" applyAlignment="1" applyProtection="1">
      <alignment horizontal="center"/>
    </xf>
    <xf numFmtId="3" fontId="8" fillId="0" borderId="7" xfId="0" applyNumberFormat="1" applyFont="1" applyFill="1" applyBorder="1" applyAlignment="1" applyProtection="1">
      <alignment horizontal="center"/>
    </xf>
    <xf numFmtId="0" fontId="36" fillId="0" borderId="0" xfId="0" applyFont="1" applyFill="1" applyBorder="1" applyAlignment="1" applyProtection="1">
      <alignment wrapText="1"/>
      <protection hidden="1"/>
    </xf>
    <xf numFmtId="0" fontId="23" fillId="25" borderId="51" xfId="0" applyFont="1" applyFill="1" applyBorder="1" applyAlignment="1" applyProtection="1">
      <alignment horizontal="right" wrapText="1"/>
      <protection hidden="1"/>
    </xf>
    <xf numFmtId="0" fontId="63" fillId="0" borderId="0" xfId="0" applyFont="1" applyFill="1" applyBorder="1" applyAlignment="1" applyProtection="1">
      <alignment horizontal="left" wrapText="1"/>
      <protection hidden="1"/>
    </xf>
    <xf numFmtId="0" fontId="23" fillId="25" borderId="0" xfId="0" applyFont="1" applyFill="1" applyBorder="1" applyAlignment="1" applyProtection="1">
      <alignment horizontal="center" wrapText="1"/>
      <protection hidden="1"/>
    </xf>
    <xf numFmtId="0" fontId="8" fillId="25" borderId="0" xfId="0" applyFont="1" applyFill="1" applyBorder="1" applyAlignment="1" applyProtection="1">
      <alignment wrapText="1"/>
      <protection hidden="1"/>
    </xf>
    <xf numFmtId="0" fontId="59" fillId="25" borderId="0" xfId="57" applyFont="1" applyFill="1" applyBorder="1" applyAlignment="1" applyProtection="1">
      <alignment horizontal="left" vertical="top"/>
      <protection hidden="1"/>
    </xf>
    <xf numFmtId="0" fontId="59" fillId="25" borderId="0" xfId="57" applyFont="1" applyFill="1" applyBorder="1" applyAlignment="1" applyProtection="1">
      <alignment horizontal="left" vertical="top" wrapText="1"/>
      <protection hidden="1"/>
    </xf>
    <xf numFmtId="0" fontId="62" fillId="25" borderId="0" xfId="57" applyFont="1" applyFill="1" applyBorder="1" applyAlignment="1" applyProtection="1">
      <alignment horizontal="right" vertical="top"/>
      <protection hidden="1"/>
    </xf>
    <xf numFmtId="49" fontId="8" fillId="25" borderId="0" xfId="0" applyNumberFormat="1" applyFont="1" applyFill="1" applyBorder="1" applyAlignment="1" applyProtection="1">
      <alignment horizontal="center" wrapText="1"/>
      <protection hidden="1"/>
    </xf>
    <xf numFmtId="0" fontId="64" fillId="25" borderId="0" xfId="0" applyFont="1" applyFill="1" applyBorder="1" applyAlignment="1" applyProtection="1">
      <alignment horizontal="center" wrapText="1"/>
      <protection hidden="1"/>
    </xf>
    <xf numFmtId="0" fontId="65" fillId="25" borderId="0" xfId="0" applyFont="1" applyFill="1" applyBorder="1" applyAlignment="1" applyProtection="1">
      <alignment horizontal="right" wrapText="1"/>
      <protection hidden="1"/>
    </xf>
    <xf numFmtId="15" fontId="32" fillId="27" borderId="108" xfId="0" applyNumberFormat="1" applyFont="1" applyFill="1" applyBorder="1" applyProtection="1"/>
    <xf numFmtId="0" fontId="32" fillId="27" borderId="109" xfId="0" applyFont="1" applyFill="1" applyBorder="1" applyAlignment="1" applyProtection="1">
      <alignment wrapText="1"/>
    </xf>
    <xf numFmtId="0" fontId="65" fillId="25" borderId="51" xfId="0" applyFont="1" applyFill="1" applyBorder="1" applyAlignment="1" applyProtection="1">
      <alignment horizontal="right" wrapText="1"/>
      <protection hidden="1"/>
    </xf>
    <xf numFmtId="15" fontId="32" fillId="27" borderId="110" xfId="0" applyNumberFormat="1" applyFont="1" applyFill="1" applyBorder="1" applyProtection="1"/>
    <xf numFmtId="14" fontId="66" fillId="25" borderId="101" xfId="0" applyNumberFormat="1" applyFont="1" applyFill="1" applyBorder="1" applyAlignment="1" applyProtection="1">
      <alignment horizontal="right" vertical="top"/>
      <protection hidden="1"/>
    </xf>
    <xf numFmtId="0" fontId="53" fillId="25" borderId="101" xfId="0" applyFont="1" applyFill="1" applyBorder="1" applyAlignment="1" applyProtection="1">
      <alignment horizontal="center"/>
      <protection hidden="1"/>
    </xf>
    <xf numFmtId="0" fontId="32" fillId="0" borderId="0" xfId="0" applyFont="1" applyAlignment="1" applyProtection="1">
      <alignment horizontal="center"/>
    </xf>
    <xf numFmtId="0" fontId="8" fillId="0" borderId="0" xfId="0" applyFont="1" applyAlignment="1" applyProtection="1">
      <alignment horizontal="left"/>
    </xf>
    <xf numFmtId="0" fontId="8" fillId="25" borderId="96" xfId="0" applyFont="1" applyFill="1" applyBorder="1" applyAlignment="1" applyProtection="1"/>
    <xf numFmtId="0" fontId="32" fillId="25" borderId="97" xfId="0" applyFont="1" applyFill="1" applyBorder="1" applyAlignment="1" applyProtection="1">
      <alignment horizontal="center"/>
    </xf>
    <xf numFmtId="0" fontId="8" fillId="25" borderId="97" xfId="0" applyFont="1" applyFill="1" applyBorder="1" applyAlignment="1" applyProtection="1">
      <alignment horizontal="left"/>
    </xf>
    <xf numFmtId="0" fontId="8" fillId="25" borderId="98" xfId="0" applyFont="1" applyFill="1" applyBorder="1" applyAlignment="1" applyProtection="1">
      <alignment horizontal="left"/>
    </xf>
    <xf numFmtId="0" fontId="8" fillId="25" borderId="25" xfId="0" applyFont="1" applyFill="1" applyBorder="1" applyAlignment="1" applyProtection="1"/>
    <xf numFmtId="0" fontId="32" fillId="25" borderId="0" xfId="0" applyFont="1" applyFill="1" applyBorder="1" applyAlignment="1" applyProtection="1">
      <alignment horizontal="center"/>
    </xf>
    <xf numFmtId="0" fontId="8" fillId="25" borderId="0" xfId="0" applyFont="1" applyFill="1" applyBorder="1" applyAlignment="1" applyProtection="1">
      <alignment horizontal="left"/>
    </xf>
    <xf numFmtId="0" fontId="8" fillId="25" borderId="51" xfId="0" applyFont="1" applyFill="1" applyBorder="1" applyAlignment="1" applyProtection="1">
      <alignment horizontal="left"/>
    </xf>
    <xf numFmtId="0" fontId="8" fillId="25" borderId="100" xfId="0" applyFont="1" applyFill="1" applyBorder="1" applyAlignment="1" applyProtection="1"/>
    <xf numFmtId="0" fontId="32" fillId="25" borderId="101" xfId="0" applyFont="1" applyFill="1" applyBorder="1" applyAlignment="1" applyProtection="1">
      <alignment horizontal="center"/>
    </xf>
    <xf numFmtId="0" fontId="8" fillId="25" borderId="101" xfId="0" applyFont="1" applyFill="1" applyBorder="1" applyAlignment="1" applyProtection="1">
      <alignment horizontal="left"/>
    </xf>
    <xf numFmtId="0" fontId="8" fillId="25" borderId="102" xfId="0" applyFont="1" applyFill="1" applyBorder="1" applyAlignment="1" applyProtection="1">
      <alignment horizontal="left"/>
    </xf>
    <xf numFmtId="0" fontId="32" fillId="0" borderId="0" xfId="0" applyFont="1" applyBorder="1" applyAlignment="1" applyProtection="1">
      <alignment horizontal="center"/>
    </xf>
    <xf numFmtId="0" fontId="8" fillId="0" borderId="0" xfId="0" applyFont="1" applyBorder="1" applyAlignment="1" applyProtection="1">
      <alignment horizontal="left"/>
    </xf>
    <xf numFmtId="49" fontId="8" fillId="30" borderId="7" xfId="0" applyNumberFormat="1" applyFont="1" applyFill="1" applyBorder="1" applyAlignment="1" applyProtection="1">
      <alignment horizontal="center" wrapText="1"/>
      <protection locked="0"/>
    </xf>
    <xf numFmtId="0" fontId="0" fillId="0" borderId="0" xfId="0" applyFont="1" applyAlignment="1">
      <alignment horizontal="center"/>
    </xf>
    <xf numFmtId="37" fontId="33" fillId="0" borderId="0" xfId="30" applyNumberFormat="1" applyFont="1" applyBorder="1" applyAlignment="1">
      <alignment horizontal="center"/>
    </xf>
    <xf numFmtId="0" fontId="39" fillId="24" borderId="28" xfId="0" applyFont="1" applyFill="1" applyBorder="1"/>
    <xf numFmtId="37" fontId="33" fillId="24" borderId="0" xfId="30" applyNumberFormat="1" applyFont="1" applyFill="1" applyBorder="1" applyAlignment="1">
      <alignment horizontal="center"/>
    </xf>
    <xf numFmtId="3" fontId="39" fillId="0" borderId="0" xfId="0" applyNumberFormat="1" applyFont="1"/>
    <xf numFmtId="175" fontId="8" fillId="0" borderId="30" xfId="30" applyNumberFormat="1" applyFont="1" applyBorder="1" applyAlignment="1">
      <alignment horizontal="center"/>
    </xf>
    <xf numFmtId="175" fontId="8" fillId="0" borderId="31" xfId="30" applyNumberFormat="1" applyFont="1" applyBorder="1" applyAlignment="1">
      <alignment horizontal="center"/>
    </xf>
    <xf numFmtId="3" fontId="29" fillId="0" borderId="0" xfId="30" applyNumberFormat="1" applyFont="1" applyBorder="1" applyAlignment="1">
      <alignment horizontal="center"/>
    </xf>
    <xf numFmtId="10" fontId="8" fillId="0" borderId="0" xfId="51" applyNumberFormat="1" applyFont="1" applyBorder="1"/>
    <xf numFmtId="10" fontId="8" fillId="0" borderId="28" xfId="51" applyNumberFormat="1" applyFont="1" applyBorder="1" applyAlignment="1">
      <alignment horizontal="center"/>
    </xf>
    <xf numFmtId="175" fontId="8" fillId="0" borderId="0" xfId="30" applyNumberFormat="1"/>
    <xf numFmtId="37" fontId="32" fillId="0" borderId="0" xfId="30" applyNumberFormat="1" applyFont="1" applyBorder="1" applyAlignment="1">
      <alignment horizontal="center"/>
    </xf>
    <xf numFmtId="37" fontId="32" fillId="24" borderId="0" xfId="30" applyNumberFormat="1" applyFont="1" applyFill="1" applyBorder="1" applyAlignment="1">
      <alignment horizontal="center"/>
    </xf>
    <xf numFmtId="0" fontId="68" fillId="34" borderId="22" xfId="59" applyFont="1" applyFill="1" applyBorder="1" applyAlignment="1" applyProtection="1">
      <alignment horizontal="center" vertical="center" wrapText="1"/>
    </xf>
    <xf numFmtId="0" fontId="68" fillId="34" borderId="33" xfId="59" applyFont="1" applyFill="1" applyBorder="1" applyAlignment="1" applyProtection="1">
      <alignment horizontal="center" vertical="center" wrapText="1"/>
    </xf>
    <xf numFmtId="0" fontId="68" fillId="34" borderId="34" xfId="59" applyFont="1" applyFill="1" applyBorder="1" applyAlignment="1" applyProtection="1">
      <alignment horizontal="center" vertical="center" wrapText="1"/>
    </xf>
    <xf numFmtId="0" fontId="67" fillId="27" borderId="43" xfId="65" applyFont="1" applyFill="1" applyBorder="1" applyProtection="1"/>
    <xf numFmtId="0" fontId="67" fillId="27" borderId="43" xfId="59" applyFont="1" applyFill="1" applyBorder="1" applyAlignment="1" applyProtection="1"/>
    <xf numFmtId="0" fontId="67" fillId="27" borderId="43" xfId="59" applyFont="1" applyFill="1" applyBorder="1" applyAlignment="1" applyProtection="1">
      <alignment vertical="top"/>
    </xf>
    <xf numFmtId="0" fontId="5" fillId="0" borderId="0" xfId="69" applyFont="1" applyBorder="1" applyAlignment="1" applyProtection="1">
      <alignment horizontal="center" vertical="center" wrapText="1"/>
      <protection locked="0"/>
    </xf>
    <xf numFmtId="0" fontId="68" fillId="34" borderId="18" xfId="59" applyFont="1" applyFill="1" applyBorder="1" applyAlignment="1" applyProtection="1">
      <alignment horizontal="center" vertical="center" wrapText="1"/>
    </xf>
    <xf numFmtId="0" fontId="8" fillId="0" borderId="0" xfId="0" applyFont="1" applyAlignment="1">
      <alignment wrapText="1"/>
    </xf>
    <xf numFmtId="0" fontId="2" fillId="0" borderId="0" xfId="99"/>
    <xf numFmtId="0" fontId="5" fillId="0" borderId="0" xfId="0" applyFont="1"/>
    <xf numFmtId="8" fontId="5" fillId="0" borderId="0" xfId="0" applyNumberFormat="1" applyFont="1"/>
    <xf numFmtId="0" fontId="6" fillId="0" borderId="0" xfId="0" applyFont="1"/>
    <xf numFmtId="0" fontId="6" fillId="0" borderId="0" xfId="0" applyFont="1" applyAlignment="1">
      <alignment horizontal="left"/>
    </xf>
    <xf numFmtId="3" fontId="6" fillId="0" borderId="0" xfId="0" applyNumberFormat="1" applyFont="1" applyAlignment="1">
      <alignment horizontal="left"/>
    </xf>
    <xf numFmtId="14" fontId="5" fillId="0" borderId="0" xfId="0" applyNumberFormat="1" applyFont="1"/>
    <xf numFmtId="0" fontId="7" fillId="0" borderId="0" xfId="0" applyFont="1" applyAlignment="1">
      <alignment horizontal="left"/>
    </xf>
    <xf numFmtId="3" fontId="5" fillId="0" borderId="0" xfId="0" applyNumberFormat="1" applyFont="1"/>
    <xf numFmtId="40" fontId="6" fillId="0" borderId="0" xfId="0" applyNumberFormat="1" applyFont="1"/>
    <xf numFmtId="0" fontId="69" fillId="0" borderId="0" xfId="0" applyFont="1"/>
    <xf numFmtId="14" fontId="69" fillId="0" borderId="0" xfId="0" applyNumberFormat="1" applyFont="1"/>
    <xf numFmtId="3" fontId="69" fillId="0" borderId="0" xfId="0" applyNumberFormat="1" applyFont="1" applyAlignment="1">
      <alignment horizontal="left"/>
    </xf>
    <xf numFmtId="3" fontId="70" fillId="0" borderId="0" xfId="0" applyNumberFormat="1" applyFont="1" applyAlignment="1">
      <alignment horizontal="left"/>
    </xf>
    <xf numFmtId="0" fontId="0" fillId="0" borderId="0" xfId="0"/>
    <xf numFmtId="3" fontId="69" fillId="0" borderId="0" xfId="0" applyNumberFormat="1" applyFont="1"/>
    <xf numFmtId="0" fontId="72" fillId="0" borderId="0" xfId="0" applyFont="1" applyBorder="1"/>
    <xf numFmtId="0" fontId="72" fillId="0" borderId="0" xfId="0" applyFont="1" applyBorder="1" applyAlignment="1">
      <alignment horizontal="left"/>
    </xf>
    <xf numFmtId="0" fontId="72" fillId="0" borderId="0" xfId="0" applyFont="1" applyBorder="1" applyAlignment="1">
      <alignment horizontal="center"/>
    </xf>
    <xf numFmtId="179" fontId="72" fillId="0" borderId="0" xfId="0" applyNumberFormat="1" applyFont="1" applyAlignment="1">
      <alignment horizontal="center" vertical="center"/>
    </xf>
    <xf numFmtId="180" fontId="72" fillId="0" borderId="0" xfId="0" applyNumberFormat="1" applyFont="1" applyAlignment="1">
      <alignment horizontal="center" vertical="center"/>
    </xf>
    <xf numFmtId="0" fontId="72" fillId="0" borderId="0" xfId="0" applyFont="1" applyFill="1" applyBorder="1" applyAlignment="1">
      <alignment horizontal="center"/>
    </xf>
    <xf numFmtId="9" fontId="72" fillId="0" borderId="0" xfId="0" applyNumberFormat="1" applyFont="1" applyAlignment="1">
      <alignment horizontal="center" vertical="center"/>
    </xf>
    <xf numFmtId="0" fontId="72" fillId="0" borderId="0" xfId="0" applyFont="1" applyFill="1" applyBorder="1"/>
    <xf numFmtId="0" fontId="72" fillId="0" borderId="0" xfId="61" applyFont="1" applyBorder="1" applyAlignment="1">
      <alignment horizontal="left"/>
    </xf>
    <xf numFmtId="0" fontId="72" fillId="0" borderId="0" xfId="0" applyFont="1" applyFill="1" applyBorder="1" applyAlignment="1">
      <alignment horizontal="left"/>
    </xf>
    <xf numFmtId="165" fontId="72" fillId="0" borderId="0" xfId="0" applyNumberFormat="1" applyFont="1" applyAlignment="1">
      <alignment horizontal="center" vertical="center"/>
    </xf>
    <xf numFmtId="0" fontId="73" fillId="35" borderId="0" xfId="61" applyFont="1" applyFill="1" applyBorder="1"/>
    <xf numFmtId="0" fontId="72" fillId="35" borderId="0" xfId="61" applyFont="1" applyFill="1" applyBorder="1"/>
    <xf numFmtId="0" fontId="72" fillId="35" borderId="0" xfId="93" applyFont="1" applyFill="1" applyBorder="1"/>
    <xf numFmtId="0" fontId="74" fillId="38" borderId="16" xfId="93" applyFont="1" applyFill="1" applyBorder="1" applyAlignment="1">
      <alignment horizontal="center" vertical="center"/>
    </xf>
    <xf numFmtId="165" fontId="74" fillId="38" borderId="20" xfId="60" applyNumberFormat="1" applyFont="1" applyFill="1" applyBorder="1" applyAlignment="1">
      <alignment horizontal="center" vertical="center" wrapText="1"/>
    </xf>
    <xf numFmtId="0" fontId="75" fillId="35" borderId="0" xfId="61" applyFont="1" applyFill="1" applyBorder="1"/>
    <xf numFmtId="0" fontId="74" fillId="38" borderId="18" xfId="60" applyNumberFormat="1" applyFont="1" applyFill="1" applyBorder="1" applyAlignment="1">
      <alignment horizontal="center" vertical="center" wrapText="1"/>
    </xf>
    <xf numFmtId="0" fontId="72" fillId="38" borderId="85" xfId="60" applyNumberFormat="1" applyFont="1" applyFill="1" applyBorder="1" applyAlignment="1">
      <alignment horizontal="center" wrapText="1"/>
    </xf>
    <xf numFmtId="0" fontId="72" fillId="38" borderId="119" xfId="60" applyNumberFormat="1" applyFont="1" applyFill="1" applyBorder="1" applyAlignment="1">
      <alignment horizontal="center" wrapText="1"/>
    </xf>
    <xf numFmtId="0" fontId="72" fillId="38" borderId="86" xfId="60" applyNumberFormat="1" applyFont="1" applyFill="1" applyBorder="1" applyAlignment="1">
      <alignment horizontal="center" wrapText="1"/>
    </xf>
    <xf numFmtId="176" fontId="72" fillId="38" borderId="120" xfId="60" applyNumberFormat="1" applyFont="1" applyFill="1" applyBorder="1" applyAlignment="1">
      <alignment wrapText="1"/>
    </xf>
    <xf numFmtId="168" fontId="72" fillId="35" borderId="58" xfId="60" applyNumberFormat="1" applyFont="1" applyFill="1" applyBorder="1" applyAlignment="1">
      <alignment horizontal="center" wrapText="1"/>
    </xf>
    <xf numFmtId="168" fontId="72" fillId="35" borderId="39" xfId="60" applyNumberFormat="1" applyFont="1" applyFill="1" applyBorder="1" applyAlignment="1">
      <alignment horizontal="center" wrapText="1"/>
    </xf>
    <xf numFmtId="168" fontId="72" fillId="35" borderId="40" xfId="60" applyNumberFormat="1" applyFont="1" applyFill="1" applyBorder="1" applyAlignment="1">
      <alignment horizontal="center" wrapText="1"/>
    </xf>
    <xf numFmtId="176" fontId="72" fillId="38" borderId="121" xfId="60" applyNumberFormat="1" applyFont="1" applyFill="1" applyBorder="1" applyAlignment="1">
      <alignment wrapText="1"/>
    </xf>
    <xf numFmtId="168" fontId="72" fillId="35" borderId="13" xfId="60" applyNumberFormat="1" applyFont="1" applyFill="1" applyBorder="1" applyAlignment="1">
      <alignment horizontal="center" wrapText="1"/>
    </xf>
    <xf numFmtId="168" fontId="72" fillId="35" borderId="10" xfId="60" applyNumberFormat="1" applyFont="1" applyFill="1" applyBorder="1" applyAlignment="1">
      <alignment horizontal="center" wrapText="1"/>
    </xf>
    <xf numFmtId="168" fontId="72" fillId="35" borderId="42" xfId="60" applyNumberFormat="1" applyFont="1" applyFill="1" applyBorder="1" applyAlignment="1">
      <alignment horizontal="center" wrapText="1"/>
    </xf>
    <xf numFmtId="2" fontId="72" fillId="35" borderId="13" xfId="60" applyNumberFormat="1" applyFont="1" applyFill="1" applyBorder="1" applyAlignment="1">
      <alignment horizontal="center" wrapText="1"/>
    </xf>
    <xf numFmtId="2" fontId="72" fillId="35" borderId="10" xfId="60" applyNumberFormat="1" applyFont="1" applyFill="1" applyBorder="1" applyAlignment="1">
      <alignment horizontal="center" wrapText="1"/>
    </xf>
    <xf numFmtId="2" fontId="72" fillId="35" borderId="42" xfId="60" applyNumberFormat="1" applyFont="1" applyFill="1" applyBorder="1" applyAlignment="1">
      <alignment horizontal="center" wrapText="1"/>
    </xf>
    <xf numFmtId="176" fontId="72" fillId="38" borderId="122" xfId="60" applyNumberFormat="1" applyFont="1" applyFill="1" applyBorder="1" applyAlignment="1">
      <alignment wrapText="1"/>
    </xf>
    <xf numFmtId="2" fontId="72" fillId="35" borderId="53" xfId="60" applyNumberFormat="1" applyFont="1" applyFill="1" applyBorder="1" applyAlignment="1">
      <alignment horizontal="center" wrapText="1"/>
    </xf>
    <xf numFmtId="2" fontId="72" fillId="35" borderId="47" xfId="60" applyNumberFormat="1" applyFont="1" applyFill="1" applyBorder="1" applyAlignment="1">
      <alignment horizontal="center" wrapText="1"/>
    </xf>
    <xf numFmtId="2" fontId="72" fillId="35" borderId="50" xfId="60" applyNumberFormat="1" applyFont="1" applyFill="1" applyBorder="1" applyAlignment="1">
      <alignment horizontal="center" wrapText="1"/>
    </xf>
    <xf numFmtId="0" fontId="72" fillId="40" borderId="0" xfId="93" applyFont="1" applyFill="1" applyBorder="1"/>
    <xf numFmtId="0" fontId="81" fillId="40" borderId="0" xfId="93" applyFont="1" applyFill="1" applyBorder="1"/>
    <xf numFmtId="0" fontId="0" fillId="0" borderId="0" xfId="0" applyFont="1" applyFill="1" applyBorder="1"/>
    <xf numFmtId="8" fontId="81" fillId="40" borderId="0" xfId="93" applyNumberFormat="1" applyFont="1" applyFill="1" applyBorder="1"/>
    <xf numFmtId="168" fontId="67" fillId="27" borderId="0" xfId="59" applyNumberFormat="1" applyFont="1" applyFill="1" applyBorder="1" applyAlignment="1" applyProtection="1">
      <alignment horizontal="center"/>
    </xf>
    <xf numFmtId="0" fontId="82" fillId="0" borderId="0" xfId="0" applyFont="1"/>
    <xf numFmtId="0" fontId="83" fillId="0" borderId="0" xfId="61" applyFont="1" applyBorder="1" applyAlignment="1">
      <alignment horizontal="left"/>
    </xf>
    <xf numFmtId="0" fontId="83" fillId="0" borderId="0" xfId="0" applyFont="1" applyBorder="1" applyAlignment="1">
      <alignment horizontal="left"/>
    </xf>
    <xf numFmtId="0" fontId="83" fillId="35" borderId="0" xfId="0" applyFont="1" applyFill="1" applyBorder="1"/>
    <xf numFmtId="0" fontId="72" fillId="35" borderId="0" xfId="61" applyFont="1" applyFill="1"/>
    <xf numFmtId="0" fontId="72" fillId="0" borderId="0" xfId="61" applyFont="1"/>
    <xf numFmtId="0" fontId="85" fillId="0" borderId="11" xfId="61" applyFont="1" applyBorder="1" applyAlignment="1">
      <alignment horizontal="center"/>
    </xf>
    <xf numFmtId="174" fontId="74" fillId="35" borderId="10" xfId="61" applyNumberFormat="1" applyFont="1" applyFill="1" applyBorder="1" applyAlignment="1">
      <alignment horizontal="center" vertical="center"/>
    </xf>
    <xf numFmtId="164" fontId="74" fillId="35" borderId="0" xfId="61" applyNumberFormat="1" applyFont="1" applyFill="1" applyBorder="1" applyAlignment="1">
      <alignment horizontal="center" vertical="center"/>
    </xf>
    <xf numFmtId="2" fontId="72" fillId="35" borderId="13" xfId="173" applyNumberFormat="1" applyFont="1" applyFill="1" applyBorder="1" applyAlignment="1">
      <alignment horizontal="center" wrapText="1"/>
    </xf>
    <xf numFmtId="2" fontId="72" fillId="35" borderId="10" xfId="173" applyNumberFormat="1" applyFont="1" applyFill="1" applyBorder="1" applyAlignment="1">
      <alignment horizontal="center" wrapText="1"/>
    </xf>
    <xf numFmtId="2" fontId="72" fillId="35" borderId="42" xfId="173" applyNumberFormat="1" applyFont="1" applyFill="1" applyBorder="1" applyAlignment="1">
      <alignment horizontal="center" wrapText="1"/>
    </xf>
    <xf numFmtId="0" fontId="86" fillId="35" borderId="0" xfId="61" applyFont="1" applyFill="1" applyBorder="1"/>
    <xf numFmtId="0" fontId="4" fillId="0" borderId="0" xfId="0" applyFont="1" applyFill="1" applyBorder="1"/>
    <xf numFmtId="0" fontId="23" fillId="25" borderId="0" xfId="57" applyFont="1" applyFill="1" applyBorder="1" applyAlignment="1" applyProtection="1">
      <alignment horizontal="center" wrapText="1"/>
      <protection hidden="1"/>
    </xf>
    <xf numFmtId="0" fontId="59" fillId="25" borderId="0" xfId="57" applyFont="1" applyFill="1" applyBorder="1" applyAlignment="1" applyProtection="1">
      <alignment horizontal="left"/>
      <protection hidden="1"/>
    </xf>
    <xf numFmtId="0" fontId="4" fillId="35" borderId="7" xfId="0" applyNumberFormat="1" applyFont="1" applyFill="1" applyBorder="1" applyAlignment="1" applyProtection="1">
      <alignment horizontal="center" wrapText="1"/>
      <protection locked="0"/>
    </xf>
    <xf numFmtId="0" fontId="87" fillId="0" borderId="0" xfId="46" applyFont="1"/>
    <xf numFmtId="0" fontId="74" fillId="0" borderId="0" xfId="0" applyFont="1"/>
    <xf numFmtId="0" fontId="89" fillId="0" borderId="0" xfId="46" applyFont="1"/>
    <xf numFmtId="0" fontId="72" fillId="0" borderId="0" xfId="0" applyFont="1"/>
    <xf numFmtId="0" fontId="72" fillId="31" borderId="0" xfId="0" applyFont="1" applyFill="1"/>
    <xf numFmtId="0" fontId="72" fillId="0" borderId="10" xfId="0" applyFont="1" applyBorder="1"/>
    <xf numFmtId="0" fontId="72" fillId="0" borderId="10" xfId="0" applyFont="1" applyFill="1" applyBorder="1"/>
    <xf numFmtId="0" fontId="93" fillId="0" borderId="0" xfId="0" applyFont="1"/>
    <xf numFmtId="0" fontId="72" fillId="0" borderId="18" xfId="0" applyFont="1" applyFill="1" applyBorder="1"/>
    <xf numFmtId="0" fontId="73" fillId="0" borderId="0" xfId="0" applyFont="1"/>
    <xf numFmtId="0" fontId="72" fillId="37" borderId="10" xfId="0" applyFont="1" applyFill="1" applyBorder="1" applyAlignment="1">
      <alignment horizontal="center"/>
    </xf>
    <xf numFmtId="0" fontId="74" fillId="33" borderId="10" xfId="0" applyFont="1" applyFill="1" applyBorder="1"/>
    <xf numFmtId="0" fontId="72" fillId="0" borderId="10" xfId="0" applyFont="1" applyBorder="1" applyAlignment="1">
      <alignment horizontal="center"/>
    </xf>
    <xf numFmtId="0" fontId="72" fillId="0" borderId="26" xfId="187" applyFont="1" applyBorder="1"/>
    <xf numFmtId="0" fontId="93" fillId="35" borderId="26" xfId="187" applyFont="1" applyFill="1" applyBorder="1"/>
    <xf numFmtId="0" fontId="93" fillId="35" borderId="26" xfId="61" applyFont="1" applyFill="1" applyBorder="1"/>
    <xf numFmtId="0" fontId="72" fillId="0" borderId="0" xfId="187" applyFont="1" applyBorder="1"/>
    <xf numFmtId="0" fontId="72" fillId="35" borderId="0" xfId="187" applyFont="1" applyFill="1" applyBorder="1"/>
    <xf numFmtId="0" fontId="93" fillId="35" borderId="0" xfId="61" applyFont="1" applyFill="1" applyBorder="1"/>
    <xf numFmtId="0" fontId="93" fillId="35" borderId="0" xfId="187" applyFont="1" applyFill="1" applyBorder="1"/>
    <xf numFmtId="0" fontId="74" fillId="0" borderId="0" xfId="187" applyFont="1" applyFill="1" applyBorder="1"/>
    <xf numFmtId="0" fontId="87" fillId="0" borderId="0" xfId="187" applyFont="1" applyFill="1" applyBorder="1"/>
    <xf numFmtId="0" fontId="72" fillId="0" borderId="0" xfId="187" applyFont="1" applyFill="1" applyBorder="1"/>
    <xf numFmtId="0" fontId="72" fillId="0" borderId="0" xfId="187" applyFont="1" applyFill="1" applyBorder="1" applyAlignment="1"/>
    <xf numFmtId="0" fontId="72" fillId="0" borderId="17" xfId="187" applyFont="1" applyBorder="1"/>
    <xf numFmtId="0" fontId="72" fillId="0" borderId="32" xfId="187" applyFont="1" applyBorder="1"/>
    <xf numFmtId="0" fontId="72" fillId="0" borderId="32" xfId="187" applyFont="1" applyFill="1" applyBorder="1"/>
    <xf numFmtId="0" fontId="94" fillId="35" borderId="14" xfId="187" applyFont="1" applyFill="1" applyBorder="1" applyAlignment="1">
      <alignment vertical="top"/>
    </xf>
    <xf numFmtId="0" fontId="72" fillId="35" borderId="27" xfId="187" applyFont="1" applyFill="1" applyBorder="1"/>
    <xf numFmtId="0" fontId="72" fillId="0" borderId="27" xfId="187" applyFont="1" applyBorder="1"/>
    <xf numFmtId="0" fontId="95" fillId="0" borderId="27" xfId="187" applyFont="1" applyFill="1" applyBorder="1"/>
    <xf numFmtId="0" fontId="72" fillId="0" borderId="27" xfId="187" applyFont="1" applyFill="1" applyBorder="1" applyAlignment="1"/>
    <xf numFmtId="0" fontId="72" fillId="0" borderId="0" xfId="0" applyFont="1" applyAlignment="1" applyProtection="1">
      <protection locked="0"/>
    </xf>
    <xf numFmtId="0" fontId="74" fillId="0" borderId="0" xfId="0" applyFont="1" applyAlignment="1" applyProtection="1">
      <protection locked="0"/>
    </xf>
    <xf numFmtId="0" fontId="72" fillId="0" borderId="0" xfId="0" applyFont="1" applyFill="1" applyAlignment="1" applyProtection="1">
      <protection locked="0"/>
    </xf>
    <xf numFmtId="0" fontId="72" fillId="0" borderId="26" xfId="0" applyFont="1" applyFill="1" applyBorder="1" applyAlignment="1" applyProtection="1">
      <protection locked="0"/>
    </xf>
    <xf numFmtId="0" fontId="72" fillId="0" borderId="67" xfId="0" applyFont="1" applyFill="1" applyBorder="1" applyAlignment="1" applyProtection="1">
      <alignment vertical="center" wrapText="1"/>
      <protection locked="0"/>
    </xf>
    <xf numFmtId="0" fontId="72" fillId="0" borderId="68" xfId="0" applyFont="1" applyFill="1" applyBorder="1" applyAlignment="1" applyProtection="1">
      <alignment vertical="center" wrapText="1"/>
      <protection locked="0"/>
    </xf>
    <xf numFmtId="3" fontId="72" fillId="0" borderId="72" xfId="0" applyNumberFormat="1" applyFont="1" applyFill="1" applyBorder="1" applyAlignment="1" applyProtection="1">
      <alignment horizontal="center" vertical="center"/>
      <protection locked="0"/>
    </xf>
    <xf numFmtId="3" fontId="72" fillId="0" borderId="69" xfId="0" applyNumberFormat="1" applyFont="1" applyFill="1" applyBorder="1" applyAlignment="1" applyProtection="1">
      <alignment horizontal="center" vertical="center"/>
      <protection locked="0"/>
    </xf>
    <xf numFmtId="167" fontId="72" fillId="0" borderId="114" xfId="0" applyNumberFormat="1" applyFont="1" applyFill="1" applyBorder="1" applyAlignment="1" applyProtection="1">
      <alignment horizontal="center" vertical="center"/>
      <protection locked="0"/>
    </xf>
    <xf numFmtId="3" fontId="72" fillId="37" borderId="114" xfId="0" applyNumberFormat="1" applyFont="1" applyFill="1" applyBorder="1" applyAlignment="1" applyProtection="1">
      <alignment horizontal="center" vertical="center"/>
      <protection locked="0"/>
    </xf>
    <xf numFmtId="174" fontId="72" fillId="42" borderId="39" xfId="61" applyNumberFormat="1" applyFont="1" applyFill="1" applyBorder="1" applyAlignment="1">
      <alignment horizontal="center" vertical="center"/>
    </xf>
    <xf numFmtId="174" fontId="72" fillId="35" borderId="39" xfId="60" applyNumberFormat="1" applyFont="1" applyFill="1" applyBorder="1" applyAlignment="1">
      <alignment horizontal="center" vertical="center"/>
    </xf>
    <xf numFmtId="174" fontId="72" fillId="42" borderId="39" xfId="60" applyNumberFormat="1" applyFont="1" applyFill="1" applyBorder="1" applyAlignment="1">
      <alignment horizontal="center" vertical="center"/>
    </xf>
    <xf numFmtId="3" fontId="72" fillId="0" borderId="115" xfId="0" applyNumberFormat="1" applyFont="1" applyFill="1" applyBorder="1" applyAlignment="1" applyProtection="1">
      <alignment horizontal="center" vertical="center"/>
      <protection locked="0"/>
    </xf>
    <xf numFmtId="3" fontId="72" fillId="0" borderId="39" xfId="0" applyNumberFormat="1" applyFont="1" applyFill="1" applyBorder="1" applyAlignment="1" applyProtection="1">
      <alignment horizontal="center" vertical="center"/>
      <protection locked="0"/>
    </xf>
    <xf numFmtId="3" fontId="72" fillId="0" borderId="10" xfId="0" applyNumberFormat="1" applyFont="1" applyFill="1" applyBorder="1" applyAlignment="1" applyProtection="1">
      <alignment horizontal="center" vertical="center"/>
      <protection locked="0"/>
    </xf>
    <xf numFmtId="0" fontId="72" fillId="0" borderId="0" xfId="0" applyFont="1" applyBorder="1" applyAlignment="1" applyProtection="1">
      <protection locked="0"/>
    </xf>
    <xf numFmtId="3" fontId="72" fillId="0" borderId="39" xfId="0" applyNumberFormat="1" applyFont="1" applyBorder="1" applyAlignment="1" applyProtection="1">
      <alignment horizontal="center"/>
      <protection locked="0"/>
    </xf>
    <xf numFmtId="0" fontId="72" fillId="32" borderId="0" xfId="0" applyFont="1" applyFill="1" applyBorder="1" applyAlignment="1" applyProtection="1">
      <alignment vertical="center"/>
      <protection locked="0"/>
    </xf>
    <xf numFmtId="174" fontId="72" fillId="0" borderId="11" xfId="0" applyNumberFormat="1" applyFont="1" applyFill="1" applyBorder="1" applyAlignment="1" applyProtection="1">
      <alignment horizontal="center"/>
      <protection locked="0"/>
    </xf>
    <xf numFmtId="0" fontId="72" fillId="0" borderId="0" xfId="0" applyFont="1" applyFill="1" applyBorder="1" applyAlignment="1" applyProtection="1">
      <protection locked="0"/>
    </xf>
    <xf numFmtId="0" fontId="74" fillId="0" borderId="0" xfId="0" applyFont="1" applyFill="1" applyBorder="1" applyAlignment="1" applyProtection="1">
      <protection locked="0"/>
    </xf>
    <xf numFmtId="0" fontId="74" fillId="0" borderId="0" xfId="0" applyFont="1" applyFill="1" applyBorder="1" applyAlignment="1" applyProtection="1">
      <alignment vertical="top"/>
      <protection locked="0"/>
    </xf>
    <xf numFmtId="0" fontId="74" fillId="0" borderId="0" xfId="0" applyFont="1" applyFill="1" applyBorder="1" applyAlignment="1" applyProtection="1">
      <alignment vertical="top" wrapText="1"/>
      <protection locked="0"/>
    </xf>
    <xf numFmtId="3" fontId="72" fillId="0" borderId="0" xfId="0" applyNumberFormat="1" applyFont="1" applyFill="1" applyBorder="1" applyAlignment="1" applyProtection="1">
      <alignment horizontal="center" vertical="center"/>
      <protection locked="0"/>
    </xf>
    <xf numFmtId="174" fontId="72" fillId="0" borderId="0" xfId="0" applyNumberFormat="1" applyFont="1" applyFill="1" applyBorder="1" applyAlignment="1" applyProtection="1">
      <alignment horizontal="center" vertical="center"/>
      <protection locked="0"/>
    </xf>
    <xf numFmtId="166" fontId="72" fillId="0" borderId="0" xfId="0" applyNumberFormat="1" applyFont="1" applyFill="1" applyBorder="1" applyAlignment="1" applyProtection="1">
      <alignment horizontal="center" vertical="center"/>
      <protection locked="0"/>
    </xf>
    <xf numFmtId="167" fontId="72" fillId="0" borderId="0" xfId="0" applyNumberFormat="1" applyFont="1" applyFill="1" applyBorder="1" applyAlignment="1" applyProtection="1">
      <alignment horizontal="center" vertical="center"/>
      <protection locked="0"/>
    </xf>
    <xf numFmtId="0" fontId="72" fillId="0" borderId="0" xfId="0" applyFont="1" applyFill="1" applyBorder="1" applyAlignment="1" applyProtection="1">
      <alignment vertical="center"/>
      <protection locked="0"/>
    </xf>
    <xf numFmtId="164" fontId="72" fillId="0" borderId="0" xfId="0" applyNumberFormat="1" applyFont="1" applyFill="1" applyBorder="1" applyAlignment="1" applyProtection="1">
      <alignment horizontal="center" vertical="center"/>
      <protection locked="0"/>
    </xf>
    <xf numFmtId="3" fontId="72" fillId="0" borderId="0" xfId="0" applyNumberFormat="1" applyFont="1" applyFill="1" applyBorder="1" applyAlignment="1" applyProtection="1">
      <alignment horizontal="center"/>
      <protection locked="0"/>
    </xf>
    <xf numFmtId="174" fontId="72" fillId="0" borderId="0" xfId="0" applyNumberFormat="1" applyFont="1" applyFill="1" applyBorder="1" applyAlignment="1" applyProtection="1">
      <alignment horizontal="center"/>
      <protection locked="0"/>
    </xf>
    <xf numFmtId="164" fontId="72" fillId="0" borderId="0" xfId="0" applyNumberFormat="1" applyFont="1" applyFill="1" applyBorder="1" applyAlignment="1" applyProtection="1">
      <alignment horizontal="center"/>
      <protection locked="0"/>
    </xf>
    <xf numFmtId="0" fontId="72" fillId="0" borderId="0" xfId="0" applyFont="1" applyFill="1" applyBorder="1" applyAlignment="1" applyProtection="1">
      <alignment horizontal="right"/>
      <protection locked="0"/>
    </xf>
    <xf numFmtId="164" fontId="74" fillId="0" borderId="0" xfId="0" applyNumberFormat="1" applyFont="1" applyFill="1" applyBorder="1" applyAlignment="1" applyProtection="1">
      <alignment horizontal="center"/>
      <protection locked="0"/>
    </xf>
    <xf numFmtId="0" fontId="74" fillId="0" borderId="0" xfId="0" applyFont="1" applyFill="1" applyBorder="1" applyAlignment="1" applyProtection="1">
      <alignment horizontal="right"/>
      <protection locked="0"/>
    </xf>
    <xf numFmtId="174" fontId="74" fillId="0" borderId="0" xfId="0" applyNumberFormat="1" applyFont="1" applyFill="1" applyBorder="1" applyAlignment="1" applyProtection="1">
      <alignment horizontal="center"/>
      <protection locked="0"/>
    </xf>
    <xf numFmtId="0" fontId="74" fillId="0" borderId="0" xfId="0" applyFont="1" applyFill="1" applyBorder="1" applyAlignment="1" applyProtection="1">
      <alignment horizontal="center" vertical="center"/>
      <protection locked="0"/>
    </xf>
    <xf numFmtId="174" fontId="74" fillId="0" borderId="0" xfId="0" applyNumberFormat="1"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0" fontId="93" fillId="35" borderId="19" xfId="187" applyFont="1" applyFill="1" applyBorder="1"/>
    <xf numFmtId="0" fontId="93" fillId="35" borderId="28" xfId="187" applyFont="1" applyFill="1" applyBorder="1"/>
    <xf numFmtId="0" fontId="72" fillId="0" borderId="28" xfId="187" applyFont="1" applyBorder="1"/>
    <xf numFmtId="0" fontId="72" fillId="35" borderId="28" xfId="187" applyFont="1" applyFill="1" applyBorder="1"/>
    <xf numFmtId="0" fontId="72" fillId="35" borderId="21" xfId="187" applyFont="1" applyFill="1" applyBorder="1"/>
    <xf numFmtId="0" fontId="87" fillId="0" borderId="0" xfId="61" applyFont="1" applyFill="1" applyBorder="1"/>
    <xf numFmtId="0" fontId="72" fillId="0" borderId="0" xfId="61" applyFont="1" applyBorder="1"/>
    <xf numFmtId="174" fontId="72" fillId="37" borderId="69" xfId="0" applyNumberFormat="1" applyFont="1" applyFill="1" applyBorder="1" applyAlignment="1" applyProtection="1">
      <alignment horizontal="center" vertical="center" wrapText="1"/>
      <protection locked="0"/>
    </xf>
    <xf numFmtId="174" fontId="72" fillId="37" borderId="69" xfId="0" applyNumberFormat="1" applyFont="1" applyFill="1" applyBorder="1" applyAlignment="1" applyProtection="1">
      <alignment horizontal="center" vertical="center"/>
      <protection locked="0"/>
    </xf>
    <xf numFmtId="0" fontId="72" fillId="37" borderId="69" xfId="0" applyFont="1" applyFill="1" applyBorder="1" applyAlignment="1" applyProtection="1">
      <alignment horizontal="center" vertical="center" wrapText="1"/>
      <protection locked="0"/>
    </xf>
    <xf numFmtId="0" fontId="72" fillId="37" borderId="39" xfId="0" applyFont="1" applyFill="1" applyBorder="1" applyAlignment="1" applyProtection="1">
      <alignment horizontal="center" vertical="center"/>
      <protection locked="0"/>
    </xf>
    <xf numFmtId="0" fontId="72" fillId="0" borderId="0" xfId="0" applyFont="1" applyAlignment="1" applyProtection="1">
      <alignment horizontal="right"/>
      <protection locked="0"/>
    </xf>
    <xf numFmtId="0" fontId="73" fillId="0" borderId="0" xfId="0" applyFont="1" applyAlignment="1" applyProtection="1">
      <protection locked="0"/>
    </xf>
    <xf numFmtId="0" fontId="72" fillId="41" borderId="16" xfId="0" applyFont="1" applyFill="1" applyBorder="1" applyAlignment="1" applyProtection="1">
      <alignment horizontal="center"/>
      <protection locked="0"/>
    </xf>
    <xf numFmtId="0" fontId="74" fillId="41" borderId="29" xfId="0" applyFont="1" applyFill="1" applyBorder="1" applyAlignment="1" applyProtection="1">
      <alignment horizontal="center" vertical="top" wrapText="1"/>
      <protection locked="0"/>
    </xf>
    <xf numFmtId="0" fontId="74" fillId="41" borderId="29" xfId="43" applyFont="1" applyFill="1" applyBorder="1" applyAlignment="1" applyProtection="1">
      <alignment horizontal="center" vertical="top"/>
      <protection locked="0"/>
    </xf>
    <xf numFmtId="0" fontId="72" fillId="41" borderId="29" xfId="43" applyFont="1" applyFill="1" applyBorder="1" applyAlignment="1" applyProtection="1">
      <alignment vertical="top"/>
      <protection locked="0"/>
    </xf>
    <xf numFmtId="0" fontId="74" fillId="41" borderId="29" xfId="0" applyFont="1" applyFill="1" applyBorder="1" applyAlignment="1" applyProtection="1">
      <alignment horizontal="center" vertical="top"/>
      <protection locked="0"/>
    </xf>
    <xf numFmtId="0" fontId="74" fillId="41" borderId="20" xfId="0" applyFont="1" applyFill="1" applyBorder="1" applyAlignment="1" applyProtection="1">
      <alignment horizontal="center" vertical="top" wrapText="1"/>
      <protection locked="0"/>
    </xf>
    <xf numFmtId="0" fontId="72" fillId="0" borderId="43" xfId="0" applyFont="1" applyFill="1" applyBorder="1" applyAlignment="1" applyProtection="1">
      <alignment vertical="center" wrapText="1"/>
      <protection locked="0"/>
    </xf>
    <xf numFmtId="174" fontId="72" fillId="37" borderId="70" xfId="0" applyNumberFormat="1" applyFont="1" applyFill="1" applyBorder="1" applyAlignment="1" applyProtection="1">
      <alignment horizontal="center" vertical="center" wrapText="1"/>
      <protection locked="0"/>
    </xf>
    <xf numFmtId="174" fontId="72" fillId="37" borderId="70" xfId="0" applyNumberFormat="1" applyFont="1" applyFill="1" applyBorder="1" applyAlignment="1" applyProtection="1">
      <alignment horizontal="center" vertical="center"/>
      <protection locked="0"/>
    </xf>
    <xf numFmtId="0" fontId="72" fillId="37" borderId="70" xfId="0" applyFont="1" applyFill="1" applyBorder="1" applyAlignment="1" applyProtection="1">
      <alignment horizontal="center" vertical="center" wrapText="1"/>
      <protection locked="0"/>
    </xf>
    <xf numFmtId="0" fontId="72" fillId="37" borderId="61" xfId="0" applyFont="1" applyFill="1" applyBorder="1" applyAlignment="1" applyProtection="1">
      <alignment horizontal="center" vertical="center"/>
      <protection locked="0"/>
    </xf>
    <xf numFmtId="3" fontId="72" fillId="37" borderId="117" xfId="0" applyNumberFormat="1" applyFont="1" applyFill="1" applyBorder="1" applyAlignment="1" applyProtection="1">
      <alignment horizontal="center" vertical="center"/>
      <protection locked="0"/>
    </xf>
    <xf numFmtId="0" fontId="72" fillId="41" borderId="16" xfId="0" applyFont="1" applyFill="1" applyBorder="1" applyAlignment="1" applyProtection="1">
      <alignment vertical="center"/>
      <protection locked="0"/>
    </xf>
    <xf numFmtId="0" fontId="72" fillId="41" borderId="29" xfId="0" applyFont="1" applyFill="1" applyBorder="1" applyAlignment="1" applyProtection="1">
      <alignment vertical="center"/>
      <protection locked="0"/>
    </xf>
    <xf numFmtId="164" fontId="72" fillId="41" borderId="86" xfId="0" applyNumberFormat="1" applyFont="1" applyFill="1" applyBorder="1" applyAlignment="1" applyProtection="1">
      <alignment horizontal="center" vertical="center"/>
      <protection locked="0"/>
    </xf>
    <xf numFmtId="174" fontId="72" fillId="43" borderId="39" xfId="61" applyNumberFormat="1" applyFont="1" applyFill="1" applyBorder="1" applyAlignment="1">
      <alignment horizontal="center" vertical="center"/>
    </xf>
    <xf numFmtId="174" fontId="72" fillId="43" borderId="10" xfId="61" applyNumberFormat="1" applyFont="1" applyFill="1" applyBorder="1" applyAlignment="1">
      <alignment horizontal="center" vertical="center"/>
    </xf>
    <xf numFmtId="6" fontId="72" fillId="43" borderId="10" xfId="61" applyNumberFormat="1" applyFont="1" applyFill="1" applyBorder="1" applyAlignment="1"/>
    <xf numFmtId="0" fontId="74" fillId="35" borderId="0" xfId="61" applyFont="1" applyFill="1"/>
    <xf numFmtId="0" fontId="72" fillId="37" borderId="10" xfId="0" applyFont="1" applyFill="1" applyBorder="1" applyAlignment="1" applyProtection="1">
      <alignment wrapText="1"/>
      <protection locked="0"/>
    </xf>
    <xf numFmtId="0" fontId="74" fillId="33" borderId="59" xfId="0" applyFont="1" applyFill="1" applyBorder="1" applyAlignment="1" applyProtection="1">
      <alignment horizontal="center" vertical="center" wrapText="1"/>
      <protection locked="0"/>
    </xf>
    <xf numFmtId="0" fontId="74" fillId="33" borderId="59" xfId="0" applyFont="1" applyFill="1" applyBorder="1" applyAlignment="1" applyProtection="1">
      <alignment horizontal="center"/>
      <protection locked="0"/>
    </xf>
    <xf numFmtId="0" fontId="74" fillId="33" borderId="62" xfId="0" applyFont="1" applyFill="1" applyBorder="1" applyAlignment="1" applyProtection="1">
      <alignment horizontal="center"/>
      <protection locked="0"/>
    </xf>
    <xf numFmtId="0" fontId="74" fillId="33" borderId="61" xfId="0" applyFont="1" applyFill="1" applyBorder="1" applyAlignment="1" applyProtection="1">
      <alignment horizontal="center"/>
      <protection locked="0"/>
    </xf>
    <xf numFmtId="0" fontId="74" fillId="33" borderId="0" xfId="0" applyFont="1" applyFill="1" applyBorder="1" applyAlignment="1" applyProtection="1">
      <alignment horizontal="center"/>
      <protection locked="0"/>
    </xf>
    <xf numFmtId="0" fontId="74" fillId="33" borderId="39" xfId="0" applyFont="1" applyFill="1" applyBorder="1" applyAlignment="1" applyProtection="1">
      <alignment horizontal="center"/>
      <protection locked="0"/>
    </xf>
    <xf numFmtId="0" fontId="74" fillId="33" borderId="66" xfId="0" applyFont="1" applyFill="1" applyBorder="1" applyAlignment="1" applyProtection="1">
      <alignment horizontal="center" vertical="center" wrapText="1"/>
      <protection locked="0"/>
    </xf>
    <xf numFmtId="0" fontId="72" fillId="35" borderId="39" xfId="0" applyFont="1" applyFill="1" applyBorder="1" applyAlignment="1" applyProtection="1">
      <alignment horizontal="center" vertical="center"/>
      <protection locked="0"/>
    </xf>
    <xf numFmtId="167" fontId="74" fillId="43" borderId="10" xfId="0" applyNumberFormat="1" applyFont="1" applyFill="1" applyBorder="1" applyAlignment="1" applyProtection="1">
      <alignment horizontal="center" vertical="center"/>
      <protection locked="0"/>
    </xf>
    <xf numFmtId="167" fontId="72" fillId="0" borderId="39" xfId="0" applyNumberFormat="1" applyFont="1" applyFill="1" applyBorder="1" applyAlignment="1" applyProtection="1">
      <alignment horizontal="center" vertical="center"/>
    </xf>
    <xf numFmtId="174" fontId="72" fillId="0" borderId="68" xfId="0" applyNumberFormat="1" applyFont="1" applyFill="1" applyBorder="1" applyAlignment="1" applyProtection="1">
      <alignment horizontal="center" vertical="center"/>
    </xf>
    <xf numFmtId="174" fontId="72" fillId="0" borderId="69" xfId="0" applyNumberFormat="1" applyFont="1" applyFill="1" applyBorder="1" applyAlignment="1" applyProtection="1">
      <alignment horizontal="center" vertical="center"/>
    </xf>
    <xf numFmtId="166" fontId="72" fillId="0" borderId="69" xfId="0" applyNumberFormat="1" applyFont="1" applyFill="1" applyBorder="1" applyAlignment="1" applyProtection="1">
      <alignment horizontal="center" vertical="center"/>
    </xf>
    <xf numFmtId="174" fontId="72" fillId="30" borderId="39" xfId="0" applyNumberFormat="1" applyFont="1" applyFill="1" applyBorder="1" applyAlignment="1" applyProtection="1">
      <alignment horizontal="center" vertical="center"/>
    </xf>
    <xf numFmtId="174" fontId="72" fillId="30" borderId="40" xfId="0" applyNumberFormat="1" applyFont="1" applyFill="1" applyBorder="1" applyAlignment="1" applyProtection="1">
      <alignment horizontal="center" vertical="center"/>
    </xf>
    <xf numFmtId="174" fontId="74" fillId="0" borderId="10" xfId="0" applyNumberFormat="1" applyFont="1" applyBorder="1" applyAlignment="1" applyProtection="1">
      <alignment horizontal="center" vertical="center"/>
    </xf>
    <xf numFmtId="2" fontId="74" fillId="0" borderId="10" xfId="0" applyNumberFormat="1" applyFont="1" applyBorder="1" applyAlignment="1" applyProtection="1">
      <alignment horizontal="center" vertical="center"/>
    </xf>
    <xf numFmtId="167" fontId="74" fillId="0" borderId="10" xfId="0" applyNumberFormat="1" applyFont="1" applyFill="1" applyBorder="1" applyAlignment="1" applyProtection="1">
      <alignment horizontal="center" vertical="center"/>
    </xf>
    <xf numFmtId="174" fontId="74" fillId="30" borderId="10" xfId="0" applyNumberFormat="1" applyFont="1" applyFill="1" applyBorder="1" applyAlignment="1" applyProtection="1">
      <alignment horizontal="center" vertical="center"/>
    </xf>
    <xf numFmtId="174" fontId="74" fillId="0" borderId="10" xfId="0" applyNumberFormat="1" applyFont="1" applyFill="1" applyBorder="1" applyAlignment="1" applyProtection="1">
      <alignment horizontal="center" vertical="center"/>
    </xf>
    <xf numFmtId="9" fontId="72" fillId="0" borderId="0" xfId="0" applyNumberFormat="1" applyFont="1" applyAlignment="1" applyProtection="1">
      <alignment horizontal="left"/>
      <protection locked="0"/>
    </xf>
    <xf numFmtId="0" fontId="72" fillId="0" borderId="0" xfId="0" applyFont="1" applyAlignment="1">
      <alignment wrapText="1"/>
    </xf>
    <xf numFmtId="0" fontId="72" fillId="0" borderId="39" xfId="0" applyFont="1" applyBorder="1" applyAlignment="1">
      <alignment vertical="center" wrapText="1"/>
    </xf>
    <xf numFmtId="0" fontId="72" fillId="0" borderId="10" xfId="0" applyFont="1" applyBorder="1" applyAlignment="1">
      <alignment vertical="center" wrapText="1"/>
    </xf>
    <xf numFmtId="0" fontId="72" fillId="0" borderId="10" xfId="0" applyFont="1" applyFill="1" applyBorder="1" applyAlignment="1">
      <alignment vertical="center" wrapText="1"/>
    </xf>
    <xf numFmtId="0" fontId="72" fillId="0" borderId="0" xfId="0" applyFont="1" applyFill="1" applyBorder="1" applyAlignment="1">
      <alignment wrapText="1"/>
    </xf>
    <xf numFmtId="0" fontId="72" fillId="0" borderId="10" xfId="0" applyFont="1" applyBorder="1" applyAlignment="1">
      <alignment wrapText="1"/>
    </xf>
    <xf numFmtId="3" fontId="72" fillId="35" borderId="10" xfId="93" applyNumberFormat="1" applyFont="1" applyFill="1" applyBorder="1" applyAlignment="1">
      <alignment horizontal="center" vertical="center" wrapText="1"/>
    </xf>
    <xf numFmtId="0" fontId="72" fillId="0" borderId="39" xfId="0" applyFont="1" applyBorder="1" applyAlignment="1">
      <alignment wrapText="1"/>
    </xf>
    <xf numFmtId="0" fontId="72" fillId="0" borderId="10" xfId="0" applyFont="1" applyFill="1" applyBorder="1" applyAlignment="1">
      <alignment wrapText="1"/>
    </xf>
    <xf numFmtId="167" fontId="72" fillId="35" borderId="10" xfId="93" applyNumberFormat="1" applyFont="1" applyFill="1" applyBorder="1" applyAlignment="1">
      <alignment horizontal="center" vertical="center" wrapText="1"/>
    </xf>
    <xf numFmtId="0" fontId="74" fillId="33" borderId="10" xfId="0" applyFont="1" applyFill="1" applyBorder="1" applyAlignment="1">
      <alignment wrapText="1"/>
    </xf>
    <xf numFmtId="0" fontId="74" fillId="33" borderId="10" xfId="0" applyFont="1" applyFill="1" applyBorder="1" applyAlignment="1">
      <alignment horizontal="center" wrapText="1"/>
    </xf>
    <xf numFmtId="0" fontId="74" fillId="33" borderId="10" xfId="0" applyFont="1" applyFill="1" applyBorder="1" applyAlignment="1">
      <alignment horizontal="left" wrapText="1"/>
    </xf>
    <xf numFmtId="0" fontId="73" fillId="0" borderId="0" xfId="0" applyFont="1" applyAlignment="1">
      <alignment wrapText="1"/>
    </xf>
    <xf numFmtId="3" fontId="72" fillId="37" borderId="72" xfId="93" applyNumberFormat="1" applyFont="1" applyFill="1" applyBorder="1" applyAlignment="1">
      <alignment horizontal="center" vertical="center" wrapText="1"/>
    </xf>
    <xf numFmtId="3" fontId="72" fillId="37" borderId="113" xfId="93" applyNumberFormat="1" applyFont="1" applyFill="1" applyBorder="1" applyAlignment="1">
      <alignment horizontal="center" vertical="center" wrapText="1"/>
    </xf>
    <xf numFmtId="3" fontId="72" fillId="37" borderId="111" xfId="93" applyNumberFormat="1" applyFont="1" applyFill="1" applyBorder="1" applyAlignment="1">
      <alignment horizontal="center" vertical="center" wrapText="1"/>
    </xf>
    <xf numFmtId="3" fontId="72" fillId="37" borderId="10" xfId="93" applyNumberFormat="1" applyFont="1" applyFill="1" applyBorder="1" applyAlignment="1">
      <alignment horizontal="center" vertical="center" wrapText="1"/>
    </xf>
    <xf numFmtId="3" fontId="72" fillId="37" borderId="69" xfId="93" applyNumberFormat="1" applyFont="1" applyFill="1" applyBorder="1" applyAlignment="1">
      <alignment horizontal="center" vertical="center" wrapText="1"/>
    </xf>
    <xf numFmtId="167" fontId="72" fillId="37" borderId="10" xfId="93" applyNumberFormat="1" applyFont="1" applyFill="1" applyBorder="1" applyAlignment="1">
      <alignment horizontal="center" vertical="center" wrapText="1"/>
    </xf>
    <xf numFmtId="3" fontId="72" fillId="37" borderId="10" xfId="0" applyNumberFormat="1" applyFont="1" applyFill="1" applyBorder="1" applyAlignment="1" applyProtection="1">
      <alignment horizontal="center" vertical="center" wrapText="1"/>
      <protection locked="0"/>
    </xf>
    <xf numFmtId="0" fontId="74" fillId="33" borderId="10" xfId="0" applyFont="1" applyFill="1" applyBorder="1" applyAlignment="1">
      <alignment horizontal="center" vertical="center" wrapText="1"/>
    </xf>
    <xf numFmtId="0" fontId="74" fillId="0" borderId="0" xfId="0" applyFont="1" applyFill="1" applyBorder="1" applyAlignment="1">
      <alignment horizontal="center" vertical="center" wrapText="1"/>
    </xf>
    <xf numFmtId="0" fontId="72" fillId="0" borderId="0" xfId="0" applyFont="1" applyFill="1" applyBorder="1" applyAlignment="1">
      <alignment horizontal="center" vertical="center" wrapText="1"/>
    </xf>
    <xf numFmtId="3" fontId="91" fillId="0" borderId="0" xfId="0" applyNumberFormat="1" applyFont="1" applyFill="1" applyBorder="1" applyAlignment="1">
      <alignment vertical="center"/>
    </xf>
    <xf numFmtId="3" fontId="72" fillId="37" borderId="10" xfId="0" applyNumberFormat="1" applyFont="1" applyFill="1" applyBorder="1" applyAlignment="1">
      <alignment horizontal="center" vertical="center" wrapText="1"/>
    </xf>
    <xf numFmtId="3" fontId="72" fillId="0" borderId="0" xfId="0" applyNumberFormat="1" applyFont="1" applyFill="1" applyBorder="1" applyAlignment="1">
      <alignment vertical="center"/>
    </xf>
    <xf numFmtId="3" fontId="74" fillId="0" borderId="0" xfId="0" applyNumberFormat="1" applyFont="1" applyFill="1" applyBorder="1" applyAlignment="1">
      <alignment wrapText="1"/>
    </xf>
    <xf numFmtId="0" fontId="72" fillId="37" borderId="10" xfId="0" applyFont="1" applyFill="1" applyBorder="1" applyAlignment="1" applyProtection="1">
      <alignment horizontal="center"/>
      <protection locked="0"/>
    </xf>
    <xf numFmtId="14" fontId="72" fillId="37" borderId="10" xfId="0" applyNumberFormat="1" applyFont="1" applyFill="1" applyBorder="1" applyAlignment="1" applyProtection="1">
      <alignment horizontal="center" vertical="center" wrapText="1"/>
      <protection locked="0"/>
    </xf>
    <xf numFmtId="177" fontId="72" fillId="35" borderId="10" xfId="0" applyNumberFormat="1" applyFont="1" applyFill="1" applyBorder="1" applyAlignment="1" applyProtection="1">
      <alignment horizontal="center"/>
      <protection locked="0"/>
    </xf>
    <xf numFmtId="184" fontId="72" fillId="35" borderId="10" xfId="0" applyNumberFormat="1" applyFont="1" applyFill="1" applyBorder="1" applyAlignment="1" applyProtection="1">
      <alignment horizontal="center"/>
      <protection locked="0"/>
    </xf>
    <xf numFmtId="8" fontId="72" fillId="37" borderId="10" xfId="0" applyNumberFormat="1" applyFont="1" applyFill="1" applyBorder="1" applyAlignment="1" applyProtection="1">
      <alignment horizontal="center"/>
      <protection locked="0"/>
    </xf>
    <xf numFmtId="0" fontId="74" fillId="33" borderId="10" xfId="0" applyFont="1" applyFill="1" applyBorder="1" applyAlignment="1">
      <alignment horizontal="left"/>
    </xf>
    <xf numFmtId="0" fontId="74" fillId="33" borderId="10" xfId="0" applyFont="1" applyFill="1" applyBorder="1" applyAlignment="1">
      <alignment horizontal="center"/>
    </xf>
    <xf numFmtId="14" fontId="72" fillId="37" borderId="10" xfId="0" applyNumberFormat="1" applyFont="1" applyFill="1" applyBorder="1" applyAlignment="1">
      <alignment horizontal="center" vertical="center" wrapText="1"/>
    </xf>
    <xf numFmtId="14" fontId="72" fillId="37" borderId="10" xfId="0" applyNumberFormat="1" applyFont="1" applyFill="1" applyBorder="1" applyAlignment="1">
      <alignment horizontal="center" wrapText="1"/>
    </xf>
    <xf numFmtId="14" fontId="72" fillId="37" borderId="10" xfId="0" applyNumberFormat="1" applyFont="1" applyFill="1" applyBorder="1" applyAlignment="1">
      <alignment horizontal="center"/>
    </xf>
    <xf numFmtId="0" fontId="74" fillId="33" borderId="10" xfId="0" applyFont="1" applyFill="1" applyBorder="1" applyAlignment="1">
      <alignment horizontal="center" vertical="top" wrapText="1"/>
    </xf>
    <xf numFmtId="0" fontId="72" fillId="0" borderId="10" xfId="0" applyFont="1" applyFill="1" applyBorder="1" applyAlignment="1">
      <alignment horizontal="center" vertical="center" wrapText="1"/>
    </xf>
    <xf numFmtId="0" fontId="72" fillId="37" borderId="10" xfId="0" applyFont="1" applyFill="1" applyBorder="1" applyAlignment="1">
      <alignment horizontal="center" vertical="center" wrapText="1"/>
    </xf>
    <xf numFmtId="0" fontId="96" fillId="37" borderId="10" xfId="38" applyFont="1" applyFill="1" applyBorder="1" applyAlignment="1">
      <alignment horizontal="center" vertical="center" wrapText="1"/>
    </xf>
    <xf numFmtId="0" fontId="72" fillId="0" borderId="41" xfId="0" applyFont="1" applyBorder="1"/>
    <xf numFmtId="0" fontId="72" fillId="0" borderId="49" xfId="0" applyFont="1" applyBorder="1"/>
    <xf numFmtId="0" fontId="72" fillId="0" borderId="0" xfId="0" applyFont="1" applyFill="1" applyBorder="1" applyAlignment="1">
      <alignment horizontal="left" vertical="top" wrapText="1"/>
    </xf>
    <xf numFmtId="0" fontId="98" fillId="26" borderId="16" xfId="0" applyFont="1" applyFill="1" applyBorder="1"/>
    <xf numFmtId="0" fontId="72" fillId="0" borderId="17" xfId="0" applyFont="1" applyBorder="1"/>
    <xf numFmtId="0" fontId="72" fillId="0" borderId="20" xfId="0" applyFont="1" applyBorder="1"/>
    <xf numFmtId="0" fontId="72" fillId="0" borderId="27" xfId="0" applyFont="1" applyFill="1" applyBorder="1" applyAlignment="1">
      <alignment horizontal="left" vertical="top" wrapText="1"/>
    </xf>
    <xf numFmtId="0" fontId="72" fillId="0" borderId="59" xfId="0" applyFont="1" applyFill="1" applyBorder="1" applyAlignment="1">
      <alignment horizontal="center" vertical="top" wrapText="1"/>
    </xf>
    <xf numFmtId="0" fontId="72" fillId="0" borderId="61" xfId="0" applyFont="1" applyFill="1" applyBorder="1" applyAlignment="1">
      <alignment horizontal="center" vertical="top" wrapText="1"/>
    </xf>
    <xf numFmtId="0" fontId="72" fillId="0" borderId="58" xfId="0" applyFont="1" applyFill="1" applyBorder="1" applyAlignment="1">
      <alignment horizontal="center" vertical="top" wrapText="1"/>
    </xf>
    <xf numFmtId="0" fontId="72" fillId="0" borderId="39" xfId="0" applyFont="1" applyFill="1" applyBorder="1" applyAlignment="1">
      <alignment horizontal="center" vertical="top" wrapText="1"/>
    </xf>
    <xf numFmtId="0" fontId="72" fillId="0" borderId="52" xfId="0" applyFont="1" applyFill="1" applyBorder="1" applyAlignment="1">
      <alignment horizontal="center" vertical="top" wrapText="1"/>
    </xf>
    <xf numFmtId="0" fontId="72" fillId="0" borderId="19" xfId="0" applyFont="1" applyBorder="1"/>
    <xf numFmtId="0" fontId="98" fillId="26" borderId="15" xfId="0" applyFont="1" applyFill="1" applyBorder="1"/>
    <xf numFmtId="0" fontId="98" fillId="26" borderId="18" xfId="0" applyFont="1" applyFill="1" applyBorder="1" applyAlignment="1">
      <alignment horizontal="center"/>
    </xf>
    <xf numFmtId="0" fontId="98" fillId="26" borderId="20" xfId="0" applyFont="1" applyFill="1" applyBorder="1" applyAlignment="1">
      <alignment horizontal="center"/>
    </xf>
    <xf numFmtId="3" fontId="72" fillId="0" borderId="18" xfId="0" applyNumberFormat="1" applyFont="1" applyFill="1" applyBorder="1"/>
    <xf numFmtId="0" fontId="98" fillId="26" borderId="23" xfId="0" applyFont="1" applyFill="1" applyBorder="1" applyAlignment="1">
      <alignment horizontal="center"/>
    </xf>
    <xf numFmtId="3" fontId="72" fillId="0" borderId="16" xfId="0" applyNumberFormat="1" applyFont="1" applyFill="1" applyBorder="1"/>
    <xf numFmtId="0" fontId="72" fillId="33" borderId="88" xfId="0" applyFont="1" applyFill="1" applyBorder="1" applyAlignment="1">
      <alignment horizontal="center" vertical="center" wrapText="1"/>
    </xf>
    <xf numFmtId="0" fontId="72" fillId="33" borderId="83" xfId="0" applyFont="1" applyFill="1" applyBorder="1" applyAlignment="1">
      <alignment horizontal="center" vertical="center"/>
    </xf>
    <xf numFmtId="0" fontId="72" fillId="33" borderId="36" xfId="0" applyFont="1" applyFill="1" applyBorder="1" applyAlignment="1">
      <alignment horizontal="center" vertical="center" wrapText="1"/>
    </xf>
    <xf numFmtId="0" fontId="72" fillId="35" borderId="28" xfId="0" applyFont="1" applyFill="1" applyBorder="1"/>
    <xf numFmtId="0" fontId="72" fillId="35" borderId="14" xfId="0" applyFont="1" applyFill="1" applyBorder="1"/>
    <xf numFmtId="0" fontId="72" fillId="35" borderId="26" xfId="0" applyFont="1" applyFill="1" applyBorder="1"/>
    <xf numFmtId="0" fontId="72" fillId="35" borderId="19" xfId="0" applyFont="1" applyFill="1" applyBorder="1"/>
    <xf numFmtId="0" fontId="72" fillId="35" borderId="27" xfId="0" applyFont="1" applyFill="1" applyBorder="1"/>
    <xf numFmtId="0" fontId="72" fillId="35" borderId="0" xfId="0" applyFont="1" applyFill="1" applyBorder="1"/>
    <xf numFmtId="0" fontId="72" fillId="35" borderId="17" xfId="0" applyFont="1" applyFill="1" applyBorder="1"/>
    <xf numFmtId="0" fontId="72" fillId="35" borderId="32" xfId="0" applyFont="1" applyFill="1" applyBorder="1"/>
    <xf numFmtId="0" fontId="72" fillId="35" borderId="21" xfId="0" applyFont="1" applyFill="1" applyBorder="1"/>
    <xf numFmtId="9" fontId="72" fillId="0" borderId="10" xfId="51" applyFont="1" applyBorder="1" applyAlignment="1">
      <alignment horizontal="center"/>
    </xf>
    <xf numFmtId="3" fontId="72" fillId="0" borderId="36" xfId="0" applyNumberFormat="1" applyFont="1" applyFill="1" applyBorder="1" applyAlignment="1">
      <alignment horizontal="center"/>
    </xf>
    <xf numFmtId="9" fontId="72" fillId="0" borderId="47" xfId="51" applyNumberFormat="1" applyFont="1" applyBorder="1" applyAlignment="1">
      <alignment horizontal="center"/>
    </xf>
    <xf numFmtId="0" fontId="72" fillId="33" borderId="0" xfId="0" applyFont="1" applyFill="1" applyBorder="1"/>
    <xf numFmtId="0" fontId="72" fillId="33" borderId="0" xfId="0" applyFont="1" applyFill="1" applyBorder="1" applyAlignment="1">
      <alignment vertical="top" wrapText="1"/>
    </xf>
    <xf numFmtId="0" fontId="72" fillId="33" borderId="31" xfId="0" applyFont="1" applyFill="1" applyBorder="1" applyAlignment="1">
      <alignment vertical="top" wrapText="1"/>
    </xf>
    <xf numFmtId="0" fontId="72" fillId="0" borderId="16" xfId="0" applyFont="1" applyBorder="1"/>
    <xf numFmtId="0" fontId="99" fillId="0" borderId="16" xfId="0" applyFont="1" applyFill="1" applyBorder="1"/>
    <xf numFmtId="0" fontId="72" fillId="33" borderId="14" xfId="0" applyFont="1" applyFill="1" applyBorder="1" applyAlignment="1">
      <alignment horizontal="center"/>
    </xf>
    <xf numFmtId="0" fontId="72" fillId="33" borderId="35" xfId="0" applyFont="1" applyFill="1" applyBorder="1"/>
    <xf numFmtId="0" fontId="72" fillId="0" borderId="36" xfId="0" applyFont="1" applyFill="1" applyBorder="1"/>
    <xf numFmtId="0" fontId="72" fillId="0" borderId="37" xfId="0" applyFont="1" applyBorder="1"/>
    <xf numFmtId="0" fontId="72" fillId="33" borderId="41" xfId="0" applyFont="1" applyFill="1" applyBorder="1"/>
    <xf numFmtId="2" fontId="72" fillId="0" borderId="10" xfId="0" applyNumberFormat="1" applyFont="1" applyFill="1" applyBorder="1"/>
    <xf numFmtId="0" fontId="72" fillId="0" borderId="42" xfId="0" applyFont="1" applyBorder="1"/>
    <xf numFmtId="0" fontId="72" fillId="33" borderId="49" xfId="0" applyFont="1" applyFill="1" applyBorder="1"/>
    <xf numFmtId="0" fontId="72" fillId="0" borderId="50" xfId="0" applyFont="1" applyBorder="1"/>
    <xf numFmtId="0" fontId="74" fillId="33" borderId="35" xfId="0" applyFont="1" applyFill="1" applyBorder="1"/>
    <xf numFmtId="0" fontId="74" fillId="33" borderId="36" xfId="0" applyFont="1" applyFill="1" applyBorder="1" applyAlignment="1">
      <alignment horizontal="center"/>
    </xf>
    <xf numFmtId="0" fontId="74" fillId="33" borderId="41" xfId="0" applyFont="1" applyFill="1" applyBorder="1"/>
    <xf numFmtId="0" fontId="99" fillId="0" borderId="49" xfId="0" applyFont="1" applyFill="1" applyBorder="1"/>
    <xf numFmtId="0" fontId="98" fillId="33" borderId="22" xfId="0" applyFont="1" applyFill="1" applyBorder="1"/>
    <xf numFmtId="0" fontId="74" fillId="33" borderId="33" xfId="0" applyFont="1" applyFill="1" applyBorder="1" applyAlignment="1">
      <alignment horizontal="center"/>
    </xf>
    <xf numFmtId="0" fontId="74" fillId="33" borderId="34" xfId="0" applyFont="1" applyFill="1" applyBorder="1" applyAlignment="1">
      <alignment horizontal="center"/>
    </xf>
    <xf numFmtId="0" fontId="72" fillId="0" borderId="36" xfId="0" applyFont="1" applyFill="1" applyBorder="1" applyAlignment="1">
      <alignment horizontal="center" vertical="top" wrapText="1"/>
    </xf>
    <xf numFmtId="0" fontId="72" fillId="37" borderId="47" xfId="0" applyFont="1" applyFill="1" applyBorder="1" applyAlignment="1" applyProtection="1">
      <alignment horizontal="center" vertical="top" wrapText="1"/>
      <protection locked="0"/>
    </xf>
    <xf numFmtId="0" fontId="72" fillId="33" borderId="119" xfId="0" applyFont="1" applyFill="1" applyBorder="1" applyAlignment="1">
      <alignment horizontal="center" vertical="top" wrapText="1"/>
    </xf>
    <xf numFmtId="3" fontId="72" fillId="0" borderId="42" xfId="0" applyNumberFormat="1" applyFont="1" applyFill="1" applyBorder="1"/>
    <xf numFmtId="3" fontId="72" fillId="0" borderId="50" xfId="0" applyNumberFormat="1" applyFont="1" applyFill="1" applyBorder="1"/>
    <xf numFmtId="0" fontId="98" fillId="33" borderId="38" xfId="0" applyFont="1" applyFill="1" applyBorder="1"/>
    <xf numFmtId="0" fontId="74" fillId="33" borderId="39" xfId="0" applyFont="1" applyFill="1" applyBorder="1" applyAlignment="1">
      <alignment horizontal="center"/>
    </xf>
    <xf numFmtId="0" fontId="74" fillId="33" borderId="40" xfId="0" applyFont="1" applyFill="1" applyBorder="1" applyAlignment="1">
      <alignment horizontal="center"/>
    </xf>
    <xf numFmtId="0" fontId="98" fillId="26" borderId="14" xfId="0" applyFont="1" applyFill="1" applyBorder="1"/>
    <xf numFmtId="0" fontId="72" fillId="0" borderId="14" xfId="0" applyFont="1" applyBorder="1"/>
    <xf numFmtId="3" fontId="72" fillId="0" borderId="15" xfId="0" applyNumberFormat="1" applyFont="1" applyFill="1" applyBorder="1"/>
    <xf numFmtId="3" fontId="72" fillId="0" borderId="31" xfId="0" applyNumberFormat="1" applyFont="1" applyFill="1" applyBorder="1"/>
    <xf numFmtId="0" fontId="72" fillId="0" borderId="16" xfId="0" applyFont="1" applyFill="1" applyBorder="1"/>
    <xf numFmtId="3" fontId="72" fillId="0" borderId="18" xfId="0" applyNumberFormat="1" applyFont="1" applyBorder="1"/>
    <xf numFmtId="177" fontId="72" fillId="35" borderId="15" xfId="0" applyNumberFormat="1" applyFont="1" applyFill="1" applyBorder="1" applyProtection="1">
      <protection locked="0"/>
    </xf>
    <xf numFmtId="8" fontId="72" fillId="35" borderId="15" xfId="0" applyNumberFormat="1" applyFont="1" applyFill="1" applyBorder="1" applyProtection="1">
      <protection locked="0"/>
    </xf>
    <xf numFmtId="0" fontId="98" fillId="26" borderId="22" xfId="0" applyFont="1" applyFill="1" applyBorder="1"/>
    <xf numFmtId="0" fontId="98" fillId="26" borderId="24" xfId="0" applyFont="1" applyFill="1" applyBorder="1" applyAlignment="1">
      <alignment horizontal="center"/>
    </xf>
    <xf numFmtId="3" fontId="72" fillId="0" borderId="18" xfId="0" applyNumberFormat="1" applyFont="1" applyFill="1" applyBorder="1" applyProtection="1">
      <protection locked="0"/>
    </xf>
    <xf numFmtId="3" fontId="72" fillId="0" borderId="20" xfId="0" applyNumberFormat="1" applyFont="1" applyFill="1" applyBorder="1" applyProtection="1">
      <protection locked="0"/>
    </xf>
    <xf numFmtId="164" fontId="72" fillId="0" borderId="18" xfId="0" applyNumberFormat="1" applyFont="1" applyBorder="1" applyProtection="1">
      <protection locked="0"/>
    </xf>
    <xf numFmtId="164" fontId="72" fillId="0" borderId="20" xfId="0" applyNumberFormat="1" applyFont="1" applyBorder="1" applyProtection="1">
      <protection locked="0"/>
    </xf>
    <xf numFmtId="10" fontId="72" fillId="0" borderId="18" xfId="0" applyNumberFormat="1" applyFont="1" applyBorder="1" applyProtection="1">
      <protection locked="0"/>
    </xf>
    <xf numFmtId="10" fontId="72" fillId="0" borderId="20" xfId="0" applyNumberFormat="1" applyFont="1" applyBorder="1" applyProtection="1">
      <protection locked="0"/>
    </xf>
    <xf numFmtId="164" fontId="72" fillId="0" borderId="18" xfId="0" applyNumberFormat="1" applyFont="1" applyFill="1" applyBorder="1" applyProtection="1">
      <protection locked="0"/>
    </xf>
    <xf numFmtId="175" fontId="72" fillId="0" borderId="18" xfId="28" applyNumberFormat="1" applyFont="1" applyFill="1" applyBorder="1" applyProtection="1">
      <protection locked="0"/>
    </xf>
    <xf numFmtId="164" fontId="72" fillId="0" borderId="20" xfId="0" applyNumberFormat="1" applyFont="1" applyFill="1" applyBorder="1" applyProtection="1">
      <protection locked="0"/>
    </xf>
    <xf numFmtId="10" fontId="90" fillId="0" borderId="20" xfId="0" applyNumberFormat="1" applyFont="1" applyBorder="1" applyProtection="1">
      <protection locked="0"/>
    </xf>
    <xf numFmtId="43" fontId="72" fillId="0" borderId="0" xfId="0" applyNumberFormat="1" applyFont="1"/>
    <xf numFmtId="2" fontId="72" fillId="37" borderId="47" xfId="0" applyNumberFormat="1" applyFont="1" applyFill="1" applyBorder="1"/>
    <xf numFmtId="3" fontId="72" fillId="35" borderId="10" xfId="0" applyNumberFormat="1" applyFont="1" applyFill="1" applyBorder="1" applyAlignment="1" applyProtection="1">
      <alignment horizontal="center" vertical="center" wrapText="1"/>
      <protection locked="0"/>
    </xf>
    <xf numFmtId="0" fontId="101" fillId="0" borderId="10" xfId="0" applyFont="1" applyFill="1" applyBorder="1"/>
    <xf numFmtId="3" fontId="101" fillId="35" borderId="10" xfId="0" applyNumberFormat="1" applyFont="1" applyFill="1" applyBorder="1" applyAlignment="1" applyProtection="1">
      <alignment horizontal="center" vertical="center" wrapText="1"/>
      <protection locked="0"/>
    </xf>
    <xf numFmtId="0" fontId="102" fillId="0" borderId="59" xfId="0" applyFont="1" applyBorder="1"/>
    <xf numFmtId="3" fontId="72" fillId="0" borderId="10" xfId="0" applyNumberFormat="1" applyFont="1" applyFill="1" applyBorder="1" applyProtection="1">
      <protection locked="0"/>
    </xf>
    <xf numFmtId="0" fontId="98" fillId="33" borderId="13" xfId="0" applyFont="1" applyFill="1" applyBorder="1" applyAlignment="1">
      <alignment horizontal="center"/>
    </xf>
    <xf numFmtId="0" fontId="98" fillId="33" borderId="53" xfId="0" applyFont="1" applyFill="1" applyBorder="1" applyAlignment="1">
      <alignment horizontal="center"/>
    </xf>
    <xf numFmtId="0" fontId="74" fillId="33" borderId="59" xfId="0" applyFont="1" applyFill="1" applyBorder="1" applyAlignment="1">
      <alignment horizontal="center"/>
    </xf>
    <xf numFmtId="3" fontId="72" fillId="0" borderId="35" xfId="0" applyNumberFormat="1" applyFont="1" applyFill="1" applyBorder="1"/>
    <xf numFmtId="3" fontId="72" fillId="0" borderId="37" xfId="0" applyNumberFormat="1" applyFont="1" applyFill="1" applyBorder="1"/>
    <xf numFmtId="3" fontId="72" fillId="0" borderId="41" xfId="0" applyNumberFormat="1" applyFont="1" applyFill="1" applyBorder="1"/>
    <xf numFmtId="3" fontId="72" fillId="0" borderId="49" xfId="0" applyNumberFormat="1" applyFont="1" applyFill="1" applyBorder="1"/>
    <xf numFmtId="0" fontId="94" fillId="30" borderId="0" xfId="0" applyFont="1" applyFill="1" applyAlignment="1" applyProtection="1">
      <alignment wrapText="1"/>
    </xf>
    <xf numFmtId="0" fontId="72" fillId="30" borderId="0" xfId="0" applyFont="1" applyFill="1" applyAlignment="1" applyProtection="1"/>
    <xf numFmtId="0" fontId="72" fillId="30" borderId="0" xfId="0" applyFont="1" applyFill="1" applyAlignment="1" applyProtection="1">
      <alignment horizontal="right" vertical="top" wrapText="1"/>
    </xf>
    <xf numFmtId="0" fontId="72" fillId="30" borderId="27" xfId="0" applyFont="1" applyFill="1" applyBorder="1" applyAlignment="1" applyProtection="1">
      <alignment horizontal="justify" wrapText="1"/>
    </xf>
    <xf numFmtId="0" fontId="72" fillId="30" borderId="28" xfId="0" applyFont="1" applyFill="1" applyBorder="1" applyAlignment="1" applyProtection="1">
      <alignment horizontal="justify" wrapText="1"/>
    </xf>
    <xf numFmtId="0" fontId="72" fillId="30" borderId="27" xfId="0" applyFont="1" applyFill="1" applyBorder="1" applyAlignment="1" applyProtection="1"/>
    <xf numFmtId="0" fontId="72" fillId="30" borderId="28" xfId="0" applyFont="1" applyFill="1" applyBorder="1" applyAlignment="1" applyProtection="1">
      <alignment wrapText="1"/>
    </xf>
    <xf numFmtId="0" fontId="72" fillId="30" borderId="42" xfId="0" applyFont="1" applyFill="1" applyBorder="1" applyAlignment="1" applyProtection="1">
      <alignment wrapText="1"/>
    </xf>
    <xf numFmtId="0" fontId="72" fillId="30" borderId="27" xfId="0" applyFont="1" applyFill="1" applyBorder="1" applyAlignment="1" applyProtection="1">
      <alignment horizontal="left"/>
    </xf>
    <xf numFmtId="0" fontId="103" fillId="30" borderId="28" xfId="0" applyFont="1" applyFill="1" applyBorder="1" applyAlignment="1" applyProtection="1">
      <alignment horizontal="right" vertical="top" wrapText="1"/>
    </xf>
    <xf numFmtId="0" fontId="72" fillId="30" borderId="28" xfId="0" applyFont="1" applyFill="1" applyBorder="1" applyAlignment="1" applyProtection="1">
      <alignment horizontal="right" vertical="top" wrapText="1"/>
    </xf>
    <xf numFmtId="0" fontId="73" fillId="30" borderId="0" xfId="0" applyFont="1" applyFill="1" applyAlignment="1" applyProtection="1"/>
    <xf numFmtId="0" fontId="72" fillId="0" borderId="27" xfId="0" applyFont="1" applyBorder="1" applyProtection="1"/>
    <xf numFmtId="0" fontId="88" fillId="0" borderId="0" xfId="46" applyFont="1"/>
    <xf numFmtId="0" fontId="87" fillId="0" borderId="0" xfId="46" applyFont="1" applyFill="1"/>
    <xf numFmtId="0" fontId="88" fillId="0" borderId="0" xfId="46" applyFont="1" applyFill="1" applyAlignment="1">
      <alignment horizontal="center"/>
    </xf>
    <xf numFmtId="175" fontId="87" fillId="0" borderId="0" xfId="28" applyNumberFormat="1" applyFont="1" applyFill="1"/>
    <xf numFmtId="0" fontId="92" fillId="0" borderId="0" xfId="46" applyFont="1"/>
    <xf numFmtId="168" fontId="87" fillId="0" borderId="0" xfId="46" applyNumberFormat="1" applyFont="1" applyFill="1"/>
    <xf numFmtId="6" fontId="87" fillId="0" borderId="0" xfId="46" applyNumberFormat="1" applyFont="1"/>
    <xf numFmtId="0" fontId="87" fillId="33" borderId="33" xfId="46" applyFont="1" applyFill="1" applyBorder="1" applyAlignment="1">
      <alignment horizontal="center"/>
    </xf>
    <xf numFmtId="0" fontId="87" fillId="33" borderId="34" xfId="46" applyFont="1" applyFill="1" applyBorder="1" applyAlignment="1">
      <alignment horizontal="center"/>
    </xf>
    <xf numFmtId="0" fontId="87" fillId="33" borderId="61" xfId="46" applyFont="1" applyFill="1" applyBorder="1" applyAlignment="1">
      <alignment horizontal="center"/>
    </xf>
    <xf numFmtId="0" fontId="87" fillId="33" borderId="45" xfId="46" applyFont="1" applyFill="1" applyBorder="1" applyAlignment="1">
      <alignment horizontal="center"/>
    </xf>
    <xf numFmtId="0" fontId="87" fillId="33" borderId="52" xfId="46" applyFont="1" applyFill="1" applyBorder="1" applyAlignment="1">
      <alignment horizontal="center"/>
    </xf>
    <xf numFmtId="0" fontId="87" fillId="33" borderId="48" xfId="46" applyFont="1" applyFill="1" applyBorder="1" applyAlignment="1">
      <alignment horizontal="center"/>
    </xf>
    <xf numFmtId="0" fontId="87" fillId="33" borderId="0" xfId="46" applyFont="1" applyFill="1" applyAlignment="1">
      <alignment horizontal="center"/>
    </xf>
    <xf numFmtId="0" fontId="87" fillId="33" borderId="22" xfId="46" applyFont="1" applyFill="1" applyBorder="1" applyAlignment="1">
      <alignment horizontal="center"/>
    </xf>
    <xf numFmtId="0" fontId="87" fillId="33" borderId="43" xfId="46" applyFont="1" applyFill="1" applyBorder="1" applyAlignment="1">
      <alignment horizontal="center"/>
    </xf>
    <xf numFmtId="0" fontId="87" fillId="33" borderId="46" xfId="46" applyFont="1" applyFill="1" applyBorder="1" applyAlignment="1">
      <alignment horizontal="center"/>
    </xf>
    <xf numFmtId="0" fontId="72" fillId="33" borderId="15" xfId="0" applyFont="1" applyFill="1" applyBorder="1" applyAlignment="1">
      <alignment horizontal="center"/>
    </xf>
    <xf numFmtId="0" fontId="87" fillId="0" borderId="0" xfId="46" applyFont="1" applyAlignment="1">
      <alignment horizontal="center"/>
    </xf>
    <xf numFmtId="0" fontId="92" fillId="0" borderId="0" xfId="46" applyFont="1" applyAlignment="1">
      <alignment horizontal="right"/>
    </xf>
    <xf numFmtId="0" fontId="72" fillId="0" borderId="0" xfId="0" applyFont="1" applyAlignment="1"/>
    <xf numFmtId="0" fontId="74" fillId="0" borderId="0" xfId="0" applyFont="1" applyAlignment="1"/>
    <xf numFmtId="0" fontId="74" fillId="0" borderId="35" xfId="0" applyFont="1" applyFill="1" applyBorder="1" applyAlignment="1">
      <alignment horizontal="right" vertical="center"/>
    </xf>
    <xf numFmtId="164" fontId="72" fillId="0" borderId="37" xfId="0" applyNumberFormat="1" applyFont="1" applyFill="1" applyBorder="1" applyAlignment="1">
      <alignment horizontal="right" vertical="center"/>
    </xf>
    <xf numFmtId="0" fontId="72" fillId="0" borderId="0" xfId="0" applyFont="1" applyAlignment="1">
      <alignment vertical="center"/>
    </xf>
    <xf numFmtId="0" fontId="74" fillId="0" borderId="41" xfId="0" applyFont="1" applyFill="1" applyBorder="1" applyAlignment="1">
      <alignment horizontal="right" vertical="center"/>
    </xf>
    <xf numFmtId="178" fontId="72" fillId="0" borderId="42" xfId="64" applyNumberFormat="1" applyFont="1" applyFill="1" applyBorder="1" applyAlignment="1">
      <alignment horizontal="right" vertical="center"/>
    </xf>
    <xf numFmtId="9" fontId="72" fillId="0" borderId="0" xfId="64" applyFont="1" applyAlignment="1">
      <alignment vertical="center"/>
    </xf>
    <xf numFmtId="0" fontId="95" fillId="0" borderId="41" xfId="0" applyFont="1" applyFill="1" applyBorder="1" applyAlignment="1">
      <alignment horizontal="right" vertical="center"/>
    </xf>
    <xf numFmtId="9" fontId="72" fillId="0" borderId="42" xfId="64" applyNumberFormat="1" applyFont="1" applyFill="1" applyBorder="1" applyAlignment="1">
      <alignment horizontal="right" vertical="center"/>
    </xf>
    <xf numFmtId="1" fontId="72" fillId="0" borderId="42" xfId="0" applyNumberFormat="1" applyFont="1" applyFill="1" applyBorder="1" applyAlignment="1">
      <alignment horizontal="right" vertical="center"/>
    </xf>
    <xf numFmtId="164" fontId="72" fillId="0" borderId="42" xfId="0" applyNumberFormat="1" applyFont="1" applyBorder="1" applyAlignment="1">
      <alignment horizontal="right" vertical="center"/>
    </xf>
    <xf numFmtId="166" fontId="72" fillId="0" borderId="42" xfId="64" applyNumberFormat="1" applyFont="1" applyBorder="1" applyAlignment="1">
      <alignment horizontal="right" vertical="center"/>
    </xf>
    <xf numFmtId="166" fontId="72" fillId="30" borderId="42" xfId="0" applyNumberFormat="1" applyFont="1" applyFill="1" applyBorder="1" applyAlignment="1">
      <alignment horizontal="right" vertical="center"/>
    </xf>
    <xf numFmtId="0" fontId="74" fillId="0" borderId="49" xfId="0" applyFont="1" applyFill="1" applyBorder="1" applyAlignment="1">
      <alignment horizontal="right" vertical="center"/>
    </xf>
    <xf numFmtId="3" fontId="72" fillId="30" borderId="50" xfId="0" applyNumberFormat="1" applyFont="1" applyFill="1" applyBorder="1" applyAlignment="1">
      <alignment horizontal="right" vertical="center"/>
    </xf>
    <xf numFmtId="0" fontId="74" fillId="0" borderId="0" xfId="0" applyFont="1" applyFill="1" applyBorder="1" applyAlignment="1">
      <alignment horizontal="right" vertical="center"/>
    </xf>
    <xf numFmtId="164" fontId="72" fillId="0" borderId="0" xfId="0" applyNumberFormat="1" applyFont="1" applyBorder="1" applyAlignment="1">
      <alignment horizontal="right" vertical="center"/>
    </xf>
    <xf numFmtId="0" fontId="73" fillId="0" borderId="0" xfId="0" applyFont="1" applyAlignment="1"/>
    <xf numFmtId="0" fontId="74" fillId="33" borderId="79" xfId="0" applyFont="1" applyFill="1" applyBorder="1" applyAlignment="1">
      <alignment horizontal="right" vertical="center"/>
    </xf>
    <xf numFmtId="9" fontId="72" fillId="33" borderId="71" xfId="0" applyNumberFormat="1" applyFont="1" applyFill="1" applyBorder="1" applyAlignment="1">
      <alignment horizontal="right" vertical="center"/>
    </xf>
    <xf numFmtId="0" fontId="74" fillId="0" borderId="0" xfId="0" applyFont="1" applyAlignment="1">
      <alignment horizontal="left"/>
    </xf>
    <xf numFmtId="174" fontId="72" fillId="0" borderId="10" xfId="0" applyNumberFormat="1" applyFont="1" applyFill="1" applyBorder="1" applyAlignment="1">
      <alignment horizontal="center" vertical="center" wrapText="1"/>
    </xf>
    <xf numFmtId="3" fontId="72" fillId="0" borderId="10" xfId="0" applyNumberFormat="1" applyFont="1" applyFill="1" applyBorder="1" applyAlignment="1">
      <alignment horizontal="center" vertical="center" wrapText="1"/>
    </xf>
    <xf numFmtId="3" fontId="72" fillId="0" borderId="10" xfId="0" applyNumberFormat="1" applyFont="1" applyBorder="1" applyAlignment="1">
      <alignment horizontal="center" vertical="center" wrapText="1"/>
    </xf>
    <xf numFmtId="0" fontId="72" fillId="0" borderId="0" xfId="0" applyFont="1" applyBorder="1" applyAlignment="1">
      <alignment horizontal="left" vertical="center" wrapText="1"/>
    </xf>
    <xf numFmtId="167" fontId="72" fillId="0" borderId="0" xfId="0" applyNumberFormat="1" applyFont="1" applyFill="1" applyBorder="1" applyAlignment="1">
      <alignment horizontal="center" vertical="center" wrapText="1"/>
    </xf>
    <xf numFmtId="167" fontId="72" fillId="0" borderId="0" xfId="0" applyNumberFormat="1" applyFont="1" applyBorder="1" applyAlignment="1">
      <alignment horizontal="center" vertical="center" wrapText="1"/>
    </xf>
    <xf numFmtId="9" fontId="72" fillId="0" borderId="0" xfId="0" applyNumberFormat="1" applyFont="1" applyBorder="1" applyAlignment="1">
      <alignment horizontal="center" vertical="center" wrapText="1"/>
    </xf>
    <xf numFmtId="0" fontId="74" fillId="33" borderId="10" xfId="0" applyFont="1" applyFill="1" applyBorder="1" applyAlignment="1">
      <alignment horizontal="left" vertical="top" wrapText="1"/>
    </xf>
    <xf numFmtId="0" fontId="72" fillId="0" borderId="10" xfId="0" applyFont="1" applyBorder="1" applyAlignment="1">
      <alignment horizontal="left" vertical="center" wrapText="1"/>
    </xf>
    <xf numFmtId="174" fontId="72" fillId="0" borderId="10" xfId="0" applyNumberFormat="1" applyFont="1" applyBorder="1" applyAlignment="1">
      <alignment horizontal="center" vertical="center" wrapText="1"/>
    </xf>
    <xf numFmtId="9" fontId="72" fillId="0" borderId="10" xfId="0" applyNumberFormat="1" applyFont="1" applyBorder="1" applyAlignment="1">
      <alignment horizontal="center" vertical="center" wrapText="1"/>
    </xf>
    <xf numFmtId="0" fontId="72" fillId="0" borderId="0" xfId="93" applyFont="1" applyAlignment="1">
      <alignment wrapText="1"/>
    </xf>
    <xf numFmtId="0" fontId="72" fillId="33" borderId="10" xfId="93" applyFont="1" applyFill="1" applyBorder="1" applyAlignment="1">
      <alignment horizontal="center" vertical="top" wrapText="1"/>
    </xf>
    <xf numFmtId="0" fontId="72" fillId="0" borderId="10" xfId="93" applyFont="1" applyFill="1" applyBorder="1" applyAlignment="1">
      <alignment vertical="center" wrapText="1"/>
    </xf>
    <xf numFmtId="9" fontId="72" fillId="35" borderId="10" xfId="64" applyFont="1" applyFill="1" applyBorder="1" applyAlignment="1">
      <alignment horizontal="center" vertical="center" wrapText="1"/>
    </xf>
    <xf numFmtId="0" fontId="74" fillId="0" borderId="10" xfId="93" applyFont="1" applyFill="1" applyBorder="1" applyAlignment="1">
      <alignment horizontal="center" vertical="center" wrapText="1"/>
    </xf>
    <xf numFmtId="3" fontId="74" fillId="0" borderId="10" xfId="93" applyNumberFormat="1" applyFont="1" applyFill="1" applyBorder="1" applyAlignment="1">
      <alignment horizontal="center" vertical="center" wrapText="1"/>
    </xf>
    <xf numFmtId="1" fontId="74" fillId="0" borderId="10" xfId="93" applyNumberFormat="1" applyFont="1" applyFill="1" applyBorder="1" applyAlignment="1">
      <alignment horizontal="center" vertical="center" wrapText="1"/>
    </xf>
    <xf numFmtId="0" fontId="72" fillId="33" borderId="10" xfId="0" applyFont="1" applyFill="1" applyBorder="1" applyAlignment="1">
      <alignment horizontal="center" vertical="center" wrapText="1"/>
    </xf>
    <xf numFmtId="3" fontId="72" fillId="0" borderId="10" xfId="0" applyNumberFormat="1" applyFont="1" applyFill="1" applyBorder="1" applyAlignment="1">
      <alignment horizontal="center" wrapText="1"/>
    </xf>
    <xf numFmtId="0" fontId="72" fillId="37" borderId="32" xfId="0" applyFont="1" applyFill="1" applyBorder="1" applyAlignment="1">
      <alignment horizontal="center"/>
    </xf>
    <xf numFmtId="0" fontId="72" fillId="37" borderId="21" xfId="0" applyFont="1" applyFill="1" applyBorder="1" applyAlignment="1">
      <alignment horizontal="center"/>
    </xf>
    <xf numFmtId="0" fontId="72" fillId="37" borderId="0" xfId="0" applyFont="1" applyFill="1" applyBorder="1" applyAlignment="1">
      <alignment horizontal="center"/>
    </xf>
    <xf numFmtId="0" fontId="72" fillId="37" borderId="28" xfId="0" applyFont="1" applyFill="1" applyBorder="1" applyAlignment="1">
      <alignment horizontal="center"/>
    </xf>
    <xf numFmtId="0" fontId="90" fillId="0" borderId="0" xfId="46" applyFont="1" applyAlignment="1">
      <alignment horizontal="right"/>
    </xf>
    <xf numFmtId="0" fontId="90" fillId="0" borderId="0" xfId="46" applyFont="1"/>
    <xf numFmtId="0" fontId="72" fillId="37" borderId="26" xfId="0" applyFont="1" applyFill="1" applyBorder="1" applyAlignment="1">
      <alignment horizontal="center"/>
    </xf>
    <xf numFmtId="0" fontId="72" fillId="37" borderId="19" xfId="0" applyFont="1" applyFill="1" applyBorder="1" applyAlignment="1">
      <alignment horizontal="center"/>
    </xf>
    <xf numFmtId="0" fontId="72" fillId="37" borderId="27" xfId="0" applyFont="1" applyFill="1" applyBorder="1" applyAlignment="1">
      <alignment horizontal="center"/>
    </xf>
    <xf numFmtId="6" fontId="72" fillId="37" borderId="0" xfId="0" applyNumberFormat="1" applyFont="1" applyFill="1" applyBorder="1" applyAlignment="1">
      <alignment horizontal="center"/>
    </xf>
    <xf numFmtId="0" fontId="72" fillId="37" borderId="17" xfId="0" applyFont="1" applyFill="1" applyBorder="1" applyAlignment="1">
      <alignment horizontal="center"/>
    </xf>
    <xf numFmtId="6" fontId="72" fillId="37" borderId="32" xfId="0" applyNumberFormat="1" applyFont="1" applyFill="1" applyBorder="1" applyAlignment="1">
      <alignment horizontal="center"/>
    </xf>
    <xf numFmtId="0" fontId="72" fillId="37" borderId="29" xfId="0" applyFont="1" applyFill="1" applyBorder="1" applyAlignment="1">
      <alignment horizontal="center"/>
    </xf>
    <xf numFmtId="0" fontId="72" fillId="37" borderId="20" xfId="0" applyFont="1" applyFill="1" applyBorder="1" applyAlignment="1">
      <alignment horizontal="center"/>
    </xf>
    <xf numFmtId="0" fontId="87" fillId="37" borderId="32" xfId="46" applyFont="1" applyFill="1" applyBorder="1" applyAlignment="1">
      <alignment horizontal="center"/>
    </xf>
    <xf numFmtId="0" fontId="87" fillId="37" borderId="21" xfId="46" applyFont="1" applyFill="1" applyBorder="1" applyAlignment="1">
      <alignment horizontal="center"/>
    </xf>
    <xf numFmtId="0" fontId="88" fillId="0" borderId="0" xfId="46" applyFont="1" applyAlignment="1">
      <alignment horizontal="right"/>
    </xf>
    <xf numFmtId="168" fontId="67" fillId="44" borderId="0" xfId="59" applyNumberFormat="1" applyFont="1" applyFill="1" applyBorder="1" applyAlignment="1" applyProtection="1">
      <alignment horizontal="center"/>
    </xf>
    <xf numFmtId="0" fontId="72" fillId="0" borderId="27" xfId="0" applyFont="1" applyFill="1" applyBorder="1" applyAlignment="1">
      <alignment horizontal="left" vertical="top" wrapText="1"/>
    </xf>
    <xf numFmtId="0" fontId="72" fillId="0" borderId="55" xfId="0" applyFont="1" applyFill="1" applyBorder="1" applyAlignment="1">
      <alignment horizontal="left" vertical="top" wrapText="1"/>
    </xf>
    <xf numFmtId="0" fontId="72" fillId="0" borderId="10" xfId="0" applyFont="1" applyBorder="1" applyAlignment="1">
      <alignment horizontal="center"/>
    </xf>
    <xf numFmtId="0" fontId="72" fillId="37" borderId="14" xfId="0" applyFont="1" applyFill="1" applyBorder="1"/>
    <xf numFmtId="0" fontId="72" fillId="37" borderId="26" xfId="0" applyFont="1" applyFill="1" applyBorder="1"/>
    <xf numFmtId="6" fontId="72" fillId="37" borderId="26" xfId="0" applyNumberFormat="1" applyFont="1" applyFill="1" applyBorder="1"/>
    <xf numFmtId="0" fontId="72" fillId="37" borderId="19" xfId="0" applyFont="1" applyFill="1" applyBorder="1"/>
    <xf numFmtId="0" fontId="72" fillId="37" borderId="27" xfId="0" applyFont="1" applyFill="1" applyBorder="1"/>
    <xf numFmtId="0" fontId="72" fillId="37" borderId="0" xfId="0" applyFont="1" applyFill="1" applyBorder="1"/>
    <xf numFmtId="6" fontId="72" fillId="37" borderId="0" xfId="0" applyNumberFormat="1" applyFont="1" applyFill="1" applyBorder="1"/>
    <xf numFmtId="0" fontId="72" fillId="37" borderId="28" xfId="0" applyFont="1" applyFill="1" applyBorder="1"/>
    <xf numFmtId="0" fontId="87" fillId="37" borderId="27" xfId="46" applyFont="1" applyFill="1" applyBorder="1"/>
    <xf numFmtId="0" fontId="87" fillId="37" borderId="0" xfId="46" applyFont="1" applyFill="1" applyBorder="1"/>
    <xf numFmtId="0" fontId="87" fillId="37" borderId="28" xfId="46" applyFont="1" applyFill="1" applyBorder="1"/>
    <xf numFmtId="0" fontId="72" fillId="37" borderId="16" xfId="0" applyFont="1" applyFill="1" applyBorder="1"/>
    <xf numFmtId="0" fontId="72" fillId="37" borderId="29" xfId="0" applyFont="1" applyFill="1" applyBorder="1"/>
    <xf numFmtId="6" fontId="72" fillId="37" borderId="29" xfId="0" applyNumberFormat="1" applyFont="1" applyFill="1" applyBorder="1"/>
    <xf numFmtId="0" fontId="72" fillId="37" borderId="20" xfId="0" applyFont="1" applyFill="1" applyBorder="1"/>
    <xf numFmtId="0" fontId="72" fillId="35" borderId="119" xfId="46" applyFont="1" applyFill="1" applyBorder="1" applyAlignment="1">
      <alignment horizontal="center"/>
    </xf>
    <xf numFmtId="1" fontId="72" fillId="35" borderId="119" xfId="46" applyNumberFormat="1" applyFont="1" applyFill="1" applyBorder="1" applyAlignment="1">
      <alignment horizontal="center"/>
    </xf>
    <xf numFmtId="166" fontId="72" fillId="35" borderId="119" xfId="46" applyNumberFormat="1" applyFont="1" applyFill="1" applyBorder="1" applyAlignment="1">
      <alignment horizontal="center"/>
    </xf>
    <xf numFmtId="0" fontId="72" fillId="35" borderId="86" xfId="46" applyFont="1" applyFill="1" applyBorder="1" applyAlignment="1">
      <alignment horizontal="center"/>
    </xf>
    <xf numFmtId="0" fontId="72" fillId="0" borderId="0" xfId="46" applyFont="1" applyFill="1"/>
    <xf numFmtId="0" fontId="87" fillId="37" borderId="17" xfId="46" applyFont="1" applyFill="1" applyBorder="1"/>
    <xf numFmtId="0" fontId="87" fillId="37" borderId="32" xfId="46" applyFont="1" applyFill="1" applyBorder="1"/>
    <xf numFmtId="0" fontId="87" fillId="37" borderId="21" xfId="46" applyFont="1" applyFill="1" applyBorder="1"/>
    <xf numFmtId="167" fontId="72" fillId="0" borderId="10" xfId="0" applyNumberFormat="1" applyFont="1" applyBorder="1" applyAlignment="1">
      <alignment horizontal="center"/>
    </xf>
    <xf numFmtId="0" fontId="72" fillId="35" borderId="10" xfId="0" applyFont="1" applyFill="1" applyBorder="1" applyAlignment="1">
      <alignment horizontal="center"/>
    </xf>
    <xf numFmtId="167" fontId="72" fillId="0" borderId="42" xfId="0" applyNumberFormat="1" applyFont="1" applyBorder="1" applyAlignment="1">
      <alignment horizontal="right" vertical="center"/>
    </xf>
    <xf numFmtId="0" fontId="1" fillId="0" borderId="0" xfId="663" applyProtection="1"/>
    <xf numFmtId="0" fontId="4" fillId="0" borderId="0" xfId="187" applyProtection="1"/>
    <xf numFmtId="0" fontId="4" fillId="0" borderId="0" xfId="187" applyFont="1" applyProtection="1"/>
    <xf numFmtId="0" fontId="32" fillId="0" borderId="0" xfId="187" applyFont="1" applyProtection="1"/>
    <xf numFmtId="166" fontId="108" fillId="0" borderId="0" xfId="663" applyNumberFormat="1" applyFont="1" applyAlignment="1" applyProtection="1">
      <alignment vertical="top"/>
    </xf>
    <xf numFmtId="0" fontId="109" fillId="0" borderId="0" xfId="663" applyFont="1" applyProtection="1"/>
    <xf numFmtId="0" fontId="4" fillId="35" borderId="0" xfId="187" applyFill="1" applyBorder="1" applyAlignment="1" applyProtection="1"/>
    <xf numFmtId="0" fontId="4" fillId="35" borderId="0" xfId="187" quotePrefix="1" applyFont="1" applyFill="1" applyBorder="1" applyAlignment="1" applyProtection="1"/>
    <xf numFmtId="0" fontId="4" fillId="0" borderId="137" xfId="187" applyBorder="1" applyAlignment="1" applyProtection="1"/>
    <xf numFmtId="0" fontId="4" fillId="50" borderId="135" xfId="187" applyFont="1" applyFill="1" applyBorder="1" applyAlignment="1" applyProtection="1"/>
    <xf numFmtId="0" fontId="4" fillId="35" borderId="0" xfId="187" quotePrefix="1" applyFill="1" applyBorder="1" applyAlignment="1" applyProtection="1"/>
    <xf numFmtId="166" fontId="108" fillId="0" borderId="0" xfId="663" applyNumberFormat="1" applyFont="1" applyBorder="1" applyAlignment="1" applyProtection="1">
      <alignment vertical="top"/>
    </xf>
    <xf numFmtId="0" fontId="108" fillId="0" borderId="0" xfId="663" applyFont="1" applyBorder="1" applyProtection="1"/>
    <xf numFmtId="0" fontId="4" fillId="0" borderId="0" xfId="187" applyFont="1" applyBorder="1" applyAlignment="1" applyProtection="1">
      <alignment horizontal="left" vertical="top" indent="1"/>
    </xf>
    <xf numFmtId="0" fontId="4" fillId="0" borderId="0" xfId="187" applyFont="1" applyBorder="1" applyAlignment="1" applyProtection="1">
      <alignment horizontal="left" vertical="top" wrapText="1"/>
    </xf>
    <xf numFmtId="0" fontId="107" fillId="0" borderId="0" xfId="187" applyFont="1" applyBorder="1" applyAlignment="1" applyProtection="1">
      <alignment horizontal="left" vertical="top"/>
    </xf>
    <xf numFmtId="0" fontId="108" fillId="0" borderId="0" xfId="663" applyFont="1" applyProtection="1"/>
    <xf numFmtId="2" fontId="108" fillId="0" borderId="0" xfId="663" applyNumberFormat="1" applyFont="1" applyBorder="1" applyAlignment="1" applyProtection="1">
      <alignment vertical="top"/>
    </xf>
    <xf numFmtId="0" fontId="108" fillId="0" borderId="0" xfId="663" applyFont="1" applyAlignment="1" applyProtection="1">
      <alignment vertical="top"/>
    </xf>
    <xf numFmtId="0" fontId="108" fillId="0" borderId="59" xfId="663" applyFont="1" applyBorder="1" applyAlignment="1" applyProtection="1">
      <alignment vertical="top"/>
    </xf>
    <xf numFmtId="0" fontId="4" fillId="55" borderId="10" xfId="187" applyFont="1" applyFill="1" applyBorder="1" applyAlignment="1" applyProtection="1">
      <alignment vertical="center"/>
    </xf>
    <xf numFmtId="0" fontId="4" fillId="58" borderId="10" xfId="187" applyFont="1" applyFill="1" applyBorder="1" applyProtection="1"/>
    <xf numFmtId="0" fontId="4" fillId="54" borderId="10" xfId="187" applyFill="1" applyBorder="1" applyProtection="1"/>
    <xf numFmtId="0" fontId="4" fillId="57" borderId="10" xfId="187" applyFont="1" applyFill="1" applyBorder="1" applyAlignment="1" applyProtection="1">
      <alignment vertical="center"/>
    </xf>
    <xf numFmtId="0" fontId="4" fillId="43" borderId="10" xfId="187" applyFont="1" applyFill="1" applyBorder="1" applyProtection="1"/>
    <xf numFmtId="0" fontId="72" fillId="0" borderId="0" xfId="187" applyFont="1" applyBorder="1" applyAlignment="1" applyProtection="1">
      <alignment horizontal="center" vertical="top" wrapText="1"/>
    </xf>
    <xf numFmtId="0" fontId="87" fillId="0" borderId="0" xfId="662" applyFont="1" applyFill="1" applyBorder="1" applyProtection="1"/>
    <xf numFmtId="0" fontId="72" fillId="35" borderId="0" xfId="187" applyFont="1" applyFill="1" applyAlignment="1" applyProtection="1">
      <alignment vertical="top" wrapText="1"/>
    </xf>
    <xf numFmtId="0" fontId="72" fillId="35" borderId="0" xfId="187" applyFont="1" applyFill="1" applyAlignment="1" applyProtection="1">
      <alignment vertical="top"/>
    </xf>
    <xf numFmtId="0" fontId="72" fillId="35" borderId="0" xfId="187" applyFont="1" applyFill="1" applyProtection="1"/>
    <xf numFmtId="0" fontId="72" fillId="35" borderId="0" xfId="187" applyFont="1" applyFill="1" applyBorder="1" applyProtection="1"/>
    <xf numFmtId="0" fontId="72" fillId="0" borderId="0" xfId="187" applyFont="1" applyFill="1" applyBorder="1" applyProtection="1"/>
    <xf numFmtId="0" fontId="72" fillId="35" borderId="0" xfId="187" applyFont="1" applyFill="1" applyAlignment="1" applyProtection="1">
      <alignment wrapText="1"/>
    </xf>
    <xf numFmtId="49" fontId="72" fillId="35" borderId="0" xfId="187" applyNumberFormat="1" applyFont="1" applyFill="1" applyAlignment="1" applyProtection="1">
      <alignment horizontal="right" vertical="top"/>
    </xf>
    <xf numFmtId="0" fontId="87" fillId="30" borderId="0" xfId="662" applyFont="1" applyFill="1" applyBorder="1" applyProtection="1"/>
    <xf numFmtId="0" fontId="87" fillId="35" borderId="0" xfId="662" applyFont="1" applyFill="1" applyBorder="1" applyProtection="1"/>
    <xf numFmtId="0" fontId="74" fillId="30" borderId="0" xfId="187" applyFont="1" applyFill="1" applyBorder="1" applyAlignment="1" applyProtection="1">
      <alignment horizontal="center" vertical="top"/>
    </xf>
    <xf numFmtId="0" fontId="72" fillId="35" borderId="0" xfId="187" applyFont="1" applyFill="1" applyBorder="1" applyAlignment="1" applyProtection="1">
      <alignment horizontal="center" vertical="center" wrapText="1"/>
    </xf>
    <xf numFmtId="0" fontId="72" fillId="35" borderId="0" xfId="187" applyFont="1" applyFill="1" applyBorder="1" applyAlignment="1" applyProtection="1">
      <alignment vertical="top" wrapText="1"/>
    </xf>
    <xf numFmtId="0" fontId="72" fillId="30" borderId="0" xfId="187" applyFont="1" applyFill="1" applyProtection="1"/>
    <xf numFmtId="0" fontId="95" fillId="30" borderId="0" xfId="187" applyFont="1" applyFill="1" applyBorder="1" applyAlignment="1" applyProtection="1">
      <alignment horizontal="left"/>
    </xf>
    <xf numFmtId="0" fontId="95" fillId="0" borderId="0" xfId="187" applyFont="1" applyFill="1" applyBorder="1" applyAlignment="1" applyProtection="1">
      <alignment horizontal="left"/>
    </xf>
    <xf numFmtId="0" fontId="95" fillId="35" borderId="0" xfId="187" applyFont="1" applyFill="1" applyBorder="1" applyAlignment="1" applyProtection="1">
      <alignment horizontal="left"/>
    </xf>
    <xf numFmtId="0" fontId="74" fillId="33" borderId="59" xfId="187" applyFont="1" applyFill="1" applyBorder="1" applyAlignment="1" applyProtection="1">
      <alignment horizontal="left" wrapText="1"/>
    </xf>
    <xf numFmtId="0" fontId="72" fillId="30" borderId="0" xfId="187" applyFont="1" applyFill="1" applyBorder="1" applyAlignment="1" applyProtection="1"/>
    <xf numFmtId="0" fontId="72" fillId="0" borderId="0" xfId="187" applyFont="1" applyFill="1" applyBorder="1" applyAlignment="1" applyProtection="1"/>
    <xf numFmtId="0" fontId="72" fillId="35" borderId="0" xfId="187" applyFont="1" applyFill="1" applyBorder="1" applyAlignment="1" applyProtection="1"/>
    <xf numFmtId="0" fontId="72" fillId="35" borderId="35" xfId="662" applyFont="1" applyFill="1" applyBorder="1" applyAlignment="1" applyProtection="1">
      <alignment horizontal="left" vertical="top" wrapText="1"/>
    </xf>
    <xf numFmtId="0" fontId="72" fillId="35" borderId="37" xfId="662" applyFont="1" applyFill="1" applyBorder="1" applyAlignment="1" applyProtection="1">
      <alignment horizontal="left" vertical="top" wrapText="1"/>
    </xf>
    <xf numFmtId="0" fontId="87" fillId="30" borderId="0" xfId="662" applyFont="1" applyFill="1" applyBorder="1" applyAlignment="1" applyProtection="1">
      <alignment vertical="top"/>
    </xf>
    <xf numFmtId="0" fontId="87" fillId="0" borderId="0" xfId="662" applyFont="1" applyFill="1" applyBorder="1" applyAlignment="1" applyProtection="1">
      <alignment vertical="top"/>
    </xf>
    <xf numFmtId="0" fontId="87" fillId="35" borderId="0" xfId="662" applyFont="1" applyFill="1" applyBorder="1" applyAlignment="1" applyProtection="1">
      <alignment vertical="top"/>
    </xf>
    <xf numFmtId="0" fontId="72" fillId="35" borderId="41" xfId="662" applyFont="1" applyFill="1" applyBorder="1" applyAlignment="1" applyProtection="1">
      <alignment horizontal="left" vertical="top" wrapText="1"/>
    </xf>
    <xf numFmtId="0" fontId="72" fillId="35" borderId="42" xfId="662" applyFont="1" applyFill="1" applyBorder="1" applyAlignment="1" applyProtection="1">
      <alignment horizontal="left" vertical="top" wrapText="1"/>
    </xf>
    <xf numFmtId="0" fontId="72" fillId="35" borderId="49" xfId="662" applyFont="1" applyFill="1" applyBorder="1" applyAlignment="1" applyProtection="1">
      <alignment horizontal="left" vertical="top" wrapText="1"/>
    </xf>
    <xf numFmtId="0" fontId="72" fillId="35" borderId="50" xfId="662" applyFont="1" applyFill="1" applyBorder="1" applyAlignment="1" applyProtection="1">
      <alignment horizontal="left" vertical="top" wrapText="1"/>
    </xf>
    <xf numFmtId="0" fontId="72" fillId="30" borderId="0" xfId="187" applyFont="1" applyFill="1" applyBorder="1" applyProtection="1"/>
    <xf numFmtId="0" fontId="72" fillId="35" borderId="41" xfId="187" applyFont="1" applyFill="1" applyBorder="1" applyAlignment="1" applyProtection="1">
      <alignment horizontal="left" vertical="top" wrapText="1"/>
    </xf>
    <xf numFmtId="0" fontId="72" fillId="35" borderId="42" xfId="187" applyFont="1" applyFill="1" applyBorder="1" applyAlignment="1" applyProtection="1">
      <alignment horizontal="left" vertical="top" wrapText="1"/>
    </xf>
    <xf numFmtId="0" fontId="72" fillId="35" borderId="10" xfId="187" applyFont="1" applyFill="1" applyBorder="1" applyAlignment="1" applyProtection="1">
      <alignment horizontal="left" vertical="top" wrapText="1"/>
    </xf>
    <xf numFmtId="0" fontId="72" fillId="35" borderId="49" xfId="187" applyFont="1" applyFill="1" applyBorder="1" applyAlignment="1" applyProtection="1">
      <alignment horizontal="left" vertical="top" wrapText="1"/>
    </xf>
    <xf numFmtId="0" fontId="72" fillId="35" borderId="50" xfId="187" applyFont="1" applyFill="1" applyBorder="1" applyAlignment="1" applyProtection="1">
      <alignment horizontal="left" vertical="top" wrapText="1"/>
    </xf>
    <xf numFmtId="0" fontId="72" fillId="30" borderId="0" xfId="187" applyFont="1" applyFill="1" applyBorder="1" applyAlignment="1" applyProtection="1">
      <alignment horizontal="center" vertical="top" wrapText="1"/>
    </xf>
    <xf numFmtId="49" fontId="72" fillId="35" borderId="0" xfId="187" applyNumberFormat="1" applyFont="1" applyFill="1" applyBorder="1" applyAlignment="1" applyProtection="1">
      <alignment horizontal="right" vertical="top"/>
    </xf>
    <xf numFmtId="0" fontId="72" fillId="0" borderId="0" xfId="187" applyFont="1" applyAlignment="1" applyProtection="1">
      <alignment wrapText="1"/>
    </xf>
    <xf numFmtId="49" fontId="72" fillId="47" borderId="0" xfId="187" applyNumberFormat="1" applyFont="1" applyFill="1" applyAlignment="1" applyProtection="1">
      <alignment horizontal="right" vertical="top"/>
    </xf>
    <xf numFmtId="0" fontId="72" fillId="47" borderId="0" xfId="187" applyFont="1" applyFill="1" applyAlignment="1" applyProtection="1">
      <alignment vertical="top" wrapText="1"/>
    </xf>
    <xf numFmtId="0" fontId="72" fillId="0" borderId="0" xfId="187" applyFont="1" applyAlignment="1" applyProtection="1">
      <alignment vertical="top" wrapText="1"/>
    </xf>
    <xf numFmtId="0" fontId="72" fillId="27" borderId="0" xfId="187" applyFont="1" applyFill="1" applyProtection="1"/>
    <xf numFmtId="0" fontId="72" fillId="35" borderId="0" xfId="187" applyFont="1" applyFill="1" applyBorder="1" applyAlignment="1" applyProtection="1">
      <alignment vertical="top"/>
    </xf>
    <xf numFmtId="0" fontId="72" fillId="30" borderId="0" xfId="187" applyFont="1" applyFill="1" applyAlignment="1" applyProtection="1">
      <alignment horizontal="right" vertical="center"/>
    </xf>
    <xf numFmtId="0" fontId="72" fillId="35" borderId="56" xfId="187" applyFont="1" applyFill="1" applyBorder="1" applyAlignment="1" applyProtection="1">
      <alignment horizontal="left" vertical="top" wrapText="1"/>
    </xf>
    <xf numFmtId="0" fontId="72" fillId="35" borderId="11" xfId="187" applyFont="1" applyFill="1" applyBorder="1" applyAlignment="1" applyProtection="1">
      <alignment horizontal="left" vertical="top" wrapText="1"/>
    </xf>
    <xf numFmtId="0" fontId="72" fillId="35" borderId="11" xfId="187" applyFont="1" applyFill="1" applyBorder="1" applyAlignment="1" applyProtection="1">
      <alignment vertical="center" wrapText="1"/>
    </xf>
    <xf numFmtId="0" fontId="72" fillId="35" borderId="11" xfId="662" applyFont="1" applyFill="1" applyBorder="1" applyAlignment="1" applyProtection="1">
      <alignment horizontal="left" vertical="top" wrapText="1"/>
    </xf>
    <xf numFmtId="0" fontId="72" fillId="30" borderId="11" xfId="187" applyFont="1" applyFill="1" applyBorder="1" applyAlignment="1" applyProtection="1">
      <alignment horizontal="left" vertical="top" wrapText="1"/>
    </xf>
    <xf numFmtId="0" fontId="72" fillId="30" borderId="41" xfId="662" applyFont="1" applyFill="1" applyBorder="1" applyAlignment="1" applyProtection="1">
      <alignment horizontal="center" vertical="top" wrapText="1"/>
    </xf>
    <xf numFmtId="0" fontId="72" fillId="35" borderId="40" xfId="187" applyFont="1" applyFill="1" applyBorder="1" applyAlignment="1" applyProtection="1">
      <alignment horizontal="left" vertical="top" wrapText="1"/>
    </xf>
    <xf numFmtId="0" fontId="72" fillId="35" borderId="38" xfId="662" applyFont="1" applyFill="1" applyBorder="1" applyAlignment="1" applyProtection="1">
      <alignment horizontal="left" vertical="top" wrapText="1"/>
    </xf>
    <xf numFmtId="0" fontId="72" fillId="35" borderId="40" xfId="662" applyFont="1" applyFill="1" applyBorder="1" applyAlignment="1" applyProtection="1">
      <alignment horizontal="left" vertical="top" wrapText="1"/>
    </xf>
    <xf numFmtId="0" fontId="72" fillId="30" borderId="143" xfId="662" applyFont="1" applyFill="1" applyBorder="1" applyAlignment="1" applyProtection="1">
      <alignment horizontal="center" vertical="top" wrapText="1"/>
    </xf>
    <xf numFmtId="0" fontId="72" fillId="35" borderId="44" xfId="187" applyFont="1" applyFill="1" applyBorder="1" applyAlignment="1" applyProtection="1">
      <alignment horizontal="left" vertical="top" wrapText="1"/>
    </xf>
    <xf numFmtId="0" fontId="72" fillId="35" borderId="143" xfId="662" applyFont="1" applyFill="1" applyBorder="1" applyAlignment="1" applyProtection="1">
      <alignment horizontal="left" vertical="top" wrapText="1"/>
    </xf>
    <xf numFmtId="0" fontId="72" fillId="35" borderId="44" xfId="662" applyFont="1" applyFill="1" applyBorder="1" applyAlignment="1" applyProtection="1">
      <alignment horizontal="left" vertical="top" wrapText="1"/>
    </xf>
    <xf numFmtId="0" fontId="72" fillId="30" borderId="49" xfId="187" applyFont="1" applyFill="1" applyBorder="1" applyAlignment="1" applyProtection="1">
      <alignment horizontal="center" vertical="top" wrapText="1"/>
    </xf>
    <xf numFmtId="0" fontId="72" fillId="30" borderId="38" xfId="662" applyFont="1" applyFill="1" applyBorder="1" applyAlignment="1" applyProtection="1">
      <alignment horizontal="center" vertical="top" wrapText="1"/>
    </xf>
    <xf numFmtId="166" fontId="74" fillId="38" borderId="16" xfId="187" applyNumberFormat="1" applyFont="1" applyFill="1" applyBorder="1" applyAlignment="1" applyProtection="1">
      <alignment horizontal="center" vertical="top" wrapText="1"/>
    </xf>
    <xf numFmtId="0" fontId="72" fillId="35" borderId="56" xfId="187" applyFont="1" applyFill="1" applyBorder="1" applyAlignment="1" applyProtection="1">
      <alignment vertical="center" wrapText="1"/>
    </xf>
    <xf numFmtId="0" fontId="72" fillId="35" borderId="54" xfId="187" applyFont="1" applyFill="1" applyBorder="1" applyAlignment="1" applyProtection="1">
      <alignment vertical="center" wrapText="1"/>
    </xf>
    <xf numFmtId="0" fontId="72" fillId="35" borderId="43" xfId="187" applyFont="1" applyFill="1" applyBorder="1" applyAlignment="1" applyProtection="1">
      <alignment horizontal="left" vertical="top" wrapText="1"/>
    </xf>
    <xf numFmtId="0" fontId="72" fillId="35" borderId="45" xfId="187" applyFont="1" applyFill="1" applyBorder="1" applyAlignment="1" applyProtection="1">
      <alignment horizontal="left" vertical="top" wrapText="1"/>
    </xf>
    <xf numFmtId="0" fontId="72" fillId="35" borderId="38" xfId="187" applyFont="1" applyFill="1" applyBorder="1" applyAlignment="1" applyProtection="1">
      <alignment horizontal="left" vertical="top" wrapText="1"/>
    </xf>
    <xf numFmtId="0" fontId="72" fillId="35" borderId="39" xfId="187" applyFont="1" applyFill="1" applyBorder="1" applyAlignment="1" applyProtection="1">
      <alignment horizontal="left" vertical="top" wrapText="1"/>
    </xf>
    <xf numFmtId="0" fontId="72" fillId="35" borderId="60" xfId="187" applyFont="1" applyFill="1" applyBorder="1" applyAlignment="1" applyProtection="1">
      <alignment vertical="center" wrapText="1"/>
    </xf>
    <xf numFmtId="0" fontId="72" fillId="35" borderId="143" xfId="187" applyFont="1" applyFill="1" applyBorder="1" applyAlignment="1" applyProtection="1">
      <alignment horizontal="left" vertical="top" wrapText="1"/>
    </xf>
    <xf numFmtId="0" fontId="72" fillId="35" borderId="60" xfId="662" applyFont="1" applyFill="1" applyBorder="1" applyAlignment="1" applyProtection="1">
      <alignment horizontal="left" vertical="top" wrapText="1"/>
    </xf>
    <xf numFmtId="0" fontId="72" fillId="35" borderId="56" xfId="662" applyFont="1" applyFill="1" applyBorder="1" applyAlignment="1" applyProtection="1">
      <alignment horizontal="left" vertical="top" wrapText="1"/>
    </xf>
    <xf numFmtId="0" fontId="72" fillId="35" borderId="60" xfId="187" applyFont="1" applyFill="1" applyBorder="1" applyAlignment="1" applyProtection="1">
      <alignment horizontal="left" vertical="top" wrapText="1"/>
    </xf>
    <xf numFmtId="0" fontId="72" fillId="35" borderId="54" xfId="187" applyFont="1" applyFill="1" applyBorder="1" applyAlignment="1" applyProtection="1">
      <alignment horizontal="left" vertical="top" wrapText="1"/>
    </xf>
    <xf numFmtId="0" fontId="72" fillId="30" borderId="60" xfId="187" applyFont="1" applyFill="1" applyBorder="1" applyAlignment="1" applyProtection="1">
      <alignment horizontal="left" vertical="top" wrapText="1"/>
    </xf>
    <xf numFmtId="0" fontId="72" fillId="30" borderId="0" xfId="187" applyFont="1" applyFill="1" applyBorder="1" applyAlignment="1" applyProtection="1">
      <alignment wrapText="1"/>
    </xf>
    <xf numFmtId="0" fontId="72" fillId="30" borderId="43" xfId="187" applyFont="1" applyFill="1" applyBorder="1" applyAlignment="1" applyProtection="1">
      <alignment horizontal="center" vertical="top" wrapText="1"/>
    </xf>
    <xf numFmtId="0" fontId="72" fillId="30" borderId="38" xfId="187" applyFont="1" applyFill="1" applyBorder="1" applyAlignment="1" applyProtection="1">
      <alignment horizontal="center" vertical="top" wrapText="1"/>
    </xf>
    <xf numFmtId="0" fontId="72" fillId="30" borderId="41" xfId="187" applyFont="1" applyFill="1" applyBorder="1" applyAlignment="1" applyProtection="1">
      <alignment horizontal="center" vertical="top" wrapText="1"/>
    </xf>
    <xf numFmtId="0" fontId="72" fillId="30" borderId="143" xfId="187" applyFont="1" applyFill="1" applyBorder="1" applyAlignment="1" applyProtection="1">
      <alignment horizontal="center" vertical="top" wrapText="1"/>
    </xf>
    <xf numFmtId="166" fontId="74" fillId="38" borderId="78" xfId="187" applyNumberFormat="1" applyFont="1" applyFill="1" applyBorder="1" applyAlignment="1" applyProtection="1">
      <alignment horizontal="center" vertical="top" wrapText="1"/>
    </xf>
    <xf numFmtId="0" fontId="72" fillId="30" borderId="130" xfId="187" applyFont="1" applyFill="1" applyBorder="1" applyAlignment="1" applyProtection="1">
      <alignment wrapText="1"/>
    </xf>
    <xf numFmtId="0" fontId="72" fillId="35" borderId="54" xfId="187" applyFont="1" applyFill="1" applyBorder="1" applyAlignment="1" applyProtection="1">
      <alignment horizontal="left" vertical="top" wrapText="1"/>
    </xf>
    <xf numFmtId="0" fontId="72" fillId="0" borderId="0" xfId="187" applyFont="1" applyBorder="1" applyAlignment="1" applyProtection="1">
      <alignment vertical="top"/>
    </xf>
    <xf numFmtId="0" fontId="72" fillId="37" borderId="42" xfId="187" applyFont="1" applyFill="1" applyBorder="1" applyAlignment="1" applyProtection="1">
      <alignment horizontal="left"/>
    </xf>
    <xf numFmtId="0" fontId="72" fillId="37" borderId="50" xfId="187" applyFont="1" applyFill="1" applyBorder="1" applyAlignment="1" applyProtection="1">
      <alignment horizontal="left"/>
    </xf>
    <xf numFmtId="0" fontId="72" fillId="35" borderId="0" xfId="187" applyFont="1" applyFill="1" applyBorder="1" applyAlignment="1" applyProtection="1">
      <alignment horizontal="left" vertical="top" wrapText="1"/>
    </xf>
    <xf numFmtId="0" fontId="72" fillId="0" borderId="0" xfId="187" applyFont="1" applyBorder="1" applyAlignment="1" applyProtection="1">
      <alignment vertical="top" wrapText="1"/>
    </xf>
    <xf numFmtId="0" fontId="72" fillId="33" borderId="23" xfId="187" applyFont="1" applyFill="1" applyBorder="1" applyAlignment="1" applyProtection="1">
      <alignment horizontal="left" wrapText="1"/>
    </xf>
    <xf numFmtId="0" fontId="72" fillId="33" borderId="86" xfId="187" applyFont="1" applyFill="1" applyBorder="1" applyAlignment="1" applyProtection="1">
      <alignment horizontal="left" wrapText="1"/>
    </xf>
    <xf numFmtId="0" fontId="72" fillId="33" borderId="16" xfId="187" applyFont="1" applyFill="1" applyBorder="1" applyAlignment="1" applyProtection="1">
      <alignment horizontal="left" wrapText="1"/>
    </xf>
    <xf numFmtId="0" fontId="72" fillId="33" borderId="85" xfId="187" applyFont="1" applyFill="1" applyBorder="1" applyAlignment="1" applyProtection="1">
      <alignment horizontal="left" wrapText="1"/>
    </xf>
    <xf numFmtId="0" fontId="73" fillId="0" borderId="0" xfId="187" applyFont="1"/>
    <xf numFmtId="0" fontId="72" fillId="35" borderId="0" xfId="187" applyFont="1" applyFill="1"/>
    <xf numFmtId="0" fontId="72" fillId="0" borderId="0" xfId="187" applyFont="1"/>
    <xf numFmtId="0" fontId="72" fillId="35" borderId="10" xfId="187" applyFont="1" applyFill="1" applyBorder="1" applyAlignment="1">
      <alignment horizontal="left" vertical="center" wrapText="1"/>
    </xf>
    <xf numFmtId="0" fontId="96" fillId="35" borderId="10" xfId="660" applyFont="1" applyFill="1" applyBorder="1" applyAlignment="1" applyProtection="1">
      <alignment vertical="center"/>
    </xf>
    <xf numFmtId="0" fontId="72" fillId="54" borderId="10" xfId="187" applyFont="1" applyFill="1" applyBorder="1" applyAlignment="1">
      <alignment vertical="center"/>
    </xf>
    <xf numFmtId="0" fontId="72" fillId="45" borderId="0" xfId="187" applyFont="1" applyFill="1"/>
    <xf numFmtId="0" fontId="72" fillId="56" borderId="10" xfId="187" applyFont="1" applyFill="1" applyBorder="1" applyAlignment="1">
      <alignment vertical="center"/>
    </xf>
    <xf numFmtId="0" fontId="72" fillId="55" borderId="10" xfId="187" applyFont="1" applyFill="1" applyBorder="1" applyAlignment="1">
      <alignment vertical="center"/>
    </xf>
    <xf numFmtId="0" fontId="72" fillId="40" borderId="10" xfId="187" applyFont="1" applyFill="1" applyBorder="1" applyAlignment="1">
      <alignment vertical="center"/>
    </xf>
    <xf numFmtId="0" fontId="72" fillId="0" borderId="0" xfId="187" applyFont="1" applyAlignment="1">
      <alignment vertical="center"/>
    </xf>
    <xf numFmtId="0" fontId="72" fillId="33" borderId="10" xfId="187" applyFont="1" applyFill="1" applyBorder="1" applyAlignment="1">
      <alignment horizontal="center"/>
    </xf>
    <xf numFmtId="0" fontId="85" fillId="33" borderId="10" xfId="187" applyFont="1" applyFill="1" applyBorder="1" applyAlignment="1">
      <alignment horizontal="center"/>
    </xf>
    <xf numFmtId="0" fontId="72" fillId="33" borderId="10" xfId="187" applyFont="1" applyFill="1" applyBorder="1" applyAlignment="1">
      <alignment horizontal="center" wrapText="1"/>
    </xf>
    <xf numFmtId="49" fontId="74" fillId="33" borderId="14" xfId="187" applyNumberFormat="1" applyFont="1" applyFill="1" applyBorder="1" applyAlignment="1" applyProtection="1">
      <alignment vertical="top" wrapText="1"/>
    </xf>
    <xf numFmtId="49" fontId="72" fillId="33" borderId="27" xfId="187" applyNumberFormat="1" applyFont="1" applyFill="1" applyBorder="1" applyAlignment="1" applyProtection="1">
      <alignment horizontal="left" vertical="top" wrapText="1"/>
    </xf>
    <xf numFmtId="49" fontId="72" fillId="33" borderId="17" xfId="187" applyNumberFormat="1" applyFont="1" applyFill="1" applyBorder="1" applyAlignment="1" applyProtection="1">
      <alignment horizontal="left" vertical="top" wrapText="1"/>
    </xf>
    <xf numFmtId="0" fontId="74" fillId="33" borderId="14" xfId="187" applyFont="1" applyFill="1" applyBorder="1" applyAlignment="1" applyProtection="1">
      <alignment vertical="top" wrapText="1"/>
    </xf>
    <xf numFmtId="0" fontId="72" fillId="33" borderId="27" xfId="187" applyFont="1" applyFill="1" applyBorder="1" applyAlignment="1" applyProtection="1">
      <alignment vertical="top" wrapText="1"/>
    </xf>
    <xf numFmtId="0" fontId="72" fillId="33" borderId="19" xfId="187" applyFont="1" applyFill="1" applyBorder="1" applyAlignment="1" applyProtection="1"/>
    <xf numFmtId="49" fontId="87" fillId="30" borderId="0" xfId="662" applyNumberFormat="1" applyFont="1" applyFill="1" applyBorder="1" applyAlignment="1" applyProtection="1">
      <alignment vertical="center"/>
    </xf>
    <xf numFmtId="14" fontId="72" fillId="37" borderId="10" xfId="187" applyNumberFormat="1" applyFont="1" applyFill="1" applyBorder="1" applyAlignment="1" applyProtection="1">
      <alignment horizontal="center"/>
      <protection locked="0"/>
    </xf>
    <xf numFmtId="0" fontId="72" fillId="37" borderId="10" xfId="187" applyFont="1" applyFill="1" applyBorder="1" applyProtection="1">
      <protection locked="0"/>
    </xf>
    <xf numFmtId="0" fontId="72" fillId="35" borderId="0" xfId="187" applyFont="1" applyFill="1" applyBorder="1" applyAlignment="1" applyProtection="1">
      <alignment horizontal="center"/>
    </xf>
    <xf numFmtId="0" fontId="74" fillId="35" borderId="0" xfId="187" applyFont="1" applyFill="1" applyBorder="1" applyAlignment="1" applyProtection="1">
      <alignment horizontal="left" wrapText="1"/>
    </xf>
    <xf numFmtId="0" fontId="72" fillId="35" borderId="10" xfId="187" applyFont="1" applyFill="1" applyBorder="1" applyAlignment="1" applyProtection="1">
      <alignment horizontal="left" vertical="top" wrapText="1"/>
    </xf>
    <xf numFmtId="0" fontId="74" fillId="35" borderId="0" xfId="187" applyFont="1" applyFill="1" applyBorder="1" applyAlignment="1" applyProtection="1">
      <alignment vertical="top"/>
    </xf>
    <xf numFmtId="0" fontId="103" fillId="35" borderId="0" xfId="187" applyFont="1" applyFill="1" applyBorder="1" applyAlignment="1" applyProtection="1">
      <alignment vertical="top"/>
    </xf>
    <xf numFmtId="0" fontId="72" fillId="35" borderId="0" xfId="187" applyFont="1" applyFill="1" applyBorder="1" applyAlignment="1" applyProtection="1">
      <alignment horizontal="left" vertical="top"/>
    </xf>
    <xf numFmtId="0" fontId="74" fillId="35" borderId="0" xfId="187" applyFont="1" applyFill="1" applyBorder="1" applyAlignment="1" applyProtection="1">
      <alignment horizontal="left" vertical="top"/>
    </xf>
    <xf numFmtId="0" fontId="72" fillId="35" borderId="61" xfId="187" applyFont="1" applyFill="1" applyBorder="1" applyAlignment="1" applyProtection="1">
      <alignment horizontal="left" vertical="top" wrapText="1"/>
    </xf>
    <xf numFmtId="0" fontId="72" fillId="35" borderId="0" xfId="187" applyFont="1" applyFill="1" applyBorder="1" applyAlignment="1" applyProtection="1">
      <alignment horizontal="left" vertical="top" wrapText="1"/>
      <protection locked="0"/>
    </xf>
    <xf numFmtId="0" fontId="72" fillId="37" borderId="144" xfId="187" applyFont="1" applyFill="1" applyBorder="1" applyAlignment="1" applyProtection="1">
      <alignment horizontal="left" vertical="top" wrapText="1"/>
      <protection locked="0"/>
    </xf>
    <xf numFmtId="0" fontId="72" fillId="37" borderId="144" xfId="187" applyFont="1" applyFill="1" applyBorder="1" applyAlignment="1" applyProtection="1">
      <alignment horizontal="left" vertical="top" wrapText="1"/>
      <protection locked="0"/>
    </xf>
    <xf numFmtId="0" fontId="72" fillId="37" borderId="135" xfId="187" applyFont="1" applyFill="1" applyBorder="1" applyAlignment="1" applyProtection="1">
      <alignment horizontal="left" vertical="top" wrapText="1"/>
      <protection locked="0"/>
    </xf>
    <xf numFmtId="0" fontId="72" fillId="37" borderId="135" xfId="187" applyFont="1" applyFill="1" applyBorder="1" applyAlignment="1" applyProtection="1">
      <alignment horizontal="left" vertical="top" wrapText="1"/>
      <protection locked="0"/>
    </xf>
    <xf numFmtId="0" fontId="72" fillId="53" borderId="0" xfId="187" applyFont="1" applyFill="1" applyBorder="1" applyAlignment="1" applyProtection="1">
      <alignment horizontal="left" vertical="top"/>
      <protection locked="0"/>
    </xf>
    <xf numFmtId="0" fontId="72" fillId="35" borderId="0" xfId="187" applyFont="1" applyFill="1" applyBorder="1" applyAlignment="1" applyProtection="1">
      <alignment horizontal="left" vertical="top"/>
      <protection locked="0"/>
    </xf>
    <xf numFmtId="0" fontId="72" fillId="33" borderId="10" xfId="187" applyFont="1" applyFill="1" applyBorder="1" applyAlignment="1" applyProtection="1">
      <alignment horizontal="left"/>
    </xf>
    <xf numFmtId="0" fontId="74" fillId="33" borderId="10" xfId="187" applyFont="1" applyFill="1" applyBorder="1" applyAlignment="1" applyProtection="1">
      <alignment horizontal="left"/>
    </xf>
    <xf numFmtId="0" fontId="72" fillId="59" borderId="0" xfId="187" applyFont="1" applyFill="1" applyProtection="1"/>
    <xf numFmtId="0" fontId="72" fillId="59" borderId="0" xfId="187" applyFont="1" applyFill="1" applyAlignment="1" applyProtection="1"/>
    <xf numFmtId="0" fontId="72" fillId="59" borderId="0" xfId="187" applyFont="1" applyFill="1" applyAlignment="1" applyProtection="1">
      <alignment vertical="center"/>
    </xf>
    <xf numFmtId="0" fontId="72" fillId="59" borderId="0" xfId="187" applyFont="1" applyFill="1" applyBorder="1" applyProtection="1"/>
    <xf numFmtId="0" fontId="72" fillId="59" borderId="0" xfId="187" applyFont="1" applyFill="1" applyAlignment="1" applyProtection="1">
      <alignment wrapText="1"/>
    </xf>
    <xf numFmtId="0" fontId="74" fillId="59" borderId="0" xfId="187" applyFont="1" applyFill="1" applyProtection="1"/>
    <xf numFmtId="0" fontId="73" fillId="35" borderId="0" xfId="187" applyFont="1" applyFill="1" applyProtection="1"/>
    <xf numFmtId="0" fontId="72" fillId="35" borderId="0" xfId="187" applyFont="1" applyFill="1" applyBorder="1" applyAlignment="1" applyProtection="1">
      <alignment horizontal="left"/>
    </xf>
    <xf numFmtId="0" fontId="74" fillId="35" borderId="0" xfId="187" applyFont="1" applyFill="1" applyBorder="1" applyAlignment="1" applyProtection="1">
      <alignment horizontal="center"/>
    </xf>
    <xf numFmtId="0" fontId="72" fillId="35" borderId="0" xfId="187" applyFont="1" applyFill="1" applyAlignment="1" applyProtection="1"/>
    <xf numFmtId="0" fontId="72" fillId="35" borderId="0" xfId="187" applyFont="1" applyFill="1" applyAlignment="1" applyProtection="1">
      <alignment horizontal="right"/>
    </xf>
    <xf numFmtId="49" fontId="72" fillId="35" borderId="0" xfId="187" applyNumberFormat="1" applyFont="1" applyFill="1" applyProtection="1"/>
    <xf numFmtId="0" fontId="103" fillId="35" borderId="0" xfId="187" applyFont="1" applyFill="1" applyBorder="1" applyProtection="1"/>
    <xf numFmtId="0" fontId="72" fillId="35" borderId="0" xfId="187" applyFont="1" applyFill="1" applyBorder="1" applyAlignment="1" applyProtection="1">
      <alignment horizontal="left" wrapText="1"/>
    </xf>
    <xf numFmtId="0" fontId="72" fillId="35" borderId="0" xfId="187" applyFont="1" applyFill="1" applyBorder="1" applyAlignment="1" applyProtection="1">
      <alignment wrapText="1"/>
    </xf>
    <xf numFmtId="0" fontId="74" fillId="35" borderId="0" xfId="187" applyFont="1" applyFill="1" applyBorder="1" applyProtection="1"/>
    <xf numFmtId="0" fontId="74" fillId="35" borderId="0" xfId="187" applyFont="1" applyFill="1" applyBorder="1" applyAlignment="1" applyProtection="1">
      <alignment horizontal="left"/>
    </xf>
    <xf numFmtId="0" fontId="72" fillId="35" borderId="0" xfId="187" quotePrefix="1" applyFont="1" applyFill="1" applyBorder="1" applyAlignment="1" applyProtection="1">
      <alignment horizontal="left" indent="1"/>
    </xf>
    <xf numFmtId="0" fontId="103" fillId="35" borderId="0" xfId="187" applyFont="1" applyFill="1" applyBorder="1" applyAlignment="1" applyProtection="1">
      <alignment horizontal="left"/>
    </xf>
    <xf numFmtId="0" fontId="72" fillId="35" borderId="39" xfId="187" applyFont="1" applyFill="1" applyBorder="1" applyAlignment="1" applyProtection="1">
      <alignment horizontal="left" vertical="top"/>
      <protection locked="0"/>
    </xf>
    <xf numFmtId="0" fontId="72" fillId="35" borderId="56" xfId="187" applyFont="1" applyFill="1" applyBorder="1" applyAlignment="1" applyProtection="1">
      <alignment horizontal="left" vertical="top"/>
      <protection locked="0"/>
    </xf>
    <xf numFmtId="0" fontId="72" fillId="35" borderId="144" xfId="187" applyFont="1" applyFill="1" applyBorder="1" applyAlignment="1" applyProtection="1">
      <alignment horizontal="left" vertical="top"/>
      <protection locked="0"/>
    </xf>
    <xf numFmtId="0" fontId="72" fillId="53" borderId="144" xfId="187" applyFont="1" applyFill="1" applyBorder="1" applyAlignment="1" applyProtection="1">
      <alignment horizontal="left" vertical="top"/>
      <protection locked="0"/>
    </xf>
    <xf numFmtId="0" fontId="72" fillId="35" borderId="10" xfId="187" applyFont="1" applyFill="1" applyBorder="1" applyAlignment="1" applyProtection="1">
      <alignment horizontal="left" vertical="top"/>
      <protection locked="0"/>
    </xf>
    <xf numFmtId="0" fontId="72" fillId="35" borderId="11" xfId="187" applyFont="1" applyFill="1" applyBorder="1" applyAlignment="1" applyProtection="1">
      <alignment horizontal="left" vertical="top"/>
      <protection locked="0"/>
    </xf>
    <xf numFmtId="0" fontId="72" fillId="35" borderId="135" xfId="187" applyFont="1" applyFill="1" applyBorder="1" applyAlignment="1" applyProtection="1">
      <alignment horizontal="left" vertical="top"/>
      <protection locked="0"/>
    </xf>
    <xf numFmtId="0" fontId="72" fillId="53" borderId="135" xfId="187" applyFont="1" applyFill="1" applyBorder="1" applyAlignment="1" applyProtection="1">
      <alignment horizontal="left" vertical="top"/>
      <protection locked="0"/>
    </xf>
    <xf numFmtId="0" fontId="72" fillId="35" borderId="11" xfId="187" applyFont="1" applyFill="1" applyBorder="1" applyAlignment="1" applyProtection="1">
      <alignment vertical="top" wrapText="1"/>
    </xf>
    <xf numFmtId="0" fontId="72" fillId="35" borderId="12" xfId="187" applyFont="1" applyFill="1" applyBorder="1" applyAlignment="1" applyProtection="1">
      <alignment vertical="top" wrapText="1"/>
    </xf>
    <xf numFmtId="0" fontId="72" fillId="35" borderId="13" xfId="187" applyFont="1" applyFill="1" applyBorder="1" applyAlignment="1" applyProtection="1">
      <alignment vertical="top" wrapText="1"/>
    </xf>
    <xf numFmtId="0" fontId="72" fillId="35" borderId="12" xfId="187" applyFont="1" applyFill="1" applyBorder="1" applyAlignment="1" applyProtection="1">
      <alignment vertical="top"/>
    </xf>
    <xf numFmtId="0" fontId="72" fillId="35" borderId="13" xfId="187" applyFont="1" applyFill="1" applyBorder="1" applyAlignment="1" applyProtection="1">
      <alignment vertical="top"/>
    </xf>
    <xf numFmtId="0" fontId="72" fillId="37" borderId="10" xfId="187" applyFont="1" applyFill="1" applyBorder="1" applyAlignment="1" applyProtection="1">
      <alignment horizontal="center"/>
      <protection locked="0"/>
    </xf>
    <xf numFmtId="0" fontId="72" fillId="35" borderId="0" xfId="187" applyFont="1" applyFill="1" applyBorder="1" applyAlignment="1" applyProtection="1">
      <alignment horizontal="center"/>
    </xf>
    <xf numFmtId="0" fontId="72" fillId="35" borderId="0" xfId="187" applyFont="1" applyFill="1" applyBorder="1" applyAlignment="1" applyProtection="1">
      <alignment vertical="center" wrapText="1"/>
    </xf>
    <xf numFmtId="0" fontId="72" fillId="35" borderId="12" xfId="187" applyFont="1" applyFill="1" applyBorder="1" applyAlignment="1" applyProtection="1">
      <alignment horizontal="left" vertical="top" wrapText="1"/>
    </xf>
    <xf numFmtId="0" fontId="72" fillId="35" borderId="0" xfId="187" quotePrefix="1" applyFont="1" applyFill="1" applyBorder="1" applyAlignment="1" applyProtection="1">
      <alignment vertical="top" wrapText="1"/>
    </xf>
    <xf numFmtId="49" fontId="72" fillId="35" borderId="0" xfId="187" applyNumberFormat="1" applyFont="1" applyFill="1" applyBorder="1" applyAlignment="1" applyProtection="1">
      <alignment horizontal="left" indent="2"/>
    </xf>
    <xf numFmtId="0" fontId="72" fillId="59" borderId="0" xfId="187" applyFont="1" applyFill="1" applyAlignment="1" applyProtection="1">
      <alignment vertical="center" wrapText="1"/>
    </xf>
    <xf numFmtId="0" fontId="72" fillId="59" borderId="0" xfId="187" applyFont="1" applyFill="1" applyBorder="1" applyAlignment="1" applyProtection="1">
      <alignment vertical="center" wrapText="1"/>
    </xf>
    <xf numFmtId="0" fontId="112" fillId="59" borderId="0" xfId="187" applyFont="1" applyFill="1" applyProtection="1"/>
    <xf numFmtId="0" fontId="72" fillId="59" borderId="55" xfId="187" applyFont="1" applyFill="1" applyBorder="1" applyAlignment="1" applyProtection="1">
      <alignment vertical="top" wrapText="1"/>
    </xf>
    <xf numFmtId="0" fontId="91" fillId="59" borderId="55" xfId="187" applyFont="1" applyFill="1" applyBorder="1" applyAlignment="1" applyProtection="1">
      <alignment vertical="top" wrapText="1"/>
    </xf>
    <xf numFmtId="0" fontId="91" fillId="59" borderId="0" xfId="187" applyFont="1" applyFill="1" applyAlignment="1" applyProtection="1">
      <alignment wrapText="1"/>
    </xf>
    <xf numFmtId="0" fontId="72" fillId="35" borderId="0" xfId="187" applyFont="1" applyFill="1" applyBorder="1" applyAlignment="1" applyProtection="1">
      <alignment horizontal="left" vertical="center" wrapText="1" indent="1"/>
    </xf>
    <xf numFmtId="0" fontId="72" fillId="35" borderId="0" xfId="187" applyFont="1" applyFill="1" applyBorder="1" applyAlignment="1" applyProtection="1">
      <alignment horizontal="left" vertical="center" indent="1"/>
    </xf>
    <xf numFmtId="0" fontId="112" fillId="35" borderId="0" xfId="187" applyFont="1" applyFill="1" applyProtection="1"/>
    <xf numFmtId="0" fontId="72" fillId="60" borderId="10" xfId="187" applyFont="1" applyFill="1" applyBorder="1" applyAlignment="1" applyProtection="1">
      <alignment horizontal="left" vertical="top" wrapText="1"/>
      <protection locked="0"/>
    </xf>
    <xf numFmtId="0" fontId="72" fillId="60" borderId="10" xfId="187" applyFont="1" applyFill="1" applyBorder="1" applyAlignment="1" applyProtection="1">
      <alignment horizontal="left" vertical="top"/>
      <protection locked="0"/>
    </xf>
    <xf numFmtId="9" fontId="72" fillId="60" borderId="10" xfId="187" applyNumberFormat="1" applyFont="1" applyFill="1" applyBorder="1" applyAlignment="1" applyProtection="1">
      <alignment horizontal="left" vertical="top"/>
      <protection locked="0"/>
    </xf>
    <xf numFmtId="13" fontId="72" fillId="60" borderId="10" xfId="187" applyNumberFormat="1" applyFont="1" applyFill="1" applyBorder="1" applyAlignment="1" applyProtection="1">
      <alignment horizontal="left" vertical="top"/>
      <protection locked="0"/>
    </xf>
    <xf numFmtId="0" fontId="113" fillId="37" borderId="10" xfId="187" applyFont="1" applyFill="1" applyBorder="1" applyAlignment="1" applyProtection="1">
      <alignment horizontal="left" vertical="top"/>
      <protection locked="0"/>
    </xf>
    <xf numFmtId="0" fontId="72" fillId="37" borderId="10" xfId="187" applyFont="1" applyFill="1" applyBorder="1" applyAlignment="1" applyProtection="1">
      <alignment horizontal="left" vertical="top" wrapText="1"/>
      <protection locked="0"/>
    </xf>
    <xf numFmtId="3" fontId="72" fillId="60" borderId="10" xfId="187" applyNumberFormat="1" applyFont="1" applyFill="1" applyBorder="1" applyAlignment="1" applyProtection="1">
      <alignment horizontal="left" vertical="top"/>
      <protection locked="0"/>
    </xf>
    <xf numFmtId="0" fontId="74" fillId="61" borderId="11" xfId="187" applyFont="1" applyFill="1" applyBorder="1" applyAlignment="1" applyProtection="1">
      <alignment horizontal="left" wrapText="1"/>
    </xf>
    <xf numFmtId="0" fontId="72" fillId="33" borderId="10" xfId="187" applyFont="1" applyFill="1" applyBorder="1" applyAlignment="1" applyProtection="1">
      <alignment wrapText="1"/>
    </xf>
    <xf numFmtId="0" fontId="74" fillId="33" borderId="10" xfId="187" applyFont="1" applyFill="1" applyBorder="1" applyAlignment="1" applyProtection="1">
      <alignment wrapText="1"/>
    </xf>
    <xf numFmtId="0" fontId="74" fillId="33" borderId="10" xfId="187" applyFont="1" applyFill="1" applyBorder="1" applyAlignment="1" applyProtection="1"/>
    <xf numFmtId="0" fontId="72" fillId="33" borderId="10" xfId="187" applyFont="1" applyFill="1" applyBorder="1" applyAlignment="1" applyProtection="1">
      <alignment horizontal="center" vertical="center" textRotation="180"/>
    </xf>
    <xf numFmtId="0" fontId="72" fillId="33" borderId="10" xfId="187" applyFont="1" applyFill="1" applyBorder="1" applyAlignment="1" applyProtection="1">
      <alignment horizontal="center" vertical="center" textRotation="180" wrapText="1"/>
    </xf>
    <xf numFmtId="0" fontId="74" fillId="33" borderId="10" xfId="187" applyFont="1" applyFill="1" applyBorder="1" applyAlignment="1" applyProtection="1">
      <alignment wrapText="1"/>
    </xf>
    <xf numFmtId="0" fontId="72" fillId="33" borderId="10" xfId="187" applyFont="1" applyFill="1" applyBorder="1" applyAlignment="1" applyProtection="1">
      <alignment wrapText="1"/>
    </xf>
    <xf numFmtId="0" fontId="74" fillId="33" borderId="59" xfId="187" applyFont="1" applyFill="1" applyBorder="1" applyAlignment="1" applyProtection="1">
      <alignment wrapText="1"/>
    </xf>
    <xf numFmtId="0" fontId="74" fillId="33" borderId="59" xfId="187" applyFont="1" applyFill="1" applyBorder="1" applyAlignment="1" applyProtection="1"/>
    <xf numFmtId="0" fontId="72" fillId="33" borderId="59" xfId="187" applyFont="1" applyFill="1" applyBorder="1" applyAlignment="1" applyProtection="1">
      <alignment horizontal="center" vertical="center" textRotation="180"/>
    </xf>
    <xf numFmtId="0" fontId="72" fillId="33" borderId="59" xfId="187" applyFont="1" applyFill="1" applyBorder="1" applyAlignment="1" applyProtection="1">
      <alignment horizontal="center" vertical="center" textRotation="180" wrapText="1"/>
    </xf>
    <xf numFmtId="0" fontId="74" fillId="61" borderId="10" xfId="187" applyFont="1" applyFill="1" applyBorder="1" applyAlignment="1" applyProtection="1">
      <alignment horizontal="left" wrapText="1"/>
    </xf>
    <xf numFmtId="0" fontId="74" fillId="33" borderId="10" xfId="187" applyFont="1" applyFill="1" applyBorder="1" applyAlignment="1" applyProtection="1">
      <alignment horizontal="left" wrapText="1"/>
    </xf>
    <xf numFmtId="0" fontId="73" fillId="35" borderId="0" xfId="187" applyFont="1" applyFill="1" applyBorder="1" applyAlignment="1" applyProtection="1">
      <alignment horizontal="left" vertical="center"/>
    </xf>
    <xf numFmtId="0" fontId="72" fillId="35" borderId="10" xfId="187" applyFont="1" applyFill="1" applyBorder="1" applyAlignment="1" applyProtection="1">
      <alignment vertical="top"/>
    </xf>
    <xf numFmtId="14" fontId="72" fillId="37" borderId="10" xfId="187" applyNumberFormat="1" applyFont="1" applyFill="1" applyBorder="1" applyAlignment="1" applyProtection="1">
      <protection locked="0"/>
    </xf>
    <xf numFmtId="0" fontId="72" fillId="37" borderId="10" xfId="187" applyFont="1" applyFill="1" applyBorder="1" applyAlignment="1" applyProtection="1">
      <protection locked="0"/>
    </xf>
    <xf numFmtId="2" fontId="72" fillId="59" borderId="0" xfId="187" applyNumberFormat="1" applyFont="1" applyFill="1" applyBorder="1" applyAlignment="1" applyProtection="1">
      <protection locked="0"/>
    </xf>
    <xf numFmtId="0" fontId="72" fillId="37" borderId="136" xfId="187" applyFont="1" applyFill="1" applyBorder="1" applyAlignment="1" applyProtection="1">
      <alignment horizontal="left" vertical="top" wrapText="1"/>
      <protection locked="0"/>
    </xf>
    <xf numFmtId="0" fontId="72" fillId="37" borderId="146" xfId="187" applyFont="1" applyFill="1" applyBorder="1" applyAlignment="1" applyProtection="1">
      <alignment horizontal="left" vertical="top" wrapText="1"/>
      <protection locked="0"/>
    </xf>
    <xf numFmtId="0" fontId="72" fillId="37" borderId="147" xfId="187" applyFont="1" applyFill="1" applyBorder="1" applyAlignment="1" applyProtection="1">
      <alignment horizontal="left" vertical="top" wrapText="1"/>
      <protection locked="0"/>
    </xf>
    <xf numFmtId="0" fontId="72" fillId="35" borderId="56" xfId="187" applyFont="1" applyFill="1" applyBorder="1" applyAlignment="1" applyProtection="1">
      <alignment horizontal="left" vertical="top" wrapText="1"/>
    </xf>
    <xf numFmtId="0" fontId="72" fillId="37" borderId="135" xfId="187" applyFont="1" applyFill="1" applyBorder="1" applyAlignment="1" applyProtection="1">
      <alignment horizontal="left" vertical="top" wrapText="1"/>
      <protection locked="0"/>
    </xf>
    <xf numFmtId="0" fontId="72" fillId="33" borderId="59" xfId="187" applyFont="1" applyFill="1" applyBorder="1" applyAlignment="1" applyProtection="1">
      <alignment wrapText="1"/>
    </xf>
    <xf numFmtId="0" fontId="72" fillId="35" borderId="0" xfId="187" applyFont="1" applyFill="1" applyBorder="1" applyAlignment="1" applyProtection="1">
      <alignment horizontal="left" wrapText="1"/>
    </xf>
    <xf numFmtId="0" fontId="72" fillId="35" borderId="0" xfId="187" applyFont="1" applyFill="1" applyBorder="1" applyAlignment="1" applyProtection="1">
      <alignment horizontal="left" vertical="top" wrapText="1"/>
    </xf>
    <xf numFmtId="0" fontId="72" fillId="33" borderId="10" xfId="187" applyFont="1" applyFill="1" applyBorder="1" applyAlignment="1" applyProtection="1">
      <alignment wrapText="1"/>
    </xf>
    <xf numFmtId="0" fontId="72" fillId="35" borderId="39" xfId="187" applyFont="1" applyFill="1" applyBorder="1" applyAlignment="1" applyProtection="1">
      <alignment horizontal="left" vertical="top" wrapText="1"/>
    </xf>
    <xf numFmtId="0" fontId="72" fillId="37" borderId="144" xfId="187" applyFont="1" applyFill="1" applyBorder="1" applyAlignment="1" applyProtection="1">
      <alignment horizontal="left" vertical="top" wrapText="1"/>
      <protection locked="0"/>
    </xf>
    <xf numFmtId="0" fontId="72" fillId="35" borderId="11" xfId="187" applyFont="1" applyFill="1" applyBorder="1" applyAlignment="1" applyProtection="1">
      <alignment horizontal="left" vertical="top" wrapText="1"/>
    </xf>
    <xf numFmtId="0" fontId="72" fillId="35" borderId="10" xfId="187" applyFont="1" applyFill="1" applyBorder="1" applyAlignment="1" applyProtection="1">
      <alignment horizontal="left" vertical="top" wrapText="1"/>
    </xf>
    <xf numFmtId="0" fontId="72" fillId="35" borderId="54" xfId="187" applyFont="1" applyFill="1" applyBorder="1" applyAlignment="1" applyProtection="1">
      <alignment horizontal="left" vertical="top" wrapText="1"/>
    </xf>
    <xf numFmtId="0" fontId="72" fillId="35" borderId="62" xfId="187" applyFont="1" applyFill="1" applyBorder="1" applyAlignment="1" applyProtection="1">
      <alignment horizontal="left" vertical="top" wrapText="1"/>
    </xf>
    <xf numFmtId="2" fontId="72" fillId="37" borderId="10" xfId="187" applyNumberFormat="1" applyFont="1" applyFill="1" applyBorder="1" applyAlignment="1" applyProtection="1">
      <alignment horizontal="center"/>
      <protection locked="0"/>
    </xf>
    <xf numFmtId="0" fontId="72" fillId="35" borderId="13" xfId="187" applyFont="1" applyFill="1" applyBorder="1" applyAlignment="1" applyProtection="1">
      <alignment horizontal="left" vertical="top" wrapText="1"/>
    </xf>
    <xf numFmtId="0" fontId="72" fillId="33" borderId="10" xfId="187" applyFont="1" applyFill="1" applyBorder="1" applyAlignment="1" applyProtection="1">
      <alignment horizontal="center" vertical="center" wrapText="1"/>
    </xf>
    <xf numFmtId="0" fontId="72" fillId="37" borderId="10" xfId="187" applyFont="1" applyFill="1" applyBorder="1" applyAlignment="1" applyProtection="1">
      <alignment horizontal="center"/>
      <protection locked="0"/>
    </xf>
    <xf numFmtId="1" fontId="72" fillId="37" borderId="10" xfId="187" applyNumberFormat="1" applyFont="1" applyFill="1" applyBorder="1" applyAlignment="1" applyProtection="1">
      <alignment horizontal="center" wrapText="1"/>
      <protection locked="0"/>
    </xf>
    <xf numFmtId="0" fontId="72" fillId="35" borderId="0" xfId="187" applyFont="1" applyFill="1" applyBorder="1" applyAlignment="1" applyProtection="1">
      <alignment horizontal="center"/>
    </xf>
    <xf numFmtId="0" fontId="72" fillId="30" borderId="0" xfId="187" applyFont="1" applyFill="1" applyBorder="1" applyAlignment="1" applyProtection="1">
      <alignment horizontal="left"/>
    </xf>
    <xf numFmtId="0" fontId="72" fillId="0" borderId="0" xfId="187" applyFont="1" applyProtection="1"/>
    <xf numFmtId="0" fontId="72" fillId="0" borderId="0" xfId="187" applyFont="1" applyFill="1" applyProtection="1">
      <protection locked="0"/>
    </xf>
    <xf numFmtId="0" fontId="72" fillId="0" borderId="0" xfId="187" applyFont="1" applyProtection="1">
      <protection locked="0"/>
    </xf>
    <xf numFmtId="0" fontId="72" fillId="30" borderId="0" xfId="187" applyFont="1" applyFill="1" applyBorder="1" applyAlignment="1" applyProtection="1">
      <alignment horizontal="center"/>
    </xf>
    <xf numFmtId="0" fontId="72" fillId="0" borderId="0" xfId="187" applyFont="1" applyFill="1" applyBorder="1" applyProtection="1">
      <protection locked="0"/>
    </xf>
    <xf numFmtId="0" fontId="72" fillId="0" borderId="0" xfId="187" applyFont="1" applyBorder="1" applyProtection="1">
      <protection locked="0"/>
    </xf>
    <xf numFmtId="0" fontId="72" fillId="0" borderId="0" xfId="187" applyFont="1" applyFill="1" applyAlignment="1" applyProtection="1">
      <alignment horizontal="left" indent="1"/>
      <protection locked="0"/>
    </xf>
    <xf numFmtId="0" fontId="72" fillId="0" borderId="0" xfId="187" applyFont="1" applyFill="1" applyBorder="1" applyAlignment="1" applyProtection="1">
      <alignment horizontal="left" indent="1"/>
      <protection locked="0"/>
    </xf>
    <xf numFmtId="0" fontId="72" fillId="0" borderId="0" xfId="187" applyFont="1" applyBorder="1" applyAlignment="1" applyProtection="1">
      <alignment horizontal="left" indent="1"/>
      <protection locked="0"/>
    </xf>
    <xf numFmtId="0" fontId="72" fillId="0" borderId="0" xfId="187" applyFont="1" applyAlignment="1" applyProtection="1">
      <alignment horizontal="left" indent="1"/>
      <protection locked="0"/>
    </xf>
    <xf numFmtId="0" fontId="72" fillId="35" borderId="0" xfId="187" applyFont="1" applyFill="1" applyProtection="1">
      <protection locked="0"/>
    </xf>
    <xf numFmtId="0" fontId="72" fillId="30" borderId="0" xfId="187" applyFont="1" applyFill="1" applyBorder="1" applyAlignment="1" applyProtection="1">
      <alignment horizontal="center" vertical="center"/>
    </xf>
    <xf numFmtId="0" fontId="72" fillId="30" borderId="0" xfId="187" applyFont="1" applyFill="1" applyBorder="1" applyAlignment="1" applyProtection="1">
      <alignment horizontal="left" vertical="center" wrapText="1"/>
    </xf>
    <xf numFmtId="0" fontId="72" fillId="0" borderId="0" xfId="187" applyFont="1" applyBorder="1" applyAlignment="1" applyProtection="1">
      <alignment horizontal="left" vertical="top"/>
    </xf>
    <xf numFmtId="0" fontId="72" fillId="0" borderId="0" xfId="187" applyFont="1" applyBorder="1" applyAlignment="1" applyProtection="1">
      <alignment horizontal="left" vertical="top"/>
      <protection locked="0"/>
    </xf>
    <xf numFmtId="0" fontId="72" fillId="0" borderId="0" xfId="187" applyFont="1" applyFill="1" applyAlignment="1" applyProtection="1">
      <alignment horizontal="left" vertical="top"/>
      <protection locked="0"/>
    </xf>
    <xf numFmtId="0" fontId="72" fillId="30" borderId="66" xfId="187" applyFont="1" applyFill="1" applyBorder="1" applyAlignment="1" applyProtection="1">
      <alignment horizontal="left" vertical="top" wrapText="1"/>
    </xf>
    <xf numFmtId="0" fontId="72" fillId="0" borderId="0" xfId="187" applyFont="1" applyFill="1" applyBorder="1" applyAlignment="1" applyProtection="1">
      <alignment horizontal="left" vertical="top"/>
      <protection locked="0"/>
    </xf>
    <xf numFmtId="0" fontId="72" fillId="0" borderId="10" xfId="187" applyFont="1" applyBorder="1" applyProtection="1">
      <protection locked="0"/>
    </xf>
    <xf numFmtId="166" fontId="72" fillId="0" borderId="10" xfId="187" applyNumberFormat="1" applyFont="1" applyBorder="1" applyAlignment="1" applyProtection="1">
      <alignment horizontal="center"/>
      <protection locked="0"/>
    </xf>
    <xf numFmtId="0" fontId="72" fillId="0" borderId="0" xfId="187" applyFont="1" applyAlignment="1" applyProtection="1">
      <alignment horizontal="left" vertical="top"/>
      <protection locked="0"/>
    </xf>
    <xf numFmtId="0" fontId="72" fillId="30" borderId="55" xfId="187" applyFont="1" applyFill="1" applyBorder="1" applyAlignment="1" applyProtection="1">
      <alignment horizontal="left" vertical="top" wrapText="1"/>
    </xf>
    <xf numFmtId="0" fontId="72" fillId="0" borderId="10" xfId="187" applyFont="1" applyBorder="1" applyAlignment="1" applyProtection="1">
      <alignment horizontal="center"/>
      <protection locked="0"/>
    </xf>
    <xf numFmtId="0" fontId="72" fillId="0" borderId="10" xfId="187" applyFont="1" applyBorder="1" applyAlignment="1" applyProtection="1">
      <alignment wrapText="1"/>
      <protection locked="0"/>
    </xf>
    <xf numFmtId="0" fontId="72" fillId="30" borderId="58" xfId="187" applyFont="1" applyFill="1" applyBorder="1" applyAlignment="1" applyProtection="1">
      <alignment horizontal="left" vertical="top" wrapText="1"/>
    </xf>
    <xf numFmtId="0" fontId="72" fillId="30" borderId="10" xfId="187" applyFont="1" applyFill="1" applyBorder="1" applyAlignment="1" applyProtection="1">
      <alignment horizontal="left" vertical="top" wrapText="1"/>
    </xf>
    <xf numFmtId="0" fontId="72" fillId="30" borderId="0" xfId="187" applyFont="1" applyFill="1" applyBorder="1" applyAlignment="1" applyProtection="1">
      <alignment horizontal="left" vertical="top" wrapText="1"/>
    </xf>
    <xf numFmtId="0" fontId="72" fillId="30" borderId="0" xfId="187" applyFont="1" applyFill="1" applyBorder="1" applyAlignment="1" applyProtection="1">
      <alignment horizontal="left" vertical="top"/>
    </xf>
    <xf numFmtId="0" fontId="72" fillId="30" borderId="0" xfId="187" applyFont="1" applyFill="1" applyBorder="1" applyAlignment="1" applyProtection="1">
      <alignment horizontal="left" wrapText="1"/>
    </xf>
    <xf numFmtId="0" fontId="72" fillId="0" borderId="0" xfId="187" applyFont="1" applyFill="1" applyAlignment="1" applyProtection="1">
      <alignment wrapText="1"/>
      <protection locked="0"/>
    </xf>
    <xf numFmtId="0" fontId="97" fillId="0" borderId="0" xfId="187" applyFont="1" applyBorder="1" applyProtection="1">
      <protection locked="0"/>
    </xf>
    <xf numFmtId="0" fontId="112" fillId="0" borderId="0" xfId="187" applyFont="1" applyFill="1" applyBorder="1" applyProtection="1">
      <protection locked="0"/>
    </xf>
    <xf numFmtId="0" fontId="72" fillId="30" borderId="0" xfId="187" applyFont="1" applyFill="1" applyBorder="1" applyAlignment="1" applyProtection="1">
      <alignment vertical="center" wrapText="1"/>
    </xf>
    <xf numFmtId="0" fontId="72" fillId="30" borderId="0" xfId="187" applyFont="1" applyFill="1" applyBorder="1" applyAlignment="1" applyProtection="1">
      <alignment horizontal="center" vertical="center" textRotation="180" wrapText="1"/>
    </xf>
    <xf numFmtId="0" fontId="86" fillId="0" borderId="10" xfId="187" applyFont="1" applyBorder="1" applyAlignment="1" applyProtection="1">
      <alignment horizontal="center"/>
      <protection locked="0"/>
    </xf>
    <xf numFmtId="0" fontId="86" fillId="0" borderId="10" xfId="187" applyFont="1" applyBorder="1" applyAlignment="1" applyProtection="1">
      <alignment horizontal="center" wrapText="1"/>
      <protection locked="0"/>
    </xf>
    <xf numFmtId="0" fontId="73" fillId="35" borderId="0" xfId="187" applyFont="1" applyFill="1" applyBorder="1" applyAlignment="1" applyProtection="1">
      <alignment horizontal="left" vertical="top"/>
    </xf>
    <xf numFmtId="0" fontId="72" fillId="33" borderId="11" xfId="187" applyFont="1" applyFill="1" applyBorder="1" applyAlignment="1" applyProtection="1">
      <alignment horizontal="left" vertical="top"/>
    </xf>
    <xf numFmtId="0" fontId="72" fillId="33" borderId="13" xfId="187" applyFont="1" applyFill="1" applyBorder="1" applyAlignment="1" applyProtection="1">
      <alignment horizontal="left" vertical="top"/>
    </xf>
    <xf numFmtId="0" fontId="72" fillId="33" borderId="10" xfId="187" applyFont="1" applyFill="1" applyBorder="1" applyAlignment="1" applyProtection="1">
      <alignment horizontal="left" vertical="top"/>
    </xf>
    <xf numFmtId="14" fontId="72" fillId="37" borderId="11" xfId="187" applyNumberFormat="1" applyFont="1" applyFill="1" applyBorder="1" applyAlignment="1" applyProtection="1">
      <alignment horizontal="center"/>
      <protection locked="0"/>
    </xf>
    <xf numFmtId="14" fontId="72" fillId="37" borderId="13" xfId="187" applyNumberFormat="1" applyFont="1" applyFill="1" applyBorder="1" applyAlignment="1" applyProtection="1">
      <alignment horizontal="center"/>
      <protection locked="0"/>
    </xf>
    <xf numFmtId="0" fontId="72" fillId="37" borderId="10" xfId="187" applyFont="1" applyFill="1" applyBorder="1" applyAlignment="1" applyProtection="1">
      <alignment horizontal="left" vertical="top"/>
      <protection locked="0"/>
    </xf>
    <xf numFmtId="0" fontId="72" fillId="33" borderId="10" xfId="187" applyFont="1" applyFill="1" applyBorder="1" applyAlignment="1" applyProtection="1">
      <alignment horizontal="left" wrapText="1"/>
    </xf>
    <xf numFmtId="0" fontId="72" fillId="33" borderId="10" xfId="187" applyFont="1" applyFill="1" applyBorder="1" applyAlignment="1" applyProtection="1">
      <alignment horizontal="left" vertical="top"/>
      <protection locked="0"/>
    </xf>
    <xf numFmtId="0" fontId="72" fillId="37" borderId="39" xfId="187" applyFont="1" applyFill="1" applyBorder="1" applyAlignment="1" applyProtection="1">
      <alignment horizontal="left" vertical="top"/>
      <protection locked="0"/>
    </xf>
    <xf numFmtId="0" fontId="103" fillId="30" borderId="0" xfId="187" applyFont="1" applyFill="1" applyBorder="1" applyAlignment="1" applyProtection="1">
      <alignment horizontal="left"/>
    </xf>
    <xf numFmtId="0" fontId="72" fillId="33" borderId="11" xfId="187" applyFont="1" applyFill="1" applyBorder="1" applyAlignment="1" applyProtection="1">
      <alignment wrapText="1"/>
    </xf>
    <xf numFmtId="0" fontId="72" fillId="33" borderId="12" xfId="187" applyFont="1" applyFill="1" applyBorder="1" applyAlignment="1" applyProtection="1">
      <alignment wrapText="1"/>
    </xf>
    <xf numFmtId="0" fontId="72" fillId="33" borderId="10" xfId="187" applyFont="1" applyFill="1" applyBorder="1" applyAlignment="1" applyProtection="1">
      <alignment horizontal="center" wrapText="1"/>
    </xf>
    <xf numFmtId="0" fontId="72" fillId="37" borderId="135" xfId="187" applyFont="1" applyFill="1" applyBorder="1" applyAlignment="1" applyProtection="1">
      <alignment horizontal="center" vertical="top" wrapText="1"/>
      <protection locked="0"/>
    </xf>
    <xf numFmtId="0" fontId="72" fillId="37" borderId="10" xfId="187" applyFont="1" applyFill="1" applyBorder="1" applyAlignment="1" applyProtection="1">
      <alignment horizontal="left" vertical="top"/>
      <protection locked="0"/>
    </xf>
    <xf numFmtId="0" fontId="72" fillId="37" borderId="10" xfId="187" applyFont="1" applyFill="1" applyBorder="1" applyAlignment="1" applyProtection="1">
      <alignment horizontal="left" vertical="top" wrapText="1"/>
      <protection locked="0"/>
    </xf>
    <xf numFmtId="0" fontId="72" fillId="37" borderId="39" xfId="187" applyFont="1" applyFill="1" applyBorder="1" applyAlignment="1" applyProtection="1">
      <alignment horizontal="left"/>
      <protection locked="0"/>
    </xf>
    <xf numFmtId="0" fontId="72" fillId="37" borderId="10" xfId="187" applyFont="1" applyFill="1" applyBorder="1" applyAlignment="1" applyProtection="1">
      <alignment horizontal="left"/>
      <protection locked="0"/>
    </xf>
    <xf numFmtId="0" fontId="72" fillId="0" borderId="0" xfId="187" applyFont="1" applyFill="1" applyBorder="1" applyAlignment="1" applyProtection="1">
      <alignment wrapText="1"/>
      <protection locked="0"/>
    </xf>
    <xf numFmtId="0" fontId="72" fillId="0" borderId="0" xfId="187" applyFont="1" applyAlignment="1" applyProtection="1">
      <alignment wrapText="1"/>
      <protection locked="0"/>
    </xf>
    <xf numFmtId="0" fontId="72" fillId="0" borderId="0" xfId="187" applyFont="1" applyFill="1" applyAlignment="1" applyProtection="1">
      <alignment horizontal="left" vertical="top" wrapText="1"/>
      <protection locked="0"/>
    </xf>
    <xf numFmtId="0" fontId="72" fillId="0" borderId="0" xfId="187" applyFont="1" applyAlignment="1" applyProtection="1">
      <alignment horizontal="left" vertical="top" wrapText="1"/>
      <protection locked="0"/>
    </xf>
    <xf numFmtId="0" fontId="72" fillId="0" borderId="0" xfId="187" applyFont="1" applyBorder="1" applyAlignment="1" applyProtection="1">
      <alignment horizontal="left" vertical="top"/>
      <protection locked="0"/>
    </xf>
    <xf numFmtId="0" fontId="72" fillId="35" borderId="11" xfId="187" applyFont="1" applyFill="1" applyBorder="1" applyAlignment="1" applyProtection="1">
      <alignment horizontal="left" vertical="top"/>
    </xf>
    <xf numFmtId="0" fontId="72" fillId="30" borderId="12" xfId="187" applyFont="1" applyFill="1" applyBorder="1" applyAlignment="1" applyProtection="1">
      <alignment horizontal="left" vertical="top"/>
    </xf>
    <xf numFmtId="0" fontId="72" fillId="30" borderId="12" xfId="187" applyFont="1" applyFill="1" applyBorder="1" applyAlignment="1" applyProtection="1">
      <alignment horizontal="left" vertical="top" wrapText="1"/>
    </xf>
    <xf numFmtId="0" fontId="72" fillId="30" borderId="54" xfId="187" applyFont="1" applyFill="1" applyBorder="1" applyAlignment="1" applyProtection="1">
      <alignment horizontal="left" vertical="center"/>
    </xf>
    <xf numFmtId="0" fontId="72" fillId="30" borderId="0" xfId="187" applyFont="1" applyFill="1" applyBorder="1" applyAlignment="1" applyProtection="1">
      <alignment horizontal="left" vertical="center"/>
    </xf>
    <xf numFmtId="0" fontId="72" fillId="30" borderId="0" xfId="187" applyFont="1" applyFill="1" applyBorder="1" applyAlignment="1" applyProtection="1">
      <alignment horizontal="right" wrapText="1"/>
    </xf>
    <xf numFmtId="0" fontId="72" fillId="30" borderId="0" xfId="187" applyFont="1" applyFill="1" applyBorder="1" applyAlignment="1" applyProtection="1">
      <alignment horizontal="center" vertical="center" wrapText="1"/>
    </xf>
    <xf numFmtId="0" fontId="72" fillId="35" borderId="0" xfId="187" quotePrefix="1" applyFont="1" applyFill="1" applyBorder="1" applyAlignment="1" applyProtection="1">
      <alignment horizontal="left" vertical="top"/>
    </xf>
    <xf numFmtId="0" fontId="103" fillId="35" borderId="0" xfId="187" applyFont="1" applyFill="1" applyBorder="1" applyAlignment="1" applyProtection="1">
      <alignment horizontal="left" vertical="top"/>
    </xf>
    <xf numFmtId="0" fontId="72" fillId="37" borderId="135" xfId="187" applyFont="1" applyFill="1" applyBorder="1" applyAlignment="1" applyProtection="1">
      <alignment horizontal="left" vertical="top"/>
      <protection locked="0"/>
    </xf>
    <xf numFmtId="0" fontId="72" fillId="37" borderId="144" xfId="187" applyFont="1" applyFill="1" applyBorder="1" applyAlignment="1" applyProtection="1">
      <alignment horizontal="left" vertical="top"/>
      <protection locked="0"/>
    </xf>
    <xf numFmtId="0" fontId="72" fillId="35" borderId="12" xfId="187" applyFont="1" applyFill="1" applyBorder="1" applyAlignment="1" applyProtection="1">
      <alignment horizontal="left" vertical="top"/>
    </xf>
    <xf numFmtId="0" fontId="72" fillId="35" borderId="12" xfId="187" applyFont="1" applyFill="1" applyBorder="1" applyAlignment="1" applyProtection="1">
      <alignment horizontal="center" vertical="top" wrapText="1"/>
      <protection locked="0"/>
    </xf>
    <xf numFmtId="0" fontId="72" fillId="35" borderId="12" xfId="187" applyFont="1" applyFill="1" applyBorder="1" applyAlignment="1" applyProtection="1">
      <alignment horizontal="left" vertical="top" wrapText="1"/>
      <protection locked="0"/>
    </xf>
    <xf numFmtId="0" fontId="72" fillId="33" borderId="10" xfId="187" applyFont="1" applyFill="1" applyBorder="1" applyAlignment="1" applyProtection="1">
      <alignment horizontal="left" vertical="top"/>
    </xf>
    <xf numFmtId="14" fontId="72" fillId="37" borderId="10" xfId="187" applyNumberFormat="1" applyFont="1" applyFill="1" applyBorder="1" applyAlignment="1" applyProtection="1">
      <alignment horizontal="center"/>
      <protection locked="0"/>
    </xf>
    <xf numFmtId="0" fontId="72" fillId="0" borderId="0" xfId="187" applyFont="1" applyAlignment="1" applyProtection="1">
      <alignment vertical="center" wrapText="1"/>
      <protection locked="0"/>
    </xf>
    <xf numFmtId="0" fontId="72" fillId="0" borderId="0" xfId="187" applyFont="1" applyFill="1" applyAlignment="1" applyProtection="1">
      <alignment vertical="center"/>
      <protection locked="0"/>
    </xf>
    <xf numFmtId="0" fontId="72" fillId="0" borderId="0" xfId="187" applyFont="1" applyFill="1" applyBorder="1" applyAlignment="1" applyProtection="1">
      <alignment vertical="center"/>
      <protection locked="0"/>
    </xf>
    <xf numFmtId="0" fontId="72" fillId="35" borderId="0" xfId="187" applyFont="1" applyFill="1" applyAlignment="1" applyProtection="1">
      <alignment vertical="center"/>
      <protection locked="0"/>
    </xf>
    <xf numFmtId="0" fontId="72" fillId="39" borderId="0" xfId="187" applyFont="1" applyFill="1" applyAlignment="1" applyProtection="1">
      <alignment vertical="center"/>
      <protection locked="0"/>
    </xf>
    <xf numFmtId="0" fontId="72" fillId="35" borderId="0" xfId="187" applyFont="1" applyFill="1" applyAlignment="1" applyProtection="1">
      <alignment horizontal="left" vertical="top"/>
      <protection locked="0"/>
    </xf>
    <xf numFmtId="0" fontId="72" fillId="35" borderId="0" xfId="187" quotePrefix="1" applyFont="1" applyFill="1" applyBorder="1" applyAlignment="1" applyProtection="1">
      <alignment horizontal="left" vertical="top" wrapText="1"/>
    </xf>
    <xf numFmtId="0" fontId="72" fillId="0" borderId="0" xfId="187" applyFont="1" applyFill="1" applyBorder="1" applyAlignment="1" applyProtection="1">
      <alignment wrapText="1"/>
    </xf>
    <xf numFmtId="0" fontId="72" fillId="0" borderId="0" xfId="187" applyFont="1" applyBorder="1" applyAlignment="1" applyProtection="1">
      <alignment wrapText="1"/>
    </xf>
    <xf numFmtId="0" fontId="72" fillId="35" borderId="0" xfId="187" applyFont="1" applyFill="1" applyBorder="1" applyAlignment="1" applyProtection="1">
      <alignment horizontal="left"/>
    </xf>
    <xf numFmtId="0" fontId="72" fillId="0" borderId="0" xfId="187" applyFont="1" applyBorder="1" applyAlignment="1" applyProtection="1">
      <alignment wrapText="1"/>
      <protection locked="0"/>
    </xf>
    <xf numFmtId="0" fontId="72" fillId="0" borderId="0" xfId="187" applyFont="1" applyBorder="1" applyAlignment="1" applyProtection="1">
      <alignment horizontal="left" vertical="center" wrapText="1"/>
      <protection locked="0"/>
    </xf>
    <xf numFmtId="0" fontId="112" fillId="0" borderId="0" xfId="187" applyFont="1" applyProtection="1">
      <protection locked="0"/>
    </xf>
    <xf numFmtId="0" fontId="72" fillId="0" borderId="0" xfId="187" applyFont="1" applyFill="1" applyBorder="1" applyAlignment="1" applyProtection="1">
      <alignment horizontal="left" vertical="center" wrapText="1"/>
      <protection locked="0"/>
    </xf>
    <xf numFmtId="0" fontId="72" fillId="30" borderId="0" xfId="187" applyFont="1" applyFill="1" applyBorder="1" applyAlignment="1" applyProtection="1">
      <alignment horizontal="left" vertical="center" wrapText="1" indent="1"/>
    </xf>
    <xf numFmtId="0" fontId="72" fillId="30" borderId="0" xfId="187" applyFont="1" applyFill="1" applyBorder="1" applyAlignment="1" applyProtection="1">
      <alignment horizontal="left" vertical="center" indent="1"/>
    </xf>
    <xf numFmtId="0" fontId="72" fillId="33" borderId="10" xfId="187" applyFont="1" applyFill="1" applyBorder="1" applyAlignment="1" applyProtection="1">
      <alignment horizontal="left"/>
    </xf>
    <xf numFmtId="0" fontId="72" fillId="37" borderId="10" xfId="187" applyFont="1" applyFill="1" applyBorder="1" applyAlignment="1" applyProtection="1">
      <alignment horizontal="center" vertical="center"/>
      <protection locked="0"/>
    </xf>
    <xf numFmtId="0" fontId="72" fillId="37" borderId="10" xfId="187" applyFont="1" applyFill="1" applyBorder="1" applyAlignment="1" applyProtection="1">
      <alignment horizontal="center" vertical="center" wrapText="1"/>
      <protection locked="0"/>
    </xf>
    <xf numFmtId="0" fontId="72" fillId="37" borderId="39" xfId="187" applyFont="1" applyFill="1" applyBorder="1" applyAlignment="1" applyProtection="1">
      <alignment horizontal="center" vertical="center"/>
      <protection locked="0"/>
    </xf>
    <xf numFmtId="0" fontId="72" fillId="37" borderId="141" xfId="187" applyFont="1" applyFill="1" applyBorder="1" applyAlignment="1" applyProtection="1">
      <alignment horizontal="left" vertical="top"/>
      <protection locked="0"/>
    </xf>
    <xf numFmtId="0" fontId="72" fillId="35" borderId="0" xfId="187" applyFont="1" applyFill="1" applyBorder="1" applyAlignment="1" applyProtection="1">
      <alignment horizontal="left" vertical="center"/>
    </xf>
    <xf numFmtId="0" fontId="72" fillId="35" borderId="0" xfId="187" applyFont="1" applyFill="1" applyBorder="1" applyAlignment="1" applyProtection="1">
      <alignment horizontal="left" vertical="center" wrapText="1"/>
    </xf>
    <xf numFmtId="0" fontId="72" fillId="30" borderId="0" xfId="187" applyFont="1" applyFill="1" applyBorder="1" applyAlignment="1" applyProtection="1">
      <alignment horizontal="left"/>
    </xf>
    <xf numFmtId="0" fontId="72" fillId="30" borderId="56" xfId="187" applyFont="1" applyFill="1" applyBorder="1" applyAlignment="1" applyProtection="1">
      <alignment horizontal="left" vertical="top" wrapText="1"/>
    </xf>
    <xf numFmtId="0" fontId="72" fillId="30" borderId="57" xfId="187" applyFont="1" applyFill="1" applyBorder="1" applyAlignment="1" applyProtection="1">
      <alignment horizontal="left" vertical="top" wrapText="1"/>
    </xf>
    <xf numFmtId="0" fontId="72" fillId="0" borderId="0" xfId="187" applyFont="1" applyFill="1" applyBorder="1" applyAlignment="1" applyProtection="1">
      <alignment horizontal="center" vertical="center"/>
      <protection locked="0"/>
    </xf>
    <xf numFmtId="0" fontId="91" fillId="0" borderId="0" xfId="187" applyFont="1" applyFill="1" applyBorder="1" applyProtection="1">
      <protection locked="0"/>
    </xf>
    <xf numFmtId="0" fontId="91" fillId="0" borderId="0" xfId="187" applyFont="1" applyProtection="1">
      <protection locked="0"/>
    </xf>
    <xf numFmtId="0" fontId="72" fillId="37" borderId="0" xfId="187" applyFont="1" applyFill="1" applyBorder="1" applyProtection="1">
      <protection locked="0"/>
    </xf>
    <xf numFmtId="14" fontId="72" fillId="35" borderId="0" xfId="187" applyNumberFormat="1" applyFont="1" applyFill="1" applyBorder="1" applyAlignment="1" applyProtection="1">
      <alignment horizontal="center"/>
      <protection locked="0"/>
    </xf>
    <xf numFmtId="0" fontId="72" fillId="35" borderId="0" xfId="187" applyFont="1" applyFill="1" applyBorder="1" applyProtection="1">
      <protection locked="0"/>
    </xf>
    <xf numFmtId="14" fontId="72" fillId="35" borderId="0" xfId="187" applyNumberFormat="1" applyFont="1" applyFill="1" applyBorder="1" applyAlignment="1" applyProtection="1">
      <alignment horizontal="left"/>
      <protection locked="0"/>
    </xf>
    <xf numFmtId="0" fontId="72" fillId="35" borderId="0" xfId="187" applyFont="1" applyFill="1" applyBorder="1" applyAlignment="1" applyProtection="1">
      <alignment horizontal="left"/>
      <protection locked="0"/>
    </xf>
    <xf numFmtId="0" fontId="72" fillId="33" borderId="0" xfId="187" applyFont="1" applyFill="1" applyBorder="1" applyAlignment="1" applyProtection="1">
      <alignment horizontal="left" vertical="top"/>
    </xf>
    <xf numFmtId="0" fontId="72" fillId="35" borderId="0" xfId="187" quotePrefix="1" applyFont="1" applyFill="1" applyBorder="1" applyAlignment="1" applyProtection="1">
      <alignment horizontal="left" vertical="top" wrapText="1" indent="2"/>
    </xf>
    <xf numFmtId="0" fontId="72" fillId="35" borderId="0" xfId="187" quotePrefix="1" applyFont="1" applyFill="1" applyBorder="1" applyAlignment="1" applyProtection="1">
      <alignment vertical="center" wrapText="1"/>
    </xf>
    <xf numFmtId="0" fontId="72" fillId="37" borderId="39" xfId="187" applyFont="1" applyFill="1" applyBorder="1" applyProtection="1">
      <protection locked="0"/>
    </xf>
    <xf numFmtId="0" fontId="72" fillId="30" borderId="0" xfId="187" applyFont="1" applyFill="1" applyBorder="1" applyAlignment="1" applyProtection="1">
      <alignment horizontal="left" vertical="center" wrapText="1"/>
    </xf>
    <xf numFmtId="0" fontId="72" fillId="35" borderId="0" xfId="187" applyFont="1" applyFill="1" applyAlignment="1" applyProtection="1">
      <alignment vertical="center"/>
    </xf>
    <xf numFmtId="0" fontId="72" fillId="51" borderId="0" xfId="187" applyFont="1" applyFill="1" applyAlignment="1" applyProtection="1">
      <alignment vertical="center"/>
    </xf>
    <xf numFmtId="0" fontId="72" fillId="0" borderId="0" xfId="187" applyFont="1" applyBorder="1" applyProtection="1"/>
    <xf numFmtId="0" fontId="72" fillId="30" borderId="0" xfId="187" applyFont="1" applyFill="1" applyBorder="1" applyAlignment="1" applyProtection="1">
      <alignment horizontal="left" wrapText="1"/>
    </xf>
    <xf numFmtId="0" fontId="72" fillId="30" borderId="0" xfId="187" applyFont="1" applyFill="1" applyAlignment="1" applyProtection="1">
      <alignment horizontal="left" wrapText="1"/>
    </xf>
    <xf numFmtId="0" fontId="103" fillId="30" borderId="0" xfId="187" applyFont="1" applyFill="1" applyBorder="1" applyProtection="1"/>
    <xf numFmtId="14" fontId="72" fillId="35" borderId="0" xfId="187" applyNumberFormat="1" applyFont="1" applyFill="1" applyBorder="1" applyAlignment="1" applyProtection="1">
      <alignment horizontal="center"/>
    </xf>
    <xf numFmtId="0" fontId="72" fillId="61" borderId="10" xfId="187" applyFont="1" applyFill="1" applyBorder="1" applyAlignment="1" applyProtection="1">
      <alignment horizontal="left" wrapText="1"/>
    </xf>
    <xf numFmtId="0" fontId="72" fillId="61" borderId="10" xfId="187" applyFont="1" applyFill="1" applyBorder="1" applyAlignment="1" applyProtection="1">
      <alignment wrapText="1"/>
    </xf>
    <xf numFmtId="0" fontId="72" fillId="60" borderId="10" xfId="187" applyFont="1" applyFill="1" applyBorder="1" applyProtection="1">
      <protection locked="0"/>
    </xf>
    <xf numFmtId="0" fontId="72" fillId="60" borderId="10" xfId="187" applyFont="1" applyFill="1" applyBorder="1" applyAlignment="1" applyProtection="1">
      <protection locked="0"/>
    </xf>
    <xf numFmtId="0" fontId="72" fillId="60" borderId="10" xfId="187" applyFont="1" applyFill="1" applyBorder="1" applyAlignment="1" applyProtection="1">
      <alignment wrapText="1"/>
      <protection locked="0"/>
    </xf>
    <xf numFmtId="0" fontId="72" fillId="33" borderId="59" xfId="187" applyFont="1" applyFill="1" applyBorder="1" applyAlignment="1" applyProtection="1">
      <alignment horizontal="center" wrapText="1"/>
    </xf>
    <xf numFmtId="0" fontId="72" fillId="60" borderId="10" xfId="187" applyFont="1" applyFill="1" applyBorder="1" applyAlignment="1" applyProtection="1">
      <alignment horizontal="center"/>
      <protection locked="0"/>
    </xf>
    <xf numFmtId="0" fontId="72" fillId="60" borderId="10" xfId="187" applyFont="1" applyFill="1" applyBorder="1" applyAlignment="1" applyProtection="1">
      <alignment horizontal="center" wrapText="1"/>
      <protection locked="0"/>
    </xf>
    <xf numFmtId="0" fontId="72" fillId="35" borderId="0" xfId="187" quotePrefix="1" applyFont="1" applyFill="1" applyBorder="1" applyAlignment="1" applyProtection="1">
      <alignment vertical="center"/>
      <protection locked="0"/>
    </xf>
    <xf numFmtId="0" fontId="72" fillId="35" borderId="0" xfId="187" applyFont="1" applyFill="1" applyBorder="1" applyAlignment="1" applyProtection="1">
      <alignment vertical="top"/>
      <protection locked="0"/>
    </xf>
    <xf numFmtId="0" fontId="72" fillId="35" borderId="0" xfId="187" applyFont="1" applyFill="1" applyBorder="1" applyAlignment="1" applyProtection="1">
      <alignment vertical="top" wrapText="1"/>
      <protection locked="0"/>
    </xf>
    <xf numFmtId="0" fontId="72" fillId="35" borderId="0" xfId="187" applyFont="1" applyFill="1" applyBorder="1" applyAlignment="1" applyProtection="1">
      <protection locked="0"/>
    </xf>
    <xf numFmtId="0" fontId="93" fillId="35" borderId="0" xfId="187" applyFont="1" applyFill="1" applyBorder="1" applyProtection="1">
      <protection locked="0"/>
    </xf>
    <xf numFmtId="0" fontId="93" fillId="35" borderId="0" xfId="187" applyFont="1" applyFill="1" applyBorder="1" applyAlignment="1" applyProtection="1">
      <alignment horizontal="left"/>
      <protection locked="0"/>
    </xf>
    <xf numFmtId="0" fontId="72" fillId="30" borderId="0" xfId="187" applyFont="1" applyFill="1" applyBorder="1" applyProtection="1">
      <protection locked="0"/>
    </xf>
    <xf numFmtId="0" fontId="72" fillId="35" borderId="0" xfId="187" applyFont="1" applyFill="1" applyBorder="1" applyAlignment="1" applyProtection="1">
      <alignment wrapText="1"/>
      <protection locked="0"/>
    </xf>
    <xf numFmtId="0" fontId="72" fillId="35" borderId="0" xfId="187" applyFont="1" applyFill="1" applyBorder="1" applyAlignment="1" applyProtection="1">
      <alignment horizontal="left" wrapText="1"/>
      <protection locked="0"/>
    </xf>
    <xf numFmtId="0" fontId="72" fillId="35" borderId="0" xfId="187" applyFont="1" applyFill="1" applyAlignment="1" applyProtection="1">
      <alignment wrapText="1"/>
      <protection locked="0"/>
    </xf>
    <xf numFmtId="0" fontId="72" fillId="35" borderId="0" xfId="187" applyFont="1" applyFill="1" applyBorder="1" applyAlignment="1" applyProtection="1">
      <alignment horizontal="left" vertical="top"/>
      <protection locked="0"/>
    </xf>
    <xf numFmtId="0" fontId="103" fillId="35" borderId="0" xfId="187" applyFont="1" applyFill="1" applyBorder="1" applyProtection="1">
      <protection locked="0"/>
    </xf>
    <xf numFmtId="0" fontId="103" fillId="35" borderId="0" xfId="187" applyFont="1" applyFill="1" applyBorder="1" applyAlignment="1" applyProtection="1">
      <alignment horizontal="left" vertical="top"/>
      <protection locked="0"/>
    </xf>
    <xf numFmtId="0" fontId="103" fillId="35" borderId="0" xfId="187" applyFont="1" applyFill="1" applyBorder="1" applyAlignment="1" applyProtection="1">
      <alignment vertical="top"/>
      <protection locked="0"/>
    </xf>
    <xf numFmtId="0" fontId="72" fillId="35" borderId="0" xfId="187" applyFont="1" applyFill="1" applyBorder="1" applyAlignment="1" applyProtection="1">
      <alignment horizontal="left" vertical="top" wrapText="1"/>
      <protection locked="0"/>
    </xf>
    <xf numFmtId="0" fontId="72" fillId="30" borderId="0" xfId="187" applyFont="1" applyFill="1" applyBorder="1" applyAlignment="1" applyProtection="1">
      <alignment horizontal="center"/>
      <protection locked="0"/>
    </xf>
    <xf numFmtId="0" fontId="73" fillId="35" borderId="0" xfId="187" applyFont="1" applyFill="1" applyBorder="1" applyAlignment="1" applyProtection="1">
      <alignment horizontal="left" vertical="top"/>
      <protection locked="0"/>
    </xf>
    <xf numFmtId="0" fontId="72" fillId="61" borderId="10" xfId="187" applyFont="1" applyFill="1" applyBorder="1" applyAlignment="1" applyProtection="1">
      <alignment horizontal="left" wrapText="1"/>
      <protection locked="0"/>
    </xf>
    <xf numFmtId="0" fontId="72" fillId="33" borderId="10" xfId="187" applyFont="1" applyFill="1" applyBorder="1" applyAlignment="1" applyProtection="1">
      <alignment horizontal="left" wrapText="1"/>
      <protection locked="0"/>
    </xf>
    <xf numFmtId="0" fontId="72" fillId="33" borderId="10" xfId="187" applyFont="1" applyFill="1" applyBorder="1" applyAlignment="1" applyProtection="1">
      <alignment horizontal="center" vertical="center" textRotation="180" wrapText="1"/>
      <protection locked="0"/>
    </xf>
    <xf numFmtId="0" fontId="72" fillId="33" borderId="11" xfId="187" applyFont="1" applyFill="1" applyBorder="1" applyAlignment="1" applyProtection="1">
      <alignment vertical="top"/>
      <protection locked="0"/>
    </xf>
    <xf numFmtId="0" fontId="72" fillId="37" borderId="11" xfId="187" applyFont="1" applyFill="1" applyBorder="1" applyAlignment="1" applyProtection="1">
      <protection locked="0"/>
    </xf>
    <xf numFmtId="14" fontId="72" fillId="37" borderId="10" xfId="187" applyNumberFormat="1" applyFont="1" applyFill="1" applyBorder="1" applyAlignment="1" applyProtection="1">
      <alignment horizontal="left"/>
      <protection locked="0"/>
    </xf>
    <xf numFmtId="0" fontId="72" fillId="35" borderId="0" xfId="187" applyFont="1" applyFill="1" applyAlignment="1" applyProtection="1">
      <alignment horizontal="left"/>
    </xf>
    <xf numFmtId="0" fontId="72" fillId="35" borderId="0" xfId="187" applyFont="1" applyFill="1" applyBorder="1" applyAlignment="1" applyProtection="1">
      <alignment horizontal="center" vertical="center"/>
      <protection locked="0"/>
    </xf>
    <xf numFmtId="0" fontId="72" fillId="35" borderId="0" xfId="187" applyFont="1" applyFill="1" applyBorder="1" applyAlignment="1" applyProtection="1">
      <alignment horizontal="center"/>
      <protection locked="0"/>
    </xf>
    <xf numFmtId="0" fontId="72" fillId="49" borderId="0" xfId="187" applyFont="1" applyFill="1" applyAlignment="1" applyProtection="1">
      <alignment vertical="center"/>
      <protection locked="0"/>
    </xf>
    <xf numFmtId="0" fontId="72" fillId="30" borderId="0" xfId="187" applyFont="1" applyFill="1" applyBorder="1" applyAlignment="1" applyProtection="1">
      <protection locked="0"/>
    </xf>
    <xf numFmtId="0" fontId="72" fillId="30" borderId="0" xfId="187" applyFont="1" applyFill="1" applyBorder="1" applyAlignment="1" applyProtection="1">
      <alignment horizontal="left"/>
      <protection locked="0"/>
    </xf>
    <xf numFmtId="0" fontId="72" fillId="53" borderId="0" xfId="187" applyFont="1" applyFill="1" applyBorder="1" applyAlignment="1" applyProtection="1">
      <alignment horizontal="left" vertical="top" wrapText="1"/>
      <protection locked="0"/>
    </xf>
    <xf numFmtId="0" fontId="112" fillId="35" borderId="0" xfId="187" applyFont="1" applyFill="1" applyBorder="1" applyProtection="1">
      <protection locked="0"/>
    </xf>
    <xf numFmtId="0" fontId="72" fillId="35" borderId="0" xfId="187" applyFont="1" applyFill="1" applyBorder="1" applyAlignment="1" applyProtection="1">
      <alignment vertical="center" wrapText="1"/>
      <protection locked="0"/>
    </xf>
    <xf numFmtId="0" fontId="91" fillId="35" borderId="0" xfId="187" applyFont="1" applyFill="1" applyBorder="1" applyProtection="1">
      <protection locked="0"/>
    </xf>
    <xf numFmtId="0" fontId="73" fillId="35" borderId="0" xfId="187" applyFont="1" applyFill="1" applyBorder="1" applyAlignment="1" applyProtection="1">
      <alignment horizontal="left" vertical="center"/>
      <protection locked="0"/>
    </xf>
    <xf numFmtId="0" fontId="103" fillId="30" borderId="0" xfId="187" applyFont="1" applyFill="1" applyBorder="1" applyProtection="1">
      <protection locked="0"/>
    </xf>
    <xf numFmtId="0" fontId="72" fillId="33" borderId="59" xfId="187" applyFont="1" applyFill="1" applyBorder="1" applyAlignment="1" applyProtection="1">
      <alignment horizontal="left" wrapText="1"/>
    </xf>
    <xf numFmtId="0" fontId="72" fillId="51" borderId="0" xfId="187" applyFont="1" applyFill="1" applyAlignment="1" applyProtection="1">
      <alignment vertical="center"/>
      <protection locked="0"/>
    </xf>
    <xf numFmtId="0" fontId="72" fillId="30" borderId="0" xfId="187" quotePrefix="1" applyFont="1" applyFill="1" applyBorder="1" applyAlignment="1" applyProtection="1">
      <alignment horizontal="left" indent="1"/>
    </xf>
    <xf numFmtId="0" fontId="91" fillId="0" borderId="0" xfId="187" applyFont="1" applyAlignment="1" applyProtection="1">
      <alignment wrapText="1"/>
      <protection locked="0"/>
    </xf>
    <xf numFmtId="0" fontId="72" fillId="0" borderId="10" xfId="187" applyFont="1" applyBorder="1" applyAlignment="1" applyProtection="1">
      <alignment horizontal="center" vertical="center" wrapText="1"/>
    </xf>
    <xf numFmtId="0" fontId="72" fillId="52" borderId="0" xfId="187" applyFont="1" applyFill="1" applyAlignment="1" applyProtection="1">
      <alignment vertical="center"/>
      <protection locked="0"/>
    </xf>
    <xf numFmtId="0" fontId="72" fillId="0" borderId="11" xfId="187" applyFont="1" applyBorder="1" applyAlignment="1" applyProtection="1">
      <alignment vertical="center" wrapText="1"/>
    </xf>
    <xf numFmtId="3" fontId="72" fillId="60" borderId="10" xfId="187" applyNumberFormat="1" applyFont="1" applyFill="1" applyBorder="1" applyAlignment="1" applyProtection="1">
      <alignment horizontal="left" vertical="top" wrapText="1"/>
      <protection locked="0"/>
    </xf>
    <xf numFmtId="9" fontId="72" fillId="60" borderId="10" xfId="187" applyNumberFormat="1" applyFont="1" applyFill="1" applyBorder="1" applyAlignment="1" applyProtection="1">
      <alignment horizontal="left" vertical="top" wrapText="1"/>
      <protection locked="0"/>
    </xf>
    <xf numFmtId="13" fontId="72" fillId="60" borderId="10" xfId="187" applyNumberFormat="1" applyFont="1" applyFill="1" applyBorder="1" applyAlignment="1" applyProtection="1">
      <alignment horizontal="left" vertical="top" wrapText="1"/>
      <protection locked="0"/>
    </xf>
    <xf numFmtId="13" fontId="72" fillId="53" borderId="0" xfId="187" applyNumberFormat="1" applyFont="1" applyFill="1" applyBorder="1" applyAlignment="1" applyProtection="1">
      <alignment horizontal="left" vertical="top" wrapText="1"/>
      <protection locked="0"/>
    </xf>
    <xf numFmtId="0" fontId="72" fillId="0" borderId="0" xfId="187" applyFont="1" applyFill="1" applyBorder="1" applyAlignment="1" applyProtection="1">
      <alignment horizontal="left" vertical="top" wrapText="1"/>
    </xf>
    <xf numFmtId="0" fontId="72" fillId="33" borderId="11" xfId="187" applyFont="1" applyFill="1" applyBorder="1" applyAlignment="1" applyProtection="1">
      <alignment vertical="center" wrapText="1"/>
    </xf>
    <xf numFmtId="0" fontId="72" fillId="37" borderId="151" xfId="187" applyFont="1" applyFill="1" applyBorder="1" applyAlignment="1" applyProtection="1">
      <alignment horizontal="left" vertical="top" wrapText="1"/>
      <protection locked="0"/>
    </xf>
    <xf numFmtId="0" fontId="72" fillId="0" borderId="0" xfId="187" applyFont="1" applyFill="1" applyProtection="1"/>
    <xf numFmtId="0" fontId="72" fillId="30" borderId="62" xfId="187" applyFont="1" applyFill="1" applyBorder="1" applyProtection="1"/>
    <xf numFmtId="0" fontId="72" fillId="35" borderId="0" xfId="187" applyFont="1" applyFill="1" applyBorder="1" applyAlignment="1" applyProtection="1">
      <alignment vertical="center"/>
    </xf>
    <xf numFmtId="0" fontId="91" fillId="30" borderId="0" xfId="187" applyFont="1" applyFill="1" applyBorder="1" applyProtection="1"/>
    <xf numFmtId="0" fontId="91" fillId="0" borderId="0" xfId="187" applyFont="1" applyBorder="1" applyAlignment="1" applyProtection="1">
      <alignment wrapText="1"/>
    </xf>
    <xf numFmtId="0" fontId="72" fillId="0" borderId="0" xfId="187" applyFont="1" applyFill="1" applyBorder="1" applyAlignment="1" applyProtection="1">
      <alignment horizontal="left" wrapText="1"/>
    </xf>
    <xf numFmtId="0" fontId="72" fillId="33" borderId="10" xfId="187" applyFont="1" applyFill="1" applyBorder="1" applyAlignment="1" applyProtection="1">
      <alignment horizontal="left" vertical="top" wrapText="1"/>
    </xf>
    <xf numFmtId="0" fontId="72" fillId="37" borderId="59" xfId="187" applyFont="1" applyFill="1" applyBorder="1" applyProtection="1">
      <protection locked="0"/>
    </xf>
    <xf numFmtId="0" fontId="72" fillId="35" borderId="0" xfId="187" quotePrefix="1" applyFont="1" applyFill="1" applyBorder="1" applyAlignment="1" applyProtection="1">
      <alignment horizontal="left" vertical="top" wrapText="1" indent="1"/>
    </xf>
    <xf numFmtId="0" fontId="72" fillId="35" borderId="0" xfId="187" applyFont="1" applyFill="1" applyBorder="1" applyAlignment="1" applyProtection="1">
      <alignment horizontal="left" vertical="top" wrapText="1" indent="1"/>
    </xf>
    <xf numFmtId="0" fontId="72" fillId="30" borderId="0" xfId="187" applyFont="1" applyFill="1" applyBorder="1" applyAlignment="1" applyProtection="1">
      <alignment horizontal="left" indent="2"/>
    </xf>
    <xf numFmtId="0" fontId="72" fillId="0" borderId="0" xfId="187" applyFont="1" applyAlignment="1" applyProtection="1">
      <alignment horizontal="center"/>
    </xf>
    <xf numFmtId="0" fontId="72" fillId="35" borderId="62" xfId="187" applyFont="1" applyFill="1" applyBorder="1" applyAlignment="1" applyProtection="1">
      <alignment horizontal="left" vertical="top" wrapText="1"/>
      <protection locked="0"/>
    </xf>
    <xf numFmtId="0" fontId="72" fillId="37" borderId="59" xfId="187" applyFont="1" applyFill="1" applyBorder="1" applyAlignment="1" applyProtection="1">
      <alignment horizontal="left" vertical="top" wrapText="1"/>
      <protection locked="0"/>
    </xf>
    <xf numFmtId="0" fontId="72" fillId="0" borderId="0" xfId="187" applyFont="1" applyAlignment="1" applyProtection="1">
      <alignment vertical="center" wrapText="1"/>
    </xf>
    <xf numFmtId="0" fontId="72" fillId="0" borderId="0" xfId="187" applyFont="1" applyFill="1" applyAlignment="1" applyProtection="1">
      <alignment vertical="center"/>
    </xf>
    <xf numFmtId="0" fontId="72" fillId="0" borderId="0" xfId="187" applyFont="1" applyFill="1" applyAlignment="1" applyProtection="1">
      <alignment wrapText="1"/>
    </xf>
    <xf numFmtId="0" fontId="72" fillId="60" borderId="10" xfId="187" applyFont="1" applyFill="1" applyBorder="1" applyAlignment="1" applyProtection="1">
      <alignment horizontal="left" vertical="top" wrapText="1"/>
    </xf>
    <xf numFmtId="0" fontId="72" fillId="60" borderId="10" xfId="187" applyFont="1" applyFill="1" applyBorder="1" applyAlignment="1" applyProtection="1">
      <alignment horizontal="left" vertical="top"/>
    </xf>
    <xf numFmtId="0" fontId="72" fillId="0" borderId="60" xfId="187" applyFont="1" applyFill="1" applyBorder="1" applyAlignment="1" applyProtection="1">
      <alignment vertical="top"/>
    </xf>
    <xf numFmtId="0" fontId="72" fillId="30" borderId="62" xfId="187" applyFont="1" applyFill="1" applyBorder="1" applyAlignment="1" applyProtection="1">
      <alignment horizontal="right" vertical="center"/>
    </xf>
    <xf numFmtId="0" fontId="72" fillId="30" borderId="54" xfId="187" applyFont="1" applyFill="1" applyBorder="1" applyProtection="1"/>
    <xf numFmtId="0" fontId="72" fillId="30" borderId="0" xfId="187" applyFont="1" applyFill="1" applyBorder="1" applyAlignment="1" applyProtection="1">
      <alignment horizontal="right" vertical="center"/>
    </xf>
    <xf numFmtId="0" fontId="93" fillId="0" borderId="0" xfId="187" applyFont="1" applyFill="1" applyProtection="1">
      <protection locked="0"/>
    </xf>
    <xf numFmtId="0" fontId="93" fillId="0" borderId="0" xfId="187" applyFont="1" applyFill="1" applyAlignment="1" applyProtection="1">
      <alignment horizontal="left" vertical="top"/>
      <protection locked="0"/>
    </xf>
    <xf numFmtId="0" fontId="72" fillId="30" borderId="56" xfId="187" applyFont="1" applyFill="1" applyBorder="1" applyProtection="1"/>
    <xf numFmtId="0" fontId="72" fillId="30" borderId="57" xfId="187" applyFont="1" applyFill="1" applyBorder="1" applyProtection="1"/>
    <xf numFmtId="0" fontId="72" fillId="30" borderId="57" xfId="187" applyFont="1" applyFill="1" applyBorder="1" applyAlignment="1" applyProtection="1">
      <alignment horizontal="right" vertical="center"/>
    </xf>
    <xf numFmtId="0" fontId="93" fillId="0" borderId="0" xfId="187" applyFont="1" applyFill="1" applyAlignment="1" applyProtection="1">
      <alignment wrapText="1"/>
      <protection locked="0"/>
    </xf>
    <xf numFmtId="0" fontId="72" fillId="0" borderId="0" xfId="187" applyFont="1" applyAlignment="1" applyProtection="1"/>
    <xf numFmtId="0" fontId="72" fillId="35" borderId="55" xfId="187" applyFont="1" applyFill="1" applyBorder="1" applyAlignment="1" applyProtection="1">
      <alignment vertical="top" wrapText="1"/>
    </xf>
    <xf numFmtId="0" fontId="91" fillId="0" borderId="0" xfId="187" applyFont="1" applyFill="1" applyProtection="1">
      <protection locked="0"/>
    </xf>
    <xf numFmtId="0" fontId="72" fillId="35" borderId="0" xfId="187" applyNumberFormat="1" applyFont="1" applyFill="1" applyBorder="1" applyAlignment="1" applyProtection="1">
      <alignment horizontal="left" vertical="top" wrapText="1"/>
    </xf>
    <xf numFmtId="0" fontId="72" fillId="37" borderId="10" xfId="187" applyFont="1" applyFill="1" applyBorder="1" applyAlignment="1" applyProtection="1">
      <alignment vertical="top" wrapText="1"/>
      <protection locked="0"/>
    </xf>
    <xf numFmtId="0" fontId="93" fillId="0" borderId="0" xfId="187" applyFont="1" applyFill="1" applyProtection="1"/>
    <xf numFmtId="0" fontId="91" fillId="0" borderId="0" xfId="187" applyFont="1" applyProtection="1"/>
    <xf numFmtId="0" fontId="87" fillId="0" borderId="0" xfId="187" applyFont="1" applyBorder="1" applyAlignment="1" applyProtection="1">
      <alignment horizontal="center"/>
    </xf>
    <xf numFmtId="0" fontId="72" fillId="35" borderId="57" xfId="187" applyNumberFormat="1" applyFont="1" applyFill="1" applyBorder="1" applyAlignment="1" applyProtection="1">
      <alignment horizontal="left" vertical="top" wrapText="1"/>
    </xf>
    <xf numFmtId="0" fontId="93" fillId="35" borderId="0" xfId="187" applyFont="1" applyFill="1" applyBorder="1" applyAlignment="1" applyProtection="1">
      <alignment horizontal="left" vertical="top"/>
      <protection locked="0"/>
    </xf>
    <xf numFmtId="0" fontId="93" fillId="35" borderId="0" xfId="187" applyFont="1" applyFill="1" applyAlignment="1" applyProtection="1">
      <alignment wrapText="1"/>
      <protection locked="0"/>
    </xf>
    <xf numFmtId="0" fontId="72" fillId="35" borderId="0" xfId="187" applyFont="1" applyFill="1" applyBorder="1" applyAlignment="1" applyProtection="1">
      <alignment horizontal="center" vertical="center" wrapText="1"/>
      <protection locked="0"/>
    </xf>
    <xf numFmtId="2" fontId="72" fillId="35" borderId="0" xfId="187" applyNumberFormat="1" applyFont="1" applyFill="1" applyBorder="1" applyAlignment="1" applyProtection="1">
      <alignment horizontal="center"/>
      <protection locked="0"/>
    </xf>
    <xf numFmtId="0" fontId="72" fillId="35" borderId="0" xfId="187" applyFont="1" applyFill="1" applyAlignment="1" applyProtection="1">
      <alignment horizontal="center" vertical="center" wrapText="1"/>
      <protection locked="0"/>
    </xf>
    <xf numFmtId="0" fontId="72" fillId="0" borderId="0" xfId="187" applyFont="1" applyAlignment="1" applyProtection="1">
      <alignment horizontal="center" vertical="center" wrapText="1"/>
      <protection locked="0"/>
    </xf>
    <xf numFmtId="0" fontId="72" fillId="0" borderId="0" xfId="187" applyFont="1" applyFill="1" applyBorder="1" applyAlignment="1" applyProtection="1">
      <alignment horizontal="left" vertical="top"/>
    </xf>
    <xf numFmtId="14" fontId="72" fillId="0" borderId="62" xfId="187" applyNumberFormat="1" applyFont="1" applyFill="1" applyBorder="1" applyAlignment="1" applyProtection="1">
      <alignment horizontal="left"/>
      <protection locked="0"/>
    </xf>
    <xf numFmtId="0" fontId="72" fillId="0" borderId="62" xfId="187" applyFont="1" applyFill="1" applyBorder="1" applyAlignment="1" applyProtection="1">
      <alignment horizontal="left"/>
      <protection locked="0"/>
    </xf>
    <xf numFmtId="0" fontId="72" fillId="37" borderId="141" xfId="187" applyFont="1" applyFill="1" applyBorder="1" applyAlignment="1" applyProtection="1">
      <alignment horizontal="left" vertical="top" wrapText="1"/>
      <protection locked="0"/>
    </xf>
    <xf numFmtId="0" fontId="72" fillId="33" borderId="11" xfId="187" applyFont="1" applyFill="1" applyBorder="1" applyAlignment="1" applyProtection="1">
      <alignment vertical="top"/>
    </xf>
    <xf numFmtId="14" fontId="72" fillId="37" borderId="11" xfId="187" applyNumberFormat="1" applyFont="1" applyFill="1" applyBorder="1" applyAlignment="1" applyProtection="1">
      <protection locked="0"/>
    </xf>
    <xf numFmtId="14" fontId="72" fillId="0" borderId="0" xfId="187" applyNumberFormat="1" applyFont="1" applyFill="1" applyBorder="1" applyAlignment="1" applyProtection="1">
      <alignment horizontal="left"/>
      <protection locked="0"/>
    </xf>
    <xf numFmtId="0" fontId="72" fillId="0" borderId="55" xfId="187" applyFont="1" applyBorder="1" applyProtection="1"/>
    <xf numFmtId="0" fontId="72" fillId="0" borderId="55" xfId="187" applyFont="1" applyBorder="1" applyProtection="1">
      <protection locked="0"/>
    </xf>
    <xf numFmtId="1" fontId="72" fillId="37" borderId="10" xfId="187" quotePrefix="1" applyNumberFormat="1" applyFont="1" applyFill="1" applyBorder="1" applyAlignment="1" applyProtection="1">
      <alignment horizontal="center"/>
      <protection locked="0"/>
    </xf>
    <xf numFmtId="0" fontId="72" fillId="37" borderId="10" xfId="187" applyFont="1" applyFill="1" applyBorder="1" applyAlignment="1" applyProtection="1">
      <alignment horizontal="center" wrapText="1"/>
      <protection locked="0"/>
    </xf>
    <xf numFmtId="1" fontId="72" fillId="37" borderId="10" xfId="187" applyNumberFormat="1" applyFont="1" applyFill="1" applyBorder="1" applyAlignment="1" applyProtection="1">
      <alignment horizontal="center"/>
      <protection locked="0"/>
    </xf>
    <xf numFmtId="2" fontId="72" fillId="37" borderId="10" xfId="187" applyNumberFormat="1" applyFont="1" applyFill="1" applyBorder="1" applyAlignment="1" applyProtection="1">
      <alignment horizontal="left"/>
      <protection locked="0"/>
    </xf>
    <xf numFmtId="1" fontId="72" fillId="35" borderId="10" xfId="187" applyNumberFormat="1" applyFont="1" applyFill="1" applyBorder="1" applyAlignment="1" applyProtection="1">
      <alignment horizontal="center" wrapText="1"/>
    </xf>
    <xf numFmtId="2" fontId="72" fillId="35" borderId="10" xfId="187" applyNumberFormat="1" applyFont="1" applyFill="1" applyBorder="1" applyAlignment="1" applyProtection="1">
      <alignment horizontal="center"/>
    </xf>
    <xf numFmtId="0" fontId="72" fillId="0" borderId="0" xfId="187" applyFont="1" applyAlignment="1" applyProtection="1">
      <alignment horizontal="center" vertical="center" wrapText="1"/>
    </xf>
    <xf numFmtId="0" fontId="72" fillId="30" borderId="10" xfId="187" applyFont="1" applyFill="1" applyBorder="1" applyAlignment="1" applyProtection="1">
      <alignment horizontal="center"/>
    </xf>
    <xf numFmtId="0" fontId="72" fillId="30" borderId="10" xfId="187" applyFont="1" applyFill="1" applyBorder="1" applyAlignment="1" applyProtection="1">
      <alignment horizontal="center" vertical="center" wrapText="1"/>
    </xf>
    <xf numFmtId="0" fontId="72" fillId="35" borderId="0" xfId="187" quotePrefix="1" applyFont="1" applyFill="1" applyBorder="1" applyAlignment="1" applyProtection="1">
      <alignment horizontal="left" vertical="center"/>
    </xf>
    <xf numFmtId="0" fontId="91" fillId="0" borderId="0" xfId="187" applyFont="1" applyAlignment="1" applyProtection="1">
      <alignment wrapText="1"/>
    </xf>
    <xf numFmtId="0" fontId="91" fillId="35" borderId="0" xfId="187" applyFont="1" applyFill="1" applyAlignment="1" applyProtection="1">
      <alignment wrapText="1"/>
    </xf>
    <xf numFmtId="0" fontId="72" fillId="30" borderId="0" xfId="187" quotePrefix="1" applyFont="1" applyFill="1" applyBorder="1" applyAlignment="1" applyProtection="1">
      <alignment horizontal="left" wrapText="1" indent="1"/>
    </xf>
    <xf numFmtId="1" fontId="72" fillId="37" borderId="10" xfId="187" applyNumberFormat="1" applyFont="1" applyFill="1" applyBorder="1" applyAlignment="1" applyProtection="1">
      <alignment horizontal="center" vertical="center"/>
      <protection locked="0"/>
    </xf>
    <xf numFmtId="0" fontId="72" fillId="35" borderId="150" xfId="187" applyFont="1" applyFill="1" applyBorder="1" applyAlignment="1" applyProtection="1">
      <alignment horizontal="left" vertical="top" wrapText="1"/>
    </xf>
    <xf numFmtId="0" fontId="72" fillId="35" borderId="155" xfId="187" applyFont="1" applyFill="1" applyBorder="1" applyAlignment="1" applyProtection="1">
      <alignment horizontal="left" vertical="top" wrapText="1"/>
    </xf>
    <xf numFmtId="0" fontId="72" fillId="35" borderId="156" xfId="187" applyFont="1" applyFill="1" applyBorder="1" applyAlignment="1" applyProtection="1">
      <alignment horizontal="left" vertical="top" wrapText="1"/>
    </xf>
    <xf numFmtId="0" fontId="72" fillId="33" borderId="10" xfId="187" applyFont="1" applyFill="1" applyBorder="1" applyAlignment="1" applyProtection="1">
      <alignment horizontal="center" vertical="center"/>
    </xf>
    <xf numFmtId="12" fontId="72" fillId="60" borderId="10" xfId="187" applyNumberFormat="1" applyFont="1" applyFill="1" applyBorder="1" applyAlignment="1" applyProtection="1">
      <alignment horizontal="left" vertical="top" wrapText="1"/>
      <protection locked="0"/>
    </xf>
    <xf numFmtId="0" fontId="72" fillId="60" borderId="10" xfId="664" applyNumberFormat="1" applyFont="1" applyFill="1" applyBorder="1" applyAlignment="1" applyProtection="1">
      <alignment horizontal="left" vertical="top" wrapText="1"/>
      <protection locked="0"/>
    </xf>
    <xf numFmtId="0" fontId="91" fillId="0" borderId="0" xfId="187" applyFont="1" applyFill="1" applyAlignment="1" applyProtection="1">
      <alignment horizontal="left" vertical="top" wrapText="1"/>
      <protection locked="0"/>
    </xf>
    <xf numFmtId="0" fontId="72" fillId="0" borderId="10" xfId="187" applyFont="1" applyFill="1" applyBorder="1" applyAlignment="1" applyProtection="1">
      <alignment horizontal="center" vertical="center" wrapText="1"/>
    </xf>
    <xf numFmtId="0" fontId="72" fillId="0" borderId="0" xfId="187" applyFont="1" applyFill="1" applyBorder="1" applyAlignment="1" applyProtection="1">
      <alignment horizontal="center" vertical="center" wrapText="1"/>
    </xf>
    <xf numFmtId="0" fontId="72" fillId="0" borderId="10" xfId="187" applyFont="1" applyBorder="1" applyAlignment="1" applyProtection="1">
      <alignment horizontal="center"/>
    </xf>
    <xf numFmtId="0" fontId="72" fillId="0" borderId="10" xfId="187" applyFont="1" applyFill="1" applyBorder="1" applyAlignment="1" applyProtection="1">
      <alignment horizontal="center"/>
    </xf>
    <xf numFmtId="0" fontId="72" fillId="0" borderId="11" xfId="187" applyFont="1" applyBorder="1" applyAlignment="1" applyProtection="1"/>
    <xf numFmtId="1" fontId="72" fillId="0" borderId="10" xfId="187" applyNumberFormat="1" applyFont="1" applyBorder="1" applyAlignment="1" applyProtection="1">
      <alignment horizontal="center"/>
    </xf>
    <xf numFmtId="9" fontId="72" fillId="0" borderId="10" xfId="187" applyNumberFormat="1" applyFont="1" applyBorder="1" applyAlignment="1" applyProtection="1">
      <alignment horizontal="center"/>
    </xf>
    <xf numFmtId="0" fontId="93" fillId="0" borderId="0" xfId="187" applyFont="1" applyFill="1" applyBorder="1" applyAlignment="1" applyProtection="1">
      <alignment horizontal="right"/>
      <protection locked="0"/>
    </xf>
    <xf numFmtId="14" fontId="72" fillId="0" borderId="0" xfId="187" applyNumberFormat="1" applyFont="1" applyFill="1" applyAlignment="1" applyProtection="1">
      <alignment horizontal="left"/>
    </xf>
    <xf numFmtId="0" fontId="72" fillId="0" borderId="10" xfId="187" applyFont="1" applyBorder="1" applyAlignment="1" applyProtection="1">
      <alignment horizontal="center" wrapText="1"/>
    </xf>
    <xf numFmtId="0" fontId="72" fillId="0" borderId="0" xfId="187" applyFont="1" applyBorder="1" applyAlignment="1" applyProtection="1">
      <alignment horizontal="center" wrapText="1"/>
    </xf>
    <xf numFmtId="168" fontId="72" fillId="0" borderId="0" xfId="187" applyNumberFormat="1" applyFont="1" applyFill="1" applyBorder="1" applyAlignment="1" applyProtection="1">
      <alignment horizontal="center"/>
    </xf>
    <xf numFmtId="0" fontId="72" fillId="0" borderId="0" xfId="187" applyFont="1" applyAlignment="1" applyProtection="1">
      <alignment horizontal="right"/>
    </xf>
    <xf numFmtId="1" fontId="72" fillId="0" borderId="0" xfId="187" applyNumberFormat="1" applyFont="1" applyAlignment="1" applyProtection="1">
      <alignment horizontal="center"/>
    </xf>
    <xf numFmtId="0" fontId="72" fillId="0" borderId="0" xfId="187" applyFont="1" applyBorder="1" applyAlignment="1" applyProtection="1">
      <alignment horizontal="right"/>
    </xf>
    <xf numFmtId="2" fontId="72" fillId="0" borderId="0" xfId="187" applyNumberFormat="1" applyFont="1" applyBorder="1" applyProtection="1"/>
    <xf numFmtId="166" fontId="72" fillId="0" borderId="0" xfId="187" applyNumberFormat="1" applyFont="1" applyBorder="1" applyAlignment="1" applyProtection="1">
      <alignment horizontal="center"/>
    </xf>
    <xf numFmtId="1" fontId="72" fillId="0" borderId="0" xfId="187" applyNumberFormat="1" applyFont="1" applyBorder="1" applyAlignment="1" applyProtection="1">
      <alignment horizontal="center"/>
    </xf>
    <xf numFmtId="0" fontId="72" fillId="0" borderId="0" xfId="187" applyFont="1" applyFill="1" applyBorder="1" applyAlignment="1" applyProtection="1">
      <alignment horizontal="right"/>
    </xf>
    <xf numFmtId="2" fontId="72" fillId="0" borderId="0" xfId="187" applyNumberFormat="1" applyFont="1" applyBorder="1" applyAlignment="1" applyProtection="1">
      <alignment horizontal="center"/>
    </xf>
    <xf numFmtId="0" fontId="72" fillId="30" borderId="0" xfId="187" quotePrefix="1" applyFont="1" applyFill="1" applyBorder="1" applyAlignment="1" applyProtection="1">
      <alignment horizontal="left" vertical="top" wrapText="1" indent="1"/>
    </xf>
    <xf numFmtId="0" fontId="72" fillId="30" borderId="0" xfId="187" applyFont="1" applyFill="1" applyBorder="1" applyAlignment="1" applyProtection="1">
      <alignment horizontal="left" vertical="top" wrapText="1" indent="1"/>
    </xf>
    <xf numFmtId="9" fontId="72" fillId="35" borderId="10" xfId="187" applyNumberFormat="1" applyFont="1" applyFill="1" applyBorder="1" applyAlignment="1" applyProtection="1">
      <alignment horizontal="center"/>
    </xf>
    <xf numFmtId="1" fontId="72" fillId="35" borderId="10" xfId="187" applyNumberFormat="1" applyFont="1" applyFill="1" applyBorder="1" applyAlignment="1" applyProtection="1">
      <alignment horizontal="center"/>
    </xf>
    <xf numFmtId="166" fontId="72" fillId="35" borderId="10" xfId="187" applyNumberFormat="1" applyFont="1" applyFill="1" applyBorder="1" applyAlignment="1" applyProtection="1">
      <alignment horizontal="center"/>
    </xf>
    <xf numFmtId="168" fontId="72" fillId="35" borderId="10" xfId="187" applyNumberFormat="1" applyFont="1" applyFill="1" applyBorder="1" applyAlignment="1" applyProtection="1">
      <alignment horizontal="center"/>
    </xf>
    <xf numFmtId="0" fontId="72" fillId="35" borderId="10" xfId="187" applyFont="1" applyFill="1" applyBorder="1" applyAlignment="1" applyProtection="1">
      <alignment horizontal="right"/>
    </xf>
    <xf numFmtId="0" fontId="72" fillId="35" borderId="59" xfId="187" applyFont="1" applyFill="1" applyBorder="1" applyAlignment="1" applyProtection="1">
      <alignment horizontal="right"/>
    </xf>
    <xf numFmtId="2" fontId="72" fillId="35" borderId="59" xfId="187" applyNumberFormat="1" applyFont="1" applyFill="1" applyBorder="1" applyAlignment="1" applyProtection="1">
      <alignment horizontal="center"/>
    </xf>
    <xf numFmtId="0" fontId="72" fillId="35" borderId="11" xfId="187" applyFont="1" applyFill="1" applyBorder="1" applyProtection="1"/>
    <xf numFmtId="0" fontId="72" fillId="35" borderId="13" xfId="187" applyFont="1" applyFill="1" applyBorder="1" applyProtection="1"/>
    <xf numFmtId="0" fontId="72" fillId="35" borderId="39" xfId="187" applyFont="1" applyFill="1" applyBorder="1" applyAlignment="1" applyProtection="1">
      <alignment horizontal="right"/>
    </xf>
    <xf numFmtId="166" fontId="72" fillId="35" borderId="39" xfId="187" applyNumberFormat="1" applyFont="1" applyFill="1" applyBorder="1" applyAlignment="1" applyProtection="1">
      <alignment horizontal="center"/>
    </xf>
    <xf numFmtId="0" fontId="72" fillId="35" borderId="39" xfId="187" applyFont="1" applyFill="1" applyBorder="1" applyProtection="1"/>
    <xf numFmtId="1" fontId="72" fillId="35" borderId="59" xfId="187" applyNumberFormat="1" applyFont="1" applyFill="1" applyBorder="1" applyAlignment="1" applyProtection="1">
      <alignment horizontal="center"/>
    </xf>
    <xf numFmtId="0" fontId="72" fillId="0" borderId="10" xfId="187" applyFont="1" applyBorder="1" applyAlignment="1" applyProtection="1">
      <alignment vertical="top" wrapText="1"/>
    </xf>
    <xf numFmtId="0" fontId="72" fillId="37" borderId="135" xfId="187" applyFont="1" applyFill="1" applyBorder="1" applyAlignment="1" applyProtection="1">
      <alignment vertical="top"/>
      <protection locked="0"/>
    </xf>
    <xf numFmtId="0" fontId="72" fillId="35" borderId="10" xfId="187" applyFont="1" applyFill="1" applyBorder="1" applyAlignment="1" applyProtection="1">
      <alignment horizontal="left" vertical="top" wrapText="1"/>
    </xf>
    <xf numFmtId="0" fontId="72" fillId="30" borderId="59" xfId="187" applyFont="1" applyFill="1" applyBorder="1" applyAlignment="1" applyProtection="1">
      <alignment horizontal="left" vertical="top" wrapText="1"/>
    </xf>
    <xf numFmtId="0" fontId="88" fillId="0" borderId="0" xfId="662" applyFont="1" applyFill="1" applyBorder="1" applyProtection="1"/>
    <xf numFmtId="0" fontId="74" fillId="30" borderId="0" xfId="187" applyFont="1" applyFill="1" applyAlignment="1" applyProtection="1">
      <alignment vertical="top"/>
    </xf>
    <xf numFmtId="0" fontId="74" fillId="30" borderId="0" xfId="187" applyFont="1" applyFill="1" applyBorder="1" applyAlignment="1" applyProtection="1">
      <alignment vertical="top"/>
    </xf>
    <xf numFmtId="0" fontId="72" fillId="30" borderId="57" xfId="187" applyFont="1" applyFill="1" applyBorder="1" applyAlignment="1" applyProtection="1">
      <alignment wrapText="1"/>
    </xf>
    <xf numFmtId="0" fontId="74" fillId="52" borderId="10" xfId="187" applyFont="1" applyFill="1" applyBorder="1" applyAlignment="1" applyProtection="1">
      <alignment horizontal="left" vertical="top" wrapText="1"/>
    </xf>
    <xf numFmtId="0" fontId="74" fillId="47" borderId="59" xfId="187" applyFont="1" applyFill="1" applyBorder="1" applyAlignment="1" applyProtection="1">
      <alignment horizontal="left" wrapText="1"/>
    </xf>
    <xf numFmtId="0" fontId="74" fillId="35" borderId="59" xfId="187" applyFont="1" applyFill="1" applyBorder="1" applyAlignment="1" applyProtection="1">
      <alignment horizontal="left" wrapText="1"/>
    </xf>
    <xf numFmtId="166" fontId="74" fillId="46" borderId="11" xfId="187" applyNumberFormat="1" applyFont="1" applyFill="1" applyBorder="1" applyAlignment="1" applyProtection="1">
      <alignment horizontal="center" vertical="top" wrapText="1"/>
    </xf>
    <xf numFmtId="0" fontId="72" fillId="46" borderId="13" xfId="187" applyFont="1" applyFill="1" applyBorder="1" applyAlignment="1" applyProtection="1">
      <alignment horizontal="left" vertical="top"/>
    </xf>
    <xf numFmtId="0" fontId="72" fillId="30" borderId="10" xfId="662" applyFont="1" applyFill="1" applyBorder="1" applyAlignment="1" applyProtection="1">
      <alignment horizontal="center" vertical="top" wrapText="1"/>
    </xf>
    <xf numFmtId="0" fontId="74" fillId="35" borderId="39" xfId="187" applyFont="1" applyFill="1" applyBorder="1" applyAlignment="1" applyProtection="1">
      <alignment horizontal="left" vertical="top" wrapText="1"/>
    </xf>
    <xf numFmtId="0" fontId="72" fillId="47" borderId="39" xfId="662" applyFont="1" applyFill="1" applyBorder="1" applyAlignment="1" applyProtection="1">
      <alignment horizontal="left" vertical="top" wrapText="1"/>
    </xf>
    <xf numFmtId="0" fontId="72" fillId="35" borderId="39" xfId="662" applyFont="1" applyFill="1" applyBorder="1" applyAlignment="1" applyProtection="1">
      <alignment horizontal="left" vertical="top" wrapText="1"/>
    </xf>
    <xf numFmtId="0" fontId="87" fillId="30" borderId="39" xfId="662" applyFont="1" applyFill="1" applyBorder="1" applyAlignment="1" applyProtection="1">
      <alignment horizontal="left" vertical="top"/>
    </xf>
    <xf numFmtId="0" fontId="74" fillId="35" borderId="10" xfId="187" applyFont="1" applyFill="1" applyBorder="1" applyAlignment="1" applyProtection="1">
      <alignment horizontal="left" vertical="top" wrapText="1"/>
    </xf>
    <xf numFmtId="0" fontId="72" fillId="47" borderId="10" xfId="662" applyFont="1" applyFill="1" applyBorder="1" applyAlignment="1" applyProtection="1">
      <alignment horizontal="left" vertical="top" wrapText="1"/>
    </xf>
    <xf numFmtId="0" fontId="72" fillId="35" borderId="10" xfId="662" applyFont="1" applyFill="1" applyBorder="1" applyAlignment="1" applyProtection="1">
      <alignment horizontal="left" vertical="top" wrapText="1"/>
    </xf>
    <xf numFmtId="0" fontId="87" fillId="30" borderId="10" xfId="662" applyFont="1" applyFill="1" applyBorder="1" applyAlignment="1" applyProtection="1">
      <alignment horizontal="left" vertical="top"/>
    </xf>
    <xf numFmtId="0" fontId="72" fillId="30" borderId="10" xfId="187" applyFont="1" applyFill="1" applyBorder="1" applyAlignment="1" applyProtection="1">
      <alignment horizontal="center" vertical="top" wrapText="1"/>
    </xf>
    <xf numFmtId="0" fontId="74" fillId="35" borderId="10" xfId="187" applyFont="1" applyFill="1" applyBorder="1" applyAlignment="1" applyProtection="1">
      <alignment vertical="center" wrapText="1"/>
    </xf>
    <xf numFmtId="0" fontId="72" fillId="47" borderId="10" xfId="187" applyFont="1" applyFill="1" applyBorder="1" applyAlignment="1" applyProtection="1">
      <alignment horizontal="left" vertical="top" wrapText="1"/>
    </xf>
    <xf numFmtId="0" fontId="87" fillId="48" borderId="13" xfId="662" applyFont="1" applyFill="1" applyBorder="1" applyAlignment="1" applyProtection="1">
      <alignment horizontal="left" vertical="top"/>
    </xf>
    <xf numFmtId="0" fontId="74" fillId="35" borderId="10" xfId="662" applyFont="1" applyFill="1" applyBorder="1" applyAlignment="1" applyProtection="1">
      <alignment horizontal="left" vertical="top" wrapText="1"/>
    </xf>
    <xf numFmtId="0" fontId="74" fillId="35" borderId="56" xfId="187" applyFont="1" applyFill="1" applyBorder="1" applyAlignment="1" applyProtection="1">
      <alignment horizontal="left" vertical="top" wrapText="1"/>
    </xf>
    <xf numFmtId="0" fontId="87" fillId="30" borderId="59" xfId="662" applyFont="1" applyFill="1" applyBorder="1" applyAlignment="1" applyProtection="1">
      <alignment horizontal="left" vertical="top"/>
    </xf>
    <xf numFmtId="0" fontId="74" fillId="30" borderId="10" xfId="187" applyFont="1" applyFill="1" applyBorder="1" applyAlignment="1" applyProtection="1">
      <alignment wrapText="1"/>
    </xf>
    <xf numFmtId="0" fontId="74" fillId="35" borderId="0" xfId="187" applyFont="1" applyFill="1" applyAlignment="1" applyProtection="1">
      <alignment wrapText="1"/>
    </xf>
    <xf numFmtId="0" fontId="72" fillId="0" borderId="0" xfId="187" applyFont="1" applyAlignment="1" applyProtection="1">
      <alignment vertical="top"/>
    </xf>
    <xf numFmtId="8" fontId="87" fillId="30" borderId="0" xfId="662" applyNumberFormat="1" applyFont="1" applyFill="1" applyBorder="1" applyProtection="1"/>
    <xf numFmtId="0" fontId="74" fillId="30" borderId="10" xfId="0" applyNumberFormat="1" applyFont="1" applyFill="1" applyBorder="1" applyAlignment="1" applyProtection="1">
      <alignment horizontal="center" vertical="center"/>
    </xf>
    <xf numFmtId="174" fontId="72" fillId="35" borderId="61" xfId="60" applyNumberFormat="1" applyFont="1" applyFill="1" applyBorder="1" applyAlignment="1">
      <alignment horizontal="center" vertical="center"/>
    </xf>
    <xf numFmtId="174" fontId="72" fillId="42" borderId="61" xfId="60" applyNumberFormat="1" applyFont="1" applyFill="1" applyBorder="1" applyAlignment="1">
      <alignment horizontal="center" vertical="center"/>
    </xf>
    <xf numFmtId="0" fontId="72" fillId="63" borderId="16" xfId="0" applyFont="1" applyFill="1" applyBorder="1" applyAlignment="1" applyProtection="1">
      <protection locked="0"/>
    </xf>
    <xf numFmtId="0" fontId="72" fillId="63" borderId="29" xfId="0" applyFont="1" applyFill="1" applyBorder="1" applyAlignment="1" applyProtection="1">
      <protection locked="0"/>
    </xf>
    <xf numFmtId="0" fontId="72" fillId="63" borderId="20" xfId="0" applyFont="1" applyFill="1" applyBorder="1" applyAlignment="1" applyProtection="1">
      <protection locked="0"/>
    </xf>
    <xf numFmtId="0" fontId="84" fillId="63" borderId="16" xfId="61" applyFont="1" applyFill="1" applyBorder="1" applyAlignment="1">
      <alignment vertical="center"/>
    </xf>
    <xf numFmtId="0" fontId="84" fillId="63" borderId="29" xfId="61" applyFont="1" applyFill="1" applyBorder="1" applyAlignment="1">
      <alignment vertical="center"/>
    </xf>
    <xf numFmtId="0" fontId="84" fillId="63" borderId="20" xfId="61" applyFont="1" applyFill="1" applyBorder="1" applyAlignment="1">
      <alignment vertical="center"/>
    </xf>
    <xf numFmtId="0" fontId="84" fillId="63" borderId="23" xfId="61" applyFont="1" applyFill="1" applyBorder="1" applyAlignment="1">
      <alignment vertical="center"/>
    </xf>
    <xf numFmtId="0" fontId="84" fillId="63" borderId="119" xfId="61" applyFont="1" applyFill="1" applyBorder="1" applyAlignment="1">
      <alignment vertical="center"/>
    </xf>
    <xf numFmtId="0" fontId="84" fillId="63" borderId="86" xfId="61" applyFont="1" applyFill="1" applyBorder="1" applyAlignment="1">
      <alignment vertical="center"/>
    </xf>
    <xf numFmtId="174" fontId="72" fillId="43" borderId="59" xfId="61" applyNumberFormat="1" applyFont="1" applyFill="1" applyBorder="1" applyAlignment="1">
      <alignment horizontal="center" vertical="center"/>
    </xf>
    <xf numFmtId="2" fontId="72" fillId="43" borderId="38" xfId="61" applyNumberFormat="1" applyFont="1" applyFill="1" applyBorder="1" applyAlignment="1">
      <alignment horizontal="center" vertical="center"/>
    </xf>
    <xf numFmtId="0" fontId="72" fillId="42" borderId="40" xfId="61" applyNumberFormat="1" applyFont="1" applyFill="1" applyBorder="1" applyAlignment="1">
      <alignment horizontal="center" vertical="center"/>
    </xf>
    <xf numFmtId="0" fontId="72" fillId="42" borderId="42" xfId="61" applyNumberFormat="1" applyFont="1" applyFill="1" applyBorder="1" applyAlignment="1">
      <alignment horizontal="center" vertical="center"/>
    </xf>
    <xf numFmtId="2" fontId="72" fillId="43" borderId="41" xfId="61" applyNumberFormat="1" applyFont="1" applyFill="1" applyBorder="1" applyAlignment="1">
      <alignment horizontal="center" vertical="center"/>
    </xf>
    <xf numFmtId="2" fontId="72" fillId="43" borderId="43" xfId="61" applyNumberFormat="1" applyFont="1" applyFill="1" applyBorder="1" applyAlignment="1">
      <alignment horizontal="center" vertical="center"/>
    </xf>
    <xf numFmtId="0" fontId="72" fillId="42" borderId="44" xfId="61" applyNumberFormat="1" applyFont="1" applyFill="1" applyBorder="1" applyAlignment="1">
      <alignment horizontal="center" vertical="center"/>
    </xf>
    <xf numFmtId="174" fontId="72" fillId="35" borderId="38" xfId="60" applyNumberFormat="1" applyFont="1" applyFill="1" applyBorder="1" applyAlignment="1">
      <alignment horizontal="center" vertical="center"/>
    </xf>
    <xf numFmtId="174" fontId="72" fillId="42" borderId="40" xfId="60" applyNumberFormat="1" applyFont="1" applyFill="1" applyBorder="1" applyAlignment="1">
      <alignment horizontal="center" vertical="center"/>
    </xf>
    <xf numFmtId="174" fontId="72" fillId="35" borderId="43" xfId="60" applyNumberFormat="1" applyFont="1" applyFill="1" applyBorder="1" applyAlignment="1">
      <alignment horizontal="center" vertical="center"/>
    </xf>
    <xf numFmtId="0" fontId="74" fillId="0" borderId="0" xfId="0" applyFont="1" applyFill="1" applyBorder="1" applyAlignment="1">
      <alignment horizontal="center" wrapText="1"/>
    </xf>
    <xf numFmtId="3" fontId="72" fillId="0" borderId="0" xfId="93" applyNumberFormat="1" applyFont="1" applyFill="1" applyBorder="1" applyAlignment="1">
      <alignment horizontal="center" vertical="center" wrapText="1"/>
    </xf>
    <xf numFmtId="9" fontId="72" fillId="0" borderId="0" xfId="51" applyFont="1" applyFill="1" applyBorder="1" applyAlignment="1">
      <alignment horizontal="center" vertical="center" wrapText="1"/>
    </xf>
    <xf numFmtId="0" fontId="72" fillId="0" borderId="0" xfId="0" applyFont="1" applyFill="1" applyAlignment="1">
      <alignment wrapText="1"/>
    </xf>
    <xf numFmtId="2" fontId="72" fillId="0" borderId="0" xfId="0" applyNumberFormat="1" applyFont="1" applyFill="1" applyBorder="1" applyAlignment="1">
      <alignment horizontal="center" wrapText="1"/>
    </xf>
    <xf numFmtId="1" fontId="72" fillId="0" borderId="0" xfId="0" applyNumberFormat="1" applyFont="1" applyFill="1" applyBorder="1" applyAlignment="1">
      <alignment horizontal="center" wrapText="1"/>
    </xf>
    <xf numFmtId="0" fontId="91" fillId="0" borderId="0" xfId="0" applyFont="1" applyAlignment="1"/>
    <xf numFmtId="9" fontId="72" fillId="37" borderId="10" xfId="51" applyFont="1" applyFill="1" applyBorder="1" applyAlignment="1">
      <alignment horizontal="center" vertical="center" wrapText="1"/>
    </xf>
    <xf numFmtId="3" fontId="72" fillId="37" borderId="13" xfId="93" applyNumberFormat="1" applyFont="1" applyFill="1" applyBorder="1" applyAlignment="1">
      <alignment horizontal="center" vertical="center" wrapText="1"/>
    </xf>
    <xf numFmtId="0" fontId="72" fillId="35" borderId="56" xfId="662" applyFont="1" applyFill="1" applyBorder="1" applyAlignment="1" applyProtection="1">
      <alignment horizontal="center" vertical="center" wrapText="1"/>
    </xf>
    <xf numFmtId="0" fontId="72" fillId="35" borderId="11" xfId="662" applyFont="1" applyFill="1" applyBorder="1" applyAlignment="1" applyProtection="1">
      <alignment horizontal="center" vertical="center" wrapText="1"/>
    </xf>
    <xf numFmtId="185" fontId="72" fillId="37" borderId="59" xfId="93" applyNumberFormat="1" applyFont="1" applyFill="1" applyBorder="1" applyAlignment="1" applyProtection="1">
      <alignment horizontal="center" vertical="center" wrapText="1"/>
      <protection locked="0"/>
    </xf>
    <xf numFmtId="186" fontId="72" fillId="37" borderId="59" xfId="93" applyNumberFormat="1" applyFont="1" applyFill="1" applyBorder="1" applyAlignment="1" applyProtection="1">
      <alignment horizontal="center" vertical="center" wrapText="1"/>
      <protection locked="0"/>
    </xf>
    <xf numFmtId="185" fontId="72" fillId="37" borderId="10" xfId="93" applyNumberFormat="1" applyFont="1" applyFill="1" applyBorder="1" applyAlignment="1" applyProtection="1">
      <alignment horizontal="center" vertical="center" wrapText="1"/>
      <protection locked="0"/>
    </xf>
    <xf numFmtId="3" fontId="72" fillId="37" borderId="72" xfId="93" applyNumberFormat="1" applyFont="1" applyFill="1" applyBorder="1" applyAlignment="1" applyProtection="1">
      <alignment horizontal="center" vertical="center" wrapText="1"/>
      <protection locked="0"/>
    </xf>
    <xf numFmtId="3" fontId="72" fillId="37" borderId="69" xfId="93" applyNumberFormat="1" applyFont="1" applyFill="1" applyBorder="1" applyAlignment="1" applyProtection="1">
      <alignment horizontal="center" vertical="center" wrapText="1"/>
      <protection locked="0"/>
    </xf>
    <xf numFmtId="3" fontId="72" fillId="37" borderId="116" xfId="93" applyNumberFormat="1" applyFont="1" applyFill="1" applyBorder="1" applyAlignment="1" applyProtection="1">
      <alignment horizontal="center" vertical="center" wrapText="1"/>
      <protection locked="0"/>
    </xf>
    <xf numFmtId="3" fontId="72" fillId="37" borderId="70" xfId="93" applyNumberFormat="1" applyFont="1" applyFill="1" applyBorder="1" applyAlignment="1" applyProtection="1">
      <alignment horizontal="center" vertical="center" wrapText="1"/>
      <protection locked="0"/>
    </xf>
    <xf numFmtId="0" fontId="72" fillId="37" borderId="10" xfId="0" applyFont="1" applyFill="1" applyBorder="1" applyAlignment="1" applyProtection="1">
      <alignment horizontal="center" vertical="center" wrapText="1"/>
      <protection locked="0"/>
    </xf>
    <xf numFmtId="185" fontId="72" fillId="37" borderId="59" xfId="0" applyNumberFormat="1" applyFont="1" applyFill="1" applyBorder="1" applyAlignment="1" applyProtection="1">
      <alignment horizontal="center" vertical="center" wrapText="1"/>
      <protection locked="0"/>
    </xf>
    <xf numFmtId="0" fontId="72" fillId="0" borderId="0" xfId="0" applyFont="1" applyAlignment="1">
      <alignment vertical="center" wrapText="1"/>
    </xf>
    <xf numFmtId="185" fontId="72" fillId="35" borderId="59" xfId="0" applyNumberFormat="1" applyFont="1" applyFill="1" applyBorder="1" applyAlignment="1">
      <alignment horizontal="center" vertical="center" wrapText="1"/>
    </xf>
    <xf numFmtId="0" fontId="72" fillId="37" borderId="10" xfId="0" applyFont="1" applyFill="1" applyBorder="1" applyAlignment="1" applyProtection="1">
      <alignment vertical="center" wrapText="1"/>
      <protection locked="0"/>
    </xf>
    <xf numFmtId="186" fontId="72" fillId="35" borderId="59" xfId="0" applyNumberFormat="1" applyFont="1" applyFill="1" applyBorder="1" applyAlignment="1">
      <alignment horizontal="center" vertical="center" wrapText="1"/>
    </xf>
    <xf numFmtId="185" fontId="72" fillId="35" borderId="10" xfId="0" applyNumberFormat="1" applyFont="1" applyFill="1" applyBorder="1" applyAlignment="1">
      <alignment horizontal="center" vertical="center" wrapText="1"/>
    </xf>
    <xf numFmtId="190" fontId="72" fillId="37" borderId="166" xfId="93" applyNumberFormat="1" applyFont="1" applyFill="1" applyBorder="1" applyAlignment="1">
      <alignment horizontal="center" vertical="center" wrapText="1"/>
    </xf>
    <xf numFmtId="191" fontId="72" fillId="37" borderId="111" xfId="93" applyNumberFormat="1" applyFont="1" applyFill="1" applyBorder="1" applyAlignment="1">
      <alignment horizontal="center" vertical="center" wrapText="1"/>
    </xf>
    <xf numFmtId="192" fontId="72" fillId="37" borderId="113" xfId="93" applyNumberFormat="1" applyFont="1" applyFill="1" applyBorder="1" applyAlignment="1">
      <alignment horizontal="center" vertical="center" wrapText="1"/>
    </xf>
    <xf numFmtId="191" fontId="72" fillId="37" borderId="113" xfId="93" applyNumberFormat="1" applyFont="1" applyFill="1" applyBorder="1" applyAlignment="1">
      <alignment horizontal="center" vertical="center" wrapText="1"/>
    </xf>
    <xf numFmtId="0" fontId="72" fillId="35" borderId="10" xfId="662" applyFont="1" applyFill="1" applyBorder="1" applyAlignment="1" applyProtection="1">
      <alignment horizontal="center" vertical="center" wrapText="1"/>
    </xf>
    <xf numFmtId="0" fontId="72" fillId="0" borderId="10" xfId="0" applyFont="1" applyBorder="1" applyAlignment="1">
      <alignment horizontal="center" vertical="center" wrapText="1"/>
    </xf>
    <xf numFmtId="0" fontId="87" fillId="0" borderId="0" xfId="662" applyFont="1" applyFill="1" applyBorder="1" applyAlignment="1" applyProtection="1">
      <alignment wrapText="1"/>
    </xf>
    <xf numFmtId="0" fontId="72" fillId="30" borderId="0" xfId="662" applyFont="1" applyFill="1" applyBorder="1" applyAlignment="1" applyProtection="1">
      <alignment horizontal="left" vertical="center"/>
    </xf>
    <xf numFmtId="0" fontId="72" fillId="30" borderId="0" xfId="662" applyFont="1" applyFill="1" applyBorder="1" applyAlignment="1" applyProtection="1">
      <alignment horizontal="center" vertical="center"/>
    </xf>
    <xf numFmtId="0" fontId="72" fillId="33" borderId="10" xfId="662" applyFont="1" applyFill="1" applyBorder="1" applyAlignment="1" applyProtection="1">
      <alignment horizontal="left" wrapText="1"/>
    </xf>
    <xf numFmtId="0" fontId="72" fillId="33" borderId="60" xfId="662" applyFont="1" applyFill="1" applyBorder="1" applyAlignment="1" applyProtection="1">
      <alignment horizontal="center" vertical="center" wrapText="1"/>
    </xf>
    <xf numFmtId="0" fontId="72" fillId="33" borderId="10" xfId="662" applyFont="1" applyFill="1" applyBorder="1" applyAlignment="1" applyProtection="1">
      <alignment horizontal="center" vertical="center" wrapText="1"/>
    </xf>
    <xf numFmtId="0" fontId="72" fillId="62" borderId="11" xfId="187" applyFont="1" applyFill="1" applyBorder="1" applyAlignment="1" applyProtection="1">
      <alignment horizontal="left" vertical="top" wrapText="1"/>
    </xf>
    <xf numFmtId="0" fontId="72" fillId="35" borderId="39" xfId="662" applyFont="1" applyFill="1" applyBorder="1" applyAlignment="1" applyProtection="1">
      <alignment horizontal="center" vertical="center" wrapText="1"/>
    </xf>
    <xf numFmtId="0" fontId="72" fillId="62" borderId="12" xfId="187" applyFont="1" applyFill="1" applyBorder="1" applyAlignment="1" applyProtection="1">
      <alignment horizontal="left" vertical="top" wrapText="1"/>
    </xf>
    <xf numFmtId="0" fontId="93" fillId="62" borderId="0" xfId="662" applyFont="1" applyFill="1" applyBorder="1" applyAlignment="1" applyProtection="1">
      <alignment horizontal="center" vertical="center" wrapText="1"/>
    </xf>
    <xf numFmtId="0" fontId="72" fillId="62" borderId="0" xfId="662" applyFont="1" applyFill="1" applyBorder="1" applyAlignment="1" applyProtection="1">
      <alignment horizontal="center" vertical="center" wrapText="1"/>
    </xf>
    <xf numFmtId="0" fontId="87" fillId="0" borderId="10" xfId="662" applyFont="1" applyFill="1" applyBorder="1" applyProtection="1"/>
    <xf numFmtId="0" fontId="72" fillId="38" borderId="11" xfId="187" applyFont="1" applyFill="1" applyBorder="1" applyAlignment="1" applyProtection="1">
      <alignment horizontal="left" vertical="top" wrapText="1"/>
    </xf>
    <xf numFmtId="0" fontId="72" fillId="38" borderId="12" xfId="187" applyFont="1" applyFill="1" applyBorder="1" applyAlignment="1" applyProtection="1">
      <alignment horizontal="left" vertical="top" wrapText="1"/>
    </xf>
    <xf numFmtId="0" fontId="93" fillId="38" borderId="0" xfId="662" applyFont="1" applyFill="1" applyBorder="1" applyAlignment="1" applyProtection="1">
      <alignment horizontal="center" vertical="center" wrapText="1"/>
    </xf>
    <xf numFmtId="0" fontId="72" fillId="38" borderId="0" xfId="662" applyFont="1" applyFill="1" applyBorder="1" applyAlignment="1" applyProtection="1">
      <alignment horizontal="center" vertical="center" wrapText="1"/>
    </xf>
    <xf numFmtId="0" fontId="72" fillId="35" borderId="10" xfId="662" applyFont="1" applyFill="1" applyBorder="1" applyAlignment="1" applyProtection="1">
      <alignment horizontal="center" vertical="center" wrapText="1"/>
      <protection locked="0"/>
    </xf>
    <xf numFmtId="0" fontId="87" fillId="0" borderId="0" xfId="662" applyFont="1" applyFill="1" applyBorder="1" applyProtection="1">
      <protection locked="0"/>
    </xf>
    <xf numFmtId="0" fontId="117" fillId="0" borderId="0" xfId="662" applyFont="1" applyFill="1" applyBorder="1" applyProtection="1"/>
    <xf numFmtId="0" fontId="87" fillId="0" borderId="0" xfId="662" applyFont="1" applyFill="1" applyBorder="1" applyAlignment="1" applyProtection="1">
      <alignment horizontal="center"/>
    </xf>
    <xf numFmtId="168" fontId="87" fillId="0" borderId="0" xfId="662" applyNumberFormat="1" applyFont="1" applyFill="1" applyBorder="1" applyProtection="1"/>
    <xf numFmtId="168" fontId="87" fillId="0" borderId="0" xfId="662" applyNumberFormat="1" applyFont="1" applyFill="1" applyBorder="1" applyAlignment="1" applyProtection="1">
      <alignment horizontal="center"/>
    </xf>
    <xf numFmtId="0" fontId="72" fillId="0" borderId="0" xfId="662" applyFont="1" applyFill="1" applyBorder="1" applyProtection="1"/>
    <xf numFmtId="3" fontId="72" fillId="37" borderId="114" xfId="93" applyNumberFormat="1" applyFont="1" applyFill="1" applyBorder="1" applyAlignment="1" applyProtection="1">
      <alignment horizontal="center" vertical="center" wrapText="1"/>
      <protection locked="0"/>
    </xf>
    <xf numFmtId="3" fontId="72" fillId="37" borderId="117" xfId="93" applyNumberFormat="1" applyFont="1" applyFill="1" applyBorder="1" applyAlignment="1" applyProtection="1">
      <alignment horizontal="center" vertical="center" wrapText="1"/>
      <protection locked="0"/>
    </xf>
    <xf numFmtId="3" fontId="72" fillId="37" borderId="169" xfId="93" applyNumberFormat="1" applyFont="1" applyFill="1" applyBorder="1" applyAlignment="1" applyProtection="1">
      <alignment horizontal="center" vertical="center" wrapText="1"/>
      <protection locked="0"/>
    </xf>
    <xf numFmtId="0" fontId="74" fillId="33" borderId="170" xfId="0" applyFont="1" applyFill="1" applyBorder="1" applyAlignment="1">
      <alignment horizontal="center" wrapText="1"/>
    </xf>
    <xf numFmtId="0" fontId="72" fillId="37" borderId="170" xfId="0" applyFont="1" applyFill="1" applyBorder="1" applyAlignment="1" applyProtection="1">
      <alignment horizontal="center" vertical="center" wrapText="1"/>
      <protection locked="0"/>
    </xf>
    <xf numFmtId="0" fontId="72" fillId="37" borderId="61" xfId="0" applyFont="1" applyFill="1" applyBorder="1" applyAlignment="1" applyProtection="1">
      <alignment horizontal="center" vertical="center" wrapText="1"/>
      <protection locked="0"/>
    </xf>
    <xf numFmtId="3" fontId="72" fillId="37" borderId="61" xfId="93" applyNumberFormat="1" applyFont="1" applyFill="1" applyBorder="1" applyAlignment="1" applyProtection="1">
      <alignment horizontal="center" vertical="center" wrapText="1"/>
      <protection locked="0"/>
    </xf>
    <xf numFmtId="3" fontId="72" fillId="37" borderId="170" xfId="93" applyNumberFormat="1" applyFont="1" applyFill="1" applyBorder="1" applyAlignment="1" applyProtection="1">
      <alignment horizontal="center" vertical="center" wrapText="1"/>
      <protection locked="0"/>
    </xf>
    <xf numFmtId="3" fontId="72" fillId="37" borderId="54" xfId="93" applyNumberFormat="1" applyFont="1" applyFill="1" applyBorder="1" applyAlignment="1" applyProtection="1">
      <alignment horizontal="center" vertical="center" wrapText="1"/>
      <protection locked="0"/>
    </xf>
    <xf numFmtId="0" fontId="72" fillId="64" borderId="167" xfId="0" applyFont="1" applyFill="1" applyBorder="1" applyAlignment="1" applyProtection="1">
      <alignment horizontal="center" vertical="center" wrapText="1"/>
      <protection locked="0"/>
    </xf>
    <xf numFmtId="193" fontId="72" fillId="37" borderId="10" xfId="93" applyNumberFormat="1" applyFont="1" applyFill="1" applyBorder="1" applyAlignment="1">
      <alignment horizontal="center" vertical="center" wrapText="1"/>
    </xf>
    <xf numFmtId="0" fontId="74" fillId="33" borderId="167" xfId="0" applyFont="1" applyFill="1" applyBorder="1" applyAlignment="1">
      <alignment horizontal="center" wrapText="1"/>
    </xf>
    <xf numFmtId="3" fontId="72" fillId="37" borderId="167" xfId="93" applyNumberFormat="1" applyFont="1" applyFill="1" applyBorder="1" applyAlignment="1">
      <alignment horizontal="center" vertical="center" wrapText="1"/>
    </xf>
    <xf numFmtId="193" fontId="72" fillId="37" borderId="167" xfId="93" applyNumberFormat="1" applyFont="1" applyFill="1" applyBorder="1" applyAlignment="1">
      <alignment horizontal="center" vertical="center" wrapText="1"/>
    </xf>
    <xf numFmtId="194" fontId="72" fillId="37" borderId="10" xfId="93" applyNumberFormat="1" applyFont="1" applyFill="1" applyBorder="1" applyAlignment="1">
      <alignment horizontal="center" vertical="center" wrapText="1"/>
    </xf>
    <xf numFmtId="194" fontId="72" fillId="37" borderId="167" xfId="93" applyNumberFormat="1" applyFont="1" applyFill="1" applyBorder="1" applyAlignment="1">
      <alignment horizontal="center" vertical="center" wrapText="1"/>
    </xf>
    <xf numFmtId="3" fontId="72" fillId="35" borderId="171" xfId="93" applyNumberFormat="1" applyFont="1" applyFill="1" applyBorder="1" applyAlignment="1">
      <alignment horizontal="center" vertical="center" wrapText="1"/>
    </xf>
    <xf numFmtId="195" fontId="72" fillId="37" borderId="10" xfId="93" applyNumberFormat="1" applyFont="1" applyFill="1" applyBorder="1" applyAlignment="1">
      <alignment horizontal="center" vertical="center" wrapText="1"/>
    </xf>
    <xf numFmtId="195" fontId="72" fillId="37" borderId="167" xfId="93" applyNumberFormat="1" applyFont="1" applyFill="1" applyBorder="1" applyAlignment="1">
      <alignment horizontal="center" vertical="center" wrapText="1"/>
    </xf>
    <xf numFmtId="196" fontId="72" fillId="37" borderId="10" xfId="93" applyNumberFormat="1" applyFont="1" applyFill="1" applyBorder="1" applyAlignment="1">
      <alignment horizontal="center" vertical="center" wrapText="1"/>
    </xf>
    <xf numFmtId="0" fontId="87" fillId="0" borderId="10" xfId="662" applyFont="1" applyFill="1" applyBorder="1" applyAlignment="1" applyProtection="1">
      <alignment vertical="center" wrapText="1"/>
    </xf>
    <xf numFmtId="0" fontId="72" fillId="35" borderId="11" xfId="187" applyFont="1" applyFill="1" applyBorder="1" applyAlignment="1" applyProtection="1">
      <alignment horizontal="left" vertical="center" wrapText="1"/>
    </xf>
    <xf numFmtId="0" fontId="72" fillId="35" borderId="10" xfId="660" applyNumberFormat="1" applyFont="1" applyFill="1" applyBorder="1" applyAlignment="1" applyProtection="1">
      <alignment horizontal="left" vertical="center" wrapText="1"/>
    </xf>
    <xf numFmtId="0" fontId="72" fillId="35" borderId="10" xfId="187" applyFont="1" applyFill="1" applyBorder="1" applyAlignment="1" applyProtection="1">
      <alignment horizontal="left" vertical="center" wrapText="1"/>
    </xf>
    <xf numFmtId="0" fontId="87" fillId="0" borderId="11" xfId="662" applyFont="1" applyFill="1" applyBorder="1" applyAlignment="1" applyProtection="1">
      <alignment horizontal="left" vertical="center" wrapText="1"/>
    </xf>
    <xf numFmtId="0" fontId="87" fillId="0" borderId="10" xfId="662" applyFont="1" applyFill="1" applyBorder="1" applyAlignment="1" applyProtection="1">
      <alignment horizontal="left" vertical="center" wrapText="1"/>
    </xf>
    <xf numFmtId="0" fontId="87" fillId="0" borderId="11" xfId="662" applyFont="1" applyFill="1" applyBorder="1" applyAlignment="1" applyProtection="1">
      <alignment horizontal="left" vertical="center"/>
    </xf>
    <xf numFmtId="0" fontId="72" fillId="0" borderId="167" xfId="0" applyFont="1" applyBorder="1" applyAlignment="1">
      <alignment vertical="center" wrapText="1"/>
    </xf>
    <xf numFmtId="0" fontId="72" fillId="64" borderId="170" xfId="0" applyFont="1" applyFill="1" applyBorder="1" applyAlignment="1" applyProtection="1">
      <alignment vertical="center" wrapText="1"/>
      <protection locked="0"/>
    </xf>
    <xf numFmtId="0" fontId="72" fillId="64" borderId="172" xfId="0" applyFont="1" applyFill="1" applyBorder="1" applyAlignment="1" applyProtection="1">
      <alignment vertical="center" wrapText="1"/>
      <protection locked="0"/>
    </xf>
    <xf numFmtId="0" fontId="72" fillId="64" borderId="39" xfId="0" applyFont="1" applyFill="1" applyBorder="1" applyAlignment="1" applyProtection="1">
      <alignment vertical="center" wrapText="1"/>
      <protection locked="0"/>
    </xf>
    <xf numFmtId="0" fontId="72" fillId="64" borderId="61" xfId="0" applyFont="1" applyFill="1" applyBorder="1" applyAlignment="1" applyProtection="1">
      <alignment vertical="center" wrapText="1"/>
      <protection locked="0"/>
    </xf>
    <xf numFmtId="0" fontId="72" fillId="0" borderId="167" xfId="0" applyFont="1" applyBorder="1" applyAlignment="1">
      <alignment wrapText="1"/>
    </xf>
    <xf numFmtId="0" fontId="72" fillId="0" borderId="167" xfId="0" applyFont="1" applyBorder="1" applyAlignment="1">
      <alignment horizontal="center" vertical="center" wrapText="1"/>
    </xf>
    <xf numFmtId="0" fontId="72" fillId="33" borderId="169" xfId="662" applyFont="1" applyFill="1" applyBorder="1" applyAlignment="1" applyProtection="1">
      <alignment horizontal="left" wrapText="1"/>
    </xf>
    <xf numFmtId="0" fontId="72" fillId="62" borderId="173" xfId="187" applyFont="1" applyFill="1" applyBorder="1" applyAlignment="1" applyProtection="1">
      <alignment horizontal="left" vertical="top" wrapText="1"/>
    </xf>
    <xf numFmtId="0" fontId="72" fillId="35" borderId="168" xfId="662" applyFont="1" applyFill="1" applyBorder="1" applyAlignment="1" applyProtection="1">
      <alignment horizontal="center" vertical="center" wrapText="1"/>
    </xf>
    <xf numFmtId="0" fontId="72" fillId="38" borderId="173" xfId="187" applyFont="1" applyFill="1" applyBorder="1" applyAlignment="1" applyProtection="1">
      <alignment horizontal="left" vertical="top" wrapText="1"/>
    </xf>
    <xf numFmtId="0" fontId="72" fillId="35" borderId="169" xfId="662" applyFont="1" applyFill="1" applyBorder="1" applyAlignment="1" applyProtection="1">
      <alignment horizontal="center" vertical="center" wrapText="1"/>
    </xf>
    <xf numFmtId="185" fontId="72" fillId="35" borderId="10" xfId="0" applyNumberFormat="1" applyFont="1" applyFill="1" applyBorder="1" applyAlignment="1" applyProtection="1">
      <alignment horizontal="center" vertical="center" wrapText="1"/>
      <protection locked="0"/>
    </xf>
    <xf numFmtId="189" fontId="72" fillId="35" borderId="10" xfId="0" applyNumberFormat="1" applyFont="1" applyFill="1" applyBorder="1" applyAlignment="1" applyProtection="1">
      <alignment horizontal="center" vertical="center" wrapText="1"/>
      <protection locked="0"/>
    </xf>
    <xf numFmtId="186" fontId="72" fillId="35" borderId="59" xfId="93" applyNumberFormat="1" applyFont="1" applyFill="1" applyBorder="1" applyAlignment="1" applyProtection="1">
      <alignment horizontal="center" vertical="center" wrapText="1"/>
    </xf>
    <xf numFmtId="186" fontId="72" fillId="35" borderId="59" xfId="0" applyNumberFormat="1" applyFont="1" applyFill="1" applyBorder="1" applyAlignment="1" applyProtection="1">
      <alignment horizontal="center" vertical="center" wrapText="1"/>
    </xf>
    <xf numFmtId="189" fontId="72" fillId="35" borderId="10" xfId="0" applyNumberFormat="1" applyFont="1" applyFill="1" applyBorder="1" applyAlignment="1" applyProtection="1">
      <alignment horizontal="center" vertical="center" wrapText="1"/>
    </xf>
    <xf numFmtId="185" fontId="72" fillId="35" borderId="10" xfId="0" applyNumberFormat="1" applyFont="1" applyFill="1" applyBorder="1" applyAlignment="1" applyProtection="1">
      <alignment horizontal="center" vertical="center" wrapText="1"/>
    </xf>
    <xf numFmtId="174" fontId="72" fillId="35" borderId="69" xfId="0" applyNumberFormat="1" applyFont="1" applyFill="1" applyBorder="1" applyAlignment="1" applyProtection="1">
      <alignment horizontal="center" vertical="center" wrapText="1"/>
      <protection locked="0"/>
    </xf>
    <xf numFmtId="0" fontId="72" fillId="64" borderId="175" xfId="0" applyFont="1" applyFill="1" applyBorder="1" applyAlignment="1">
      <alignment horizontal="center" vertical="center" wrapText="1"/>
    </xf>
    <xf numFmtId="0" fontId="72" fillId="64" borderId="176" xfId="0" applyFont="1" applyFill="1" applyBorder="1" applyAlignment="1">
      <alignment horizontal="center" vertical="center" wrapText="1"/>
    </xf>
    <xf numFmtId="0" fontId="72" fillId="64" borderId="177" xfId="0" applyFont="1" applyFill="1" applyBorder="1" applyAlignment="1">
      <alignment horizontal="center" vertical="center" wrapText="1"/>
    </xf>
    <xf numFmtId="0" fontId="72" fillId="64" borderId="178" xfId="0" applyFont="1" applyFill="1" applyBorder="1" applyAlignment="1">
      <alignment horizontal="center" vertical="center" wrapText="1"/>
    </xf>
    <xf numFmtId="0" fontId="72" fillId="64" borderId="0" xfId="0" applyFont="1" applyFill="1" applyBorder="1" applyAlignment="1">
      <alignment horizontal="center" vertical="center" wrapText="1"/>
    </xf>
    <xf numFmtId="0" fontId="72" fillId="64" borderId="179" xfId="0" applyFont="1" applyFill="1" applyBorder="1" applyAlignment="1">
      <alignment horizontal="center" vertical="center" wrapText="1"/>
    </xf>
    <xf numFmtId="0" fontId="72" fillId="64" borderId="56" xfId="0" applyFont="1" applyFill="1" applyBorder="1" applyAlignment="1">
      <alignment horizontal="center" vertical="center" wrapText="1"/>
    </xf>
    <xf numFmtId="0" fontId="72" fillId="64" borderId="180" xfId="0" applyFont="1" applyFill="1" applyBorder="1" applyAlignment="1">
      <alignment horizontal="center" vertical="center" wrapText="1"/>
    </xf>
    <xf numFmtId="0" fontId="72" fillId="64" borderId="181" xfId="0" applyFont="1" applyFill="1" applyBorder="1" applyAlignment="1">
      <alignment horizontal="center" vertical="center" wrapText="1"/>
    </xf>
    <xf numFmtId="0" fontId="72" fillId="64" borderId="184" xfId="0" applyFont="1" applyFill="1" applyBorder="1" applyAlignment="1">
      <alignment horizontal="center" vertical="center" wrapText="1"/>
    </xf>
    <xf numFmtId="0" fontId="72" fillId="64" borderId="185" xfId="0" applyFont="1" applyFill="1" applyBorder="1" applyAlignment="1">
      <alignment horizontal="center" vertical="center" wrapText="1"/>
    </xf>
    <xf numFmtId="3" fontId="72" fillId="37" borderId="179" xfId="93" applyNumberFormat="1" applyFont="1" applyFill="1" applyBorder="1" applyAlignment="1">
      <alignment horizontal="center" vertical="center" wrapText="1"/>
    </xf>
    <xf numFmtId="3" fontId="72" fillId="37" borderId="172" xfId="93" applyNumberFormat="1" applyFont="1" applyFill="1" applyBorder="1" applyAlignment="1">
      <alignment horizontal="center" vertical="center" wrapText="1"/>
    </xf>
    <xf numFmtId="3" fontId="72" fillId="37" borderId="70" xfId="93" applyNumberFormat="1" applyFont="1" applyFill="1" applyBorder="1" applyAlignment="1">
      <alignment horizontal="center" vertical="center" wrapText="1"/>
    </xf>
    <xf numFmtId="3" fontId="72" fillId="37" borderId="181" xfId="93" applyNumberFormat="1" applyFont="1" applyFill="1" applyBorder="1" applyAlignment="1">
      <alignment horizontal="center" vertical="center" wrapText="1"/>
    </xf>
    <xf numFmtId="3" fontId="72" fillId="37" borderId="39" xfId="93" applyNumberFormat="1" applyFont="1" applyFill="1" applyBorder="1" applyAlignment="1">
      <alignment horizontal="center" vertical="center" wrapText="1"/>
    </xf>
    <xf numFmtId="0" fontId="72" fillId="64" borderId="187" xfId="0" applyFont="1" applyFill="1" applyBorder="1" applyAlignment="1" applyProtection="1">
      <alignment horizontal="center" vertical="center" wrapText="1"/>
      <protection locked="0"/>
    </xf>
    <xf numFmtId="3" fontId="72" fillId="64" borderId="188" xfId="93" applyNumberFormat="1" applyFont="1" applyFill="1" applyBorder="1" applyAlignment="1" applyProtection="1">
      <alignment horizontal="center" vertical="center" wrapText="1"/>
      <protection locked="0"/>
    </xf>
    <xf numFmtId="0" fontId="72" fillId="64" borderId="186" xfId="0" applyFont="1" applyFill="1" applyBorder="1" applyAlignment="1" applyProtection="1">
      <alignment vertical="center" wrapText="1"/>
      <protection locked="0"/>
    </xf>
    <xf numFmtId="0" fontId="72" fillId="64" borderId="179" xfId="0" applyFont="1" applyFill="1" applyBorder="1" applyAlignment="1" applyProtection="1">
      <alignment vertical="center" wrapText="1"/>
      <protection locked="0"/>
    </xf>
    <xf numFmtId="3" fontId="72" fillId="64" borderId="184" xfId="93" applyNumberFormat="1" applyFont="1" applyFill="1" applyBorder="1" applyAlignment="1" applyProtection="1">
      <alignment horizontal="center" vertical="center" wrapText="1"/>
      <protection locked="0"/>
    </xf>
    <xf numFmtId="0" fontId="72" fillId="64" borderId="185" xfId="0" applyFont="1" applyFill="1" applyBorder="1" applyAlignment="1" applyProtection="1">
      <alignment vertical="center" wrapText="1"/>
      <protection locked="0"/>
    </xf>
    <xf numFmtId="3" fontId="72" fillId="64" borderId="190" xfId="93" applyNumberFormat="1" applyFont="1" applyFill="1" applyBorder="1" applyAlignment="1" applyProtection="1">
      <alignment horizontal="center" vertical="center" wrapText="1"/>
      <protection locked="0"/>
    </xf>
    <xf numFmtId="3" fontId="72" fillId="64" borderId="180" xfId="93" applyNumberFormat="1" applyFont="1" applyFill="1" applyBorder="1" applyAlignment="1" applyProtection="1">
      <alignment horizontal="center" vertical="center" wrapText="1"/>
      <protection locked="0"/>
    </xf>
    <xf numFmtId="3" fontId="72" fillId="64" borderId="185" xfId="93" applyNumberFormat="1" applyFont="1" applyFill="1" applyBorder="1" applyAlignment="1" applyProtection="1">
      <alignment horizontal="center" vertical="center" wrapText="1"/>
      <protection locked="0"/>
    </xf>
    <xf numFmtId="0" fontId="72" fillId="64" borderId="0" xfId="0" applyFont="1" applyFill="1" applyBorder="1" applyAlignment="1" applyProtection="1">
      <alignment vertical="center" wrapText="1"/>
      <protection locked="0"/>
    </xf>
    <xf numFmtId="3" fontId="72" fillId="64" borderId="178" xfId="93" applyNumberFormat="1" applyFont="1" applyFill="1" applyBorder="1" applyAlignment="1" applyProtection="1">
      <alignment horizontal="center" vertical="center" wrapText="1"/>
      <protection locked="0"/>
    </xf>
    <xf numFmtId="0" fontId="72" fillId="64" borderId="183" xfId="0" applyFont="1" applyFill="1" applyBorder="1" applyAlignment="1" applyProtection="1">
      <alignment vertical="center" wrapText="1"/>
      <protection locked="0"/>
    </xf>
    <xf numFmtId="0" fontId="72" fillId="64" borderId="181" xfId="0" applyFont="1" applyFill="1" applyBorder="1" applyAlignment="1" applyProtection="1">
      <alignment vertical="center" wrapText="1"/>
      <protection locked="0"/>
    </xf>
    <xf numFmtId="0" fontId="72" fillId="62" borderId="187" xfId="187" applyFont="1" applyFill="1" applyBorder="1" applyAlignment="1" applyProtection="1">
      <alignment horizontal="left" vertical="top" wrapText="1"/>
    </xf>
    <xf numFmtId="0" fontId="72" fillId="62" borderId="188" xfId="187" applyFont="1" applyFill="1" applyBorder="1" applyAlignment="1" applyProtection="1">
      <alignment horizontal="left" vertical="top" wrapText="1"/>
    </xf>
    <xf numFmtId="0" fontId="93" fillId="62" borderId="188" xfId="662" applyFont="1" applyFill="1" applyBorder="1" applyAlignment="1" applyProtection="1">
      <alignment horizontal="center" vertical="center" wrapText="1"/>
    </xf>
    <xf numFmtId="0" fontId="72" fillId="62" borderId="188" xfId="662" applyFont="1" applyFill="1" applyBorder="1" applyAlignment="1" applyProtection="1">
      <alignment horizontal="center" vertical="center" wrapText="1"/>
    </xf>
    <xf numFmtId="0" fontId="93" fillId="62" borderId="189" xfId="662" applyFont="1" applyFill="1" applyBorder="1" applyAlignment="1" applyProtection="1">
      <alignment horizontal="center" vertical="center" wrapText="1"/>
    </xf>
    <xf numFmtId="0" fontId="72" fillId="35" borderId="190" xfId="662" applyFont="1" applyFill="1" applyBorder="1" applyAlignment="1" applyProtection="1">
      <alignment horizontal="center" vertical="center" wrapText="1"/>
    </xf>
    <xf numFmtId="0" fontId="87" fillId="0" borderId="190" xfId="662" applyFont="1" applyFill="1" applyBorder="1" applyAlignment="1" applyProtection="1">
      <alignment horizontal="left" vertical="center" wrapText="1"/>
    </xf>
    <xf numFmtId="0" fontId="87" fillId="0" borderId="39" xfId="662" applyFont="1" applyFill="1" applyBorder="1" applyAlignment="1" applyProtection="1">
      <alignment horizontal="left" vertical="center" wrapText="1"/>
    </xf>
    <xf numFmtId="0" fontId="72" fillId="62" borderId="189" xfId="662" applyFont="1" applyFill="1" applyBorder="1" applyAlignment="1" applyProtection="1">
      <alignment horizontal="center" vertical="center" wrapText="1"/>
    </xf>
    <xf numFmtId="0" fontId="87" fillId="0" borderId="189" xfId="662" applyFont="1" applyFill="1" applyBorder="1" applyAlignment="1" applyProtection="1">
      <alignment vertical="center" wrapText="1"/>
    </xf>
    <xf numFmtId="0" fontId="72" fillId="37" borderId="56" xfId="0" applyFont="1" applyFill="1" applyBorder="1" applyAlignment="1">
      <alignment horizontal="center" vertical="center" wrapText="1"/>
    </xf>
    <xf numFmtId="0" fontId="72" fillId="37" borderId="167" xfId="0" applyNumberFormat="1" applyFont="1" applyFill="1" applyBorder="1" applyAlignment="1" applyProtection="1">
      <alignment horizontal="center" vertical="center" wrapText="1"/>
      <protection locked="0"/>
    </xf>
    <xf numFmtId="0" fontId="72" fillId="0" borderId="182" xfId="0" applyFont="1" applyBorder="1" applyAlignment="1">
      <alignment wrapText="1"/>
    </xf>
    <xf numFmtId="0" fontId="72" fillId="0" borderId="182" xfId="0" applyFont="1" applyBorder="1" applyAlignment="1">
      <alignment horizontal="center" vertical="center" wrapText="1"/>
    </xf>
    <xf numFmtId="188" fontId="72" fillId="37" borderId="182" xfId="93" applyNumberFormat="1" applyFont="1" applyFill="1" applyBorder="1" applyAlignment="1">
      <alignment horizontal="center" vertical="center" wrapText="1"/>
    </xf>
    <xf numFmtId="187" fontId="72" fillId="37" borderId="182" xfId="93" applyNumberFormat="1" applyFont="1" applyFill="1" applyBorder="1" applyAlignment="1">
      <alignment horizontal="center" vertical="center" wrapText="1"/>
    </xf>
    <xf numFmtId="188" fontId="72" fillId="0" borderId="10" xfId="0" applyNumberFormat="1" applyFont="1" applyBorder="1" applyAlignment="1">
      <alignment horizontal="center" vertical="center" wrapText="1"/>
    </xf>
    <xf numFmtId="188" fontId="72" fillId="37" borderId="10" xfId="0" applyNumberFormat="1" applyFont="1" applyFill="1" applyBorder="1" applyAlignment="1">
      <alignment horizontal="center" vertical="center" wrapText="1"/>
    </xf>
    <xf numFmtId="0" fontId="72" fillId="0" borderId="182" xfId="0" applyFont="1" applyBorder="1" applyAlignment="1">
      <alignment vertical="center" wrapText="1"/>
    </xf>
    <xf numFmtId="0" fontId="72" fillId="37" borderId="39" xfId="0" applyNumberFormat="1" applyFont="1" applyFill="1" applyBorder="1" applyAlignment="1">
      <alignment horizontal="center" vertical="center" wrapText="1"/>
    </xf>
    <xf numFmtId="187" fontId="72" fillId="37" borderId="10" xfId="0" applyNumberFormat="1" applyFont="1" applyFill="1" applyBorder="1" applyAlignment="1">
      <alignment horizontal="center" vertical="center" wrapText="1"/>
    </xf>
    <xf numFmtId="3" fontId="87" fillId="0" borderId="10" xfId="662" applyNumberFormat="1" applyFont="1" applyFill="1" applyBorder="1" applyProtection="1"/>
    <xf numFmtId="0" fontId="72" fillId="37" borderId="11" xfId="662" applyFont="1" applyFill="1" applyBorder="1" applyAlignment="1" applyProtection="1">
      <alignment horizontal="center" vertical="center" wrapText="1"/>
    </xf>
    <xf numFmtId="0" fontId="72" fillId="37" borderId="182" xfId="662" applyFont="1" applyFill="1" applyBorder="1" applyAlignment="1" applyProtection="1">
      <alignment horizontal="center" vertical="center" wrapText="1"/>
    </xf>
    <xf numFmtId="0" fontId="87" fillId="0" borderId="10" xfId="662" applyFont="1" applyFill="1" applyBorder="1" applyAlignment="1" applyProtection="1">
      <alignment wrapText="1"/>
    </xf>
    <xf numFmtId="0" fontId="87" fillId="30" borderId="0" xfId="662" applyFont="1" applyFill="1" applyBorder="1" applyAlignment="1" applyProtection="1">
      <alignment wrapText="1"/>
    </xf>
    <xf numFmtId="0" fontId="87" fillId="0" borderId="0" xfId="662" applyFont="1" applyFill="1" applyBorder="1" applyAlignment="1" applyProtection="1">
      <alignment wrapText="1"/>
      <protection locked="0"/>
    </xf>
    <xf numFmtId="0" fontId="87" fillId="0" borderId="182" xfId="662" applyFont="1" applyFill="1" applyBorder="1" applyAlignment="1" applyProtection="1">
      <alignment wrapText="1"/>
    </xf>
    <xf numFmtId="0" fontId="72" fillId="35" borderId="10" xfId="187" applyFont="1" applyFill="1" applyBorder="1" applyAlignment="1" applyProtection="1">
      <alignment horizontal="left" vertical="top" wrapText="1"/>
    </xf>
    <xf numFmtId="195" fontId="72" fillId="35" borderId="182" xfId="93" applyNumberFormat="1" applyFont="1" applyFill="1" applyBorder="1" applyAlignment="1">
      <alignment horizontal="center" vertical="center" wrapText="1"/>
    </xf>
    <xf numFmtId="195" fontId="72" fillId="35" borderId="183" xfId="93" applyNumberFormat="1" applyFont="1" applyFill="1" applyBorder="1" applyAlignment="1">
      <alignment horizontal="center" vertical="center" wrapText="1"/>
    </xf>
    <xf numFmtId="0" fontId="72" fillId="35" borderId="182" xfId="662" applyFont="1" applyFill="1" applyBorder="1" applyAlignment="1" applyProtection="1">
      <alignment horizontal="center" vertical="center" wrapText="1"/>
    </xf>
    <xf numFmtId="0" fontId="72" fillId="35" borderId="187" xfId="662" applyFont="1" applyFill="1" applyBorder="1" applyAlignment="1" applyProtection="1">
      <alignment horizontal="center" vertical="center" wrapText="1"/>
    </xf>
    <xf numFmtId="3" fontId="72" fillId="37" borderId="182" xfId="93" applyNumberFormat="1" applyFont="1" applyFill="1" applyBorder="1" applyAlignment="1">
      <alignment horizontal="center" vertical="center" wrapText="1"/>
    </xf>
    <xf numFmtId="0" fontId="72" fillId="0" borderId="189" xfId="0" applyFont="1" applyBorder="1" applyAlignment="1">
      <alignment horizontal="center" vertical="center" wrapText="1"/>
    </xf>
    <xf numFmtId="0" fontId="72" fillId="0" borderId="174" xfId="0" applyFont="1" applyBorder="1" applyAlignment="1">
      <alignment horizontal="center" vertical="center" wrapText="1"/>
    </xf>
    <xf numFmtId="0" fontId="72" fillId="0" borderId="182" xfId="0" applyFont="1" applyBorder="1" applyAlignment="1">
      <alignment horizontal="center" wrapText="1"/>
    </xf>
    <xf numFmtId="198" fontId="72" fillId="35" borderId="10" xfId="93" applyNumberFormat="1" applyFont="1" applyFill="1" applyBorder="1" applyAlignment="1">
      <alignment horizontal="center" vertical="center" wrapText="1"/>
    </xf>
    <xf numFmtId="3" fontId="72" fillId="35" borderId="182" xfId="93" applyNumberFormat="1" applyFont="1" applyFill="1" applyBorder="1" applyAlignment="1">
      <alignment horizontal="center" vertical="center" wrapText="1"/>
    </xf>
    <xf numFmtId="197" fontId="72" fillId="35" borderId="10" xfId="93" applyNumberFormat="1" applyFont="1" applyFill="1" applyBorder="1" applyAlignment="1">
      <alignment horizontal="center" vertical="center" wrapText="1"/>
    </xf>
    <xf numFmtId="3" fontId="72" fillId="35" borderId="72" xfId="93" applyNumberFormat="1" applyFont="1" applyFill="1" applyBorder="1" applyAlignment="1">
      <alignment horizontal="center" vertical="center" wrapText="1"/>
    </xf>
    <xf numFmtId="3" fontId="72" fillId="37" borderId="189" xfId="93" applyNumberFormat="1" applyFont="1" applyFill="1" applyBorder="1" applyAlignment="1">
      <alignment horizontal="center" vertical="center" wrapText="1"/>
    </xf>
    <xf numFmtId="165" fontId="72" fillId="37" borderId="182" xfId="51" applyNumberFormat="1" applyFont="1" applyFill="1" applyBorder="1" applyAlignment="1">
      <alignment horizontal="center" vertical="center" wrapText="1"/>
    </xf>
    <xf numFmtId="165" fontId="72" fillId="37" borderId="189" xfId="51" applyNumberFormat="1" applyFont="1" applyFill="1" applyBorder="1" applyAlignment="1">
      <alignment horizontal="center" vertical="center" wrapText="1"/>
    </xf>
    <xf numFmtId="0" fontId="72" fillId="37" borderId="170" xfId="0" applyFont="1" applyFill="1" applyBorder="1" applyAlignment="1">
      <alignment horizontal="center" vertical="center" wrapText="1"/>
    </xf>
    <xf numFmtId="0" fontId="87" fillId="35" borderId="10" xfId="662" applyFont="1" applyFill="1" applyBorder="1" applyAlignment="1" applyProtection="1">
      <alignment vertical="center" wrapText="1"/>
    </xf>
    <xf numFmtId="0" fontId="72" fillId="0" borderId="39" xfId="0" applyFont="1" applyBorder="1" applyAlignment="1">
      <alignment horizontal="center" vertical="center" wrapText="1"/>
    </xf>
    <xf numFmtId="0" fontId="72" fillId="0" borderId="190" xfId="0" applyFont="1" applyBorder="1" applyAlignment="1">
      <alignment horizontal="center" vertical="center" wrapText="1"/>
    </xf>
    <xf numFmtId="0" fontId="72" fillId="0" borderId="27" xfId="0" applyFont="1" applyFill="1" applyBorder="1" applyAlignment="1">
      <alignment horizontal="left" vertical="top" wrapText="1"/>
    </xf>
    <xf numFmtId="189" fontId="72" fillId="35" borderId="168" xfId="0" applyNumberFormat="1" applyFont="1" applyFill="1" applyBorder="1" applyAlignment="1" applyProtection="1">
      <alignment horizontal="center" vertical="center" wrapText="1"/>
      <protection locked="0"/>
    </xf>
    <xf numFmtId="186" fontId="72" fillId="35" borderId="59" xfId="0" applyNumberFormat="1" applyFont="1" applyFill="1" applyBorder="1" applyAlignment="1" applyProtection="1">
      <alignment horizontal="center" vertical="center" wrapText="1"/>
      <protection locked="0"/>
    </xf>
    <xf numFmtId="188" fontId="72" fillId="37" borderId="39" xfId="0" applyNumberFormat="1" applyFont="1" applyFill="1" applyBorder="1" applyAlignment="1" applyProtection="1">
      <alignment horizontal="center" vertical="center" wrapText="1"/>
      <protection locked="0"/>
    </xf>
    <xf numFmtId="188" fontId="72" fillId="35" borderId="56" xfId="0" applyNumberFormat="1" applyFont="1" applyFill="1" applyBorder="1" applyAlignment="1" applyProtection="1">
      <alignment horizontal="center" vertical="center" wrapText="1"/>
      <protection locked="0"/>
    </xf>
    <xf numFmtId="0" fontId="72" fillId="37" borderId="167" xfId="0" applyFont="1" applyFill="1" applyBorder="1" applyAlignment="1">
      <alignment horizontal="center" vertical="center" wrapText="1"/>
    </xf>
    <xf numFmtId="0" fontId="72" fillId="37" borderId="167" xfId="0" applyNumberFormat="1" applyFont="1" applyFill="1" applyBorder="1" applyAlignment="1">
      <alignment horizontal="center" vertical="center" wrapText="1"/>
    </xf>
    <xf numFmtId="0" fontId="72" fillId="37" borderId="182" xfId="0" applyNumberFormat="1" applyFont="1" applyFill="1" applyBorder="1" applyAlignment="1">
      <alignment horizontal="center" vertical="center" wrapText="1"/>
    </xf>
    <xf numFmtId="0" fontId="73" fillId="0" borderId="0" xfId="0" applyFont="1" applyAlignment="1">
      <alignment horizontal="center" vertical="center" wrapText="1"/>
    </xf>
    <xf numFmtId="0" fontId="72" fillId="0" borderId="0" xfId="0" applyFont="1" applyAlignment="1">
      <alignment horizontal="center" vertical="center" wrapText="1"/>
    </xf>
    <xf numFmtId="0" fontId="74" fillId="33" borderId="167" xfId="0" applyFont="1" applyFill="1" applyBorder="1" applyAlignment="1">
      <alignment horizontal="center" vertical="center" wrapText="1"/>
    </xf>
    <xf numFmtId="0" fontId="72" fillId="37" borderId="39" xfId="0" applyFont="1" applyFill="1" applyBorder="1" applyAlignment="1">
      <alignment horizontal="center" vertical="center" wrapText="1"/>
    </xf>
    <xf numFmtId="0" fontId="72" fillId="0" borderId="179" xfId="0" applyFont="1" applyFill="1" applyBorder="1" applyAlignment="1">
      <alignment horizontal="left" vertical="top" wrapText="1"/>
    </xf>
    <xf numFmtId="0" fontId="72" fillId="0" borderId="182" xfId="0" applyFont="1" applyBorder="1" applyAlignment="1">
      <alignment horizontal="center"/>
    </xf>
    <xf numFmtId="0" fontId="72" fillId="37" borderId="182" xfId="0" applyFont="1" applyFill="1" applyBorder="1" applyAlignment="1">
      <alignment horizontal="center"/>
    </xf>
    <xf numFmtId="0" fontId="87" fillId="0" borderId="14" xfId="662" applyFont="1" applyFill="1" applyBorder="1" applyAlignment="1" applyProtection="1">
      <alignment vertical="center"/>
    </xf>
    <xf numFmtId="0" fontId="87" fillId="0" borderId="26" xfId="662" applyFont="1" applyFill="1" applyBorder="1" applyAlignment="1" applyProtection="1">
      <alignment vertical="center"/>
    </xf>
    <xf numFmtId="0" fontId="72" fillId="35" borderId="26" xfId="187" applyFont="1" applyFill="1" applyBorder="1" applyAlignment="1" applyProtection="1">
      <alignment vertical="center" wrapText="1"/>
    </xf>
    <xf numFmtId="0" fontId="72" fillId="35" borderId="19" xfId="187" applyFont="1" applyFill="1" applyBorder="1" applyAlignment="1" applyProtection="1">
      <alignment vertical="center"/>
    </xf>
    <xf numFmtId="0" fontId="72" fillId="30" borderId="35" xfId="187" applyFont="1" applyFill="1" applyBorder="1" applyAlignment="1" applyProtection="1">
      <alignment horizontal="center" vertical="top" wrapText="1"/>
    </xf>
    <xf numFmtId="0" fontId="72" fillId="35" borderId="82" xfId="662" applyFont="1" applyFill="1" applyBorder="1" applyAlignment="1" applyProtection="1">
      <alignment horizontal="left" vertical="top" wrapText="1"/>
    </xf>
    <xf numFmtId="0" fontId="72" fillId="35" borderId="187" xfId="662" applyFont="1" applyFill="1" applyBorder="1" applyAlignment="1" applyProtection="1">
      <alignment horizontal="left" vertical="top" wrapText="1"/>
    </xf>
    <xf numFmtId="0" fontId="72" fillId="30" borderId="187" xfId="187" applyFont="1" applyFill="1" applyBorder="1" applyAlignment="1" applyProtection="1">
      <alignment wrapText="1"/>
    </xf>
    <xf numFmtId="0" fontId="73" fillId="35" borderId="0" xfId="187" applyFont="1" applyFill="1" applyAlignment="1" applyProtection="1">
      <alignment horizontal="left"/>
    </xf>
    <xf numFmtId="0" fontId="72" fillId="37" borderId="10" xfId="0" applyFont="1" applyFill="1" applyBorder="1" applyAlignment="1">
      <alignment wrapText="1"/>
    </xf>
    <xf numFmtId="199" fontId="72" fillId="37" borderId="113" xfId="93" applyNumberFormat="1" applyFont="1" applyFill="1" applyBorder="1" applyAlignment="1">
      <alignment horizontal="center" vertical="center" wrapText="1"/>
    </xf>
    <xf numFmtId="0" fontId="72" fillId="35" borderId="10" xfId="0" applyFont="1" applyFill="1" applyBorder="1" applyAlignment="1">
      <alignment wrapText="1"/>
    </xf>
    <xf numFmtId="200" fontId="72" fillId="35" borderId="10" xfId="93" applyNumberFormat="1" applyFont="1" applyFill="1" applyBorder="1" applyAlignment="1">
      <alignment horizontal="center" vertical="center" wrapText="1"/>
    </xf>
    <xf numFmtId="200" fontId="72" fillId="37" borderId="10" xfId="93" applyNumberFormat="1" applyFont="1" applyFill="1" applyBorder="1" applyAlignment="1">
      <alignment horizontal="center" vertical="center" wrapText="1"/>
    </xf>
    <xf numFmtId="201" fontId="72" fillId="35" borderId="10" xfId="93" applyNumberFormat="1" applyFont="1" applyFill="1" applyBorder="1" applyAlignment="1">
      <alignment horizontal="center" vertical="center" wrapText="1"/>
    </xf>
    <xf numFmtId="201" fontId="72" fillId="37" borderId="10" xfId="93" applyNumberFormat="1" applyFont="1" applyFill="1" applyBorder="1" applyAlignment="1">
      <alignment horizontal="center" vertical="center" wrapText="1"/>
    </xf>
    <xf numFmtId="202" fontId="72" fillId="37" borderId="69" xfId="93" applyNumberFormat="1" applyFont="1" applyFill="1" applyBorder="1" applyAlignment="1">
      <alignment horizontal="center" vertical="center" wrapText="1"/>
    </xf>
    <xf numFmtId="200" fontId="72" fillId="37" borderId="10" xfId="0" applyNumberFormat="1" applyFont="1" applyFill="1" applyBorder="1" applyAlignment="1">
      <alignment horizontal="center" vertical="center" wrapText="1"/>
    </xf>
    <xf numFmtId="0" fontId="72" fillId="37" borderId="10" xfId="93" applyNumberFormat="1" applyFont="1" applyFill="1" applyBorder="1" applyAlignment="1">
      <alignment horizontal="center" vertical="center" wrapText="1"/>
    </xf>
    <xf numFmtId="203" fontId="72" fillId="37" borderId="10" xfId="93" applyNumberFormat="1" applyFont="1" applyFill="1" applyBorder="1" applyAlignment="1">
      <alignment horizontal="center" vertical="center" wrapText="1"/>
    </xf>
    <xf numFmtId="203" fontId="72" fillId="35" borderId="10" xfId="93" applyNumberFormat="1" applyFont="1" applyFill="1" applyBorder="1" applyAlignment="1">
      <alignment horizontal="center" vertical="center" wrapText="1"/>
    </xf>
    <xf numFmtId="3" fontId="72" fillId="37" borderId="114" xfId="93" applyNumberFormat="1" applyFont="1" applyFill="1" applyBorder="1" applyAlignment="1">
      <alignment horizontal="center" vertical="center" wrapText="1"/>
    </xf>
    <xf numFmtId="3" fontId="72" fillId="37" borderId="191" xfId="93" applyNumberFormat="1" applyFont="1" applyFill="1" applyBorder="1" applyAlignment="1">
      <alignment horizontal="center" vertical="center" wrapText="1"/>
    </xf>
    <xf numFmtId="0" fontId="72" fillId="65" borderId="172" xfId="0" applyFont="1" applyFill="1" applyBorder="1" applyAlignment="1">
      <alignment horizontal="center" vertical="center" wrapText="1"/>
    </xf>
    <xf numFmtId="0" fontId="72" fillId="30" borderId="54" xfId="187" applyFont="1" applyFill="1" applyBorder="1" applyAlignment="1" applyProtection="1"/>
    <xf numFmtId="3" fontId="72" fillId="35" borderId="167" xfId="93" applyNumberFormat="1" applyFont="1" applyFill="1" applyBorder="1" applyAlignment="1">
      <alignment horizontal="center" vertical="center" wrapText="1"/>
    </xf>
    <xf numFmtId="204" fontId="72" fillId="0" borderId="167" xfId="0" applyNumberFormat="1" applyFont="1" applyFill="1" applyBorder="1" applyAlignment="1">
      <alignment horizontal="center" vertical="center" wrapText="1"/>
    </xf>
    <xf numFmtId="204" fontId="72" fillId="35" borderId="10" xfId="93" applyNumberFormat="1" applyFont="1" applyFill="1" applyBorder="1" applyAlignment="1">
      <alignment horizontal="center" vertical="center" wrapText="1"/>
    </xf>
    <xf numFmtId="205" fontId="72" fillId="37" borderId="10" xfId="93" applyNumberFormat="1" applyFont="1" applyFill="1" applyBorder="1" applyAlignment="1">
      <alignment horizontal="center" vertical="center" wrapText="1"/>
    </xf>
    <xf numFmtId="206" fontId="72" fillId="37" borderId="10" xfId="93" applyNumberFormat="1" applyFont="1" applyFill="1" applyBorder="1" applyAlignment="1">
      <alignment horizontal="center" vertical="center" wrapText="1"/>
    </xf>
    <xf numFmtId="3" fontId="72" fillId="35" borderId="189" xfId="93" applyNumberFormat="1" applyFont="1" applyFill="1" applyBorder="1" applyAlignment="1">
      <alignment horizontal="center" vertical="center" wrapText="1"/>
    </xf>
    <xf numFmtId="0" fontId="72" fillId="66" borderId="0" xfId="0" applyFont="1" applyFill="1" applyBorder="1" applyAlignment="1">
      <alignment horizontal="center" vertical="center" wrapText="1"/>
    </xf>
    <xf numFmtId="0" fontId="72" fillId="0" borderId="192" xfId="0" applyFont="1" applyBorder="1" applyAlignment="1">
      <alignment horizontal="center" vertical="center" wrapText="1"/>
    </xf>
    <xf numFmtId="167" fontId="72" fillId="37" borderId="70" xfId="93" applyNumberFormat="1" applyFont="1" applyFill="1" applyBorder="1" applyAlignment="1">
      <alignment horizontal="center" vertical="center" wrapText="1"/>
    </xf>
    <xf numFmtId="167" fontId="72" fillId="37" borderId="167" xfId="93" applyNumberFormat="1" applyFont="1" applyFill="1" applyBorder="1" applyAlignment="1">
      <alignment horizontal="center" vertical="center" wrapText="1"/>
    </xf>
    <xf numFmtId="0" fontId="72" fillId="35" borderId="135" xfId="662" applyFont="1" applyFill="1" applyBorder="1" applyAlignment="1" applyProtection="1">
      <alignment horizontal="left" vertical="top" wrapText="1"/>
      <protection locked="0"/>
    </xf>
    <xf numFmtId="0" fontId="72" fillId="35" borderId="135" xfId="187" applyFont="1" applyFill="1" applyBorder="1" applyAlignment="1" applyProtection="1">
      <alignment horizontal="left" vertical="center" wrapText="1"/>
      <protection locked="0"/>
    </xf>
    <xf numFmtId="0" fontId="87" fillId="0" borderId="189" xfId="662" applyFont="1" applyFill="1" applyBorder="1" applyAlignment="1" applyProtection="1">
      <alignment horizontal="left" vertical="center" wrapText="1"/>
    </xf>
    <xf numFmtId="0" fontId="72" fillId="35" borderId="11" xfId="662" applyFont="1" applyFill="1" applyBorder="1" applyAlignment="1" applyProtection="1">
      <alignment horizontal="left" vertical="center" wrapText="1"/>
    </xf>
    <xf numFmtId="0" fontId="72" fillId="35" borderId="0" xfId="662" applyFont="1" applyFill="1" applyBorder="1" applyAlignment="1" applyProtection="1">
      <alignment horizontal="center" vertical="center"/>
    </xf>
    <xf numFmtId="3" fontId="72" fillId="35" borderId="135" xfId="187" applyNumberFormat="1" applyFont="1" applyFill="1" applyBorder="1" applyAlignment="1" applyProtection="1">
      <alignment horizontal="center" vertical="center" wrapText="1"/>
      <protection locked="0"/>
    </xf>
    <xf numFmtId="0" fontId="72" fillId="35" borderId="0" xfId="662" applyFont="1" applyFill="1" applyBorder="1" applyAlignment="1" applyProtection="1">
      <alignment horizontal="center" vertical="center" wrapText="1"/>
    </xf>
    <xf numFmtId="0" fontId="91" fillId="0" borderId="0" xfId="0" applyFont="1" applyAlignment="1">
      <alignment horizontal="center" vertical="center" wrapText="1"/>
    </xf>
    <xf numFmtId="0" fontId="72" fillId="0" borderId="39" xfId="0" applyFont="1" applyBorder="1" applyAlignment="1">
      <alignment horizontal="center" vertical="center" wrapText="1"/>
    </xf>
    <xf numFmtId="0" fontId="72" fillId="37" borderId="135" xfId="187" applyFont="1" applyFill="1" applyBorder="1" applyAlignment="1" applyProtection="1">
      <alignment horizontal="left" vertical="top" wrapText="1"/>
      <protection locked="0"/>
    </xf>
    <xf numFmtId="0" fontId="72" fillId="37" borderId="139" xfId="187" applyFont="1" applyFill="1" applyBorder="1" applyAlignment="1" applyProtection="1">
      <alignment horizontal="center" vertical="top" wrapText="1"/>
      <protection locked="0"/>
    </xf>
    <xf numFmtId="0" fontId="72" fillId="37" borderId="140" xfId="187" applyFont="1" applyFill="1" applyBorder="1" applyAlignment="1" applyProtection="1">
      <alignment horizontal="center" vertical="top" wrapText="1"/>
      <protection locked="0"/>
    </xf>
    <xf numFmtId="0" fontId="72" fillId="37" borderId="141" xfId="187" applyFont="1" applyFill="1" applyBorder="1" applyAlignment="1" applyProtection="1">
      <alignment horizontal="center" vertical="top" wrapText="1"/>
      <protection locked="0"/>
    </xf>
    <xf numFmtId="0" fontId="72" fillId="35" borderId="167" xfId="662" applyFont="1" applyFill="1" applyBorder="1" applyAlignment="1" applyProtection="1">
      <alignment horizontal="center" vertical="center" wrapText="1"/>
    </xf>
    <xf numFmtId="0" fontId="87" fillId="0" borderId="167" xfId="662" applyFont="1" applyFill="1" applyBorder="1" applyAlignment="1" applyProtection="1">
      <alignment horizontal="left" vertical="center" wrapText="1"/>
    </xf>
    <xf numFmtId="0" fontId="72" fillId="35" borderId="184" xfId="662" applyFont="1" applyFill="1" applyBorder="1" applyAlignment="1" applyProtection="1">
      <alignment horizontal="center" vertical="center" wrapText="1"/>
    </xf>
    <xf numFmtId="0" fontId="72" fillId="35" borderId="136" xfId="187" applyFont="1" applyFill="1" applyBorder="1" applyAlignment="1" applyProtection="1">
      <alignment horizontal="left" vertical="top" wrapText="1"/>
      <protection locked="0"/>
    </xf>
    <xf numFmtId="0" fontId="72" fillId="35" borderId="144" xfId="187" applyFont="1" applyFill="1" applyBorder="1" applyAlignment="1" applyProtection="1">
      <alignment horizontal="center" vertical="center" wrapText="1"/>
      <protection locked="0"/>
    </xf>
    <xf numFmtId="0" fontId="72" fillId="35" borderId="10" xfId="187" applyFont="1" applyFill="1" applyBorder="1" applyAlignment="1" applyProtection="1">
      <alignment horizontal="left" vertical="top" wrapText="1"/>
      <protection locked="0"/>
    </xf>
    <xf numFmtId="0" fontId="72" fillId="64" borderId="190" xfId="0" applyFont="1" applyFill="1" applyBorder="1" applyAlignment="1">
      <alignment horizontal="center" vertical="center" wrapText="1"/>
    </xf>
    <xf numFmtId="207" fontId="72" fillId="37" borderId="10" xfId="93" applyNumberFormat="1" applyFont="1" applyFill="1" applyBorder="1" applyAlignment="1">
      <alignment horizontal="center" vertical="center" wrapText="1"/>
    </xf>
    <xf numFmtId="0" fontId="72" fillId="0" borderId="10" xfId="0" applyFont="1" applyBorder="1" applyAlignment="1">
      <alignment horizontal="center" wrapText="1"/>
    </xf>
    <xf numFmtId="0" fontId="72" fillId="0" borderId="167" xfId="0" applyFont="1" applyBorder="1" applyAlignment="1">
      <alignment horizontal="center" wrapText="1"/>
    </xf>
    <xf numFmtId="0" fontId="72" fillId="0" borderId="10" xfId="0" applyFont="1" applyBorder="1" applyAlignment="1">
      <alignment horizontal="left" wrapText="1"/>
    </xf>
    <xf numFmtId="208" fontId="72" fillId="37" borderId="10" xfId="93" applyNumberFormat="1" applyFont="1" applyFill="1" applyBorder="1" applyAlignment="1">
      <alignment horizontal="center" vertical="center" wrapText="1"/>
    </xf>
    <xf numFmtId="209" fontId="72" fillId="37" borderId="10" xfId="93" applyNumberFormat="1" applyFont="1" applyFill="1" applyBorder="1" applyAlignment="1">
      <alignment horizontal="center" vertical="center" wrapText="1"/>
    </xf>
    <xf numFmtId="0" fontId="72" fillId="35" borderId="10" xfId="662" applyFont="1" applyFill="1" applyBorder="1" applyAlignment="1" applyProtection="1">
      <alignment horizontal="left" vertical="center" wrapText="1"/>
    </xf>
    <xf numFmtId="210" fontId="72" fillId="37" borderId="10" xfId="93" applyNumberFormat="1" applyFont="1" applyFill="1" applyBorder="1" applyAlignment="1">
      <alignment horizontal="center" vertical="center" wrapText="1"/>
    </xf>
    <xf numFmtId="211" fontId="72" fillId="37" borderId="10" xfId="93" applyNumberFormat="1" applyFont="1" applyFill="1" applyBorder="1" applyAlignment="1">
      <alignment horizontal="center" vertical="center" wrapText="1"/>
    </xf>
    <xf numFmtId="165" fontId="72" fillId="37" borderId="10" xfId="51" applyNumberFormat="1" applyFont="1" applyFill="1" applyBorder="1" applyAlignment="1">
      <alignment horizontal="center" vertical="center" wrapText="1"/>
    </xf>
    <xf numFmtId="208" fontId="72" fillId="35" borderId="10" xfId="93" applyNumberFormat="1" applyFont="1" applyFill="1" applyBorder="1" applyAlignment="1">
      <alignment horizontal="center" vertical="center" wrapText="1"/>
    </xf>
    <xf numFmtId="3" fontId="72" fillId="37" borderId="168" xfId="93" applyNumberFormat="1" applyFont="1" applyFill="1" applyBorder="1" applyAlignment="1">
      <alignment horizontal="center" vertical="center" wrapText="1"/>
    </xf>
    <xf numFmtId="212" fontId="72" fillId="37" borderId="10" xfId="93" applyNumberFormat="1" applyFont="1" applyFill="1" applyBorder="1" applyAlignment="1">
      <alignment horizontal="center" vertical="center" wrapText="1"/>
    </xf>
    <xf numFmtId="213" fontId="72" fillId="37" borderId="10" xfId="93" applyNumberFormat="1" applyFont="1" applyFill="1" applyBorder="1" applyAlignment="1">
      <alignment horizontal="center" vertical="center" wrapText="1"/>
    </xf>
    <xf numFmtId="0" fontId="72" fillId="62" borderId="57" xfId="187" applyFont="1" applyFill="1" applyBorder="1" applyAlignment="1" applyProtection="1">
      <alignment horizontal="left" vertical="top" wrapText="1"/>
    </xf>
    <xf numFmtId="0" fontId="72" fillId="35" borderId="194" xfId="662" applyFont="1" applyFill="1" applyBorder="1" applyAlignment="1" applyProtection="1">
      <alignment horizontal="left" vertical="center" wrapText="1"/>
    </xf>
    <xf numFmtId="0" fontId="72" fillId="35" borderId="194" xfId="187" applyFont="1" applyFill="1" applyBorder="1" applyAlignment="1" applyProtection="1">
      <alignment horizontal="left" vertical="top" wrapText="1"/>
      <protection locked="0"/>
    </xf>
    <xf numFmtId="0" fontId="72" fillId="35" borderId="194" xfId="662" applyFont="1" applyFill="1" applyBorder="1" applyAlignment="1" applyProtection="1">
      <alignment horizontal="left" vertical="top" wrapText="1"/>
      <protection locked="0"/>
    </xf>
    <xf numFmtId="0" fontId="72" fillId="35" borderId="194" xfId="662" applyFont="1" applyFill="1" applyBorder="1" applyAlignment="1" applyProtection="1">
      <alignment horizontal="left" vertical="center" wrapText="1"/>
      <protection locked="0"/>
    </xf>
    <xf numFmtId="0" fontId="72" fillId="35" borderId="194" xfId="187" applyFont="1" applyFill="1" applyBorder="1" applyAlignment="1" applyProtection="1">
      <alignment horizontal="left" vertical="center" wrapText="1"/>
      <protection locked="0"/>
    </xf>
    <xf numFmtId="0" fontId="72" fillId="35" borderId="194" xfId="187" applyFont="1" applyFill="1" applyBorder="1" applyAlignment="1" applyProtection="1">
      <alignment vertical="center" wrapText="1"/>
      <protection locked="0"/>
    </xf>
    <xf numFmtId="0" fontId="72" fillId="64" borderId="54" xfId="0" applyFont="1" applyFill="1" applyBorder="1" applyAlignment="1">
      <alignment horizontal="center" vertical="center" wrapText="1"/>
    </xf>
    <xf numFmtId="0" fontId="72" fillId="35" borderId="195" xfId="662" applyFont="1" applyFill="1" applyBorder="1" applyAlignment="1" applyProtection="1">
      <alignment vertical="center" wrapText="1"/>
      <protection locked="0"/>
    </xf>
    <xf numFmtId="210" fontId="72" fillId="37" borderId="10" xfId="51" applyNumberFormat="1" applyFont="1" applyFill="1" applyBorder="1" applyAlignment="1">
      <alignment horizontal="center" vertical="center" wrapText="1"/>
    </xf>
    <xf numFmtId="0" fontId="72" fillId="35" borderId="10" xfId="662" applyFont="1" applyFill="1" applyBorder="1" applyAlignment="1" applyProtection="1">
      <alignment horizontal="left" vertical="center" wrapText="1"/>
      <protection locked="0"/>
    </xf>
    <xf numFmtId="0" fontId="87" fillId="0" borderId="54" xfId="662" applyFont="1" applyFill="1" applyBorder="1" applyProtection="1"/>
    <xf numFmtId="3" fontId="87" fillId="0" borderId="54" xfId="662" applyNumberFormat="1" applyFont="1" applyFill="1" applyBorder="1" applyProtection="1"/>
    <xf numFmtId="0" fontId="87" fillId="0" borderId="54" xfId="662" applyFont="1" applyFill="1" applyBorder="1" applyAlignment="1" applyProtection="1">
      <alignment wrapText="1"/>
    </xf>
    <xf numFmtId="0" fontId="87" fillId="0" borderId="54" xfId="662" applyFont="1" applyFill="1" applyBorder="1" applyAlignment="1" applyProtection="1">
      <alignment vertical="center" wrapText="1"/>
    </xf>
    <xf numFmtId="0" fontId="87" fillId="0" borderId="0" xfId="662" applyFont="1" applyFill="1" applyBorder="1" applyAlignment="1" applyProtection="1">
      <alignment vertical="center" wrapText="1"/>
    </xf>
    <xf numFmtId="3" fontId="87" fillId="0" borderId="10" xfId="662" applyNumberFormat="1" applyFont="1" applyFill="1" applyBorder="1" applyAlignment="1" applyProtection="1">
      <alignment vertical="center" wrapText="1"/>
    </xf>
    <xf numFmtId="3" fontId="87" fillId="0" borderId="189" xfId="662" applyNumberFormat="1" applyFont="1" applyFill="1" applyBorder="1" applyAlignment="1" applyProtection="1">
      <alignment vertical="center" wrapText="1"/>
    </xf>
    <xf numFmtId="0" fontId="72" fillId="35" borderId="0" xfId="187" applyFont="1" applyFill="1" applyBorder="1" applyAlignment="1" applyProtection="1">
      <alignment horizontal="left" vertical="center" wrapText="1"/>
      <protection locked="0"/>
    </xf>
    <xf numFmtId="0" fontId="72" fillId="35" borderId="136" xfId="187" applyFont="1" applyFill="1" applyBorder="1" applyAlignment="1" applyProtection="1">
      <alignment horizontal="left" vertical="center" wrapText="1"/>
      <protection locked="0"/>
    </xf>
    <xf numFmtId="0" fontId="72" fillId="35" borderId="10" xfId="187" applyFont="1" applyFill="1" applyBorder="1" applyAlignment="1" applyProtection="1">
      <alignment horizontal="left" vertical="center" wrapText="1"/>
      <protection locked="0"/>
    </xf>
    <xf numFmtId="0" fontId="72" fillId="35" borderId="10" xfId="661" applyFont="1" applyFill="1" applyBorder="1" applyAlignment="1" applyProtection="1">
      <alignment horizontal="left" vertical="center" wrapText="1"/>
      <protection locked="0"/>
    </xf>
    <xf numFmtId="0" fontId="72" fillId="0" borderId="10" xfId="662" applyFont="1" applyFill="1" applyBorder="1" applyAlignment="1" applyProtection="1">
      <alignment horizontal="center" vertical="center"/>
    </xf>
    <xf numFmtId="0" fontId="72" fillId="35" borderId="163" xfId="661" applyFont="1" applyFill="1" applyBorder="1" applyAlignment="1" applyProtection="1">
      <alignment horizontal="left" vertical="center" wrapText="1"/>
      <protection locked="0"/>
    </xf>
    <xf numFmtId="0" fontId="72" fillId="35" borderId="11" xfId="661" applyFont="1" applyFill="1" applyBorder="1" applyAlignment="1" applyProtection="1">
      <alignment horizontal="left" vertical="center" wrapText="1"/>
      <protection locked="0"/>
    </xf>
    <xf numFmtId="0" fontId="4" fillId="37" borderId="10" xfId="187" applyFill="1" applyBorder="1" applyAlignment="1" applyProtection="1"/>
    <xf numFmtId="0" fontId="4" fillId="0" borderId="0" xfId="187" applyFont="1" applyBorder="1" applyAlignment="1" applyProtection="1">
      <alignment vertical="top" wrapText="1"/>
    </xf>
    <xf numFmtId="8" fontId="72" fillId="37" borderId="10" xfId="0" applyNumberFormat="1" applyFont="1" applyFill="1" applyBorder="1" applyAlignment="1" applyProtection="1">
      <alignment horizontal="center"/>
      <protection locked="0"/>
    </xf>
    <xf numFmtId="168" fontId="72" fillId="35" borderId="181" xfId="173" applyNumberFormat="1" applyFont="1" applyFill="1" applyBorder="1" applyAlignment="1">
      <alignment horizontal="center" wrapText="1"/>
    </xf>
    <xf numFmtId="168" fontId="72" fillId="35" borderId="193" xfId="173" applyNumberFormat="1" applyFont="1" applyFill="1" applyBorder="1" applyAlignment="1">
      <alignment horizontal="center" wrapText="1"/>
    </xf>
    <xf numFmtId="168" fontId="72" fillId="35" borderId="40" xfId="173" applyNumberFormat="1" applyFont="1" applyFill="1" applyBorder="1" applyAlignment="1">
      <alignment horizontal="center" wrapText="1"/>
    </xf>
    <xf numFmtId="168" fontId="72" fillId="35" borderId="13" xfId="173" applyNumberFormat="1" applyFont="1" applyFill="1" applyBorder="1" applyAlignment="1">
      <alignment horizontal="center" wrapText="1"/>
    </xf>
    <xf numFmtId="168" fontId="72" fillId="35" borderId="10" xfId="173" applyNumberFormat="1" applyFont="1" applyFill="1" applyBorder="1" applyAlignment="1">
      <alignment horizontal="center" wrapText="1"/>
    </xf>
    <xf numFmtId="168" fontId="72" fillId="35" borderId="42" xfId="173" applyNumberFormat="1" applyFont="1" applyFill="1" applyBorder="1" applyAlignment="1">
      <alignment horizontal="center" wrapText="1"/>
    </xf>
    <xf numFmtId="171" fontId="72" fillId="35" borderId="13" xfId="173" applyNumberFormat="1" applyFont="1" applyFill="1" applyBorder="1" applyAlignment="1">
      <alignment horizontal="center" wrapText="1"/>
    </xf>
    <xf numFmtId="171" fontId="72" fillId="35" borderId="10" xfId="173" applyNumberFormat="1" applyFont="1" applyFill="1" applyBorder="1" applyAlignment="1">
      <alignment horizontal="center" wrapText="1"/>
    </xf>
    <xf numFmtId="171" fontId="72" fillId="35" borderId="42" xfId="173" applyNumberFormat="1" applyFont="1" applyFill="1" applyBorder="1" applyAlignment="1">
      <alignment horizontal="center" wrapText="1"/>
    </xf>
    <xf numFmtId="168" fontId="72" fillId="35" borderId="181" xfId="60" applyNumberFormat="1" applyFont="1" applyFill="1" applyBorder="1" applyAlignment="1">
      <alignment horizontal="center" wrapText="1"/>
    </xf>
    <xf numFmtId="0" fontId="94" fillId="35" borderId="0" xfId="187" applyFont="1" applyFill="1" applyBorder="1" applyAlignment="1">
      <alignment vertical="top"/>
    </xf>
    <xf numFmtId="0" fontId="72" fillId="65" borderId="39" xfId="0" applyFont="1" applyFill="1" applyBorder="1" applyAlignment="1">
      <alignment horizontal="center" vertical="center" wrapText="1"/>
    </xf>
    <xf numFmtId="0" fontId="72" fillId="0" borderId="11" xfId="0" applyFont="1" applyBorder="1" applyAlignment="1">
      <alignment horizontal="center" wrapText="1"/>
    </xf>
    <xf numFmtId="0" fontId="72" fillId="35" borderId="39" xfId="187" applyFont="1" applyFill="1" applyBorder="1" applyAlignment="1">
      <alignment horizontal="left" vertical="center" wrapText="1"/>
    </xf>
    <xf numFmtId="0" fontId="72" fillId="35" borderId="56" xfId="187" applyFont="1" applyFill="1" applyBorder="1" applyAlignment="1" applyProtection="1">
      <alignment horizontal="left" vertical="top" wrapText="1"/>
    </xf>
    <xf numFmtId="0" fontId="72" fillId="37" borderId="135" xfId="187" applyFont="1" applyFill="1" applyBorder="1" applyAlignment="1" applyProtection="1">
      <alignment horizontal="left" vertical="top" wrapText="1"/>
      <protection locked="0"/>
    </xf>
    <xf numFmtId="0" fontId="72" fillId="37" borderId="144" xfId="187" applyFont="1" applyFill="1" applyBorder="1" applyAlignment="1" applyProtection="1">
      <alignment horizontal="left" vertical="top" wrapText="1"/>
      <protection locked="0"/>
    </xf>
    <xf numFmtId="0" fontId="72" fillId="35" borderId="0" xfId="187" applyFont="1" applyFill="1" applyBorder="1" applyAlignment="1" applyProtection="1">
      <alignment horizontal="left" wrapText="1"/>
    </xf>
    <xf numFmtId="0" fontId="72" fillId="35" borderId="0" xfId="187" applyFont="1" applyFill="1" applyBorder="1" applyAlignment="1" applyProtection="1">
      <alignment horizontal="left" vertical="top" wrapText="1"/>
    </xf>
    <xf numFmtId="0" fontId="72" fillId="35" borderId="61" xfId="187" applyFont="1" applyFill="1" applyBorder="1" applyAlignment="1" applyProtection="1">
      <alignment horizontal="left" vertical="top" wrapText="1"/>
    </xf>
    <xf numFmtId="0" fontId="72" fillId="35" borderId="39" xfId="187" applyFont="1" applyFill="1" applyBorder="1" applyAlignment="1" applyProtection="1">
      <alignment horizontal="left" vertical="top" wrapText="1"/>
    </xf>
    <xf numFmtId="0" fontId="72" fillId="33" borderId="10" xfId="187" applyFont="1" applyFill="1" applyBorder="1" applyAlignment="1" applyProtection="1">
      <alignment horizontal="left" vertical="top"/>
    </xf>
    <xf numFmtId="0" fontId="72" fillId="30" borderId="0" xfId="187" applyFont="1" applyFill="1" applyBorder="1" applyAlignment="1" applyProtection="1">
      <alignment horizontal="left"/>
    </xf>
    <xf numFmtId="0" fontId="72" fillId="35" borderId="0" xfId="187" applyFont="1" applyFill="1" applyBorder="1" applyAlignment="1" applyProtection="1">
      <alignment horizontal="left" vertical="top" wrapText="1"/>
      <protection locked="0"/>
    </xf>
    <xf numFmtId="0" fontId="72" fillId="35" borderId="0" xfId="187" applyFont="1" applyFill="1" applyBorder="1" applyAlignment="1" applyProtection="1">
      <alignment horizontal="left" vertical="top"/>
    </xf>
    <xf numFmtId="174" fontId="74" fillId="35" borderId="0" xfId="61" applyNumberFormat="1" applyFont="1" applyFill="1" applyBorder="1" applyAlignment="1">
      <alignment horizontal="center" vertical="center"/>
    </xf>
    <xf numFmtId="0" fontId="74" fillId="35" borderId="0" xfId="61" applyNumberFormat="1" applyFont="1" applyFill="1" applyBorder="1" applyAlignment="1">
      <alignment horizontal="center" vertical="center"/>
    </xf>
    <xf numFmtId="185" fontId="72" fillId="35" borderId="59" xfId="0" applyNumberFormat="1" applyFont="1" applyFill="1" applyBorder="1" applyAlignment="1" applyProtection="1">
      <alignment horizontal="center" vertical="center" wrapText="1"/>
      <protection locked="0"/>
    </xf>
    <xf numFmtId="3" fontId="72" fillId="64" borderId="0" xfId="93" applyNumberFormat="1" applyFont="1" applyFill="1" applyBorder="1" applyAlignment="1" applyProtection="1">
      <alignment horizontal="center" vertical="center" wrapText="1"/>
      <protection locked="0"/>
    </xf>
    <xf numFmtId="0" fontId="72" fillId="64" borderId="168" xfId="0" applyFont="1" applyFill="1" applyBorder="1" applyAlignment="1" applyProtection="1">
      <alignment horizontal="center" vertical="center" wrapText="1"/>
      <protection locked="0"/>
    </xf>
    <xf numFmtId="198" fontId="72" fillId="37" borderId="11" xfId="93" applyNumberFormat="1" applyFont="1" applyFill="1" applyBorder="1" applyAlignment="1">
      <alignment horizontal="center" vertical="center" wrapText="1"/>
    </xf>
    <xf numFmtId="3" fontId="72" fillId="37" borderId="11" xfId="93" applyNumberFormat="1" applyFont="1" applyFill="1" applyBorder="1" applyAlignment="1">
      <alignment horizontal="center" vertical="center" wrapText="1"/>
    </xf>
    <xf numFmtId="0" fontId="72" fillId="37" borderId="12" xfId="0" applyFont="1" applyFill="1" applyBorder="1" applyAlignment="1">
      <alignment horizontal="center" vertical="center" wrapText="1"/>
    </xf>
    <xf numFmtId="3" fontId="72" fillId="37" borderId="12" xfId="93" applyNumberFormat="1" applyFont="1" applyFill="1" applyBorder="1" applyAlignment="1">
      <alignment horizontal="center" vertical="center" wrapText="1"/>
    </xf>
    <xf numFmtId="0" fontId="72" fillId="0" borderId="12" xfId="0" applyFont="1" applyBorder="1" applyAlignment="1">
      <alignment horizontal="center" vertical="center" wrapText="1"/>
    </xf>
    <xf numFmtId="197" fontId="72" fillId="37" borderId="11" xfId="93" applyNumberFormat="1" applyFont="1" applyFill="1" applyBorder="1" applyAlignment="1">
      <alignment horizontal="center" vertical="center" wrapText="1"/>
    </xf>
    <xf numFmtId="3" fontId="72" fillId="37" borderId="115" xfId="93" applyNumberFormat="1" applyFont="1" applyFill="1" applyBorder="1" applyAlignment="1">
      <alignment horizontal="center" vertical="center" wrapText="1"/>
    </xf>
    <xf numFmtId="167" fontId="72" fillId="37" borderId="117" xfId="93" applyNumberFormat="1" applyFont="1" applyFill="1" applyBorder="1" applyAlignment="1">
      <alignment horizontal="center" vertical="center" wrapText="1"/>
    </xf>
    <xf numFmtId="167" fontId="72" fillId="37" borderId="11" xfId="93" applyNumberFormat="1" applyFont="1" applyFill="1" applyBorder="1" applyAlignment="1">
      <alignment horizontal="center" vertical="center" wrapText="1"/>
    </xf>
    <xf numFmtId="204" fontId="72" fillId="37" borderId="11" xfId="93" applyNumberFormat="1" applyFont="1" applyFill="1" applyBorder="1" applyAlignment="1">
      <alignment horizontal="center" vertical="center" wrapText="1"/>
    </xf>
    <xf numFmtId="0" fontId="72" fillId="65" borderId="54" xfId="0" applyFont="1" applyFill="1" applyBorder="1" applyAlignment="1">
      <alignment wrapText="1"/>
    </xf>
    <xf numFmtId="0" fontId="72" fillId="65" borderId="0" xfId="0" applyFont="1" applyFill="1" applyBorder="1" applyAlignment="1">
      <alignment wrapText="1"/>
    </xf>
    <xf numFmtId="0" fontId="72" fillId="65" borderId="179" xfId="0" applyFont="1" applyFill="1" applyBorder="1" applyAlignment="1">
      <alignment wrapText="1"/>
    </xf>
    <xf numFmtId="0" fontId="72" fillId="65" borderId="54" xfId="0" applyFont="1" applyFill="1" applyBorder="1" applyAlignment="1">
      <alignment horizontal="center" vertical="center" wrapText="1"/>
    </xf>
    <xf numFmtId="0" fontId="72" fillId="65" borderId="0" xfId="0" applyFont="1" applyFill="1" applyBorder="1" applyAlignment="1">
      <alignment horizontal="center" vertical="center" wrapText="1"/>
    </xf>
    <xf numFmtId="0" fontId="72" fillId="65" borderId="179" xfId="0" applyFont="1" applyFill="1" applyBorder="1" applyAlignment="1">
      <alignment horizontal="center" vertical="center" wrapText="1"/>
    </xf>
    <xf numFmtId="0" fontId="72" fillId="65" borderId="56" xfId="0" applyFont="1" applyFill="1" applyBorder="1" applyAlignment="1">
      <alignment horizontal="center" vertical="center" wrapText="1"/>
    </xf>
    <xf numFmtId="0" fontId="72" fillId="65" borderId="57" xfId="0" applyFont="1" applyFill="1" applyBorder="1" applyAlignment="1">
      <alignment horizontal="center" vertical="center" wrapText="1"/>
    </xf>
    <xf numFmtId="0" fontId="72" fillId="65" borderId="58" xfId="0" applyFont="1" applyFill="1" applyBorder="1" applyAlignment="1">
      <alignment horizontal="center" vertical="center" wrapText="1"/>
    </xf>
    <xf numFmtId="0" fontId="72" fillId="67" borderId="10" xfId="0" applyFont="1" applyFill="1" applyBorder="1" applyAlignment="1">
      <alignment horizontal="center" wrapText="1"/>
    </xf>
    <xf numFmtId="0" fontId="72" fillId="67" borderId="10" xfId="0" applyFont="1" applyFill="1" applyBorder="1" applyAlignment="1">
      <alignment horizontal="center" vertical="center" wrapText="1"/>
    </xf>
    <xf numFmtId="190" fontId="72" fillId="35" borderId="166" xfId="93" applyNumberFormat="1" applyFont="1" applyFill="1" applyBorder="1" applyAlignment="1">
      <alignment horizontal="center" vertical="center" wrapText="1"/>
    </xf>
    <xf numFmtId="0" fontId="72" fillId="64" borderId="196" xfId="0" applyFont="1" applyFill="1" applyBorder="1" applyAlignment="1">
      <alignment horizontal="center" vertical="center" wrapText="1"/>
    </xf>
    <xf numFmtId="0" fontId="72" fillId="64" borderId="197" xfId="0" applyFont="1" applyFill="1" applyBorder="1" applyAlignment="1">
      <alignment horizontal="center" vertical="center" wrapText="1"/>
    </xf>
    <xf numFmtId="0" fontId="72" fillId="64" borderId="198" xfId="0" applyFont="1" applyFill="1" applyBorder="1" applyAlignment="1">
      <alignment horizontal="center" vertical="center" wrapText="1"/>
    </xf>
    <xf numFmtId="0" fontId="72" fillId="64" borderId="57" xfId="0" applyFont="1" applyFill="1" applyBorder="1" applyAlignment="1">
      <alignment horizontal="center" vertical="center" wrapText="1"/>
    </xf>
    <xf numFmtId="0" fontId="72" fillId="64" borderId="58" xfId="0" applyFont="1" applyFill="1" applyBorder="1" applyAlignment="1">
      <alignment horizontal="center" vertical="center" wrapText="1"/>
    </xf>
    <xf numFmtId="0" fontId="72" fillId="68" borderId="196" xfId="0" applyFont="1" applyFill="1" applyBorder="1" applyAlignment="1">
      <alignment wrapText="1"/>
    </xf>
    <xf numFmtId="0" fontId="72" fillId="68" borderId="197" xfId="0" applyFont="1" applyFill="1" applyBorder="1" applyAlignment="1">
      <alignment wrapText="1"/>
    </xf>
    <xf numFmtId="0" fontId="72" fillId="68" borderId="198" xfId="0" applyFont="1" applyFill="1" applyBorder="1" applyAlignment="1">
      <alignment wrapText="1"/>
    </xf>
    <xf numFmtId="0" fontId="72" fillId="68" borderId="54" xfId="0" applyFont="1" applyFill="1" applyBorder="1" applyAlignment="1">
      <alignment wrapText="1"/>
    </xf>
    <xf numFmtId="0" fontId="72" fillId="68" borderId="0" xfId="0" applyFont="1" applyFill="1" applyBorder="1" applyAlignment="1">
      <alignment wrapText="1"/>
    </xf>
    <xf numFmtId="0" fontId="72" fillId="68" borderId="179" xfId="0" applyFont="1" applyFill="1" applyBorder="1" applyAlignment="1">
      <alignment wrapText="1"/>
    </xf>
    <xf numFmtId="174" fontId="72" fillId="0" borderId="10" xfId="0" applyNumberFormat="1" applyFont="1" applyBorder="1" applyProtection="1">
      <protection locked="0"/>
    </xf>
    <xf numFmtId="9" fontId="72" fillId="0" borderId="10" xfId="0" applyNumberFormat="1" applyFont="1" applyBorder="1" applyProtection="1">
      <protection locked="0"/>
    </xf>
    <xf numFmtId="0" fontId="72" fillId="35" borderId="10" xfId="93" applyNumberFormat="1" applyFont="1" applyFill="1" applyBorder="1" applyAlignment="1">
      <alignment horizontal="center" vertical="center" wrapText="1"/>
    </xf>
    <xf numFmtId="0" fontId="72" fillId="35" borderId="196" xfId="187" applyFont="1" applyFill="1" applyBorder="1" applyAlignment="1" applyProtection="1">
      <alignment horizontal="left" vertical="top" wrapText="1"/>
    </xf>
    <xf numFmtId="0" fontId="72" fillId="33" borderId="10" xfId="187" applyFont="1" applyFill="1" applyBorder="1" applyAlignment="1" applyProtection="1">
      <alignment wrapText="1"/>
    </xf>
    <xf numFmtId="0" fontId="72" fillId="0" borderId="200" xfId="0" applyFont="1" applyBorder="1" applyAlignment="1">
      <alignment horizontal="center" vertical="center" wrapText="1"/>
    </xf>
    <xf numFmtId="0" fontId="72" fillId="0" borderId="199" xfId="0" applyFont="1" applyBorder="1" applyAlignment="1">
      <alignment horizontal="center" vertical="center" wrapText="1"/>
    </xf>
    <xf numFmtId="0" fontId="72" fillId="68" borderId="178" xfId="0" applyFont="1" applyFill="1" applyBorder="1" applyAlignment="1">
      <alignment wrapText="1"/>
    </xf>
    <xf numFmtId="0" fontId="72" fillId="33" borderId="199" xfId="187" applyFont="1" applyFill="1" applyBorder="1" applyAlignment="1" applyProtection="1">
      <alignment horizontal="left" wrapText="1"/>
    </xf>
    <xf numFmtId="0" fontId="72" fillId="37" borderId="135" xfId="187" applyFont="1" applyFill="1" applyBorder="1" applyAlignment="1" applyProtection="1">
      <alignment horizontal="left" vertical="top" wrapText="1"/>
      <protection locked="0"/>
    </xf>
    <xf numFmtId="0" fontId="72" fillId="37" borderId="144" xfId="187" applyFont="1" applyFill="1" applyBorder="1" applyAlignment="1" applyProtection="1">
      <alignment horizontal="left" vertical="top" wrapText="1"/>
      <protection locked="0"/>
    </xf>
    <xf numFmtId="0" fontId="72" fillId="35" borderId="11" xfId="187" applyFont="1" applyFill="1" applyBorder="1" applyAlignment="1" applyProtection="1">
      <alignment horizontal="left" vertical="top" wrapText="1"/>
    </xf>
    <xf numFmtId="0" fontId="72" fillId="35" borderId="10" xfId="187" applyFont="1" applyFill="1" applyBorder="1" applyAlignment="1" applyProtection="1">
      <alignment horizontal="left" vertical="top" wrapText="1"/>
    </xf>
    <xf numFmtId="0" fontId="72" fillId="0" borderId="0" xfId="187" applyFont="1" applyBorder="1" applyAlignment="1" applyProtection="1">
      <alignment horizontal="left" vertical="top"/>
      <protection locked="0"/>
    </xf>
    <xf numFmtId="0" fontId="72" fillId="37" borderId="148" xfId="187" applyFont="1" applyFill="1" applyBorder="1" applyAlignment="1" applyProtection="1">
      <alignment horizontal="center" vertical="top"/>
      <protection locked="0"/>
    </xf>
    <xf numFmtId="0" fontId="72" fillId="37" borderId="149" xfId="187" applyFont="1" applyFill="1" applyBorder="1" applyAlignment="1" applyProtection="1">
      <alignment horizontal="center" vertical="top"/>
      <protection locked="0"/>
    </xf>
    <xf numFmtId="0" fontId="72" fillId="35" borderId="0" xfId="187" applyFont="1" applyFill="1" applyBorder="1" applyAlignment="1" applyProtection="1">
      <alignment horizontal="left" vertical="top"/>
      <protection locked="0"/>
    </xf>
    <xf numFmtId="0" fontId="72" fillId="35" borderId="190" xfId="187" applyFont="1" applyFill="1" applyBorder="1" applyAlignment="1" applyProtection="1">
      <alignment horizontal="left" vertical="top" wrapText="1"/>
    </xf>
    <xf numFmtId="0" fontId="72" fillId="35" borderId="181" xfId="187" applyFont="1" applyFill="1" applyBorder="1" applyAlignment="1" applyProtection="1">
      <alignment horizontal="left" vertical="top" wrapText="1"/>
    </xf>
    <xf numFmtId="0" fontId="72" fillId="35" borderId="200" xfId="187" applyFont="1" applyFill="1" applyBorder="1" applyAlignment="1" applyProtection="1">
      <alignment horizontal="left" vertical="top" wrapText="1"/>
    </xf>
    <xf numFmtId="0" fontId="72" fillId="64" borderId="185" xfId="0" applyFont="1" applyFill="1" applyBorder="1" applyAlignment="1">
      <alignment vertical="center" wrapText="1"/>
    </xf>
    <xf numFmtId="0" fontId="72" fillId="64" borderId="179" xfId="0" applyFont="1" applyFill="1" applyBorder="1" applyAlignment="1">
      <alignment vertical="center" wrapText="1"/>
    </xf>
    <xf numFmtId="0" fontId="72" fillId="53" borderId="181" xfId="187" applyFont="1" applyFill="1" applyBorder="1" applyAlignment="1" applyProtection="1">
      <alignment horizontal="left" vertical="top"/>
      <protection locked="0"/>
    </xf>
    <xf numFmtId="0" fontId="72" fillId="53" borderId="200" xfId="187" applyFont="1" applyFill="1" applyBorder="1" applyAlignment="1" applyProtection="1">
      <alignment horizontal="left" vertical="top"/>
      <protection locked="0"/>
    </xf>
    <xf numFmtId="14" fontId="72" fillId="30" borderId="143" xfId="187" applyNumberFormat="1" applyFont="1" applyFill="1" applyBorder="1" applyAlignment="1" applyProtection="1">
      <alignment horizontal="center" vertical="top" wrapText="1"/>
    </xf>
    <xf numFmtId="0" fontId="72" fillId="37" borderId="135" xfId="187" applyFont="1" applyFill="1" applyBorder="1" applyAlignment="1" applyProtection="1">
      <alignment vertical="top" wrapText="1"/>
      <protection locked="0"/>
    </xf>
    <xf numFmtId="0" fontId="72" fillId="35" borderId="190" xfId="187" applyFont="1" applyFill="1" applyBorder="1" applyAlignment="1" applyProtection="1">
      <alignment vertical="center" wrapText="1"/>
    </xf>
    <xf numFmtId="0" fontId="72" fillId="35" borderId="190" xfId="662" applyFont="1" applyFill="1" applyBorder="1" applyAlignment="1" applyProtection="1">
      <alignment horizontal="left" vertical="top" wrapText="1"/>
    </xf>
    <xf numFmtId="0" fontId="123" fillId="0" borderId="32" xfId="0" applyFont="1" applyBorder="1"/>
    <xf numFmtId="0" fontId="123" fillId="0" borderId="0" xfId="0" applyFont="1" applyBorder="1"/>
    <xf numFmtId="0" fontId="4" fillId="0" borderId="0" xfId="0" applyFont="1"/>
    <xf numFmtId="166" fontId="72" fillId="42" borderId="18" xfId="0" applyNumberFormat="1" applyFont="1" applyFill="1" applyBorder="1" applyAlignment="1" applyProtection="1">
      <alignment horizontal="center" vertical="center"/>
    </xf>
    <xf numFmtId="174" fontId="126" fillId="0" borderId="10" xfId="643" applyNumberFormat="1" applyFont="1" applyFill="1" applyBorder="1" applyAlignment="1" applyProtection="1">
      <alignment vertical="center"/>
      <protection hidden="1"/>
    </xf>
    <xf numFmtId="43" fontId="126" fillId="0" borderId="10" xfId="28" applyFont="1" applyFill="1" applyBorder="1" applyAlignment="1" applyProtection="1">
      <alignment vertical="center"/>
      <protection hidden="1"/>
    </xf>
    <xf numFmtId="165" fontId="126" fillId="0" borderId="10" xfId="643" applyNumberFormat="1" applyFont="1" applyFill="1" applyBorder="1" applyAlignment="1" applyProtection="1">
      <alignment horizontal="right" vertical="center" wrapText="1"/>
      <protection hidden="1"/>
    </xf>
    <xf numFmtId="44" fontId="72" fillId="35" borderId="18" xfId="665" applyFont="1" applyFill="1" applyBorder="1" applyProtection="1">
      <protection locked="0"/>
    </xf>
    <xf numFmtId="215" fontId="72" fillId="37" borderId="10" xfId="93" applyNumberFormat="1" applyFont="1" applyFill="1" applyBorder="1" applyAlignment="1">
      <alignment horizontal="center" vertical="center" wrapText="1"/>
    </xf>
    <xf numFmtId="0" fontId="72" fillId="37" borderId="193" xfId="0" applyFont="1" applyFill="1" applyBorder="1" applyAlignment="1" applyProtection="1">
      <alignment wrapText="1"/>
      <protection locked="0"/>
    </xf>
    <xf numFmtId="0" fontId="72" fillId="37" borderId="59" xfId="0" applyFont="1" applyFill="1" applyBorder="1" applyAlignment="1" applyProtection="1">
      <alignment wrapText="1"/>
      <protection locked="0"/>
    </xf>
    <xf numFmtId="0" fontId="74" fillId="42" borderId="18" xfId="0" applyFont="1" applyFill="1" applyBorder="1" applyAlignment="1" applyProtection="1">
      <alignment horizontal="center" vertical="center" wrapText="1"/>
      <protection locked="0"/>
    </xf>
    <xf numFmtId="0" fontId="74" fillId="41" borderId="18" xfId="0" applyFont="1" applyFill="1" applyBorder="1" applyAlignment="1" applyProtection="1">
      <alignment vertical="center" wrapText="1"/>
      <protection locked="0"/>
    </xf>
    <xf numFmtId="0" fontId="72" fillId="41" borderId="18" xfId="0" applyFont="1" applyFill="1" applyBorder="1" applyAlignment="1" applyProtection="1">
      <protection locked="0"/>
    </xf>
    <xf numFmtId="0" fontId="125" fillId="0" borderId="0" xfId="643" applyFont="1" applyFill="1" applyBorder="1" applyAlignment="1" applyProtection="1">
      <alignment vertical="center" wrapText="1"/>
      <protection hidden="1"/>
    </xf>
    <xf numFmtId="174" fontId="126" fillId="37" borderId="41" xfId="187" applyNumberFormat="1" applyFont="1" applyFill="1" applyBorder="1" applyAlignment="1" applyProtection="1">
      <alignment horizontal="center" vertical="center" wrapText="1"/>
      <protection hidden="1"/>
    </xf>
    <xf numFmtId="174" fontId="126" fillId="0" borderId="42" xfId="643" applyNumberFormat="1" applyFont="1" applyFill="1" applyBorder="1" applyAlignment="1" applyProtection="1">
      <alignment horizontal="center" vertical="center" wrapText="1"/>
      <protection hidden="1"/>
    </xf>
    <xf numFmtId="0" fontId="125" fillId="35" borderId="17" xfId="187" applyFont="1" applyFill="1" applyBorder="1" applyAlignment="1" applyProtection="1">
      <alignment horizontal="right"/>
      <protection hidden="1"/>
    </xf>
    <xf numFmtId="174" fontId="126" fillId="35" borderId="47" xfId="187" applyNumberFormat="1" applyFont="1" applyFill="1" applyBorder="1" applyProtection="1">
      <protection hidden="1"/>
    </xf>
    <xf numFmtId="3" fontId="126" fillId="35" borderId="47" xfId="187" applyNumberFormat="1" applyFont="1" applyFill="1" applyBorder="1" applyProtection="1">
      <protection hidden="1"/>
    </xf>
    <xf numFmtId="165" fontId="126" fillId="0" borderId="47" xfId="643" applyNumberFormat="1" applyFont="1" applyFill="1" applyBorder="1" applyAlignment="1" applyProtection="1">
      <alignment horizontal="right" vertical="center" wrapText="1"/>
      <protection hidden="1"/>
    </xf>
    <xf numFmtId="174" fontId="126" fillId="35" borderId="50" xfId="187" applyNumberFormat="1" applyFont="1" applyFill="1" applyBorder="1" applyAlignment="1" applyProtection="1">
      <alignment horizontal="center"/>
      <protection hidden="1"/>
    </xf>
    <xf numFmtId="174" fontId="126" fillId="37" borderId="38" xfId="187" applyNumberFormat="1" applyFont="1" applyFill="1" applyBorder="1" applyAlignment="1" applyProtection="1">
      <alignment horizontal="center" vertical="center" wrapText="1"/>
      <protection hidden="1"/>
    </xf>
    <xf numFmtId="174" fontId="126" fillId="0" borderId="39" xfId="643" applyNumberFormat="1" applyFont="1" applyFill="1" applyBorder="1" applyAlignment="1" applyProtection="1">
      <alignment vertical="center"/>
      <protection hidden="1"/>
    </xf>
    <xf numFmtId="43" fontId="126" fillId="0" borderId="39" xfId="28" applyFont="1" applyFill="1" applyBorder="1" applyAlignment="1" applyProtection="1">
      <alignment vertical="center"/>
      <protection hidden="1"/>
    </xf>
    <xf numFmtId="165" fontId="126" fillId="0" borderId="39" xfId="643" applyNumberFormat="1" applyFont="1" applyFill="1" applyBorder="1" applyAlignment="1" applyProtection="1">
      <alignment horizontal="right" vertical="center" wrapText="1"/>
      <protection hidden="1"/>
    </xf>
    <xf numFmtId="174" fontId="126" fillId="0" borderId="40" xfId="643" applyNumberFormat="1" applyFont="1" applyFill="1" applyBorder="1" applyAlignment="1" applyProtection="1">
      <alignment horizontal="center" vertical="center" wrapText="1"/>
      <protection hidden="1"/>
    </xf>
    <xf numFmtId="174" fontId="72" fillId="42" borderId="56" xfId="60" applyNumberFormat="1" applyFont="1" applyFill="1" applyBorder="1" applyAlignment="1">
      <alignment horizontal="center" vertical="center"/>
    </xf>
    <xf numFmtId="185" fontId="72" fillId="35" borderId="10" xfId="0" applyNumberFormat="1" applyFont="1" applyFill="1" applyBorder="1" applyAlignment="1" applyProtection="1">
      <alignment vertical="center" wrapText="1"/>
      <protection locked="0"/>
    </xf>
    <xf numFmtId="0" fontId="91" fillId="0" borderId="0" xfId="0" applyFont="1" applyFill="1" applyBorder="1" applyAlignment="1">
      <alignment horizontal="center" vertical="center" wrapText="1"/>
    </xf>
    <xf numFmtId="0" fontId="4" fillId="0" borderId="0" xfId="0" applyFont="1" applyAlignment="1">
      <alignment wrapText="1"/>
    </xf>
    <xf numFmtId="0" fontId="72" fillId="0" borderId="0" xfId="93" applyFont="1" applyFill="1" applyBorder="1" applyAlignment="1">
      <alignment horizontal="center" vertical="top" wrapText="1"/>
    </xf>
    <xf numFmtId="9" fontId="72" fillId="0" borderId="0" xfId="64" applyFont="1" applyFill="1" applyBorder="1" applyAlignment="1">
      <alignment horizontal="center" vertical="center" wrapText="1"/>
    </xf>
    <xf numFmtId="0" fontId="72" fillId="0" borderId="0" xfId="0" applyFont="1" applyAlignment="1"/>
    <xf numFmtId="1" fontId="72" fillId="0" borderId="10" xfId="93" applyNumberFormat="1" applyFont="1" applyFill="1" applyBorder="1" applyAlignment="1">
      <alignment horizontal="center" vertical="center" wrapText="1"/>
    </xf>
    <xf numFmtId="0" fontId="74" fillId="33" borderId="10" xfId="93" applyFont="1" applyFill="1" applyBorder="1" applyAlignment="1">
      <alignment horizontal="center" vertical="top" wrapText="1"/>
    </xf>
    <xf numFmtId="0" fontId="72" fillId="0" borderId="10" xfId="93" applyFont="1" applyFill="1" applyBorder="1" applyAlignment="1">
      <alignment horizontal="center" vertical="center" wrapText="1"/>
    </xf>
    <xf numFmtId="3" fontId="72" fillId="0" borderId="10" xfId="93" applyNumberFormat="1" applyFont="1" applyFill="1" applyBorder="1" applyAlignment="1">
      <alignment horizontal="center" vertical="center" wrapText="1"/>
    </xf>
    <xf numFmtId="0" fontId="129" fillId="59" borderId="0" xfId="38" applyFont="1" applyFill="1" applyAlignment="1" applyProtection="1"/>
    <xf numFmtId="0" fontId="129" fillId="0" borderId="0" xfId="38" applyFont="1" applyFill="1" applyAlignment="1" applyProtection="1"/>
    <xf numFmtId="0" fontId="87" fillId="0" borderId="178" xfId="662" applyFont="1" applyFill="1" applyBorder="1" applyAlignment="1" applyProtection="1">
      <alignment vertical="center" wrapText="1"/>
    </xf>
    <xf numFmtId="0" fontId="72" fillId="62" borderId="190" xfId="187" applyFont="1" applyFill="1" applyBorder="1" applyAlignment="1" applyProtection="1">
      <alignment horizontal="left" vertical="top" wrapText="1"/>
    </xf>
    <xf numFmtId="0" fontId="72" fillId="62" borderId="180" xfId="187" applyFont="1" applyFill="1" applyBorder="1" applyAlignment="1" applyProtection="1">
      <alignment horizontal="left" vertical="top" wrapText="1"/>
    </xf>
    <xf numFmtId="0" fontId="72" fillId="62" borderId="0" xfId="187" applyFont="1" applyFill="1" applyBorder="1" applyAlignment="1" applyProtection="1">
      <alignment horizontal="left" vertical="top" wrapText="1"/>
    </xf>
    <xf numFmtId="0" fontId="72" fillId="30" borderId="14" xfId="0" applyFont="1" applyFill="1" applyBorder="1" applyAlignment="1" applyProtection="1">
      <alignment horizontal="justify" wrapText="1"/>
    </xf>
    <xf numFmtId="0" fontId="72" fillId="30" borderId="19" xfId="0" applyFont="1" applyFill="1" applyBorder="1" applyAlignment="1" applyProtection="1">
      <alignment horizontal="justify" wrapText="1"/>
    </xf>
    <xf numFmtId="0" fontId="72" fillId="37" borderId="27" xfId="0" applyFont="1" applyFill="1" applyBorder="1" applyAlignment="1" applyProtection="1">
      <alignment horizontal="left" wrapText="1"/>
    </xf>
    <xf numFmtId="0" fontId="72" fillId="37" borderId="28" xfId="0" applyFont="1" applyFill="1" applyBorder="1" applyAlignment="1" applyProtection="1">
      <alignment horizontal="left" wrapText="1"/>
    </xf>
    <xf numFmtId="0" fontId="72" fillId="30" borderId="17" xfId="0" applyFont="1" applyFill="1" applyBorder="1" applyAlignment="1" applyProtection="1">
      <alignment horizontal="left" wrapText="1"/>
    </xf>
    <xf numFmtId="0" fontId="72" fillId="30" borderId="21" xfId="0" applyFont="1" applyFill="1" applyBorder="1" applyAlignment="1" applyProtection="1">
      <alignment horizontal="left" wrapText="1"/>
    </xf>
    <xf numFmtId="0" fontId="72" fillId="35" borderId="59" xfId="662" applyFont="1" applyFill="1" applyBorder="1" applyAlignment="1" applyProtection="1">
      <alignment horizontal="center" vertical="center" wrapText="1"/>
    </xf>
    <xf numFmtId="0" fontId="72" fillId="35" borderId="39" xfId="662" applyFont="1" applyFill="1" applyBorder="1" applyAlignment="1" applyProtection="1">
      <alignment horizontal="center" vertical="center" wrapText="1"/>
    </xf>
    <xf numFmtId="0" fontId="87" fillId="0" borderId="0" xfId="662" applyFont="1" applyFill="1" applyBorder="1" applyAlignment="1" applyProtection="1">
      <alignment horizontal="left" vertical="top" wrapText="1"/>
    </xf>
    <xf numFmtId="8" fontId="72" fillId="37" borderId="10" xfId="0" applyNumberFormat="1" applyFont="1" applyFill="1" applyBorder="1" applyAlignment="1" applyProtection="1">
      <alignment horizontal="center"/>
      <protection locked="0"/>
    </xf>
    <xf numFmtId="183" fontId="72" fillId="37" borderId="10" xfId="0" applyNumberFormat="1" applyFont="1" applyFill="1" applyBorder="1" applyAlignment="1" applyProtection="1">
      <alignment horizontal="center"/>
      <protection locked="0"/>
    </xf>
    <xf numFmtId="0" fontId="72" fillId="37" borderId="59" xfId="0" applyFont="1" applyFill="1" applyBorder="1" applyAlignment="1">
      <alignment horizontal="center" vertical="center" wrapText="1"/>
    </xf>
    <xf numFmtId="0" fontId="72" fillId="37" borderId="172" xfId="0" applyFont="1" applyFill="1" applyBorder="1" applyAlignment="1">
      <alignment horizontal="center" vertical="center" wrapText="1"/>
    </xf>
    <xf numFmtId="0" fontId="72" fillId="37" borderId="10" xfId="0" applyFont="1" applyFill="1" applyBorder="1" applyAlignment="1">
      <alignment horizontal="center" vertical="center" wrapText="1"/>
    </xf>
    <xf numFmtId="0" fontId="72" fillId="64" borderId="183" xfId="0" applyFont="1" applyFill="1" applyBorder="1" applyAlignment="1">
      <alignment horizontal="center" vertical="center" wrapText="1"/>
    </xf>
    <xf numFmtId="0" fontId="72" fillId="64" borderId="39" xfId="0" applyFont="1" applyFill="1" applyBorder="1" applyAlignment="1">
      <alignment horizontal="center" vertical="center" wrapText="1"/>
    </xf>
    <xf numFmtId="0" fontId="72" fillId="37" borderId="183" xfId="0" applyFont="1" applyFill="1" applyBorder="1" applyAlignment="1">
      <alignment horizontal="center" vertical="center" wrapText="1"/>
    </xf>
    <xf numFmtId="0" fontId="72" fillId="37" borderId="39" xfId="0" applyFont="1" applyFill="1" applyBorder="1" applyAlignment="1">
      <alignment horizontal="center" vertical="center" wrapText="1"/>
    </xf>
    <xf numFmtId="0" fontId="72" fillId="37" borderId="193" xfId="0" applyFont="1" applyFill="1" applyBorder="1" applyAlignment="1">
      <alignment horizontal="center" vertical="center" wrapText="1"/>
    </xf>
    <xf numFmtId="0" fontId="91" fillId="0" borderId="0" xfId="0" applyFont="1" applyAlignment="1">
      <alignment horizontal="center" vertical="center" wrapText="1"/>
    </xf>
    <xf numFmtId="0" fontId="72" fillId="37" borderId="170" xfId="0" applyFont="1" applyFill="1" applyBorder="1" applyAlignment="1">
      <alignment horizontal="center" vertical="center" wrapText="1"/>
    </xf>
    <xf numFmtId="0" fontId="72" fillId="64" borderId="183" xfId="0" applyFont="1" applyFill="1" applyBorder="1" applyAlignment="1" applyProtection="1">
      <alignment horizontal="center" vertical="center" wrapText="1"/>
      <protection locked="0"/>
    </xf>
    <xf numFmtId="0" fontId="72" fillId="64" borderId="172" xfId="0" applyFont="1" applyFill="1" applyBorder="1" applyAlignment="1" applyProtection="1">
      <alignment horizontal="center" vertical="center" wrapText="1"/>
      <protection locked="0"/>
    </xf>
    <xf numFmtId="0" fontId="72" fillId="64" borderId="39" xfId="0" applyFont="1" applyFill="1" applyBorder="1" applyAlignment="1" applyProtection="1">
      <alignment horizontal="center" vertical="center" wrapText="1"/>
      <protection locked="0"/>
    </xf>
    <xf numFmtId="0" fontId="72" fillId="65" borderId="183" xfId="0" applyFont="1" applyFill="1" applyBorder="1" applyAlignment="1">
      <alignment horizontal="center" vertical="center" wrapText="1"/>
    </xf>
    <xf numFmtId="0" fontId="72" fillId="65" borderId="39" xfId="0" applyFont="1" applyFill="1" applyBorder="1" applyAlignment="1">
      <alignment horizontal="center" vertical="center" wrapText="1"/>
    </xf>
    <xf numFmtId="0" fontId="72" fillId="0" borderId="184" xfId="0" applyFont="1" applyBorder="1" applyAlignment="1">
      <alignment horizontal="center" vertical="center" wrapText="1"/>
    </xf>
    <xf numFmtId="0" fontId="72" fillId="0" borderId="178" xfId="0" applyFont="1" applyBorder="1" applyAlignment="1">
      <alignment horizontal="center" vertical="center" wrapText="1"/>
    </xf>
    <xf numFmtId="0" fontId="72" fillId="0" borderId="190" xfId="0" applyFont="1" applyBorder="1" applyAlignment="1">
      <alignment horizontal="center" vertical="center" wrapText="1"/>
    </xf>
    <xf numFmtId="0" fontId="72" fillId="0" borderId="170" xfId="0" applyFont="1" applyBorder="1" applyAlignment="1">
      <alignment horizontal="center" vertical="center" wrapText="1"/>
    </xf>
    <xf numFmtId="0" fontId="72" fillId="0" borderId="39" xfId="0" applyFont="1" applyBorder="1" applyAlignment="1">
      <alignment horizontal="center" vertical="center" wrapText="1"/>
    </xf>
    <xf numFmtId="0" fontId="72" fillId="0" borderId="61" xfId="0" applyFont="1" applyBorder="1" applyAlignment="1">
      <alignment horizontal="center" vertical="center" wrapText="1"/>
    </xf>
    <xf numFmtId="0" fontId="72" fillId="37" borderId="61" xfId="0" applyFont="1" applyFill="1" applyBorder="1" applyAlignment="1">
      <alignment horizontal="center" vertical="center" wrapText="1"/>
    </xf>
    <xf numFmtId="0" fontId="91" fillId="0" borderId="0" xfId="0" applyFont="1" applyAlignment="1">
      <alignment horizontal="center" wrapText="1"/>
    </xf>
    <xf numFmtId="0" fontId="72" fillId="33" borderId="16" xfId="0" applyFont="1" applyFill="1" applyBorder="1" applyAlignment="1">
      <alignment horizontal="center"/>
    </xf>
    <xf numFmtId="0" fontId="72" fillId="33" borderId="29" xfId="0" applyFont="1" applyFill="1" applyBorder="1" applyAlignment="1">
      <alignment horizontal="center"/>
    </xf>
    <xf numFmtId="0" fontId="72" fillId="33" borderId="20" xfId="0" applyFont="1" applyFill="1" applyBorder="1" applyAlignment="1">
      <alignment horizontal="center"/>
    </xf>
    <xf numFmtId="0" fontId="74" fillId="33" borderId="16" xfId="0" applyFont="1" applyFill="1" applyBorder="1" applyAlignment="1">
      <alignment horizontal="left"/>
    </xf>
    <xf numFmtId="0" fontId="74" fillId="33" borderId="29" xfId="0" applyFont="1" applyFill="1" applyBorder="1" applyAlignment="1">
      <alignment horizontal="left"/>
    </xf>
    <xf numFmtId="0" fontId="74" fillId="33" borderId="20" xfId="0" applyFont="1" applyFill="1" applyBorder="1" applyAlignment="1">
      <alignment horizontal="left"/>
    </xf>
    <xf numFmtId="0" fontId="74" fillId="33" borderId="16" xfId="0" applyFont="1" applyFill="1" applyBorder="1" applyAlignment="1">
      <alignment horizontal="left" vertical="top" wrapText="1"/>
    </xf>
    <xf numFmtId="0" fontId="74" fillId="33" borderId="29" xfId="0" applyFont="1" applyFill="1" applyBorder="1" applyAlignment="1">
      <alignment horizontal="left" vertical="top" wrapText="1"/>
    </xf>
    <xf numFmtId="0" fontId="74" fillId="33" borderId="20" xfId="0" applyFont="1" applyFill="1" applyBorder="1" applyAlignment="1">
      <alignment horizontal="left" vertical="top" wrapText="1"/>
    </xf>
    <xf numFmtId="0" fontId="74" fillId="33" borderId="17" xfId="0" applyFont="1" applyFill="1" applyBorder="1" applyAlignment="1">
      <alignment horizontal="left"/>
    </xf>
    <xf numFmtId="0" fontId="74" fillId="33" borderId="32" xfId="0" applyFont="1" applyFill="1" applyBorder="1" applyAlignment="1">
      <alignment horizontal="left"/>
    </xf>
    <xf numFmtId="0" fontId="74" fillId="33" borderId="21" xfId="0" applyFont="1" applyFill="1" applyBorder="1" applyAlignment="1">
      <alignment horizontal="left"/>
    </xf>
    <xf numFmtId="0" fontId="72" fillId="0" borderId="82" xfId="0" applyFont="1" applyFill="1" applyBorder="1" applyAlignment="1">
      <alignment horizontal="left" vertical="top" wrapText="1"/>
    </xf>
    <xf numFmtId="0" fontId="72" fillId="0" borderId="83" xfId="0" applyFont="1" applyFill="1" applyBorder="1" applyAlignment="1">
      <alignment horizontal="left" vertical="top" wrapText="1"/>
    </xf>
    <xf numFmtId="0" fontId="72" fillId="0" borderId="11" xfId="0" applyFont="1" applyFill="1" applyBorder="1" applyAlignment="1">
      <alignment horizontal="left" vertical="top" wrapText="1"/>
    </xf>
    <xf numFmtId="0" fontId="72" fillId="0" borderId="13" xfId="0" applyFont="1" applyFill="1" applyBorder="1" applyAlignment="1">
      <alignment horizontal="left" vertical="top" wrapText="1"/>
    </xf>
    <xf numFmtId="0" fontId="72" fillId="0" borderId="60" xfId="0" applyFont="1" applyBorder="1" applyAlignment="1">
      <alignment horizontal="center"/>
    </xf>
    <xf numFmtId="0" fontId="72" fillId="0" borderId="62" xfId="0" applyFont="1" applyBorder="1" applyAlignment="1">
      <alignment horizontal="center"/>
    </xf>
    <xf numFmtId="0" fontId="72" fillId="0" borderId="75" xfId="0" applyFont="1" applyBorder="1" applyAlignment="1">
      <alignment horizontal="center"/>
    </xf>
    <xf numFmtId="0" fontId="72" fillId="0" borderId="54" xfId="0" applyFont="1" applyBorder="1" applyAlignment="1">
      <alignment horizontal="center"/>
    </xf>
    <xf numFmtId="0" fontId="72" fillId="0" borderId="0" xfId="0" applyFont="1" applyBorder="1" applyAlignment="1">
      <alignment horizontal="center"/>
    </xf>
    <xf numFmtId="0" fontId="72" fillId="0" borderId="28" xfId="0" applyFont="1" applyBorder="1" applyAlignment="1">
      <alignment horizontal="center"/>
    </xf>
    <xf numFmtId="0" fontId="72" fillId="0" borderId="76" xfId="0" applyFont="1" applyBorder="1" applyAlignment="1">
      <alignment horizontal="center"/>
    </xf>
    <xf numFmtId="0" fontId="72" fillId="0" borderId="32" xfId="0" applyFont="1" applyBorder="1" applyAlignment="1">
      <alignment horizontal="center"/>
    </xf>
    <xf numFmtId="0" fontId="72" fillId="0" borderId="21" xfId="0" applyFont="1" applyBorder="1" applyAlignment="1">
      <alignment horizontal="center"/>
    </xf>
    <xf numFmtId="0" fontId="74" fillId="33" borderId="82" xfId="0" applyFont="1" applyFill="1" applyBorder="1" applyAlignment="1">
      <alignment horizontal="left"/>
    </xf>
    <xf numFmtId="0" fontId="74" fillId="33" borderId="64" xfId="0" applyFont="1" applyFill="1" applyBorder="1" applyAlignment="1">
      <alignment horizontal="left"/>
    </xf>
    <xf numFmtId="0" fontId="74" fillId="33" borderId="73" xfId="0" applyFont="1" applyFill="1" applyBorder="1" applyAlignment="1">
      <alignment horizontal="left"/>
    </xf>
    <xf numFmtId="1" fontId="72" fillId="0" borderId="56" xfId="0" applyNumberFormat="1" applyFont="1" applyFill="1" applyBorder="1" applyAlignment="1">
      <alignment horizontal="center" vertical="top" wrapText="1"/>
    </xf>
    <xf numFmtId="1" fontId="72" fillId="0" borderId="58" xfId="0" applyNumberFormat="1" applyFont="1" applyFill="1" applyBorder="1" applyAlignment="1">
      <alignment horizontal="center" vertical="top" wrapText="1"/>
    </xf>
    <xf numFmtId="3" fontId="72" fillId="35" borderId="11" xfId="0" applyNumberFormat="1" applyFont="1" applyFill="1" applyBorder="1" applyAlignment="1" applyProtection="1">
      <alignment horizontal="center" vertical="top" wrapText="1"/>
      <protection locked="0"/>
    </xf>
    <xf numFmtId="3" fontId="72" fillId="35" borderId="12" xfId="0" applyNumberFormat="1" applyFont="1" applyFill="1" applyBorder="1" applyAlignment="1" applyProtection="1">
      <alignment horizontal="center" vertical="top" wrapText="1"/>
      <protection locked="0"/>
    </xf>
    <xf numFmtId="3" fontId="72" fillId="35" borderId="13" xfId="0" applyNumberFormat="1" applyFont="1" applyFill="1" applyBorder="1" applyAlignment="1" applyProtection="1">
      <alignment horizontal="center" vertical="top" wrapText="1"/>
      <protection locked="0"/>
    </xf>
    <xf numFmtId="0" fontId="72" fillId="0" borderId="27" xfId="0" applyFont="1" applyFill="1" applyBorder="1" applyAlignment="1">
      <alignment horizontal="left" vertical="top" wrapText="1"/>
    </xf>
    <xf numFmtId="0" fontId="72" fillId="0" borderId="0" xfId="0" applyFont="1" applyFill="1" applyBorder="1" applyAlignment="1">
      <alignment horizontal="left" vertical="top" wrapText="1"/>
    </xf>
    <xf numFmtId="0" fontId="72" fillId="0" borderId="80" xfId="0" applyFont="1" applyFill="1" applyBorder="1" applyAlignment="1">
      <alignment horizontal="left" vertical="top" wrapText="1"/>
    </xf>
    <xf numFmtId="0" fontId="72" fillId="0" borderId="58" xfId="0" applyFont="1" applyFill="1" applyBorder="1" applyAlignment="1">
      <alignment horizontal="left" vertical="top" wrapText="1"/>
    </xf>
    <xf numFmtId="0" fontId="72" fillId="33" borderId="79" xfId="0" applyFont="1" applyFill="1" applyBorder="1" applyAlignment="1">
      <alignment horizontal="left" vertical="top" wrapText="1"/>
    </xf>
    <xf numFmtId="0" fontId="72" fillId="33" borderId="12" xfId="0" applyFont="1" applyFill="1" applyBorder="1" applyAlignment="1">
      <alignment horizontal="left" vertical="top" wrapText="1"/>
    </xf>
    <xf numFmtId="0" fontId="72" fillId="33" borderId="71" xfId="0" applyFont="1" applyFill="1" applyBorder="1" applyAlignment="1">
      <alignment horizontal="left" vertical="top" wrapText="1"/>
    </xf>
    <xf numFmtId="3" fontId="72" fillId="35" borderId="10" xfId="0" applyNumberFormat="1" applyFont="1" applyFill="1" applyBorder="1" applyAlignment="1" applyProtection="1">
      <alignment horizontal="center"/>
      <protection locked="0"/>
    </xf>
    <xf numFmtId="0" fontId="72" fillId="35" borderId="10" xfId="0" applyFont="1" applyFill="1" applyBorder="1" applyAlignment="1" applyProtection="1">
      <alignment horizontal="center"/>
      <protection locked="0"/>
    </xf>
    <xf numFmtId="0" fontId="72" fillId="35" borderId="42" xfId="0" applyFont="1" applyFill="1" applyBorder="1" applyAlignment="1" applyProtection="1">
      <alignment horizontal="center"/>
      <protection locked="0"/>
    </xf>
    <xf numFmtId="0" fontId="72" fillId="35" borderId="11" xfId="0" applyFont="1" applyFill="1" applyBorder="1" applyAlignment="1" applyProtection="1">
      <alignment horizontal="center" vertical="top" wrapText="1"/>
      <protection locked="0"/>
    </xf>
    <xf numFmtId="0" fontId="72" fillId="35" borderId="12" xfId="0" applyFont="1" applyFill="1" applyBorder="1" applyAlignment="1" applyProtection="1">
      <alignment horizontal="center" vertical="top" wrapText="1"/>
      <protection locked="0"/>
    </xf>
    <xf numFmtId="0" fontId="72" fillId="35" borderId="13" xfId="0" applyFont="1" applyFill="1" applyBorder="1" applyAlignment="1" applyProtection="1">
      <alignment horizontal="center" vertical="top" wrapText="1"/>
      <protection locked="0"/>
    </xf>
    <xf numFmtId="0" fontId="72" fillId="0" borderId="55" xfId="0" applyFont="1" applyFill="1" applyBorder="1" applyAlignment="1">
      <alignment horizontal="left" vertical="top" wrapText="1"/>
    </xf>
    <xf numFmtId="9" fontId="72" fillId="0" borderId="54" xfId="51" applyFont="1" applyFill="1" applyBorder="1" applyAlignment="1">
      <alignment horizontal="center"/>
    </xf>
    <xf numFmtId="9" fontId="72" fillId="0" borderId="0" xfId="51" applyFont="1" applyFill="1" applyBorder="1" applyAlignment="1">
      <alignment horizontal="center"/>
    </xf>
    <xf numFmtId="9" fontId="72" fillId="0" borderId="28" xfId="51" applyFont="1" applyFill="1" applyBorder="1" applyAlignment="1">
      <alignment horizontal="center"/>
    </xf>
    <xf numFmtId="0" fontId="72" fillId="0" borderId="78" xfId="0" applyFont="1" applyFill="1" applyBorder="1" applyAlignment="1">
      <alignment horizontal="left" vertical="top" wrapText="1"/>
    </xf>
    <xf numFmtId="0" fontId="72" fillId="0" borderId="62" xfId="0" applyFont="1" applyFill="1" applyBorder="1" applyAlignment="1">
      <alignment horizontal="left" vertical="top" wrapText="1"/>
    </xf>
    <xf numFmtId="0" fontId="72" fillId="37" borderId="182" xfId="0" applyFont="1" applyFill="1" applyBorder="1" applyAlignment="1">
      <alignment horizontal="left" vertical="top" wrapText="1"/>
    </xf>
    <xf numFmtId="214" fontId="72" fillId="35" borderId="10" xfId="0" applyNumberFormat="1" applyFont="1" applyFill="1" applyBorder="1" applyAlignment="1" applyProtection="1">
      <alignment horizontal="center" vertical="top" wrapText="1"/>
      <protection locked="0"/>
    </xf>
    <xf numFmtId="214" fontId="72" fillId="35" borderId="42" xfId="0" applyNumberFormat="1" applyFont="1" applyFill="1" applyBorder="1" applyAlignment="1" applyProtection="1">
      <alignment horizontal="center" vertical="top" wrapText="1"/>
      <protection locked="0"/>
    </xf>
    <xf numFmtId="0" fontId="72" fillId="0" borderId="11" xfId="0" applyFont="1" applyFill="1" applyBorder="1" applyAlignment="1">
      <alignment horizontal="center" vertical="top" wrapText="1"/>
    </xf>
    <xf numFmtId="0" fontId="72" fillId="0" borderId="12" xfId="0" applyFont="1" applyFill="1" applyBorder="1" applyAlignment="1">
      <alignment horizontal="center" vertical="top" wrapText="1"/>
    </xf>
    <xf numFmtId="0" fontId="72" fillId="0" borderId="13" xfId="0" applyFont="1" applyFill="1" applyBorder="1" applyAlignment="1">
      <alignment horizontal="center" vertical="top" wrapText="1"/>
    </xf>
    <xf numFmtId="167" fontId="72" fillId="0" borderId="27" xfId="0" applyNumberFormat="1" applyFont="1" applyFill="1" applyBorder="1" applyAlignment="1">
      <alignment horizontal="left" vertical="top" wrapText="1"/>
    </xf>
    <xf numFmtId="167" fontId="72" fillId="0" borderId="55" xfId="0" applyNumberFormat="1" applyFont="1" applyFill="1" applyBorder="1" applyAlignment="1">
      <alignment horizontal="left" vertical="top" wrapText="1"/>
    </xf>
    <xf numFmtId="0" fontId="72" fillId="37" borderId="182" xfId="0" applyFont="1" applyFill="1" applyBorder="1" applyAlignment="1">
      <alignment horizontal="center" vertical="top" wrapText="1"/>
    </xf>
    <xf numFmtId="1" fontId="72" fillId="0" borderId="60" xfId="0" applyNumberFormat="1" applyFont="1" applyFill="1" applyBorder="1" applyAlignment="1">
      <alignment horizontal="center" vertical="top" wrapText="1"/>
    </xf>
    <xf numFmtId="1" fontId="72" fillId="0" borderId="66" xfId="0" applyNumberFormat="1" applyFont="1" applyFill="1" applyBorder="1" applyAlignment="1">
      <alignment horizontal="center" vertical="top" wrapText="1"/>
    </xf>
    <xf numFmtId="1" fontId="72" fillId="0" borderId="54" xfId="0" applyNumberFormat="1" applyFont="1" applyFill="1" applyBorder="1" applyAlignment="1">
      <alignment horizontal="center" vertical="top" wrapText="1"/>
    </xf>
    <xf numFmtId="1" fontId="72" fillId="0" borderId="55" xfId="0" applyNumberFormat="1" applyFont="1" applyFill="1" applyBorder="1" applyAlignment="1">
      <alignment horizontal="center" vertical="top" wrapText="1"/>
    </xf>
    <xf numFmtId="166" fontId="72" fillId="35" borderId="10" xfId="0" applyNumberFormat="1" applyFont="1" applyFill="1" applyBorder="1" applyAlignment="1">
      <alignment horizontal="center" vertical="top" wrapText="1"/>
    </xf>
    <xf numFmtId="166" fontId="72" fillId="35" borderId="42" xfId="0" applyNumberFormat="1" applyFont="1" applyFill="1" applyBorder="1" applyAlignment="1">
      <alignment horizontal="center" vertical="top" wrapText="1"/>
    </xf>
    <xf numFmtId="0" fontId="72" fillId="37" borderId="187" xfId="0" applyFont="1" applyFill="1" applyBorder="1" applyAlignment="1">
      <alignment horizontal="center" vertical="top" wrapText="1"/>
    </xf>
    <xf numFmtId="0" fontId="72" fillId="37" borderId="189" xfId="0" applyFont="1" applyFill="1" applyBorder="1" applyAlignment="1">
      <alignment horizontal="center" vertical="top" wrapText="1"/>
    </xf>
    <xf numFmtId="0" fontId="72" fillId="0" borderId="168" xfId="0" applyFont="1" applyFill="1" applyBorder="1" applyAlignment="1">
      <alignment horizontal="center" vertical="top" wrapText="1"/>
    </xf>
    <xf numFmtId="0" fontId="72" fillId="0" borderId="199" xfId="0" applyFont="1" applyFill="1" applyBorder="1" applyAlignment="1">
      <alignment horizontal="center" vertical="top" wrapText="1"/>
    </xf>
    <xf numFmtId="0" fontId="72" fillId="0" borderId="200" xfId="0" applyFont="1" applyFill="1" applyBorder="1" applyAlignment="1">
      <alignment horizontal="center" vertical="top" wrapText="1"/>
    </xf>
    <xf numFmtId="1" fontId="72" fillId="0" borderId="0" xfId="0" applyNumberFormat="1" applyFont="1" applyFill="1" applyBorder="1" applyAlignment="1">
      <alignment horizontal="center" vertical="top" wrapText="1"/>
    </xf>
    <xf numFmtId="0" fontId="87" fillId="33" borderId="94" xfId="0" applyFont="1" applyFill="1" applyBorder="1" applyAlignment="1">
      <alignment horizontal="center" vertical="top" wrapText="1"/>
    </xf>
    <xf numFmtId="0" fontId="87" fillId="33" borderId="29" xfId="0" applyFont="1" applyFill="1" applyBorder="1" applyAlignment="1">
      <alignment horizontal="center" vertical="top" wrapText="1"/>
    </xf>
    <xf numFmtId="0" fontId="87" fillId="33" borderId="20" xfId="0" applyFont="1" applyFill="1" applyBorder="1" applyAlignment="1">
      <alignment horizontal="center" vertical="top" wrapText="1"/>
    </xf>
    <xf numFmtId="9" fontId="72" fillId="0" borderId="62" xfId="51" applyFont="1" applyFill="1" applyBorder="1" applyAlignment="1">
      <alignment horizontal="center"/>
    </xf>
    <xf numFmtId="9" fontId="72" fillId="0" borderId="75" xfId="51" applyFont="1" applyFill="1" applyBorder="1" applyAlignment="1">
      <alignment horizontal="center"/>
    </xf>
    <xf numFmtId="0" fontId="72" fillId="35" borderId="60" xfId="0" applyFont="1" applyFill="1" applyBorder="1" applyAlignment="1" applyProtection="1">
      <alignment horizontal="center" vertical="top" wrapText="1"/>
      <protection locked="0"/>
    </xf>
    <xf numFmtId="0" fontId="72" fillId="35" borderId="62" xfId="0" applyFont="1" applyFill="1" applyBorder="1" applyAlignment="1" applyProtection="1">
      <alignment horizontal="center" vertical="top" wrapText="1"/>
      <protection locked="0"/>
    </xf>
    <xf numFmtId="0" fontId="72" fillId="35" borderId="75" xfId="0" applyFont="1" applyFill="1" applyBorder="1" applyAlignment="1" applyProtection="1">
      <alignment horizontal="center" vertical="top" wrapText="1"/>
      <protection locked="0"/>
    </xf>
    <xf numFmtId="0" fontId="72" fillId="0" borderId="11" xfId="0" applyFont="1" applyBorder="1" applyAlignment="1">
      <alignment horizontal="center" wrapText="1"/>
    </xf>
    <xf numFmtId="0" fontId="72" fillId="0" borderId="12" xfId="0" applyFont="1" applyBorder="1" applyAlignment="1">
      <alignment horizontal="center" wrapText="1"/>
    </xf>
    <xf numFmtId="0" fontId="72" fillId="0" borderId="13" xfId="0" applyFont="1" applyBorder="1" applyAlignment="1">
      <alignment horizontal="center" wrapText="1"/>
    </xf>
    <xf numFmtId="4" fontId="72" fillId="35" borderId="11" xfId="0" applyNumberFormat="1" applyFont="1" applyFill="1" applyBorder="1" applyAlignment="1" applyProtection="1">
      <alignment horizontal="center" vertical="top" wrapText="1"/>
      <protection locked="0"/>
    </xf>
    <xf numFmtId="4" fontId="72" fillId="35" borderId="12" xfId="0" applyNumberFormat="1" applyFont="1" applyFill="1" applyBorder="1" applyAlignment="1" applyProtection="1">
      <alignment horizontal="center" vertical="top" wrapText="1"/>
      <protection locked="0"/>
    </xf>
    <xf numFmtId="4" fontId="72" fillId="35" borderId="13" xfId="0" applyNumberFormat="1" applyFont="1" applyFill="1" applyBorder="1" applyAlignment="1" applyProtection="1">
      <alignment horizontal="center" vertical="top" wrapText="1"/>
      <protection locked="0"/>
    </xf>
    <xf numFmtId="4" fontId="72" fillId="35" borderId="10" xfId="0" applyNumberFormat="1" applyFont="1" applyFill="1" applyBorder="1" applyAlignment="1" applyProtection="1">
      <alignment horizontal="center"/>
      <protection locked="0"/>
    </xf>
    <xf numFmtId="4" fontId="72" fillId="35" borderId="42" xfId="0" applyNumberFormat="1" applyFont="1" applyFill="1" applyBorder="1" applyAlignment="1" applyProtection="1">
      <alignment horizontal="center"/>
      <protection locked="0"/>
    </xf>
    <xf numFmtId="3" fontId="72" fillId="35" borderId="42" xfId="0" applyNumberFormat="1" applyFont="1" applyFill="1" applyBorder="1" applyAlignment="1" applyProtection="1">
      <alignment horizontal="center"/>
      <protection locked="0"/>
    </xf>
    <xf numFmtId="166" fontId="72" fillId="0" borderId="11" xfId="0" applyNumberFormat="1" applyFont="1" applyFill="1" applyBorder="1" applyAlignment="1">
      <alignment horizontal="center" wrapText="1"/>
    </xf>
    <xf numFmtId="166" fontId="72" fillId="0" borderId="12" xfId="0" applyNumberFormat="1" applyFont="1" applyFill="1" applyBorder="1" applyAlignment="1">
      <alignment horizontal="center" wrapText="1"/>
    </xf>
    <xf numFmtId="166" fontId="72" fillId="0" borderId="13" xfId="0" applyNumberFormat="1" applyFont="1" applyFill="1" applyBorder="1" applyAlignment="1">
      <alignment horizontal="center" wrapText="1"/>
    </xf>
    <xf numFmtId="166" fontId="72" fillId="0" borderId="11" xfId="0" applyNumberFormat="1" applyFont="1" applyBorder="1" applyAlignment="1">
      <alignment horizontal="center"/>
    </xf>
    <xf numFmtId="166" fontId="72" fillId="0" borderId="12" xfId="0" applyNumberFormat="1" applyFont="1" applyBorder="1" applyAlignment="1">
      <alignment horizontal="center"/>
    </xf>
    <xf numFmtId="166" fontId="72" fillId="0" borderId="71" xfId="0" applyNumberFormat="1" applyFont="1" applyBorder="1" applyAlignment="1">
      <alignment horizontal="center"/>
    </xf>
    <xf numFmtId="0" fontId="72" fillId="0" borderId="35" xfId="0" applyFont="1" applyFill="1" applyBorder="1" applyAlignment="1">
      <alignment horizontal="left" vertical="top" wrapText="1"/>
    </xf>
    <xf numFmtId="0" fontId="72" fillId="0" borderId="36" xfId="0" applyFont="1" applyFill="1" applyBorder="1" applyAlignment="1">
      <alignment horizontal="left" vertical="top" wrapText="1"/>
    </xf>
    <xf numFmtId="0" fontId="87" fillId="0" borderId="17" xfId="0" applyFont="1" applyFill="1" applyBorder="1" applyAlignment="1">
      <alignment horizontal="left"/>
    </xf>
    <xf numFmtId="0" fontId="87" fillId="0" borderId="32" xfId="0" applyFont="1" applyFill="1" applyBorder="1" applyAlignment="1">
      <alignment horizontal="left"/>
    </xf>
    <xf numFmtId="0" fontId="87" fillId="0" borderId="77" xfId="0" applyFont="1" applyFill="1" applyBorder="1" applyAlignment="1">
      <alignment horizontal="left"/>
    </xf>
    <xf numFmtId="0" fontId="72" fillId="0" borderId="47" xfId="0" applyFont="1" applyFill="1" applyBorder="1" applyAlignment="1" applyProtection="1">
      <alignment horizontal="center"/>
      <protection locked="0"/>
    </xf>
    <xf numFmtId="0" fontId="72" fillId="0" borderId="50" xfId="0" applyFont="1" applyFill="1" applyBorder="1" applyAlignment="1" applyProtection="1">
      <alignment horizontal="center"/>
      <protection locked="0"/>
    </xf>
    <xf numFmtId="0" fontId="72" fillId="0" borderId="27" xfId="0" applyFont="1" applyFill="1" applyBorder="1" applyAlignment="1">
      <alignment horizontal="left" vertical="center" wrapText="1"/>
    </xf>
    <xf numFmtId="0" fontId="72" fillId="0" borderId="179" xfId="0" applyFont="1" applyFill="1" applyBorder="1" applyAlignment="1">
      <alignment horizontal="left" vertical="center" wrapText="1"/>
    </xf>
    <xf numFmtId="0" fontId="87" fillId="0" borderId="27" xfId="0" applyFont="1" applyFill="1" applyBorder="1" applyAlignment="1">
      <alignment horizontal="left"/>
    </xf>
    <xf numFmtId="0" fontId="87" fillId="0" borderId="0" xfId="0" applyFont="1" applyFill="1" applyBorder="1" applyAlignment="1">
      <alignment horizontal="left"/>
    </xf>
    <xf numFmtId="0" fontId="87" fillId="0" borderId="55" xfId="0" applyFont="1" applyFill="1" applyBorder="1" applyAlignment="1">
      <alignment horizontal="left"/>
    </xf>
    <xf numFmtId="0" fontId="72" fillId="33" borderId="82" xfId="0" applyFont="1" applyFill="1" applyBorder="1" applyAlignment="1">
      <alignment horizontal="center" vertical="center" wrapText="1"/>
    </xf>
    <xf numFmtId="0" fontId="72" fillId="33" borderId="64" xfId="0" applyFont="1" applyFill="1" applyBorder="1" applyAlignment="1">
      <alignment horizontal="center" vertical="center" wrapText="1"/>
    </xf>
    <xf numFmtId="0" fontId="72" fillId="33" borderId="83" xfId="0" applyFont="1" applyFill="1" applyBorder="1" applyAlignment="1">
      <alignment horizontal="center" vertical="center" wrapText="1"/>
    </xf>
    <xf numFmtId="0" fontId="72" fillId="33" borderId="79" xfId="0" applyFont="1" applyFill="1" applyBorder="1" applyAlignment="1">
      <alignment horizontal="left" vertical="center" wrapText="1"/>
    </xf>
    <xf numFmtId="0" fontId="72" fillId="33" borderId="12" xfId="0" applyFont="1" applyFill="1" applyBorder="1" applyAlignment="1">
      <alignment horizontal="left" vertical="center" wrapText="1"/>
    </xf>
    <xf numFmtId="0" fontId="72" fillId="33" borderId="71" xfId="0" applyFont="1" applyFill="1" applyBorder="1" applyAlignment="1">
      <alignment horizontal="left" vertical="center" wrapText="1"/>
    </xf>
    <xf numFmtId="0" fontId="72" fillId="0" borderId="11" xfId="0" applyFont="1" applyBorder="1" applyAlignment="1" applyProtection="1">
      <alignment horizontal="center" wrapText="1"/>
      <protection locked="0"/>
    </xf>
    <xf numFmtId="0" fontId="72" fillId="0" borderId="12" xfId="0" applyFont="1" applyBorder="1" applyAlignment="1" applyProtection="1">
      <alignment horizontal="center" wrapText="1"/>
      <protection locked="0"/>
    </xf>
    <xf numFmtId="0" fontId="72" fillId="0" borderId="13" xfId="0" applyFont="1" applyBorder="1" applyAlignment="1" applyProtection="1">
      <alignment horizontal="center" wrapText="1"/>
      <protection locked="0"/>
    </xf>
    <xf numFmtId="0" fontId="72" fillId="0" borderId="36" xfId="0" applyFont="1" applyBorder="1" applyAlignment="1">
      <alignment horizontal="center"/>
    </xf>
    <xf numFmtId="0" fontId="72" fillId="0" borderId="37" xfId="0" applyFont="1" applyBorder="1" applyAlignment="1">
      <alignment horizontal="center"/>
    </xf>
    <xf numFmtId="0" fontId="72" fillId="33" borderId="119" xfId="0" applyFont="1" applyFill="1" applyBorder="1" applyAlignment="1">
      <alignment horizontal="center" vertical="top" wrapText="1"/>
    </xf>
    <xf numFmtId="0" fontId="72" fillId="33" borderId="86" xfId="0" applyFont="1" applyFill="1" applyBorder="1" applyAlignment="1">
      <alignment horizontal="center" vertical="top" wrapText="1"/>
    </xf>
    <xf numFmtId="0" fontId="72" fillId="0" borderId="11" xfId="0" applyFont="1" applyBorder="1" applyAlignment="1">
      <alignment horizontal="center"/>
    </xf>
    <xf numFmtId="0" fontId="72" fillId="0" borderId="12" xfId="0" applyFont="1" applyBorder="1" applyAlignment="1">
      <alignment horizontal="center"/>
    </xf>
    <xf numFmtId="0" fontId="72" fillId="0" borderId="13" xfId="0" applyFont="1" applyBorder="1" applyAlignment="1">
      <alignment horizontal="center"/>
    </xf>
    <xf numFmtId="3" fontId="72" fillId="0" borderId="11" xfId="0" applyNumberFormat="1" applyFont="1" applyFill="1" applyBorder="1" applyAlignment="1" applyProtection="1">
      <alignment horizontal="center" vertical="top" wrapText="1"/>
      <protection locked="0"/>
    </xf>
    <xf numFmtId="3" fontId="72" fillId="0" borderId="12" xfId="0" applyNumberFormat="1" applyFont="1" applyFill="1" applyBorder="1" applyAlignment="1" applyProtection="1">
      <alignment horizontal="center" vertical="top" wrapText="1"/>
      <protection locked="0"/>
    </xf>
    <xf numFmtId="3" fontId="72" fillId="0" borderId="13" xfId="0" applyNumberFormat="1" applyFont="1" applyFill="1" applyBorder="1" applyAlignment="1" applyProtection="1">
      <alignment horizontal="center" vertical="top" wrapText="1"/>
      <protection locked="0"/>
    </xf>
    <xf numFmtId="166" fontId="72" fillId="0" borderId="11" xfId="0" applyNumberFormat="1" applyFont="1" applyFill="1" applyBorder="1" applyAlignment="1">
      <alignment horizontal="center" vertical="top" wrapText="1"/>
    </xf>
    <xf numFmtId="166" fontId="72" fillId="0" borderId="12" xfId="0" applyNumberFormat="1" applyFont="1" applyFill="1" applyBorder="1" applyAlignment="1">
      <alignment horizontal="center" vertical="top" wrapText="1"/>
    </xf>
    <xf numFmtId="166" fontId="72" fillId="0" borderId="13" xfId="0" applyNumberFormat="1" applyFont="1" applyFill="1" applyBorder="1" applyAlignment="1">
      <alignment horizontal="center" vertical="top" wrapText="1"/>
    </xf>
    <xf numFmtId="3" fontId="72" fillId="0" borderId="10" xfId="0" applyNumberFormat="1" applyFont="1" applyFill="1" applyBorder="1" applyAlignment="1" applyProtection="1">
      <alignment horizontal="center"/>
      <protection locked="0"/>
    </xf>
    <xf numFmtId="0" fontId="72" fillId="0" borderId="10" xfId="0" applyFont="1" applyFill="1" applyBorder="1" applyAlignment="1" applyProtection="1">
      <alignment horizontal="center"/>
      <protection locked="0"/>
    </xf>
    <xf numFmtId="0" fontId="72" fillId="0" borderId="42" xfId="0" applyFont="1" applyFill="1" applyBorder="1" applyAlignment="1" applyProtection="1">
      <alignment horizontal="center"/>
      <protection locked="0"/>
    </xf>
    <xf numFmtId="0" fontId="72" fillId="35" borderId="10" xfId="0" applyFont="1" applyFill="1" applyBorder="1" applyAlignment="1" applyProtection="1">
      <alignment horizontal="center" vertical="top" wrapText="1"/>
      <protection locked="0"/>
    </xf>
    <xf numFmtId="0" fontId="72" fillId="35" borderId="42" xfId="0" applyFont="1" applyFill="1" applyBorder="1" applyAlignment="1" applyProtection="1">
      <alignment horizontal="center" vertical="top" wrapText="1"/>
      <protection locked="0"/>
    </xf>
    <xf numFmtId="166" fontId="72" fillId="0" borderId="10" xfId="0" applyNumberFormat="1" applyFont="1" applyBorder="1" applyAlignment="1">
      <alignment horizontal="center"/>
    </xf>
    <xf numFmtId="166" fontId="72" fillId="0" borderId="42" xfId="0" applyNumberFormat="1" applyFont="1" applyBorder="1" applyAlignment="1">
      <alignment horizontal="center"/>
    </xf>
    <xf numFmtId="0" fontId="72" fillId="33" borderId="23" xfId="0" applyFont="1" applyFill="1" applyBorder="1" applyAlignment="1">
      <alignment horizontal="left" vertical="top" wrapText="1"/>
    </xf>
    <xf numFmtId="0" fontId="72" fillId="33" borderId="119" xfId="0" applyFont="1" applyFill="1" applyBorder="1" applyAlignment="1">
      <alignment horizontal="left" vertical="top" wrapText="1"/>
    </xf>
    <xf numFmtId="0" fontId="72" fillId="0" borderId="49" xfId="0" applyFont="1" applyFill="1" applyBorder="1" applyAlignment="1">
      <alignment horizontal="left" vertical="top" wrapText="1"/>
    </xf>
    <xf numFmtId="0" fontId="72" fillId="0" borderId="47" xfId="0" applyFont="1" applyFill="1" applyBorder="1" applyAlignment="1">
      <alignment horizontal="left" vertical="top" wrapText="1"/>
    </xf>
    <xf numFmtId="0" fontId="87" fillId="0" borderId="14" xfId="0" applyFont="1" applyFill="1" applyBorder="1" applyAlignment="1">
      <alignment horizontal="left" vertical="top"/>
    </xf>
    <xf numFmtId="0" fontId="87" fillId="0" borderId="26" xfId="0" applyFont="1" applyFill="1" applyBorder="1" applyAlignment="1">
      <alignment horizontal="left" vertical="top"/>
    </xf>
    <xf numFmtId="0" fontId="87" fillId="0" borderId="74" xfId="0" applyFont="1" applyFill="1" applyBorder="1" applyAlignment="1">
      <alignment horizontal="left" vertical="top"/>
    </xf>
    <xf numFmtId="0" fontId="72" fillId="0" borderId="10" xfId="0" applyFont="1" applyFill="1" applyBorder="1" applyAlignment="1">
      <alignment horizontal="right" vertical="top" wrapText="1"/>
    </xf>
    <xf numFmtId="0" fontId="72" fillId="0" borderId="79" xfId="0" applyFont="1" applyFill="1" applyBorder="1" applyAlignment="1">
      <alignment horizontal="left" vertical="top" wrapText="1"/>
    </xf>
    <xf numFmtId="0" fontId="72" fillId="0" borderId="49" xfId="0" applyFont="1" applyFill="1" applyBorder="1" applyAlignment="1">
      <alignment horizontal="left"/>
    </xf>
    <xf numFmtId="0" fontId="72" fillId="0" borderId="47" xfId="0" applyFont="1" applyFill="1" applyBorder="1" applyAlignment="1">
      <alignment horizontal="left"/>
    </xf>
    <xf numFmtId="0" fontId="72" fillId="0" borderId="78" xfId="0" applyFont="1" applyBorder="1" applyAlignment="1">
      <alignment horizontal="center"/>
    </xf>
    <xf numFmtId="0" fontId="72" fillId="0" borderId="66" xfId="0" applyFont="1" applyBorder="1" applyAlignment="1">
      <alignment horizontal="center"/>
    </xf>
    <xf numFmtId="0" fontId="72" fillId="0" borderId="27" xfId="0" applyFont="1" applyBorder="1" applyAlignment="1">
      <alignment horizontal="center"/>
    </xf>
    <xf numFmtId="0" fontId="72" fillId="0" borderId="55" xfId="0" applyFont="1" applyBorder="1" applyAlignment="1">
      <alignment horizontal="center"/>
    </xf>
    <xf numFmtId="0" fontId="72" fillId="0" borderId="17" xfId="0" applyFont="1" applyBorder="1" applyAlignment="1">
      <alignment horizontal="center"/>
    </xf>
    <xf numFmtId="0" fontId="72" fillId="0" borderId="77" xfId="0" applyFont="1" applyBorder="1" applyAlignment="1">
      <alignment horizontal="center"/>
    </xf>
    <xf numFmtId="3" fontId="72" fillId="0" borderId="10" xfId="28" applyNumberFormat="1" applyFont="1" applyFill="1" applyBorder="1" applyAlignment="1">
      <alignment horizontal="center" vertical="top" wrapText="1"/>
    </xf>
    <xf numFmtId="3" fontId="72" fillId="0" borderId="42" xfId="28" applyNumberFormat="1" applyFont="1" applyFill="1" applyBorder="1" applyAlignment="1">
      <alignment horizontal="center" vertical="top" wrapText="1"/>
    </xf>
    <xf numFmtId="0" fontId="72" fillId="35" borderId="11" xfId="0" applyFont="1" applyFill="1" applyBorder="1" applyAlignment="1" applyProtection="1">
      <alignment horizontal="left" vertical="top" wrapText="1"/>
      <protection locked="0"/>
    </xf>
    <xf numFmtId="0" fontId="72" fillId="35" borderId="12" xfId="0" applyFont="1" applyFill="1" applyBorder="1" applyAlignment="1" applyProtection="1">
      <alignment horizontal="left" vertical="top" wrapText="1"/>
      <protection locked="0"/>
    </xf>
    <xf numFmtId="0" fontId="72" fillId="35" borderId="13" xfId="0" applyFont="1" applyFill="1" applyBorder="1" applyAlignment="1" applyProtection="1">
      <alignment horizontal="left" vertical="top" wrapText="1"/>
      <protection locked="0"/>
    </xf>
    <xf numFmtId="0" fontId="72" fillId="0" borderId="41" xfId="0" applyFont="1" applyFill="1" applyBorder="1" applyAlignment="1">
      <alignment horizontal="left" vertical="top" wrapText="1"/>
    </xf>
    <xf numFmtId="0" fontId="72" fillId="0" borderId="10" xfId="0" applyFont="1" applyFill="1" applyBorder="1" applyAlignment="1">
      <alignment horizontal="left" vertical="top" wrapText="1"/>
    </xf>
    <xf numFmtId="0" fontId="72" fillId="35" borderId="10" xfId="0" applyFont="1" applyFill="1" applyBorder="1" applyAlignment="1" applyProtection="1">
      <alignment horizontal="left" vertical="top" wrapText="1"/>
      <protection locked="0"/>
    </xf>
    <xf numFmtId="0" fontId="72" fillId="0" borderId="47" xfId="0" applyFont="1" applyFill="1" applyBorder="1" applyAlignment="1">
      <alignment horizontal="right" vertical="top" wrapText="1"/>
    </xf>
    <xf numFmtId="167" fontId="72" fillId="33" borderId="79" xfId="0" applyNumberFormat="1" applyFont="1" applyFill="1" applyBorder="1" applyAlignment="1">
      <alignment horizontal="left" vertical="top" wrapText="1"/>
    </xf>
    <xf numFmtId="167" fontId="72" fillId="33" borderId="12" xfId="0" applyNumberFormat="1" applyFont="1" applyFill="1" applyBorder="1" applyAlignment="1">
      <alignment horizontal="left" vertical="top" wrapText="1"/>
    </xf>
    <xf numFmtId="167" fontId="72" fillId="33" borderId="71" xfId="0" applyNumberFormat="1" applyFont="1" applyFill="1" applyBorder="1" applyAlignment="1">
      <alignment horizontal="left" vertical="top" wrapText="1"/>
    </xf>
    <xf numFmtId="166" fontId="72" fillId="0" borderId="71" xfId="0" applyNumberFormat="1" applyFont="1" applyFill="1" applyBorder="1" applyAlignment="1">
      <alignment horizontal="center" wrapText="1"/>
    </xf>
    <xf numFmtId="9" fontId="72" fillId="35" borderId="10" xfId="0" applyNumberFormat="1" applyFont="1" applyFill="1" applyBorder="1" applyAlignment="1" applyProtection="1">
      <alignment horizontal="center"/>
      <protection locked="0"/>
    </xf>
    <xf numFmtId="9" fontId="72" fillId="35" borderId="11" xfId="0" applyNumberFormat="1" applyFont="1" applyFill="1" applyBorder="1" applyAlignment="1" applyProtection="1">
      <alignment horizontal="center" vertical="top" wrapText="1"/>
      <protection locked="0"/>
    </xf>
    <xf numFmtId="9" fontId="72" fillId="35" borderId="12" xfId="0" applyNumberFormat="1" applyFont="1" applyFill="1" applyBorder="1" applyAlignment="1" applyProtection="1">
      <alignment horizontal="center" vertical="top" wrapText="1"/>
      <protection locked="0"/>
    </xf>
    <xf numFmtId="9" fontId="72" fillId="35" borderId="13" xfId="0" applyNumberFormat="1" applyFont="1" applyFill="1" applyBorder="1" applyAlignment="1" applyProtection="1">
      <alignment horizontal="center" vertical="top" wrapText="1"/>
      <protection locked="0"/>
    </xf>
    <xf numFmtId="0" fontId="72" fillId="33" borderId="88" xfId="0" applyFont="1" applyFill="1" applyBorder="1" applyAlignment="1">
      <alignment horizontal="center" vertical="center" wrapText="1"/>
    </xf>
    <xf numFmtId="0" fontId="72" fillId="0" borderId="47" xfId="0" applyFont="1" applyFill="1" applyBorder="1" applyAlignment="1">
      <alignment horizontal="center"/>
    </xf>
    <xf numFmtId="0" fontId="72" fillId="0" borderId="50" xfId="0" applyFont="1" applyFill="1" applyBorder="1" applyAlignment="1">
      <alignment horizontal="center"/>
    </xf>
    <xf numFmtId="8" fontId="72" fillId="35" borderId="36" xfId="0" applyNumberFormat="1" applyFont="1" applyFill="1" applyBorder="1" applyAlignment="1" applyProtection="1">
      <alignment horizontal="left"/>
      <protection locked="0"/>
    </xf>
    <xf numFmtId="0" fontId="72" fillId="35" borderId="36" xfId="0" applyFont="1" applyFill="1" applyBorder="1" applyAlignment="1" applyProtection="1">
      <alignment horizontal="left"/>
      <protection locked="0"/>
    </xf>
    <xf numFmtId="0" fontId="72" fillId="35" borderId="37" xfId="0" applyFont="1" applyFill="1" applyBorder="1" applyAlignment="1" applyProtection="1">
      <alignment horizontal="left"/>
      <protection locked="0"/>
    </xf>
    <xf numFmtId="0" fontId="72" fillId="0" borderId="36" xfId="0" applyFont="1" applyFill="1" applyBorder="1" applyAlignment="1">
      <alignment horizontal="left"/>
    </xf>
    <xf numFmtId="0" fontId="72" fillId="0" borderId="35" xfId="0" applyFont="1" applyFill="1" applyBorder="1" applyAlignment="1">
      <alignment horizontal="left"/>
    </xf>
    <xf numFmtId="0" fontId="72" fillId="0" borderId="47" xfId="0" applyFont="1" applyBorder="1" applyAlignment="1">
      <alignment horizontal="center"/>
    </xf>
    <xf numFmtId="0" fontId="72" fillId="0" borderId="50" xfId="0" applyFont="1" applyBorder="1" applyAlignment="1">
      <alignment horizontal="center"/>
    </xf>
    <xf numFmtId="0" fontId="72" fillId="35" borderId="10" xfId="0" applyFont="1" applyFill="1" applyBorder="1" applyAlignment="1" applyProtection="1">
      <alignment horizontal="left"/>
      <protection locked="0"/>
    </xf>
    <xf numFmtId="0" fontId="72" fillId="0" borderId="10" xfId="0" applyFont="1" applyFill="1" applyBorder="1" applyAlignment="1">
      <alignment horizontal="left"/>
    </xf>
    <xf numFmtId="3" fontId="72" fillId="0" borderId="36" xfId="28" applyNumberFormat="1" applyFont="1" applyFill="1" applyBorder="1" applyAlignment="1">
      <alignment horizontal="center" vertical="top" wrapText="1"/>
    </xf>
    <xf numFmtId="3" fontId="72" fillId="0" borderId="37" xfId="28" applyNumberFormat="1" applyFont="1" applyFill="1" applyBorder="1" applyAlignment="1">
      <alignment horizontal="center" vertical="top" wrapText="1"/>
    </xf>
    <xf numFmtId="0" fontId="72" fillId="0" borderId="41" xfId="0" applyFont="1" applyFill="1" applyBorder="1" applyAlignment="1">
      <alignment horizontal="left"/>
    </xf>
    <xf numFmtId="0" fontId="96" fillId="35" borderId="47" xfId="38" applyFont="1" applyFill="1" applyBorder="1" applyAlignment="1" applyProtection="1">
      <alignment horizontal="left"/>
      <protection locked="0"/>
    </xf>
    <xf numFmtId="0" fontId="72" fillId="35" borderId="47" xfId="0" applyFont="1" applyFill="1" applyBorder="1" applyAlignment="1" applyProtection="1">
      <alignment horizontal="left"/>
      <protection locked="0"/>
    </xf>
    <xf numFmtId="8" fontId="72" fillId="35" borderId="10" xfId="0" applyNumberFormat="1" applyFont="1" applyFill="1" applyBorder="1" applyAlignment="1" applyProtection="1">
      <alignment horizontal="left"/>
      <protection locked="0"/>
    </xf>
    <xf numFmtId="0" fontId="72" fillId="35" borderId="42" xfId="0" applyFont="1" applyFill="1" applyBorder="1" applyAlignment="1" applyProtection="1">
      <alignment horizontal="left"/>
      <protection locked="0"/>
    </xf>
    <xf numFmtId="8" fontId="72" fillId="35" borderId="47" xfId="0" applyNumberFormat="1" applyFont="1" applyFill="1" applyBorder="1" applyAlignment="1" applyProtection="1">
      <alignment horizontal="left"/>
      <protection locked="0"/>
    </xf>
    <xf numFmtId="0" fontId="72" fillId="33" borderId="79" xfId="0" applyFont="1" applyFill="1" applyBorder="1" applyAlignment="1">
      <alignment horizontal="left" wrapText="1"/>
    </xf>
    <xf numFmtId="0" fontId="72" fillId="33" borderId="12" xfId="0" applyFont="1" applyFill="1" applyBorder="1" applyAlignment="1">
      <alignment horizontal="left" wrapText="1"/>
    </xf>
    <xf numFmtId="0" fontId="72" fillId="33" borderId="71" xfId="0" applyFont="1" applyFill="1" applyBorder="1" applyAlignment="1">
      <alignment horizontal="left" wrapText="1"/>
    </xf>
    <xf numFmtId="0" fontId="74" fillId="0" borderId="35" xfId="0" applyFont="1" applyBorder="1" applyAlignment="1">
      <alignment vertical="top"/>
    </xf>
    <xf numFmtId="0" fontId="72" fillId="0" borderId="36" xfId="0" applyFont="1" applyBorder="1" applyAlignment="1">
      <alignment vertical="top"/>
    </xf>
    <xf numFmtId="0" fontId="72" fillId="0" borderId="40" xfId="0" applyFont="1" applyBorder="1" applyAlignment="1">
      <alignment vertical="top"/>
    </xf>
    <xf numFmtId="0" fontId="72" fillId="0" borderId="41" xfId="0" applyFont="1" applyBorder="1" applyAlignment="1">
      <alignment vertical="top"/>
    </xf>
    <xf numFmtId="0" fontId="72" fillId="0" borderId="10" xfId="0" applyFont="1" applyBorder="1" applyAlignment="1">
      <alignment vertical="top"/>
    </xf>
    <xf numFmtId="0" fontId="72" fillId="0" borderId="42" xfId="0" applyFont="1" applyBorder="1" applyAlignment="1">
      <alignment vertical="top"/>
    </xf>
    <xf numFmtId="0" fontId="72" fillId="0" borderId="22" xfId="0" applyFont="1" applyBorder="1" applyAlignment="1"/>
    <xf numFmtId="0" fontId="72" fillId="0" borderId="38" xfId="0" applyFont="1" applyBorder="1" applyAlignment="1"/>
    <xf numFmtId="0" fontId="72" fillId="37" borderId="36" xfId="0" applyFont="1" applyFill="1" applyBorder="1" applyAlignment="1">
      <alignment horizontal="left"/>
    </xf>
    <xf numFmtId="0" fontId="72" fillId="37" borderId="37" xfId="0" applyFont="1" applyFill="1" applyBorder="1" applyAlignment="1"/>
    <xf numFmtId="0" fontId="72" fillId="37" borderId="10" xfId="0" applyFont="1" applyFill="1" applyBorder="1" applyAlignment="1"/>
    <xf numFmtId="0" fontId="72" fillId="37" borderId="42" xfId="0" applyFont="1" applyFill="1" applyBorder="1" applyAlignment="1"/>
    <xf numFmtId="0" fontId="72" fillId="0" borderId="41" xfId="0" applyFont="1" applyBorder="1" applyAlignment="1">
      <alignment horizontal="left" vertical="top" wrapText="1"/>
    </xf>
    <xf numFmtId="0" fontId="72" fillId="0" borderId="10" xfId="0" applyFont="1" applyBorder="1"/>
    <xf numFmtId="0" fontId="72" fillId="0" borderId="42" xfId="0" applyFont="1" applyBorder="1"/>
    <xf numFmtId="0" fontId="72" fillId="0" borderId="49" xfId="0" applyFont="1" applyBorder="1"/>
    <xf numFmtId="0" fontId="72" fillId="0" borderId="47" xfId="0" applyFont="1" applyBorder="1"/>
    <xf numFmtId="0" fontId="72" fillId="0" borderId="44" xfId="0" applyFont="1" applyBorder="1"/>
    <xf numFmtId="0" fontId="72" fillId="37" borderId="10" xfId="0" applyFont="1" applyFill="1" applyBorder="1" applyAlignment="1">
      <alignment horizontal="left"/>
    </xf>
    <xf numFmtId="14" fontId="72" fillId="37" borderId="47" xfId="0" applyNumberFormat="1" applyFont="1" applyFill="1" applyBorder="1" applyAlignment="1">
      <alignment horizontal="left"/>
    </xf>
    <xf numFmtId="0" fontId="72" fillId="37" borderId="47" xfId="0" applyFont="1" applyFill="1" applyBorder="1" applyAlignment="1">
      <alignment horizontal="left"/>
    </xf>
    <xf numFmtId="0" fontId="72" fillId="37" borderId="50" xfId="0" applyFont="1" applyFill="1" applyBorder="1" applyAlignment="1"/>
    <xf numFmtId="0" fontId="74" fillId="0" borderId="88" xfId="0" applyFont="1" applyBorder="1" applyAlignment="1">
      <alignment vertical="top"/>
    </xf>
    <xf numFmtId="0" fontId="72" fillId="0" borderId="64" xfId="0" applyFont="1" applyBorder="1" applyAlignment="1">
      <alignment vertical="top"/>
    </xf>
    <xf numFmtId="0" fontId="72" fillId="0" borderId="81" xfId="0" applyFont="1" applyBorder="1" applyAlignment="1">
      <alignment vertical="top"/>
    </xf>
    <xf numFmtId="0" fontId="72" fillId="0" borderId="79" xfId="0" applyFont="1" applyBorder="1" applyAlignment="1">
      <alignment vertical="top"/>
    </xf>
    <xf numFmtId="0" fontId="72" fillId="0" borderId="12" xfId="0" applyFont="1" applyBorder="1" applyAlignment="1">
      <alignment vertical="top"/>
    </xf>
    <xf numFmtId="0" fontId="72" fillId="0" borderId="71" xfId="0" applyFont="1" applyBorder="1" applyAlignment="1">
      <alignment vertical="top"/>
    </xf>
    <xf numFmtId="0" fontId="72" fillId="0" borderId="79" xfId="0" applyFont="1" applyBorder="1" applyAlignment="1">
      <alignment horizontal="left" vertical="top" wrapText="1"/>
    </xf>
    <xf numFmtId="0" fontId="72" fillId="0" borderId="12" xfId="0" applyFont="1" applyBorder="1" applyAlignment="1">
      <alignment horizontal="left" vertical="top" wrapText="1"/>
    </xf>
    <xf numFmtId="0" fontId="72" fillId="0" borderId="71" xfId="0" applyFont="1" applyBorder="1" applyAlignment="1">
      <alignment horizontal="left" vertical="top" wrapText="1"/>
    </xf>
    <xf numFmtId="0" fontId="72" fillId="0" borderId="91" xfId="0" applyFont="1" applyBorder="1" applyAlignment="1">
      <alignment horizontal="left" vertical="top" wrapText="1"/>
    </xf>
    <xf numFmtId="0" fontId="72" fillId="0" borderId="92" xfId="0" applyFont="1" applyBorder="1" applyAlignment="1">
      <alignment horizontal="left" vertical="top" wrapText="1"/>
    </xf>
    <xf numFmtId="0" fontId="72" fillId="0" borderId="93" xfId="0" applyFont="1" applyBorder="1" applyAlignment="1">
      <alignment horizontal="left" vertical="top" wrapText="1"/>
    </xf>
    <xf numFmtId="0" fontId="72" fillId="35" borderId="36" xfId="0" applyFont="1" applyFill="1" applyBorder="1" applyAlignment="1" applyProtection="1">
      <protection locked="0"/>
    </xf>
    <xf numFmtId="0" fontId="72" fillId="35" borderId="37" xfId="0" applyFont="1" applyFill="1" applyBorder="1" applyAlignment="1" applyProtection="1">
      <protection locked="0"/>
    </xf>
    <xf numFmtId="0" fontId="72" fillId="35" borderId="10" xfId="0" applyFont="1" applyFill="1" applyBorder="1" applyAlignment="1" applyProtection="1">
      <protection locked="0"/>
    </xf>
    <xf numFmtId="0" fontId="72" fillId="35" borderId="42" xfId="0" applyFont="1" applyFill="1" applyBorder="1" applyAlignment="1" applyProtection="1">
      <protection locked="0"/>
    </xf>
    <xf numFmtId="0" fontId="96" fillId="35" borderId="10" xfId="38" applyFont="1" applyFill="1" applyBorder="1" applyAlignment="1" applyProtection="1">
      <protection locked="0"/>
    </xf>
    <xf numFmtId="0" fontId="72" fillId="37" borderId="36" xfId="0" applyFont="1" applyFill="1" applyBorder="1" applyAlignment="1" applyProtection="1">
      <alignment horizontal="left"/>
      <protection locked="0"/>
    </xf>
    <xf numFmtId="17" fontId="72" fillId="35" borderId="10" xfId="0" applyNumberFormat="1" applyFont="1" applyFill="1" applyBorder="1" applyAlignment="1" applyProtection="1">
      <alignment horizontal="left"/>
      <protection locked="0"/>
    </xf>
    <xf numFmtId="0" fontId="74" fillId="33" borderId="36" xfId="0" applyFont="1" applyFill="1" applyBorder="1" applyAlignment="1">
      <alignment horizontal="center"/>
    </xf>
    <xf numFmtId="0" fontId="74" fillId="33" borderId="36" xfId="0" applyFont="1" applyFill="1" applyBorder="1" applyAlignment="1">
      <alignment horizontal="center" wrapText="1"/>
    </xf>
    <xf numFmtId="0" fontId="74" fillId="33" borderId="59" xfId="0" applyFont="1" applyFill="1" applyBorder="1" applyAlignment="1">
      <alignment horizontal="center" wrapText="1"/>
    </xf>
    <xf numFmtId="9" fontId="72" fillId="0" borderId="60" xfId="51" applyFont="1" applyFill="1" applyBorder="1" applyAlignment="1">
      <alignment horizontal="center"/>
    </xf>
    <xf numFmtId="9" fontId="72" fillId="0" borderId="56" xfId="51" applyFont="1" applyFill="1" applyBorder="1" applyAlignment="1">
      <alignment horizontal="center"/>
    </xf>
    <xf numFmtId="9" fontId="72" fillId="0" borderId="57" xfId="51" applyFont="1" applyFill="1" applyBorder="1" applyAlignment="1">
      <alignment horizontal="center"/>
    </xf>
    <xf numFmtId="9" fontId="72" fillId="0" borderId="81" xfId="51" applyFont="1" applyFill="1" applyBorder="1" applyAlignment="1">
      <alignment horizontal="center"/>
    </xf>
    <xf numFmtId="9" fontId="72" fillId="0" borderId="76" xfId="51" applyFont="1" applyFill="1" applyBorder="1" applyAlignment="1">
      <alignment horizontal="center"/>
    </xf>
    <xf numFmtId="9" fontId="72" fillId="0" borderId="32" xfId="51" applyFont="1" applyFill="1" applyBorder="1" applyAlignment="1">
      <alignment horizontal="center"/>
    </xf>
    <xf numFmtId="9" fontId="72" fillId="0" borderId="21" xfId="51" applyFont="1" applyFill="1" applyBorder="1" applyAlignment="1">
      <alignment horizontal="center"/>
    </xf>
    <xf numFmtId="1" fontId="72" fillId="0" borderId="76" xfId="0" applyNumberFormat="1" applyFont="1" applyFill="1" applyBorder="1" applyAlignment="1">
      <alignment horizontal="center" vertical="top" wrapText="1"/>
    </xf>
    <xf numFmtId="1" fontId="72" fillId="0" borderId="77" xfId="0" applyNumberFormat="1" applyFont="1" applyFill="1" applyBorder="1" applyAlignment="1">
      <alignment horizontal="center" vertical="top" wrapText="1"/>
    </xf>
    <xf numFmtId="0" fontId="85" fillId="0" borderId="27" xfId="0" applyFont="1" applyFill="1" applyBorder="1" applyAlignment="1">
      <alignment horizontal="left" vertical="top" wrapText="1"/>
    </xf>
    <xf numFmtId="0" fontId="85" fillId="0" borderId="55" xfId="0" applyFont="1" applyFill="1" applyBorder="1" applyAlignment="1">
      <alignment horizontal="left" vertical="top" wrapText="1"/>
    </xf>
    <xf numFmtId="0" fontId="72" fillId="0" borderId="57" xfId="0" applyFont="1" applyFill="1" applyBorder="1" applyAlignment="1">
      <alignment horizontal="left" vertical="top" wrapText="1"/>
    </xf>
    <xf numFmtId="0" fontId="72" fillId="37" borderId="56" xfId="0" applyFont="1" applyFill="1" applyBorder="1" applyAlignment="1" applyProtection="1">
      <alignment horizontal="center" vertical="top" wrapText="1"/>
      <protection locked="0"/>
    </xf>
    <xf numFmtId="0" fontId="72" fillId="37" borderId="58" xfId="0" applyFont="1" applyFill="1" applyBorder="1" applyAlignment="1" applyProtection="1">
      <alignment horizontal="center" vertical="top" wrapText="1"/>
      <protection locked="0"/>
    </xf>
    <xf numFmtId="0" fontId="72" fillId="37" borderId="54" xfId="0" applyFont="1" applyFill="1" applyBorder="1" applyAlignment="1" applyProtection="1">
      <alignment horizontal="center" vertical="top" wrapText="1"/>
      <protection locked="0"/>
    </xf>
    <xf numFmtId="0" fontId="72" fillId="37" borderId="55" xfId="0" applyFont="1" applyFill="1" applyBorder="1" applyAlignment="1" applyProtection="1">
      <alignment horizontal="center" vertical="top" wrapText="1"/>
      <protection locked="0"/>
    </xf>
    <xf numFmtId="0" fontId="85" fillId="0" borderId="17" xfId="0" applyFont="1" applyFill="1" applyBorder="1" applyAlignment="1">
      <alignment horizontal="left" vertical="top" wrapText="1"/>
    </xf>
    <xf numFmtId="0" fontId="85" fillId="0" borderId="77" xfId="0" applyFont="1" applyFill="1" applyBorder="1" applyAlignment="1">
      <alignment horizontal="left" vertical="top" wrapText="1"/>
    </xf>
    <xf numFmtId="9" fontId="90" fillId="0" borderId="130" xfId="0" applyNumberFormat="1" applyFont="1" applyBorder="1" applyAlignment="1" applyProtection="1">
      <alignment horizontal="center"/>
      <protection locked="0"/>
    </xf>
    <xf numFmtId="9" fontId="90" fillId="0" borderId="93" xfId="0" applyNumberFormat="1" applyFont="1" applyBorder="1" applyAlignment="1" applyProtection="1">
      <alignment horizontal="center"/>
      <protection locked="0"/>
    </xf>
    <xf numFmtId="3" fontId="72" fillId="0" borderId="47" xfId="28" applyNumberFormat="1" applyFont="1" applyFill="1" applyBorder="1" applyAlignment="1">
      <alignment horizontal="center" vertical="top" wrapText="1"/>
    </xf>
    <xf numFmtId="3" fontId="72" fillId="0" borderId="50" xfId="28" applyNumberFormat="1" applyFont="1" applyFill="1" applyBorder="1" applyAlignment="1">
      <alignment horizontal="center" vertical="top" wrapText="1"/>
    </xf>
    <xf numFmtId="0" fontId="72" fillId="33" borderId="73" xfId="0" applyFont="1" applyFill="1" applyBorder="1" applyAlignment="1">
      <alignment horizontal="center" vertical="center" wrapText="1"/>
    </xf>
    <xf numFmtId="9" fontId="72" fillId="0" borderId="11" xfId="0" applyNumberFormat="1" applyFont="1" applyBorder="1" applyAlignment="1" applyProtection="1">
      <alignment horizontal="center"/>
      <protection locked="0"/>
    </xf>
    <xf numFmtId="9" fontId="72" fillId="0" borderId="71" xfId="0" applyNumberFormat="1" applyFont="1" applyBorder="1" applyAlignment="1" applyProtection="1">
      <alignment horizontal="center"/>
      <protection locked="0"/>
    </xf>
    <xf numFmtId="9" fontId="72" fillId="0" borderId="10" xfId="0" applyNumberFormat="1" applyFont="1" applyBorder="1" applyAlignment="1" applyProtection="1">
      <alignment horizontal="center"/>
      <protection locked="0"/>
    </xf>
    <xf numFmtId="9" fontId="72" fillId="0" borderId="42" xfId="0" applyNumberFormat="1" applyFont="1" applyBorder="1" applyAlignment="1" applyProtection="1">
      <alignment horizontal="center"/>
      <protection locked="0"/>
    </xf>
    <xf numFmtId="0" fontId="74" fillId="33" borderId="37" xfId="0" applyFont="1" applyFill="1" applyBorder="1" applyAlignment="1">
      <alignment horizontal="center" wrapText="1"/>
    </xf>
    <xf numFmtId="0" fontId="74" fillId="33" borderId="44" xfId="0" applyFont="1" applyFill="1" applyBorder="1" applyAlignment="1">
      <alignment horizontal="center" wrapText="1"/>
    </xf>
    <xf numFmtId="0" fontId="72" fillId="37" borderId="10" xfId="0" applyFont="1" applyFill="1" applyBorder="1" applyAlignment="1" applyProtection="1">
      <alignment horizontal="center" vertical="top" wrapText="1"/>
      <protection locked="0"/>
    </xf>
    <xf numFmtId="0" fontId="72" fillId="37" borderId="42" xfId="0" applyFont="1" applyFill="1" applyBorder="1" applyAlignment="1" applyProtection="1">
      <alignment horizontal="center" vertical="top" wrapText="1"/>
      <protection locked="0"/>
    </xf>
    <xf numFmtId="0" fontId="72" fillId="37" borderId="182" xfId="0" applyFont="1" applyFill="1" applyBorder="1" applyAlignment="1">
      <alignment horizontal="center"/>
    </xf>
    <xf numFmtId="1" fontId="72" fillId="37" borderId="56" xfId="0" applyNumberFormat="1" applyFont="1" applyFill="1" applyBorder="1" applyAlignment="1">
      <alignment horizontal="center" vertical="top" wrapText="1"/>
    </xf>
    <xf numFmtId="1" fontId="72" fillId="37" borderId="58" xfId="0" applyNumberFormat="1" applyFont="1" applyFill="1" applyBorder="1" applyAlignment="1">
      <alignment horizontal="center" vertical="top" wrapText="1"/>
    </xf>
    <xf numFmtId="214" fontId="72" fillId="35" borderId="11" xfId="0" applyNumberFormat="1" applyFont="1" applyFill="1" applyBorder="1" applyAlignment="1" applyProtection="1">
      <alignment horizontal="center" vertical="top" wrapText="1"/>
      <protection locked="0"/>
    </xf>
    <xf numFmtId="214" fontId="72" fillId="35" borderId="12" xfId="0" applyNumberFormat="1" applyFont="1" applyFill="1" applyBorder="1" applyAlignment="1" applyProtection="1">
      <alignment horizontal="center" vertical="top" wrapText="1"/>
      <protection locked="0"/>
    </xf>
    <xf numFmtId="214" fontId="72" fillId="35" borderId="13" xfId="0" applyNumberFormat="1" applyFont="1" applyFill="1" applyBorder="1" applyAlignment="1" applyProtection="1">
      <alignment horizontal="center" vertical="top" wrapText="1"/>
      <protection locked="0"/>
    </xf>
    <xf numFmtId="0" fontId="72" fillId="0" borderId="66" xfId="0" applyFont="1" applyFill="1" applyBorder="1" applyAlignment="1">
      <alignment horizontal="left" vertical="top" wrapText="1"/>
    </xf>
    <xf numFmtId="174" fontId="126" fillId="0" borderId="11" xfId="643" applyNumberFormat="1" applyFont="1" applyFill="1" applyBorder="1" applyAlignment="1" applyProtection="1">
      <alignment horizontal="center" vertical="center" wrapText="1"/>
      <protection hidden="1"/>
    </xf>
    <xf numFmtId="174" fontId="126" fillId="0" borderId="200" xfId="643" applyNumberFormat="1" applyFont="1" applyFill="1" applyBorder="1" applyAlignment="1" applyProtection="1">
      <alignment horizontal="center" vertical="center" wrapText="1"/>
      <protection hidden="1"/>
    </xf>
    <xf numFmtId="174" fontId="126" fillId="35" borderId="130" xfId="187" applyNumberFormat="1" applyFont="1" applyFill="1" applyBorder="1" applyAlignment="1" applyProtection="1">
      <alignment horizontal="center"/>
      <protection hidden="1"/>
    </xf>
    <xf numFmtId="174" fontId="126" fillId="35" borderId="53" xfId="187" applyNumberFormat="1" applyFont="1" applyFill="1" applyBorder="1" applyAlignment="1" applyProtection="1">
      <alignment horizontal="center"/>
      <protection hidden="1"/>
    </xf>
    <xf numFmtId="174" fontId="126" fillId="0" borderId="56" xfId="643" applyNumberFormat="1" applyFont="1" applyFill="1" applyBorder="1" applyAlignment="1" applyProtection="1">
      <alignment horizontal="center" vertical="center" wrapText="1"/>
      <protection hidden="1"/>
    </xf>
    <xf numFmtId="174" fontId="126" fillId="0" borderId="181" xfId="643" applyNumberFormat="1" applyFont="1" applyFill="1" applyBorder="1" applyAlignment="1" applyProtection="1">
      <alignment horizontal="center" vertical="center" wrapText="1"/>
      <protection hidden="1"/>
    </xf>
    <xf numFmtId="0" fontId="74" fillId="42" borderId="34" xfId="61" applyFont="1" applyFill="1" applyBorder="1" applyAlignment="1">
      <alignment horizontal="center" vertical="center" wrapText="1"/>
    </xf>
    <xf numFmtId="0" fontId="74" fillId="42" borderId="45" xfId="61" applyFont="1" applyFill="1" applyBorder="1" applyAlignment="1">
      <alignment horizontal="center" vertical="center" wrapText="1"/>
    </xf>
    <xf numFmtId="0" fontId="74" fillId="42" borderId="48" xfId="61" applyFont="1" applyFill="1" applyBorder="1" applyAlignment="1">
      <alignment horizontal="center" vertical="center" wrapText="1"/>
    </xf>
    <xf numFmtId="0" fontId="74" fillId="42" borderId="33" xfId="61" applyFont="1" applyFill="1" applyBorder="1" applyAlignment="1">
      <alignment horizontal="center" vertical="center" wrapText="1"/>
    </xf>
    <xf numFmtId="0" fontId="74" fillId="42" borderId="172" xfId="61" applyFont="1" applyFill="1" applyBorder="1" applyAlignment="1">
      <alignment horizontal="center" vertical="center" wrapText="1"/>
    </xf>
    <xf numFmtId="0" fontId="74" fillId="42" borderId="52" xfId="61" applyFont="1" applyFill="1" applyBorder="1" applyAlignment="1">
      <alignment horizontal="center" vertical="center" wrapText="1"/>
    </xf>
    <xf numFmtId="0" fontId="74" fillId="33" borderId="22" xfId="0" applyFont="1" applyFill="1" applyBorder="1" applyAlignment="1" applyProtection="1">
      <alignment horizontal="center" vertical="top" wrapText="1"/>
      <protection locked="0"/>
    </xf>
    <xf numFmtId="0" fontId="74" fillId="33" borderId="43" xfId="0" applyFont="1" applyFill="1" applyBorder="1" applyAlignment="1" applyProtection="1">
      <alignment horizontal="center" vertical="top" wrapText="1"/>
      <protection locked="0"/>
    </xf>
    <xf numFmtId="0" fontId="74" fillId="33" borderId="46" xfId="0" applyFont="1" applyFill="1" applyBorder="1" applyAlignment="1" applyProtection="1">
      <alignment horizontal="center" vertical="top" wrapText="1"/>
      <protection locked="0"/>
    </xf>
    <xf numFmtId="0" fontId="74" fillId="33" borderId="65" xfId="0" applyFont="1" applyFill="1" applyBorder="1" applyAlignment="1" applyProtection="1">
      <alignment horizontal="center" vertical="top" wrapText="1"/>
      <protection locked="0"/>
    </xf>
    <xf numFmtId="0" fontId="74" fillId="33" borderId="112" xfId="0" applyFont="1" applyFill="1" applyBorder="1" applyAlignment="1" applyProtection="1">
      <alignment horizontal="center" vertical="top" wrapText="1"/>
      <protection locked="0"/>
    </xf>
    <xf numFmtId="0" fontId="74" fillId="33" borderId="87" xfId="0" applyFont="1" applyFill="1" applyBorder="1" applyAlignment="1" applyProtection="1">
      <alignment horizontal="center" vertical="top" wrapText="1"/>
      <protection locked="0"/>
    </xf>
    <xf numFmtId="0" fontId="74" fillId="33" borderId="133" xfId="0" applyFont="1" applyFill="1" applyBorder="1" applyAlignment="1" applyProtection="1">
      <alignment horizontal="center" vertical="top" wrapText="1"/>
      <protection locked="0"/>
    </xf>
    <xf numFmtId="0" fontId="74" fillId="33" borderId="65" xfId="0" applyFont="1" applyFill="1" applyBorder="1" applyAlignment="1" applyProtection="1">
      <alignment horizontal="center" vertical="top"/>
      <protection locked="0"/>
    </xf>
    <xf numFmtId="0" fontId="74" fillId="33" borderId="112" xfId="0" applyFont="1" applyFill="1" applyBorder="1" applyAlignment="1" applyProtection="1">
      <alignment horizontal="center" vertical="top"/>
      <protection locked="0"/>
    </xf>
    <xf numFmtId="0" fontId="74" fillId="33" borderId="63" xfId="0" applyFont="1" applyFill="1" applyBorder="1" applyAlignment="1" applyProtection="1">
      <alignment horizontal="center" vertical="top"/>
      <protection locked="0"/>
    </xf>
    <xf numFmtId="0" fontId="74" fillId="33" borderId="64" xfId="0" applyFont="1" applyFill="1" applyBorder="1" applyAlignment="1" applyProtection="1">
      <alignment horizontal="center" vertical="top"/>
      <protection locked="0"/>
    </xf>
    <xf numFmtId="0" fontId="74" fillId="33" borderId="131" xfId="0" applyFont="1" applyFill="1" applyBorder="1" applyAlignment="1" applyProtection="1">
      <alignment horizontal="center" vertical="top"/>
      <protection locked="0"/>
    </xf>
    <xf numFmtId="0" fontId="74" fillId="33" borderId="83" xfId="0" applyFont="1" applyFill="1" applyBorder="1" applyAlignment="1" applyProtection="1">
      <alignment horizontal="center" vertical="top"/>
      <protection locked="0"/>
    </xf>
    <xf numFmtId="0" fontId="74" fillId="33" borderId="132" xfId="0" applyFont="1" applyFill="1" applyBorder="1" applyAlignment="1" applyProtection="1">
      <alignment horizontal="center" vertical="top" wrapText="1"/>
      <protection locked="0"/>
    </xf>
    <xf numFmtId="0" fontId="74" fillId="33" borderId="116" xfId="0" applyFont="1" applyFill="1" applyBorder="1" applyAlignment="1" applyProtection="1">
      <alignment horizontal="center" vertical="top" wrapText="1"/>
      <protection locked="0"/>
    </xf>
    <xf numFmtId="0" fontId="74" fillId="33" borderId="33" xfId="0" applyFont="1" applyFill="1" applyBorder="1" applyAlignment="1" applyProtection="1">
      <alignment horizontal="center" vertical="top" wrapText="1"/>
      <protection locked="0"/>
    </xf>
    <xf numFmtId="0" fontId="74" fillId="33" borderId="61" xfId="0" applyFont="1" applyFill="1" applyBorder="1" applyAlignment="1" applyProtection="1">
      <alignment horizontal="center" vertical="top" wrapText="1"/>
      <protection locked="0"/>
    </xf>
    <xf numFmtId="0" fontId="74" fillId="33" borderId="82" xfId="0" applyFont="1" applyFill="1" applyBorder="1" applyAlignment="1" applyProtection="1">
      <alignment horizontal="center" vertical="top"/>
      <protection locked="0"/>
    </xf>
    <xf numFmtId="0" fontId="74" fillId="33" borderId="73" xfId="0" applyFont="1" applyFill="1" applyBorder="1" applyAlignment="1" applyProtection="1">
      <alignment horizontal="center" vertical="top"/>
      <protection locked="0"/>
    </xf>
    <xf numFmtId="0" fontId="74" fillId="33" borderId="61" xfId="0" applyFont="1" applyFill="1" applyBorder="1" applyAlignment="1" applyProtection="1">
      <alignment horizontal="center" wrapText="1"/>
      <protection locked="0"/>
    </xf>
    <xf numFmtId="0" fontId="74" fillId="33" borderId="52" xfId="0" applyFont="1" applyFill="1" applyBorder="1" applyAlignment="1" applyProtection="1">
      <alignment horizontal="center" wrapText="1"/>
      <protection locked="0"/>
    </xf>
    <xf numFmtId="0" fontId="74" fillId="33" borderId="45" xfId="0" applyFont="1" applyFill="1" applyBorder="1" applyAlignment="1" applyProtection="1">
      <alignment horizontal="center" wrapText="1"/>
      <protection locked="0"/>
    </xf>
    <xf numFmtId="0" fontId="74" fillId="33" borderId="48" xfId="0" applyFont="1" applyFill="1" applyBorder="1" applyAlignment="1" applyProtection="1">
      <alignment horizontal="center" wrapText="1"/>
      <protection locked="0"/>
    </xf>
    <xf numFmtId="0" fontId="74" fillId="33" borderId="0" xfId="0" applyFont="1" applyFill="1" applyBorder="1" applyAlignment="1" applyProtection="1">
      <alignment horizontal="center" vertical="top" wrapText="1"/>
      <protection locked="0"/>
    </xf>
    <xf numFmtId="0" fontId="74" fillId="33" borderId="61" xfId="43" applyFont="1" applyFill="1" applyBorder="1" applyAlignment="1" applyProtection="1">
      <alignment horizontal="center" wrapText="1"/>
      <protection locked="0"/>
    </xf>
    <xf numFmtId="0" fontId="74" fillId="33" borderId="52" xfId="43" applyFont="1" applyFill="1" applyBorder="1" applyAlignment="1" applyProtection="1">
      <alignment horizontal="center" wrapText="1"/>
      <protection locked="0"/>
    </xf>
    <xf numFmtId="0" fontId="74" fillId="33" borderId="116" xfId="0" applyFont="1" applyFill="1" applyBorder="1" applyAlignment="1" applyProtection="1">
      <alignment horizontal="center" wrapText="1"/>
      <protection locked="0"/>
    </xf>
    <xf numFmtId="0" fontId="74" fillId="33" borderId="133" xfId="0" applyFont="1" applyFill="1" applyBorder="1" applyAlignment="1" applyProtection="1">
      <alignment horizontal="center" wrapText="1"/>
      <protection locked="0"/>
    </xf>
    <xf numFmtId="0" fontId="74" fillId="33" borderId="70" xfId="0" applyFont="1" applyFill="1" applyBorder="1" applyAlignment="1" applyProtection="1">
      <alignment horizontal="center" wrapText="1"/>
      <protection locked="0"/>
    </xf>
    <xf numFmtId="0" fontId="74" fillId="33" borderId="112" xfId="0" applyFont="1" applyFill="1" applyBorder="1" applyAlignment="1" applyProtection="1">
      <alignment horizontal="center" wrapText="1"/>
      <protection locked="0"/>
    </xf>
    <xf numFmtId="167" fontId="74" fillId="33" borderId="54" xfId="0" applyNumberFormat="1" applyFont="1" applyFill="1" applyBorder="1" applyAlignment="1" applyProtection="1">
      <alignment horizontal="center" vertical="center"/>
      <protection locked="0"/>
    </xf>
    <xf numFmtId="167" fontId="74" fillId="33" borderId="0" xfId="0" applyNumberFormat="1" applyFont="1" applyFill="1" applyBorder="1" applyAlignment="1" applyProtection="1">
      <alignment horizontal="center" vertical="center"/>
      <protection locked="0"/>
    </xf>
    <xf numFmtId="167" fontId="74" fillId="33" borderId="55" xfId="0" applyNumberFormat="1" applyFont="1" applyFill="1" applyBorder="1" applyAlignment="1" applyProtection="1">
      <alignment horizontal="center" vertical="center"/>
      <protection locked="0"/>
    </xf>
    <xf numFmtId="167" fontId="74" fillId="33" borderId="56" xfId="0" applyNumberFormat="1" applyFont="1" applyFill="1" applyBorder="1" applyAlignment="1" applyProtection="1">
      <alignment horizontal="center" vertical="center"/>
      <protection locked="0"/>
    </xf>
    <xf numFmtId="167" fontId="74" fillId="33" borderId="57" xfId="0" applyNumberFormat="1" applyFont="1" applyFill="1" applyBorder="1" applyAlignment="1" applyProtection="1">
      <alignment horizontal="center" vertical="center"/>
      <protection locked="0"/>
    </xf>
    <xf numFmtId="167" fontId="74" fillId="33" borderId="58" xfId="0" applyNumberFormat="1" applyFont="1" applyFill="1" applyBorder="1" applyAlignment="1" applyProtection="1">
      <alignment horizontal="center" vertical="center"/>
      <protection locked="0"/>
    </xf>
    <xf numFmtId="0" fontId="72" fillId="33" borderId="11" xfId="0" applyFont="1" applyFill="1" applyBorder="1" applyAlignment="1" applyProtection="1">
      <alignment horizontal="right"/>
      <protection locked="0"/>
    </xf>
    <xf numFmtId="0" fontId="72" fillId="33" borderId="12" xfId="0" applyFont="1" applyFill="1" applyBorder="1" applyAlignment="1" applyProtection="1">
      <alignment horizontal="right"/>
      <protection locked="0"/>
    </xf>
    <xf numFmtId="0" fontId="72" fillId="33" borderId="13" xfId="0" applyFont="1" applyFill="1" applyBorder="1" applyAlignment="1" applyProtection="1">
      <alignment horizontal="right"/>
      <protection locked="0"/>
    </xf>
    <xf numFmtId="0" fontId="72" fillId="33" borderId="11" xfId="80" applyFont="1" applyFill="1" applyBorder="1" applyAlignment="1" applyProtection="1">
      <alignment horizontal="right"/>
      <protection locked="0"/>
    </xf>
    <xf numFmtId="0" fontId="72" fillId="33" borderId="12" xfId="80" applyFont="1" applyFill="1" applyBorder="1" applyAlignment="1" applyProtection="1">
      <alignment horizontal="right"/>
      <protection locked="0"/>
    </xf>
    <xf numFmtId="0" fontId="72" fillId="33" borderId="13" xfId="80" applyFont="1" applyFill="1" applyBorder="1" applyAlignment="1" applyProtection="1">
      <alignment horizontal="right"/>
      <protection locked="0"/>
    </xf>
    <xf numFmtId="0" fontId="74" fillId="42" borderId="22" xfId="61" applyFont="1" applyFill="1" applyBorder="1" applyAlignment="1">
      <alignment horizontal="center" vertical="center" wrapText="1"/>
    </xf>
    <xf numFmtId="0" fontId="74" fillId="42" borderId="43" xfId="61" applyFont="1" applyFill="1" applyBorder="1" applyAlignment="1">
      <alignment horizontal="center" vertical="center" wrapText="1"/>
    </xf>
    <xf numFmtId="0" fontId="74" fillId="42" borderId="46" xfId="61" applyFont="1" applyFill="1" applyBorder="1" applyAlignment="1">
      <alignment horizontal="center" vertical="center" wrapText="1"/>
    </xf>
    <xf numFmtId="0" fontId="84" fillId="41" borderId="10" xfId="61" applyFont="1" applyFill="1" applyBorder="1" applyAlignment="1">
      <alignment horizontal="center" vertical="center"/>
    </xf>
    <xf numFmtId="0" fontId="84" fillId="35" borderId="0" xfId="61" applyFont="1" applyFill="1" applyBorder="1" applyAlignment="1">
      <alignment horizontal="center" vertical="center"/>
    </xf>
    <xf numFmtId="0" fontId="74" fillId="38" borderId="59" xfId="61" applyFont="1" applyFill="1" applyBorder="1" applyAlignment="1">
      <alignment horizontal="center" vertical="center" wrapText="1"/>
    </xf>
    <xf numFmtId="0" fontId="74" fillId="38" borderId="61" xfId="61" applyFont="1" applyFill="1" applyBorder="1" applyAlignment="1">
      <alignment horizontal="center" vertical="center" wrapText="1"/>
    </xf>
    <xf numFmtId="0" fontId="74" fillId="33" borderId="118" xfId="0" applyFont="1" applyFill="1" applyBorder="1" applyAlignment="1" applyProtection="1">
      <alignment horizontal="center" wrapText="1"/>
      <protection locked="0"/>
    </xf>
    <xf numFmtId="0" fontId="74" fillId="33" borderId="134" xfId="0" applyFont="1" applyFill="1" applyBorder="1" applyAlignment="1" applyProtection="1">
      <alignment horizontal="center" wrapText="1"/>
      <protection locked="0"/>
    </xf>
    <xf numFmtId="0" fontId="125" fillId="0" borderId="37" xfId="643" applyFont="1" applyFill="1" applyBorder="1" applyAlignment="1" applyProtection="1">
      <alignment horizontal="center" vertical="center" wrapText="1"/>
      <protection hidden="1"/>
    </xf>
    <xf numFmtId="0" fontId="125" fillId="0" borderId="50" xfId="643" applyFont="1" applyFill="1" applyBorder="1" applyAlignment="1" applyProtection="1">
      <alignment horizontal="center" vertical="center" wrapText="1"/>
      <protection hidden="1"/>
    </xf>
    <xf numFmtId="0" fontId="124" fillId="0" borderId="0" xfId="643" applyFont="1" applyFill="1" applyBorder="1" applyAlignment="1" applyProtection="1">
      <alignment horizontal="center" vertical="center"/>
      <protection hidden="1"/>
    </xf>
    <xf numFmtId="0" fontId="125" fillId="0" borderId="35" xfId="643" applyFont="1" applyFill="1" applyBorder="1" applyAlignment="1" applyProtection="1">
      <alignment horizontal="center" vertical="center" wrapText="1"/>
      <protection hidden="1"/>
    </xf>
    <xf numFmtId="0" fontId="125" fillId="0" borderId="49" xfId="643" applyFont="1" applyFill="1" applyBorder="1" applyAlignment="1" applyProtection="1">
      <alignment horizontal="center" vertical="center" wrapText="1"/>
      <protection hidden="1"/>
    </xf>
    <xf numFmtId="0" fontId="125" fillId="0" borderId="36" xfId="643" applyFont="1" applyFill="1" applyBorder="1" applyAlignment="1" applyProtection="1">
      <alignment horizontal="center" vertical="center" wrapText="1"/>
      <protection hidden="1"/>
    </xf>
    <xf numFmtId="0" fontId="125" fillId="0" borderId="47" xfId="643" applyFont="1" applyFill="1" applyBorder="1" applyAlignment="1" applyProtection="1">
      <alignment horizontal="center" vertical="center" wrapText="1"/>
      <protection hidden="1"/>
    </xf>
    <xf numFmtId="0" fontId="74" fillId="35" borderId="0" xfId="61" applyNumberFormat="1" applyFont="1" applyFill="1" applyBorder="1" applyAlignment="1">
      <alignment horizontal="center"/>
    </xf>
    <xf numFmtId="2" fontId="74" fillId="35" borderId="0" xfId="61" applyNumberFormat="1" applyFont="1" applyFill="1" applyBorder="1" applyAlignment="1">
      <alignment horizontal="center"/>
    </xf>
    <xf numFmtId="0" fontId="74" fillId="35" borderId="11" xfId="80" applyFont="1" applyFill="1" applyBorder="1" applyAlignment="1" applyProtection="1">
      <alignment horizontal="right"/>
      <protection locked="0"/>
    </xf>
    <xf numFmtId="0" fontId="74" fillId="35" borderId="12" xfId="80" applyFont="1" applyFill="1" applyBorder="1" applyAlignment="1" applyProtection="1">
      <alignment horizontal="right"/>
      <protection locked="0"/>
    </xf>
    <xf numFmtId="0" fontId="74" fillId="35" borderId="13" xfId="80" applyFont="1" applyFill="1" applyBorder="1" applyAlignment="1" applyProtection="1">
      <alignment horizontal="right"/>
      <protection locked="0"/>
    </xf>
    <xf numFmtId="0" fontId="84" fillId="41" borderId="11" xfId="61" applyFont="1" applyFill="1" applyBorder="1" applyAlignment="1">
      <alignment horizontal="center" vertical="center"/>
    </xf>
    <xf numFmtId="0" fontId="84" fillId="41" borderId="13" xfId="61" applyFont="1" applyFill="1" applyBorder="1" applyAlignment="1">
      <alignment horizontal="center" vertical="center"/>
    </xf>
    <xf numFmtId="6" fontId="72" fillId="43" borderId="11" xfId="61" applyNumberFormat="1" applyFont="1" applyFill="1" applyBorder="1" applyAlignment="1">
      <alignment horizontal="center"/>
    </xf>
    <xf numFmtId="6" fontId="72" fillId="43" borderId="13" xfId="61" applyNumberFormat="1" applyFont="1" applyFill="1" applyBorder="1" applyAlignment="1">
      <alignment horizontal="center"/>
    </xf>
    <xf numFmtId="166" fontId="74" fillId="35" borderId="10" xfId="61" applyNumberFormat="1" applyFont="1" applyFill="1" applyBorder="1" applyAlignment="1">
      <alignment horizontal="center"/>
    </xf>
    <xf numFmtId="0" fontId="74" fillId="35" borderId="16" xfId="46" applyFont="1" applyFill="1" applyBorder="1" applyAlignment="1">
      <alignment horizontal="center"/>
    </xf>
    <xf numFmtId="0" fontId="74" fillId="35" borderId="29" xfId="46" applyFont="1" applyFill="1" applyBorder="1" applyAlignment="1">
      <alignment horizontal="center"/>
    </xf>
    <xf numFmtId="0" fontId="87" fillId="33" borderId="82" xfId="46" applyFont="1" applyFill="1" applyBorder="1" applyAlignment="1">
      <alignment horizontal="center"/>
    </xf>
    <xf numFmtId="0" fontId="87" fillId="33" borderId="64" xfId="46" applyFont="1" applyFill="1" applyBorder="1" applyAlignment="1">
      <alignment horizontal="center"/>
    </xf>
    <xf numFmtId="0" fontId="87" fillId="33" borderId="83" xfId="46" applyFont="1" applyFill="1" applyBorder="1" applyAlignment="1">
      <alignment horizontal="center"/>
    </xf>
    <xf numFmtId="0" fontId="98" fillId="26" borderId="15" xfId="0" applyFont="1" applyFill="1" applyBorder="1" applyAlignment="1">
      <alignment horizontal="center" wrapText="1"/>
    </xf>
    <xf numFmtId="0" fontId="98" fillId="26" borderId="30" xfId="0" applyFont="1" applyFill="1" applyBorder="1" applyAlignment="1">
      <alignment horizontal="center" wrapText="1"/>
    </xf>
    <xf numFmtId="0" fontId="72" fillId="0" borderId="0" xfId="0" applyFont="1" applyAlignment="1"/>
    <xf numFmtId="0" fontId="98" fillId="26" borderId="19" xfId="0" applyFont="1" applyFill="1" applyBorder="1" applyAlignment="1">
      <alignment horizontal="center" wrapText="1"/>
    </xf>
    <xf numFmtId="0" fontId="98" fillId="26" borderId="28" xfId="0" applyFont="1" applyFill="1" applyBorder="1" applyAlignment="1">
      <alignment horizontal="center" wrapText="1"/>
    </xf>
    <xf numFmtId="0" fontId="98" fillId="26" borderId="16" xfId="0" applyFont="1" applyFill="1" applyBorder="1" applyAlignment="1"/>
    <xf numFmtId="0" fontId="72" fillId="0" borderId="29" xfId="0" applyFont="1" applyBorder="1" applyAlignment="1"/>
    <xf numFmtId="0" fontId="72" fillId="0" borderId="85" xfId="0" applyFont="1" applyBorder="1" applyAlignment="1"/>
    <xf numFmtId="0" fontId="72" fillId="0" borderId="16" xfId="0" applyFont="1" applyBorder="1" applyAlignment="1"/>
    <xf numFmtId="0" fontId="98" fillId="26" borderId="84" xfId="0" applyFont="1" applyFill="1" applyBorder="1" applyAlignment="1">
      <alignment horizontal="center"/>
    </xf>
    <xf numFmtId="0" fontId="98" fillId="26" borderId="26" xfId="0" applyFont="1" applyFill="1" applyBorder="1" applyAlignment="1">
      <alignment horizontal="center"/>
    </xf>
    <xf numFmtId="0" fontId="98" fillId="26" borderId="74" xfId="0" applyFont="1" applyFill="1" applyBorder="1" applyAlignment="1">
      <alignment horizontal="center"/>
    </xf>
    <xf numFmtId="0" fontId="98" fillId="26" borderId="19" xfId="0" applyFont="1" applyFill="1" applyBorder="1" applyAlignment="1">
      <alignment horizontal="center"/>
    </xf>
    <xf numFmtId="0" fontId="4" fillId="0" borderId="0" xfId="187" applyFont="1" applyBorder="1" applyAlignment="1" applyProtection="1">
      <alignment horizontal="left" vertical="top" wrapText="1"/>
    </xf>
    <xf numFmtId="0" fontId="4" fillId="0" borderId="59" xfId="187" applyFont="1" applyBorder="1" applyAlignment="1" applyProtection="1">
      <alignment horizontal="left" vertical="top" wrapText="1"/>
    </xf>
    <xf numFmtId="0" fontId="107" fillId="0" borderId="0" xfId="187" applyFont="1" applyBorder="1" applyAlignment="1" applyProtection="1">
      <alignment horizontal="center" vertical="top" wrapText="1"/>
    </xf>
    <xf numFmtId="0" fontId="72" fillId="35" borderId="59" xfId="187" applyFont="1" applyFill="1" applyBorder="1" applyAlignment="1">
      <alignment horizontal="left" vertical="center" wrapText="1"/>
    </xf>
    <xf numFmtId="0" fontId="72" fillId="35" borderId="39" xfId="187" applyFont="1" applyFill="1" applyBorder="1" applyAlignment="1">
      <alignment horizontal="left" vertical="center" wrapText="1"/>
    </xf>
    <xf numFmtId="0" fontId="72" fillId="35" borderId="61" xfId="187" applyFont="1" applyFill="1" applyBorder="1" applyAlignment="1">
      <alignment horizontal="left" vertical="center" wrapText="1"/>
    </xf>
    <xf numFmtId="0" fontId="96" fillId="35" borderId="59" xfId="660" applyFont="1" applyFill="1" applyBorder="1" applyAlignment="1" applyProtection="1">
      <alignment horizontal="left" vertical="center"/>
    </xf>
    <xf numFmtId="0" fontId="96" fillId="35" borderId="61" xfId="660" applyFont="1" applyFill="1" applyBorder="1" applyAlignment="1" applyProtection="1">
      <alignment horizontal="left" vertical="center"/>
    </xf>
    <xf numFmtId="0" fontId="96" fillId="35" borderId="39" xfId="660" applyFont="1" applyFill="1" applyBorder="1" applyAlignment="1" applyProtection="1">
      <alignment horizontal="left" vertical="center"/>
    </xf>
    <xf numFmtId="0" fontId="74" fillId="48" borderId="11" xfId="187" applyFont="1" applyFill="1" applyBorder="1" applyAlignment="1" applyProtection="1">
      <alignment horizontal="center" vertical="top" wrapText="1"/>
    </xf>
    <xf numFmtId="0" fontId="74" fillId="48" borderId="12" xfId="187" applyFont="1" applyFill="1" applyBorder="1" applyAlignment="1" applyProtection="1">
      <alignment horizontal="center" vertical="top" wrapText="1"/>
    </xf>
    <xf numFmtId="0" fontId="74" fillId="48" borderId="13" xfId="187" applyFont="1" applyFill="1" applyBorder="1" applyAlignment="1" applyProtection="1">
      <alignment horizontal="center" vertical="top" wrapText="1"/>
    </xf>
    <xf numFmtId="0" fontId="74" fillId="46" borderId="11" xfId="187" applyFont="1" applyFill="1" applyBorder="1" applyAlignment="1" applyProtection="1">
      <alignment horizontal="left" vertical="top"/>
    </xf>
    <xf numFmtId="0" fontId="74" fillId="46" borderId="12" xfId="187" applyFont="1" applyFill="1" applyBorder="1" applyAlignment="1" applyProtection="1">
      <alignment horizontal="left" vertical="top"/>
    </xf>
    <xf numFmtId="0" fontId="74" fillId="46" borderId="13" xfId="187" applyFont="1" applyFill="1" applyBorder="1" applyAlignment="1" applyProtection="1">
      <alignment horizontal="left" vertical="top"/>
    </xf>
    <xf numFmtId="0" fontId="74" fillId="48" borderId="11" xfId="187" applyFont="1" applyFill="1" applyBorder="1" applyAlignment="1" applyProtection="1">
      <alignment horizontal="center" vertical="center" wrapText="1"/>
    </xf>
    <xf numFmtId="0" fontId="74" fillId="48" borderId="12" xfId="187" applyFont="1" applyFill="1" applyBorder="1" applyAlignment="1" applyProtection="1">
      <alignment horizontal="center" vertical="center" wrapText="1"/>
    </xf>
    <xf numFmtId="0" fontId="74" fillId="48" borderId="13" xfId="187" applyFont="1" applyFill="1" applyBorder="1" applyAlignment="1" applyProtection="1">
      <alignment horizontal="center" vertical="center" wrapText="1"/>
    </xf>
    <xf numFmtId="0" fontId="90" fillId="30" borderId="0" xfId="662" applyFont="1" applyFill="1" applyBorder="1" applyAlignment="1" applyProtection="1">
      <alignment horizontal="left" vertical="top" wrapText="1"/>
    </xf>
    <xf numFmtId="0" fontId="95" fillId="35" borderId="59" xfId="187" applyFont="1" applyFill="1" applyBorder="1" applyAlignment="1" applyProtection="1">
      <alignment horizontal="left" wrapText="1"/>
    </xf>
    <xf numFmtId="0" fontId="95" fillId="35" borderId="39" xfId="187" applyFont="1" applyFill="1" applyBorder="1" applyAlignment="1" applyProtection="1">
      <alignment horizontal="left" wrapText="1"/>
    </xf>
    <xf numFmtId="0" fontId="74" fillId="35" borderId="59" xfId="187" applyFont="1" applyFill="1" applyBorder="1" applyAlignment="1" applyProtection="1">
      <alignment horizontal="left" wrapText="1"/>
    </xf>
    <xf numFmtId="0" fontId="74" fillId="35" borderId="61" xfId="187" applyFont="1" applyFill="1" applyBorder="1" applyAlignment="1" applyProtection="1">
      <alignment horizontal="left" wrapText="1"/>
    </xf>
    <xf numFmtId="49" fontId="74" fillId="46" borderId="10" xfId="187" applyNumberFormat="1" applyFont="1" applyFill="1" applyBorder="1" applyAlignment="1" applyProtection="1">
      <alignment horizontal="left" vertical="top" wrapText="1"/>
    </xf>
    <xf numFmtId="0" fontId="72" fillId="46" borderId="10" xfId="187" applyFont="1" applyFill="1" applyBorder="1" applyAlignment="1" applyProtection="1">
      <alignment horizontal="left"/>
    </xf>
    <xf numFmtId="0" fontId="74" fillId="46" borderId="10" xfId="187" applyFont="1" applyFill="1" applyBorder="1" applyAlignment="1" applyProtection="1">
      <alignment horizontal="left" vertical="top" wrapText="1"/>
    </xf>
    <xf numFmtId="0" fontId="72" fillId="46" borderId="10" xfId="187" applyFont="1" applyFill="1" applyBorder="1" applyAlignment="1" applyProtection="1">
      <alignment horizontal="left" vertical="top"/>
    </xf>
    <xf numFmtId="0" fontId="72" fillId="35" borderId="79" xfId="662" applyFont="1" applyFill="1" applyBorder="1" applyAlignment="1" applyProtection="1">
      <alignment horizontal="left" vertical="top" wrapText="1"/>
    </xf>
    <xf numFmtId="0" fontId="72" fillId="35" borderId="13" xfId="662" applyFont="1" applyFill="1" applyBorder="1" applyAlignment="1" applyProtection="1">
      <alignment horizontal="left" vertical="top" wrapText="1"/>
    </xf>
    <xf numFmtId="0" fontId="74" fillId="33" borderId="16" xfId="187" applyFont="1" applyFill="1" applyBorder="1" applyAlignment="1" applyProtection="1">
      <alignment horizontal="center" vertical="top" wrapText="1"/>
    </xf>
    <xf numFmtId="0" fontId="74" fillId="33" borderId="29" xfId="187" applyFont="1" applyFill="1" applyBorder="1" applyAlignment="1" applyProtection="1">
      <alignment horizontal="center" vertical="top" wrapText="1"/>
    </xf>
    <xf numFmtId="0" fontId="74" fillId="33" borderId="20" xfId="187" applyFont="1" applyFill="1" applyBorder="1" applyAlignment="1" applyProtection="1">
      <alignment horizontal="center" vertical="top" wrapText="1"/>
    </xf>
    <xf numFmtId="0" fontId="72" fillId="35" borderId="200" xfId="662" applyFont="1" applyFill="1" applyBorder="1" applyAlignment="1" applyProtection="1">
      <alignment horizontal="left" vertical="top" wrapText="1"/>
    </xf>
    <xf numFmtId="0" fontId="72" fillId="35" borderId="79" xfId="187" applyFont="1" applyFill="1" applyBorder="1" applyAlignment="1" applyProtection="1">
      <alignment horizontal="left" vertical="top" wrapText="1"/>
    </xf>
    <xf numFmtId="0" fontId="72" fillId="35" borderId="200" xfId="187" applyFont="1" applyFill="1" applyBorder="1" applyAlignment="1" applyProtection="1">
      <alignment horizontal="left" vertical="top" wrapText="1"/>
    </xf>
    <xf numFmtId="0" fontId="72" fillId="35" borderId="22" xfId="187" applyFont="1" applyFill="1" applyBorder="1" applyAlignment="1" applyProtection="1">
      <alignment horizontal="left" vertical="top" wrapText="1"/>
    </xf>
    <xf numFmtId="0" fontId="72" fillId="35" borderId="38" xfId="187" applyFont="1" applyFill="1" applyBorder="1" applyAlignment="1" applyProtection="1">
      <alignment horizontal="left" vertical="top" wrapText="1"/>
    </xf>
    <xf numFmtId="0" fontId="72" fillId="35" borderId="34" xfId="187" applyFont="1" applyFill="1" applyBorder="1" applyAlignment="1" applyProtection="1">
      <alignment horizontal="left" vertical="top" wrapText="1"/>
    </xf>
    <xf numFmtId="0" fontId="72" fillId="35" borderId="40" xfId="187" applyFont="1" applyFill="1" applyBorder="1" applyAlignment="1" applyProtection="1">
      <alignment horizontal="left" vertical="top" wrapText="1"/>
    </xf>
    <xf numFmtId="0" fontId="72" fillId="35" borderId="189" xfId="662" applyFont="1" applyFill="1" applyBorder="1" applyAlignment="1" applyProtection="1">
      <alignment horizontal="left" vertical="top" wrapText="1"/>
    </xf>
    <xf numFmtId="0" fontId="72" fillId="35" borderId="91" xfId="662" applyFont="1" applyFill="1" applyBorder="1" applyAlignment="1" applyProtection="1">
      <alignment horizontal="left" vertical="top" wrapText="1"/>
    </xf>
    <xf numFmtId="0" fontId="72" fillId="35" borderId="53" xfId="662" applyFont="1" applyFill="1" applyBorder="1" applyAlignment="1" applyProtection="1">
      <alignment horizontal="left" vertical="top" wrapText="1"/>
    </xf>
    <xf numFmtId="0" fontId="74" fillId="38" borderId="29" xfId="187" applyFont="1" applyFill="1" applyBorder="1" applyAlignment="1" applyProtection="1">
      <alignment horizontal="left" vertical="top"/>
    </xf>
    <xf numFmtId="0" fontId="74" fillId="38" borderId="20" xfId="187" applyFont="1" applyFill="1" applyBorder="1" applyAlignment="1" applyProtection="1">
      <alignment horizontal="left" vertical="top"/>
    </xf>
    <xf numFmtId="0" fontId="72" fillId="35" borderId="49" xfId="662" applyFont="1" applyFill="1" applyBorder="1" applyAlignment="1" applyProtection="1">
      <alignment horizontal="left" vertical="top" wrapText="1"/>
    </xf>
    <xf numFmtId="0" fontId="72" fillId="35" borderId="47" xfId="662" applyFont="1" applyFill="1" applyBorder="1" applyAlignment="1" applyProtection="1">
      <alignment horizontal="left" vertical="top" wrapText="1"/>
    </xf>
    <xf numFmtId="0" fontId="72" fillId="35" borderId="35" xfId="662" applyFont="1" applyFill="1" applyBorder="1" applyAlignment="1" applyProtection="1">
      <alignment horizontal="left" vertical="top" wrapText="1"/>
    </xf>
    <xf numFmtId="0" fontId="72" fillId="35" borderId="36" xfId="662" applyFont="1" applyFill="1" applyBorder="1" applyAlignment="1" applyProtection="1">
      <alignment horizontal="left" vertical="top" wrapText="1"/>
    </xf>
    <xf numFmtId="0" fontId="72" fillId="35" borderId="41" xfId="662" applyFont="1" applyFill="1" applyBorder="1" applyAlignment="1" applyProtection="1">
      <alignment horizontal="left" vertical="top" wrapText="1"/>
    </xf>
    <xf numFmtId="0" fontId="72" fillId="35" borderId="10" xfId="662" applyFont="1" applyFill="1" applyBorder="1" applyAlignment="1" applyProtection="1">
      <alignment horizontal="left" vertical="top" wrapText="1"/>
    </xf>
    <xf numFmtId="0" fontId="72" fillId="35" borderId="88" xfId="662" applyFont="1" applyFill="1" applyBorder="1" applyAlignment="1" applyProtection="1">
      <alignment horizontal="left" vertical="top" wrapText="1"/>
    </xf>
    <xf numFmtId="0" fontId="72" fillId="35" borderId="83" xfId="662" applyFont="1" applyFill="1" applyBorder="1" applyAlignment="1" applyProtection="1">
      <alignment horizontal="left" vertical="top" wrapText="1"/>
    </xf>
    <xf numFmtId="0" fontId="74" fillId="33" borderId="32" xfId="187" applyFont="1" applyFill="1" applyBorder="1" applyAlignment="1" applyProtection="1">
      <alignment horizontal="center" vertical="top" wrapText="1"/>
    </xf>
    <xf numFmtId="0" fontId="74" fillId="38" borderId="60" xfId="187" applyFont="1" applyFill="1" applyBorder="1" applyAlignment="1" applyProtection="1">
      <alignment horizontal="left" vertical="top"/>
    </xf>
    <xf numFmtId="0" fontId="74" fillId="38" borderId="0" xfId="187" applyFont="1" applyFill="1" applyBorder="1" applyAlignment="1" applyProtection="1">
      <alignment horizontal="left" vertical="top"/>
    </xf>
    <xf numFmtId="0" fontId="74" fillId="38" borderId="28" xfId="187" applyFont="1" applyFill="1" applyBorder="1" applyAlignment="1" applyProtection="1">
      <alignment horizontal="left" vertical="top"/>
    </xf>
    <xf numFmtId="0" fontId="74" fillId="33" borderId="79" xfId="187" applyFont="1" applyFill="1" applyBorder="1" applyAlignment="1" applyProtection="1">
      <alignment horizontal="center" vertical="center" wrapText="1"/>
    </xf>
    <xf numFmtId="0" fontId="74" fillId="33" borderId="12" xfId="187" applyFont="1" applyFill="1" applyBorder="1" applyAlignment="1" applyProtection="1">
      <alignment horizontal="center" vertical="center" wrapText="1"/>
    </xf>
    <xf numFmtId="0" fontId="74" fillId="33" borderId="0" xfId="187" applyFont="1" applyFill="1" applyBorder="1" applyAlignment="1" applyProtection="1">
      <alignment horizontal="center" vertical="center" wrapText="1"/>
    </xf>
    <xf numFmtId="0" fontId="74" fillId="33" borderId="28" xfId="187" applyFont="1" applyFill="1" applyBorder="1" applyAlignment="1" applyProtection="1">
      <alignment horizontal="center" vertical="center" wrapText="1"/>
    </xf>
    <xf numFmtId="0" fontId="74" fillId="33" borderId="16" xfId="187" applyFont="1" applyFill="1" applyBorder="1" applyAlignment="1" applyProtection="1">
      <alignment horizontal="center" vertical="center" wrapText="1"/>
    </xf>
    <xf numFmtId="0" fontId="74" fillId="33" borderId="29" xfId="187" applyFont="1" applyFill="1" applyBorder="1" applyAlignment="1" applyProtection="1">
      <alignment horizontal="center" vertical="center" wrapText="1"/>
    </xf>
    <xf numFmtId="0" fontId="74" fillId="33" borderId="20" xfId="187" applyFont="1" applyFill="1" applyBorder="1" applyAlignment="1" applyProtection="1">
      <alignment horizontal="center" vertical="center" wrapText="1"/>
    </xf>
    <xf numFmtId="0" fontId="87" fillId="0" borderId="27" xfId="662" applyFont="1" applyFill="1" applyBorder="1" applyAlignment="1" applyProtection="1">
      <alignment horizontal="left" vertical="center" wrapText="1"/>
    </xf>
    <xf numFmtId="0" fontId="87" fillId="0" borderId="0" xfId="662" applyFont="1" applyFill="1" applyBorder="1" applyAlignment="1" applyProtection="1">
      <alignment horizontal="left" vertical="center" wrapText="1"/>
    </xf>
    <xf numFmtId="0" fontId="87" fillId="0" borderId="28" xfId="662" applyFont="1" applyFill="1" applyBorder="1" applyAlignment="1" applyProtection="1">
      <alignment horizontal="left" vertical="center" wrapText="1"/>
    </xf>
    <xf numFmtId="0" fontId="87" fillId="0" borderId="17" xfId="662" applyFont="1" applyFill="1" applyBorder="1" applyAlignment="1" applyProtection="1">
      <alignment horizontal="left" vertical="center" wrapText="1"/>
    </xf>
    <xf numFmtId="0" fontId="87" fillId="0" borderId="32" xfId="662" applyFont="1" applyFill="1" applyBorder="1" applyAlignment="1" applyProtection="1">
      <alignment horizontal="left" vertical="center" wrapText="1"/>
    </xf>
    <xf numFmtId="0" fontId="87" fillId="0" borderId="21" xfId="662" applyFont="1" applyFill="1" applyBorder="1" applyAlignment="1" applyProtection="1">
      <alignment horizontal="left" vertical="center" wrapText="1"/>
    </xf>
    <xf numFmtId="0" fontId="95" fillId="33" borderId="22" xfId="187" applyFont="1" applyFill="1" applyBorder="1" applyAlignment="1" applyProtection="1">
      <alignment horizontal="left" wrapText="1"/>
    </xf>
    <xf numFmtId="0" fontId="95" fillId="33" borderId="43" xfId="187" applyFont="1" applyFill="1" applyBorder="1" applyAlignment="1" applyProtection="1">
      <alignment horizontal="left" wrapText="1"/>
    </xf>
    <xf numFmtId="0" fontId="95" fillId="33" borderId="46" xfId="187" applyFont="1" applyFill="1" applyBorder="1" applyAlignment="1" applyProtection="1">
      <alignment horizontal="left" wrapText="1"/>
    </xf>
    <xf numFmtId="0" fontId="72" fillId="33" borderId="84" xfId="187" applyFont="1" applyFill="1" applyBorder="1" applyAlignment="1" applyProtection="1">
      <alignment horizontal="left" wrapText="1"/>
    </xf>
    <xf numFmtId="0" fontId="72" fillId="33" borderId="54" xfId="187" applyFont="1" applyFill="1" applyBorder="1" applyAlignment="1" applyProtection="1">
      <alignment horizontal="left" wrapText="1"/>
    </xf>
    <xf numFmtId="0" fontId="72" fillId="33" borderId="76" xfId="187" applyFont="1" applyFill="1" applyBorder="1" applyAlignment="1" applyProtection="1">
      <alignment horizontal="left" wrapText="1"/>
    </xf>
    <xf numFmtId="0" fontId="72" fillId="33" borderId="26" xfId="187" applyFont="1" applyFill="1" applyBorder="1" applyAlignment="1" applyProtection="1">
      <alignment horizontal="center" vertical="top"/>
    </xf>
    <xf numFmtId="0" fontId="72" fillId="33" borderId="19" xfId="187" applyFont="1" applyFill="1" applyBorder="1" applyAlignment="1" applyProtection="1">
      <alignment horizontal="center" vertical="top"/>
    </xf>
    <xf numFmtId="0" fontId="72" fillId="37" borderId="10" xfId="187" applyFont="1" applyFill="1" applyBorder="1" applyAlignment="1" applyProtection="1">
      <alignment horizontal="left" vertical="top" wrapText="1"/>
    </xf>
    <xf numFmtId="0" fontId="72" fillId="37" borderId="42" xfId="187" applyFont="1" applyFill="1" applyBorder="1" applyAlignment="1" applyProtection="1">
      <alignment horizontal="left" vertical="top" wrapText="1"/>
    </xf>
    <xf numFmtId="0" fontId="72" fillId="37" borderId="59" xfId="187" applyFont="1" applyFill="1" applyBorder="1" applyAlignment="1" applyProtection="1">
      <alignment horizontal="left" vertical="top" wrapText="1"/>
    </xf>
    <xf numFmtId="0" fontId="72" fillId="37" borderId="44" xfId="187" applyFont="1" applyFill="1" applyBorder="1" applyAlignment="1" applyProtection="1">
      <alignment horizontal="left" vertical="top" wrapText="1"/>
    </xf>
    <xf numFmtId="0" fontId="72" fillId="35" borderId="14" xfId="662" applyFont="1" applyFill="1" applyBorder="1" applyAlignment="1" applyProtection="1">
      <alignment horizontal="left" vertical="top" wrapText="1"/>
    </xf>
    <xf numFmtId="0" fontId="72" fillId="35" borderId="74" xfId="662" applyFont="1" applyFill="1" applyBorder="1" applyAlignment="1" applyProtection="1">
      <alignment horizontal="left" vertical="top" wrapText="1"/>
    </xf>
    <xf numFmtId="0" fontId="72" fillId="35" borderId="16" xfId="187" applyFont="1" applyFill="1" applyBorder="1" applyAlignment="1" applyProtection="1">
      <alignment horizontal="left" vertical="top" wrapText="1"/>
    </xf>
    <xf numFmtId="0" fontId="72" fillId="35" borderId="85" xfId="187" applyFont="1" applyFill="1" applyBorder="1" applyAlignment="1" applyProtection="1">
      <alignment horizontal="left" vertical="top" wrapText="1"/>
    </xf>
    <xf numFmtId="0" fontId="72" fillId="35" borderId="88" xfId="187" applyFont="1" applyFill="1" applyBorder="1" applyAlignment="1" applyProtection="1">
      <alignment horizontal="left" vertical="top" wrapText="1"/>
    </xf>
    <xf numFmtId="0" fontId="72" fillId="35" borderId="83" xfId="187" applyFont="1" applyFill="1" applyBorder="1" applyAlignment="1" applyProtection="1">
      <alignment horizontal="left" vertical="top" wrapText="1"/>
    </xf>
    <xf numFmtId="0" fontId="72" fillId="35" borderId="56" xfId="187" applyFont="1" applyFill="1" applyBorder="1" applyAlignment="1" applyProtection="1">
      <alignment horizontal="left" vertical="top" wrapText="1"/>
    </xf>
    <xf numFmtId="0" fontId="72" fillId="35" borderId="57" xfId="187" applyFont="1" applyFill="1" applyBorder="1" applyAlignment="1" applyProtection="1">
      <alignment horizontal="left" vertical="top" wrapText="1"/>
    </xf>
    <xf numFmtId="0" fontId="72" fillId="37" borderId="135" xfId="187" applyFont="1" applyFill="1" applyBorder="1" applyAlignment="1" applyProtection="1">
      <alignment horizontal="left" vertical="top" wrapText="1"/>
      <protection locked="0"/>
    </xf>
    <xf numFmtId="0" fontId="74" fillId="33" borderId="59" xfId="187" applyFont="1" applyFill="1" applyBorder="1" applyAlignment="1" applyProtection="1">
      <alignment horizontal="left"/>
    </xf>
    <xf numFmtId="0" fontId="74" fillId="33" borderId="59" xfId="187" applyFont="1" applyFill="1" applyBorder="1" applyAlignment="1" applyProtection="1">
      <alignment wrapText="1"/>
    </xf>
    <xf numFmtId="0" fontId="72" fillId="33" borderId="59" xfId="187" applyFont="1" applyFill="1" applyBorder="1" applyAlignment="1" applyProtection="1">
      <alignment wrapText="1"/>
    </xf>
    <xf numFmtId="0" fontId="72" fillId="35" borderId="135" xfId="187" applyFont="1" applyFill="1" applyBorder="1" applyAlignment="1" applyProtection="1">
      <alignment horizontal="left" vertical="top"/>
      <protection locked="0"/>
    </xf>
    <xf numFmtId="0" fontId="72" fillId="33" borderId="11" xfId="187" applyFont="1" applyFill="1" applyBorder="1" applyAlignment="1" applyProtection="1">
      <alignment horizontal="center" wrapText="1"/>
    </xf>
    <xf numFmtId="0" fontId="72" fillId="33" borderId="12" xfId="187" applyFont="1" applyFill="1" applyBorder="1" applyAlignment="1" applyProtection="1">
      <alignment horizontal="center" wrapText="1"/>
    </xf>
    <xf numFmtId="0" fontId="72" fillId="33" borderId="13" xfId="187" applyFont="1" applyFill="1" applyBorder="1" applyAlignment="1" applyProtection="1">
      <alignment horizontal="center" wrapText="1"/>
    </xf>
    <xf numFmtId="0" fontId="72" fillId="35" borderId="11" xfId="187" applyFont="1" applyFill="1" applyBorder="1" applyAlignment="1" applyProtection="1">
      <alignment horizontal="left" vertical="top" wrapText="1"/>
    </xf>
    <xf numFmtId="0" fontId="72" fillId="35" borderId="199" xfId="187" applyFont="1" applyFill="1" applyBorder="1" applyAlignment="1" applyProtection="1">
      <alignment horizontal="left" vertical="top" wrapText="1"/>
    </xf>
    <xf numFmtId="0" fontId="72" fillId="37" borderId="144" xfId="187" applyFont="1" applyFill="1" applyBorder="1" applyAlignment="1" applyProtection="1">
      <alignment horizontal="left" vertical="top" wrapText="1"/>
      <protection locked="0"/>
    </xf>
    <xf numFmtId="0" fontId="72" fillId="35" borderId="0" xfId="187" applyFont="1" applyFill="1" applyBorder="1" applyAlignment="1" applyProtection="1">
      <alignment horizontal="left" wrapText="1"/>
    </xf>
    <xf numFmtId="0" fontId="72" fillId="35" borderId="0" xfId="187" applyFont="1" applyFill="1" applyBorder="1" applyAlignment="1" applyProtection="1">
      <alignment horizontal="left" vertical="top" wrapText="1"/>
    </xf>
    <xf numFmtId="0" fontId="74" fillId="33" borderId="10" xfId="187" applyFont="1" applyFill="1" applyBorder="1" applyAlignment="1" applyProtection="1">
      <alignment wrapText="1"/>
    </xf>
    <xf numFmtId="0" fontId="72" fillId="33" borderId="10" xfId="187" applyFont="1" applyFill="1" applyBorder="1" applyAlignment="1" applyProtection="1">
      <alignment wrapText="1"/>
    </xf>
    <xf numFmtId="0" fontId="72" fillId="35" borderId="10" xfId="187" applyFont="1" applyFill="1" applyBorder="1" applyAlignment="1" applyProtection="1">
      <alignment horizontal="left" vertical="top" wrapText="1"/>
    </xf>
    <xf numFmtId="0" fontId="72" fillId="38" borderId="10" xfId="187" applyFont="1" applyFill="1" applyBorder="1" applyAlignment="1" applyProtection="1">
      <alignment horizontal="center" vertical="center"/>
    </xf>
    <xf numFmtId="0" fontId="72" fillId="35" borderId="12" xfId="187" applyFont="1" applyFill="1" applyBorder="1" applyAlignment="1" applyProtection="1">
      <alignment horizontal="left" vertical="top" wrapText="1"/>
    </xf>
    <xf numFmtId="0" fontId="72" fillId="35" borderId="138" xfId="187" applyFont="1" applyFill="1" applyBorder="1" applyAlignment="1" applyProtection="1">
      <alignment horizontal="left" vertical="top" wrapText="1"/>
    </xf>
    <xf numFmtId="0" fontId="72" fillId="35" borderId="201" xfId="187" applyFont="1" applyFill="1" applyBorder="1" applyAlignment="1" applyProtection="1">
      <alignment horizontal="left" vertical="top" wrapText="1"/>
    </xf>
    <xf numFmtId="9" fontId="72" fillId="35" borderId="11" xfId="187" applyNumberFormat="1" applyFont="1" applyFill="1" applyBorder="1" applyAlignment="1" applyProtection="1">
      <alignment horizontal="center"/>
    </xf>
    <xf numFmtId="9" fontId="72" fillId="35" borderId="13" xfId="187" applyNumberFormat="1" applyFont="1" applyFill="1" applyBorder="1" applyAlignment="1" applyProtection="1">
      <alignment horizontal="center"/>
    </xf>
    <xf numFmtId="0" fontId="72" fillId="33" borderId="11" xfId="187" applyFont="1" applyFill="1" applyBorder="1" applyAlignment="1" applyProtection="1">
      <alignment horizontal="center" vertical="center" wrapText="1"/>
    </xf>
    <xf numFmtId="0" fontId="72" fillId="33" borderId="13" xfId="187" applyFont="1" applyFill="1" applyBorder="1" applyAlignment="1" applyProtection="1">
      <alignment horizontal="center" vertical="center" wrapText="1"/>
    </xf>
    <xf numFmtId="0" fontId="72" fillId="35" borderId="60" xfId="187" applyFont="1" applyFill="1" applyBorder="1" applyAlignment="1" applyProtection="1">
      <alignment horizontal="left" vertical="top" wrapText="1"/>
    </xf>
    <xf numFmtId="0" fontId="72" fillId="35" borderId="62" xfId="187" applyFont="1" applyFill="1" applyBorder="1" applyAlignment="1" applyProtection="1">
      <alignment horizontal="left" vertical="top" wrapText="1"/>
    </xf>
    <xf numFmtId="0" fontId="72" fillId="35" borderId="66" xfId="187" applyFont="1" applyFill="1" applyBorder="1" applyAlignment="1" applyProtection="1">
      <alignment horizontal="left" vertical="top" wrapText="1"/>
    </xf>
    <xf numFmtId="0" fontId="74" fillId="33" borderId="11" xfId="187" applyFont="1" applyFill="1" applyBorder="1" applyAlignment="1" applyProtection="1">
      <alignment horizontal="left" wrapText="1"/>
    </xf>
    <xf numFmtId="0" fontId="74" fillId="33" borderId="12" xfId="187" applyFont="1" applyFill="1" applyBorder="1" applyAlignment="1" applyProtection="1">
      <alignment horizontal="left" wrapText="1"/>
    </xf>
    <xf numFmtId="0" fontId="74" fillId="33" borderId="13" xfId="187" applyFont="1" applyFill="1" applyBorder="1" applyAlignment="1" applyProtection="1">
      <alignment horizontal="left" wrapText="1"/>
    </xf>
    <xf numFmtId="2" fontId="72" fillId="37" borderId="10" xfId="187" applyNumberFormat="1" applyFont="1" applyFill="1" applyBorder="1" applyAlignment="1" applyProtection="1">
      <alignment horizontal="center"/>
      <protection locked="0"/>
    </xf>
    <xf numFmtId="0" fontId="72" fillId="35" borderId="54" xfId="187" applyFont="1" applyFill="1" applyBorder="1" applyAlignment="1" applyProtection="1">
      <alignment horizontal="left" vertical="top" wrapText="1"/>
    </xf>
    <xf numFmtId="0" fontId="72" fillId="35" borderId="55" xfId="187" applyFont="1" applyFill="1" applyBorder="1" applyAlignment="1" applyProtection="1">
      <alignment horizontal="left" vertical="top" wrapText="1"/>
    </xf>
    <xf numFmtId="0" fontId="72" fillId="35" borderId="58" xfId="187" applyFont="1" applyFill="1" applyBorder="1" applyAlignment="1" applyProtection="1">
      <alignment horizontal="left" vertical="top" wrapText="1"/>
    </xf>
    <xf numFmtId="0" fontId="72" fillId="35" borderId="13" xfId="187" applyFont="1" applyFill="1" applyBorder="1" applyAlignment="1" applyProtection="1">
      <alignment horizontal="left" vertical="top" wrapText="1"/>
    </xf>
    <xf numFmtId="1" fontId="72" fillId="37" borderId="11" xfId="187" quotePrefix="1" applyNumberFormat="1" applyFont="1" applyFill="1" applyBorder="1" applyAlignment="1" applyProtection="1">
      <alignment horizontal="center"/>
      <protection locked="0"/>
    </xf>
    <xf numFmtId="1" fontId="72" fillId="37" borderId="12" xfId="187" quotePrefix="1" applyNumberFormat="1" applyFont="1" applyFill="1" applyBorder="1" applyAlignment="1" applyProtection="1">
      <alignment horizontal="center"/>
      <protection locked="0"/>
    </xf>
    <xf numFmtId="0" fontId="72" fillId="37" borderId="10" xfId="187" applyFont="1" applyFill="1" applyBorder="1" applyAlignment="1" applyProtection="1">
      <alignment horizontal="center"/>
      <protection locked="0"/>
    </xf>
    <xf numFmtId="1" fontId="72" fillId="37" borderId="10" xfId="187" applyNumberFormat="1" applyFont="1" applyFill="1" applyBorder="1" applyAlignment="1" applyProtection="1">
      <alignment horizontal="center" wrapText="1"/>
      <protection locked="0"/>
    </xf>
    <xf numFmtId="0" fontId="72" fillId="33" borderId="10" xfId="187" applyFont="1" applyFill="1" applyBorder="1" applyAlignment="1" applyProtection="1">
      <alignment horizontal="center" vertical="center" wrapText="1"/>
    </xf>
    <xf numFmtId="0" fontId="72" fillId="33" borderId="12" xfId="187" applyFont="1" applyFill="1" applyBorder="1" applyAlignment="1" applyProtection="1">
      <alignment horizontal="center" vertical="center" wrapText="1"/>
    </xf>
    <xf numFmtId="0" fontId="91" fillId="59" borderId="55" xfId="187" applyFont="1" applyFill="1" applyBorder="1" applyAlignment="1" applyProtection="1">
      <alignment horizontal="left" vertical="top" wrapText="1"/>
    </xf>
    <xf numFmtId="0" fontId="72" fillId="35" borderId="145" xfId="187" applyFont="1" applyFill="1" applyBorder="1" applyAlignment="1" applyProtection="1">
      <alignment horizontal="left" vertical="top" wrapText="1"/>
    </xf>
    <xf numFmtId="0" fontId="74" fillId="33" borderId="10" xfId="187" applyFont="1" applyFill="1" applyBorder="1" applyAlignment="1" applyProtection="1">
      <alignment horizontal="left" wrapText="1"/>
    </xf>
    <xf numFmtId="0" fontId="72" fillId="35" borderId="39" xfId="187" applyFont="1" applyFill="1" applyBorder="1" applyAlignment="1" applyProtection="1">
      <alignment horizontal="left" vertical="top" wrapText="1"/>
    </xf>
    <xf numFmtId="0" fontId="72" fillId="33" borderId="10" xfId="187" applyFont="1" applyFill="1" applyBorder="1" applyAlignment="1" applyProtection="1">
      <alignment horizontal="left" wrapText="1"/>
    </xf>
    <xf numFmtId="0" fontId="72" fillId="0" borderId="60" xfId="187" applyFont="1" applyBorder="1" applyAlignment="1" applyProtection="1">
      <alignment horizontal="left" vertical="top" wrapText="1"/>
      <protection locked="0"/>
    </xf>
    <xf numFmtId="0" fontId="72" fillId="0" borderId="62" xfId="187" applyFont="1" applyBorder="1" applyAlignment="1" applyProtection="1">
      <alignment horizontal="left" vertical="top" wrapText="1"/>
      <protection locked="0"/>
    </xf>
    <xf numFmtId="0" fontId="72" fillId="0" borderId="54" xfId="187" applyFont="1" applyBorder="1" applyAlignment="1" applyProtection="1">
      <alignment horizontal="left" vertical="top" wrapText="1"/>
      <protection locked="0"/>
    </xf>
    <xf numFmtId="0" fontId="72" fillId="0" borderId="0" xfId="187" applyFont="1" applyBorder="1" applyAlignment="1" applyProtection="1">
      <alignment horizontal="left" vertical="top" wrapText="1"/>
      <protection locked="0"/>
    </xf>
    <xf numFmtId="0" fontId="72" fillId="0" borderId="56" xfId="187" applyFont="1" applyBorder="1" applyAlignment="1" applyProtection="1">
      <alignment horizontal="left" vertical="top" wrapText="1"/>
      <protection locked="0"/>
    </xf>
    <xf numFmtId="0" fontId="72" fillId="0" borderId="57" xfId="187" applyFont="1" applyBorder="1" applyAlignment="1" applyProtection="1">
      <alignment horizontal="left" vertical="top" wrapText="1"/>
      <protection locked="0"/>
    </xf>
    <xf numFmtId="0" fontId="72" fillId="0" borderId="58" xfId="187" applyFont="1" applyBorder="1" applyAlignment="1" applyProtection="1">
      <alignment horizontal="left" vertical="top" wrapText="1"/>
      <protection locked="0"/>
    </xf>
    <xf numFmtId="0" fontId="72" fillId="33" borderId="11" xfId="187" applyFont="1" applyFill="1" applyBorder="1" applyAlignment="1" applyProtection="1">
      <alignment horizontal="left" vertical="top"/>
    </xf>
    <xf numFmtId="0" fontId="72" fillId="33" borderId="13" xfId="187" applyFont="1" applyFill="1" applyBorder="1" applyAlignment="1" applyProtection="1">
      <alignment horizontal="left" vertical="top"/>
    </xf>
    <xf numFmtId="14" fontId="72" fillId="37" borderId="11" xfId="187" applyNumberFormat="1" applyFont="1" applyFill="1" applyBorder="1" applyAlignment="1" applyProtection="1">
      <alignment horizontal="center"/>
      <protection locked="0"/>
    </xf>
    <xf numFmtId="14" fontId="72" fillId="37" borderId="13" xfId="187" applyNumberFormat="1" applyFont="1" applyFill="1" applyBorder="1" applyAlignment="1" applyProtection="1">
      <alignment horizontal="center"/>
      <protection locked="0"/>
    </xf>
    <xf numFmtId="0" fontId="72" fillId="0" borderId="11" xfId="187" applyFont="1" applyBorder="1" applyAlignment="1" applyProtection="1">
      <alignment horizontal="left" vertical="top" wrapText="1"/>
    </xf>
    <xf numFmtId="0" fontId="72" fillId="0" borderId="12" xfId="187" applyFont="1" applyBorder="1" applyAlignment="1" applyProtection="1">
      <alignment horizontal="left" vertical="top" wrapText="1"/>
    </xf>
    <xf numFmtId="0" fontId="72" fillId="0" borderId="13" xfId="187" applyFont="1" applyBorder="1" applyAlignment="1" applyProtection="1">
      <alignment horizontal="left" vertical="top" wrapText="1"/>
    </xf>
    <xf numFmtId="0" fontId="72" fillId="33" borderId="10" xfId="187" applyFont="1" applyFill="1" applyBorder="1" applyAlignment="1" applyProtection="1">
      <alignment horizontal="center" wrapText="1"/>
    </xf>
    <xf numFmtId="0" fontId="72" fillId="37" borderId="148" xfId="187" applyFont="1" applyFill="1" applyBorder="1" applyAlignment="1" applyProtection="1">
      <alignment horizontal="center" vertical="top" wrapText="1"/>
      <protection locked="0"/>
    </xf>
    <xf numFmtId="0" fontId="72" fillId="37" borderId="149" xfId="187" applyFont="1" applyFill="1" applyBorder="1" applyAlignment="1" applyProtection="1">
      <alignment horizontal="center" vertical="top" wrapText="1"/>
      <protection locked="0"/>
    </xf>
    <xf numFmtId="0" fontId="72" fillId="37" borderId="139" xfId="187" applyFont="1" applyFill="1" applyBorder="1" applyAlignment="1" applyProtection="1">
      <alignment horizontal="center" vertical="top" wrapText="1"/>
      <protection locked="0"/>
    </xf>
    <xf numFmtId="0" fontId="72" fillId="37" borderId="140" xfId="187" applyFont="1" applyFill="1" applyBorder="1" applyAlignment="1" applyProtection="1">
      <alignment horizontal="center" vertical="top" wrapText="1"/>
      <protection locked="0"/>
    </xf>
    <xf numFmtId="0" fontId="72" fillId="30" borderId="11" xfId="187" applyFont="1" applyFill="1" applyBorder="1" applyAlignment="1" applyProtection="1">
      <alignment horizontal="left" vertical="top" wrapText="1"/>
    </xf>
    <xf numFmtId="0" fontId="72" fillId="30" borderId="12" xfId="187" applyFont="1" applyFill="1" applyBorder="1" applyAlignment="1" applyProtection="1">
      <alignment horizontal="left" vertical="top" wrapText="1"/>
    </xf>
    <xf numFmtId="0" fontId="72" fillId="30" borderId="138" xfId="187" applyFont="1" applyFill="1" applyBorder="1" applyAlignment="1" applyProtection="1">
      <alignment horizontal="left" vertical="top" wrapText="1"/>
    </xf>
    <xf numFmtId="0" fontId="72" fillId="37" borderId="11" xfId="187" applyFont="1" applyFill="1" applyBorder="1" applyAlignment="1" applyProtection="1">
      <alignment horizontal="center" vertical="top" wrapText="1"/>
      <protection locked="0"/>
    </xf>
    <xf numFmtId="0" fontId="72" fillId="37" borderId="13" xfId="187" applyFont="1" applyFill="1" applyBorder="1" applyAlignment="1" applyProtection="1">
      <alignment horizontal="center" vertical="top" wrapText="1"/>
      <protection locked="0"/>
    </xf>
    <xf numFmtId="0" fontId="72" fillId="33" borderId="60" xfId="187" applyFont="1" applyFill="1" applyBorder="1" applyAlignment="1" applyProtection="1">
      <alignment horizontal="center" wrapText="1"/>
    </xf>
    <xf numFmtId="0" fontId="72" fillId="33" borderId="66" xfId="187" applyFont="1" applyFill="1" applyBorder="1" applyAlignment="1" applyProtection="1">
      <alignment horizontal="center" wrapText="1"/>
    </xf>
    <xf numFmtId="0" fontId="72" fillId="37" borderId="10" xfId="187" applyFont="1" applyFill="1" applyBorder="1" applyAlignment="1" applyProtection="1">
      <alignment horizontal="left" vertical="top"/>
      <protection locked="0"/>
    </xf>
    <xf numFmtId="0" fontId="72" fillId="37" borderId="10" xfId="187" applyFont="1" applyFill="1" applyBorder="1" applyAlignment="1" applyProtection="1">
      <alignment horizontal="left" vertical="top" wrapText="1"/>
      <protection locked="0"/>
    </xf>
    <xf numFmtId="0" fontId="72" fillId="35" borderId="0" xfId="187" quotePrefix="1" applyFont="1" applyFill="1" applyBorder="1" applyAlignment="1" applyProtection="1">
      <alignment horizontal="left" vertical="center" wrapText="1" indent="2"/>
    </xf>
    <xf numFmtId="0" fontId="72" fillId="35" borderId="0" xfId="187" applyFont="1" applyFill="1" applyBorder="1" applyAlignment="1" applyProtection="1">
      <alignment horizontal="left" vertical="center" wrapText="1" indent="2"/>
    </xf>
    <xf numFmtId="0" fontId="72" fillId="35" borderId="0" xfId="187" quotePrefix="1" applyFont="1" applyFill="1" applyBorder="1" applyAlignment="1" applyProtection="1">
      <alignment horizontal="left" vertical="top" wrapText="1" indent="2"/>
    </xf>
    <xf numFmtId="0" fontId="72" fillId="35" borderId="196" xfId="187" applyFont="1" applyFill="1" applyBorder="1" applyAlignment="1" applyProtection="1">
      <alignment horizontal="left" vertical="top" wrapText="1"/>
    </xf>
    <xf numFmtId="0" fontId="72" fillId="35" borderId="185" xfId="187" applyFont="1" applyFill="1" applyBorder="1" applyAlignment="1" applyProtection="1">
      <alignment horizontal="left" vertical="top" wrapText="1"/>
    </xf>
    <xf numFmtId="0" fontId="72" fillId="35" borderId="178" xfId="187" applyFont="1" applyFill="1" applyBorder="1" applyAlignment="1" applyProtection="1">
      <alignment horizontal="left" vertical="top" wrapText="1"/>
    </xf>
    <xf numFmtId="0" fontId="72" fillId="35" borderId="190" xfId="187" applyFont="1" applyFill="1" applyBorder="1" applyAlignment="1" applyProtection="1">
      <alignment horizontal="left" vertical="top" wrapText="1"/>
    </xf>
    <xf numFmtId="0" fontId="72" fillId="35" borderId="180" xfId="187" applyFont="1" applyFill="1" applyBorder="1" applyAlignment="1" applyProtection="1">
      <alignment horizontal="left" vertical="top" wrapText="1"/>
    </xf>
    <xf numFmtId="0" fontId="72" fillId="35" borderId="59" xfId="187" applyFont="1" applyFill="1" applyBorder="1" applyAlignment="1" applyProtection="1">
      <alignment horizontal="left" vertical="top" wrapText="1"/>
    </xf>
    <xf numFmtId="0" fontId="72" fillId="35" borderId="172" xfId="187" applyFont="1" applyFill="1" applyBorder="1" applyAlignment="1" applyProtection="1">
      <alignment horizontal="left" vertical="top" wrapText="1"/>
    </xf>
    <xf numFmtId="0" fontId="72" fillId="35" borderId="193" xfId="187" applyFont="1" applyFill="1" applyBorder="1" applyAlignment="1" applyProtection="1">
      <alignment horizontal="left" vertical="top" wrapText="1"/>
    </xf>
    <xf numFmtId="0" fontId="72" fillId="35" borderId="156" xfId="187" applyFont="1" applyFill="1" applyBorder="1" applyAlignment="1" applyProtection="1">
      <alignment horizontal="left" vertical="top" wrapText="1"/>
    </xf>
    <xf numFmtId="0" fontId="72" fillId="35" borderId="202" xfId="187" applyFont="1" applyFill="1" applyBorder="1" applyAlignment="1" applyProtection="1">
      <alignment horizontal="left" vertical="top" wrapText="1"/>
    </xf>
    <xf numFmtId="0" fontId="72" fillId="35" borderId="155" xfId="187" applyFont="1" applyFill="1" applyBorder="1" applyAlignment="1" applyProtection="1">
      <alignment horizontal="left" vertical="top" wrapText="1"/>
    </xf>
    <xf numFmtId="0" fontId="72" fillId="37" borderId="141" xfId="187" applyFont="1" applyFill="1" applyBorder="1" applyAlignment="1" applyProtection="1">
      <alignment horizontal="center" vertical="top" wrapText="1"/>
      <protection locked="0"/>
    </xf>
    <xf numFmtId="0" fontId="72" fillId="33" borderId="10" xfId="187" applyFont="1" applyFill="1" applyBorder="1" applyAlignment="1" applyProtection="1">
      <alignment horizontal="left" vertical="top"/>
    </xf>
    <xf numFmtId="14" fontId="72" fillId="37" borderId="11" xfId="187" applyNumberFormat="1" applyFont="1" applyFill="1" applyBorder="1" applyAlignment="1" applyProtection="1">
      <alignment horizontal="left"/>
      <protection locked="0"/>
    </xf>
    <xf numFmtId="14" fontId="72" fillId="37" borderId="13" xfId="187" applyNumberFormat="1" applyFont="1" applyFill="1" applyBorder="1" applyAlignment="1" applyProtection="1">
      <alignment horizontal="left"/>
      <protection locked="0"/>
    </xf>
    <xf numFmtId="0" fontId="72" fillId="0" borderId="62" xfId="187" applyFont="1" applyBorder="1" applyAlignment="1" applyProtection="1">
      <alignment horizontal="left" vertical="top"/>
      <protection locked="0"/>
    </xf>
    <xf numFmtId="0" fontId="72" fillId="0" borderId="54" xfId="187" applyFont="1" applyBorder="1" applyAlignment="1" applyProtection="1">
      <alignment horizontal="left" vertical="top"/>
      <protection locked="0"/>
    </xf>
    <xf numFmtId="0" fontId="72" fillId="0" borderId="0" xfId="187" applyFont="1" applyBorder="1" applyAlignment="1" applyProtection="1">
      <alignment horizontal="left" vertical="top"/>
      <protection locked="0"/>
    </xf>
    <xf numFmtId="0" fontId="72" fillId="0" borderId="55" xfId="187" applyFont="1" applyBorder="1" applyAlignment="1" applyProtection="1">
      <alignment horizontal="left" vertical="top"/>
      <protection locked="0"/>
    </xf>
    <xf numFmtId="0" fontId="72" fillId="37" borderId="10" xfId="187" applyFont="1" applyFill="1" applyBorder="1" applyAlignment="1" applyProtection="1">
      <alignment horizontal="center" vertical="top" wrapText="1"/>
      <protection locked="0"/>
    </xf>
    <xf numFmtId="0" fontId="72" fillId="35" borderId="0" xfId="187" quotePrefix="1" applyFont="1" applyFill="1" applyBorder="1" applyAlignment="1" applyProtection="1">
      <alignment horizontal="left" vertical="top" wrapText="1"/>
    </xf>
    <xf numFmtId="0" fontId="72" fillId="37" borderId="148" xfId="187" applyFont="1" applyFill="1" applyBorder="1" applyAlignment="1" applyProtection="1">
      <alignment horizontal="center" vertical="top"/>
      <protection locked="0"/>
    </xf>
    <xf numFmtId="0" fontId="72" fillId="37" borderId="149" xfId="187" applyFont="1" applyFill="1" applyBorder="1" applyAlignment="1" applyProtection="1">
      <alignment horizontal="center" vertical="top"/>
      <protection locked="0"/>
    </xf>
    <xf numFmtId="0" fontId="72" fillId="33" borderId="10" xfId="187" applyFont="1" applyFill="1" applyBorder="1" applyAlignment="1" applyProtection="1">
      <alignment horizontal="left"/>
    </xf>
    <xf numFmtId="0" fontId="72" fillId="30" borderId="11" xfId="187" applyFont="1" applyFill="1" applyBorder="1" applyAlignment="1" applyProtection="1">
      <alignment horizontal="left" vertical="center" wrapText="1" indent="1"/>
    </xf>
    <xf numFmtId="0" fontId="72" fillId="30" borderId="12" xfId="187" applyFont="1" applyFill="1" applyBorder="1" applyAlignment="1" applyProtection="1">
      <alignment horizontal="left" vertical="center" wrapText="1" indent="1"/>
    </xf>
    <xf numFmtId="0" fontId="72" fillId="0" borderId="12" xfId="187" applyFont="1" applyBorder="1" applyAlignment="1" applyProtection="1">
      <alignment horizontal="left" vertical="center" wrapText="1" indent="1"/>
    </xf>
    <xf numFmtId="0" fontId="72" fillId="0" borderId="13" xfId="187" applyFont="1" applyBorder="1" applyAlignment="1" applyProtection="1">
      <alignment horizontal="left" vertical="center" wrapText="1" indent="1"/>
    </xf>
    <xf numFmtId="0" fontId="72" fillId="30" borderId="54" xfId="187" applyFont="1" applyFill="1" applyBorder="1" applyAlignment="1" applyProtection="1">
      <alignment horizontal="left" vertical="center" wrapText="1" indent="1"/>
    </xf>
    <xf numFmtId="0" fontId="72" fillId="30" borderId="0" xfId="187" applyFont="1" applyFill="1" applyBorder="1" applyAlignment="1" applyProtection="1">
      <alignment horizontal="left" vertical="center" wrapText="1" indent="1"/>
    </xf>
    <xf numFmtId="0" fontId="72" fillId="30" borderId="55" xfId="187" applyFont="1" applyFill="1" applyBorder="1" applyAlignment="1" applyProtection="1">
      <alignment horizontal="left" vertical="center" indent="1"/>
    </xf>
    <xf numFmtId="0" fontId="72" fillId="30" borderId="54" xfId="187" applyFont="1" applyFill="1" applyBorder="1" applyAlignment="1" applyProtection="1">
      <alignment horizontal="left" vertical="center" indent="1"/>
    </xf>
    <xf numFmtId="0" fontId="72" fillId="30" borderId="0" xfId="187" applyFont="1" applyFill="1" applyBorder="1" applyAlignment="1" applyProtection="1">
      <alignment horizontal="left" vertical="center" indent="1"/>
    </xf>
    <xf numFmtId="0" fontId="72" fillId="30" borderId="56" xfId="187" applyFont="1" applyFill="1" applyBorder="1" applyAlignment="1" applyProtection="1">
      <alignment horizontal="left" vertical="center" indent="1"/>
    </xf>
    <xf numFmtId="0" fontId="72" fillId="30" borderId="57" xfId="187" applyFont="1" applyFill="1" applyBorder="1" applyAlignment="1" applyProtection="1">
      <alignment horizontal="left" vertical="center" indent="1"/>
    </xf>
    <xf numFmtId="0" fontId="72" fillId="30" borderId="58" xfId="187" applyFont="1" applyFill="1" applyBorder="1" applyAlignment="1" applyProtection="1">
      <alignment horizontal="left" vertical="center" indent="1"/>
    </xf>
    <xf numFmtId="0" fontId="72" fillId="37" borderId="10" xfId="187" applyFont="1" applyFill="1" applyBorder="1" applyAlignment="1" applyProtection="1">
      <alignment horizontal="center" vertical="center" wrapText="1"/>
      <protection locked="0"/>
    </xf>
    <xf numFmtId="0" fontId="72" fillId="37" borderId="139" xfId="187" applyFont="1" applyFill="1" applyBorder="1" applyAlignment="1" applyProtection="1">
      <alignment horizontal="left" vertical="top"/>
      <protection locked="0"/>
    </xf>
    <xf numFmtId="0" fontId="72" fillId="37" borderId="141" xfId="187" applyFont="1" applyFill="1" applyBorder="1" applyAlignment="1" applyProtection="1">
      <alignment horizontal="left" vertical="top"/>
      <protection locked="0"/>
    </xf>
    <xf numFmtId="0" fontId="72" fillId="30" borderId="56" xfId="187" applyFont="1" applyFill="1" applyBorder="1" applyAlignment="1" applyProtection="1">
      <alignment horizontal="left" vertical="top" wrapText="1"/>
    </xf>
    <xf numFmtId="0" fontId="72" fillId="30" borderId="57" xfId="187" applyFont="1" applyFill="1" applyBorder="1" applyAlignment="1" applyProtection="1">
      <alignment horizontal="left" vertical="top" wrapText="1"/>
    </xf>
    <xf numFmtId="0" fontId="72" fillId="30" borderId="142" xfId="187" applyFont="1" applyFill="1" applyBorder="1" applyAlignment="1" applyProtection="1">
      <alignment horizontal="left" vertical="top" wrapText="1"/>
    </xf>
    <xf numFmtId="14" fontId="72" fillId="37" borderId="10" xfId="187" applyNumberFormat="1" applyFont="1" applyFill="1" applyBorder="1" applyAlignment="1" applyProtection="1">
      <alignment horizontal="center"/>
      <protection locked="0"/>
    </xf>
    <xf numFmtId="0" fontId="72" fillId="37" borderId="203" xfId="187" applyFont="1" applyFill="1" applyBorder="1" applyAlignment="1" applyProtection="1">
      <alignment horizontal="left" vertical="top"/>
      <protection locked="0"/>
    </xf>
    <xf numFmtId="0" fontId="72" fillId="37" borderId="204" xfId="187" applyFont="1" applyFill="1" applyBorder="1" applyAlignment="1" applyProtection="1">
      <alignment horizontal="left" vertical="top"/>
      <protection locked="0"/>
    </xf>
    <xf numFmtId="0" fontId="72" fillId="33" borderId="10" xfId="187" applyFont="1" applyFill="1" applyBorder="1" applyAlignment="1" applyProtection="1"/>
    <xf numFmtId="0" fontId="72" fillId="30" borderId="60" xfId="187" applyFont="1" applyFill="1" applyBorder="1" applyAlignment="1" applyProtection="1">
      <alignment horizontal="left" vertical="top" wrapText="1"/>
    </xf>
    <xf numFmtId="0" fontId="72" fillId="30" borderId="62" xfId="187" applyFont="1" applyFill="1" applyBorder="1" applyAlignment="1" applyProtection="1">
      <alignment horizontal="left" vertical="top" wrapText="1"/>
    </xf>
    <xf numFmtId="0" fontId="72" fillId="0" borderId="62" xfId="187" applyFont="1" applyBorder="1" applyAlignment="1" applyProtection="1">
      <alignment horizontal="left" vertical="top" wrapText="1"/>
    </xf>
    <xf numFmtId="0" fontId="72" fillId="0" borderId="54" xfId="187" applyFont="1" applyBorder="1" applyAlignment="1" applyProtection="1">
      <alignment horizontal="left" vertical="top" wrapText="1"/>
    </xf>
    <xf numFmtId="0" fontId="72" fillId="0" borderId="0" xfId="187" applyFont="1" applyBorder="1" applyAlignment="1" applyProtection="1">
      <alignment horizontal="left" vertical="top" wrapText="1"/>
    </xf>
    <xf numFmtId="0" fontId="72" fillId="37" borderId="11" xfId="187" applyFont="1" applyFill="1" applyBorder="1" applyAlignment="1" applyProtection="1">
      <alignment horizontal="left" vertical="top"/>
      <protection locked="0"/>
    </xf>
    <xf numFmtId="0" fontId="72" fillId="37" borderId="13" xfId="187" applyFont="1" applyFill="1" applyBorder="1" applyAlignment="1" applyProtection="1">
      <alignment horizontal="left" vertical="top"/>
      <protection locked="0"/>
    </xf>
    <xf numFmtId="0" fontId="72" fillId="33" borderId="59" xfId="187" applyFont="1" applyFill="1" applyBorder="1" applyAlignment="1" applyProtection="1">
      <alignment horizontal="center" wrapText="1"/>
    </xf>
    <xf numFmtId="0" fontId="72" fillId="30" borderId="0" xfId="187" applyFont="1" applyFill="1" applyBorder="1" applyAlignment="1" applyProtection="1">
      <alignment horizontal="left"/>
    </xf>
    <xf numFmtId="0" fontId="72" fillId="35" borderId="59" xfId="187" applyFont="1" applyFill="1" applyBorder="1" applyAlignment="1" applyProtection="1">
      <alignment horizontal="left" vertical="top"/>
    </xf>
    <xf numFmtId="0" fontId="72" fillId="35" borderId="39" xfId="187" applyFont="1" applyFill="1" applyBorder="1" applyAlignment="1" applyProtection="1">
      <alignment horizontal="left" vertical="top"/>
    </xf>
    <xf numFmtId="0" fontId="72" fillId="35" borderId="156" xfId="187" applyFont="1" applyFill="1" applyBorder="1" applyAlignment="1" applyProtection="1">
      <alignment horizontal="left" vertical="top"/>
    </xf>
    <xf numFmtId="0" fontId="72" fillId="35" borderId="155" xfId="187" applyFont="1" applyFill="1" applyBorder="1" applyAlignment="1" applyProtection="1">
      <alignment horizontal="left" vertical="top"/>
    </xf>
    <xf numFmtId="0" fontId="72" fillId="30" borderId="10" xfId="187" applyFont="1" applyFill="1" applyBorder="1" applyAlignment="1" applyProtection="1">
      <alignment horizontal="left" vertical="top" wrapText="1"/>
    </xf>
    <xf numFmtId="0" fontId="72" fillId="0" borderId="196" xfId="187" applyFont="1" applyBorder="1" applyAlignment="1" applyProtection="1">
      <alignment horizontal="left" vertical="top" wrapText="1"/>
    </xf>
    <xf numFmtId="0" fontId="72" fillId="0" borderId="185" xfId="187" applyFont="1" applyBorder="1" applyAlignment="1" applyProtection="1">
      <alignment horizontal="left" vertical="top" wrapText="1"/>
    </xf>
    <xf numFmtId="0" fontId="72" fillId="0" borderId="190" xfId="187" applyFont="1" applyBorder="1" applyAlignment="1" applyProtection="1">
      <alignment horizontal="left" vertical="top" wrapText="1"/>
    </xf>
    <xf numFmtId="0" fontId="72" fillId="0" borderId="180" xfId="187" applyFont="1" applyBorder="1" applyAlignment="1" applyProtection="1">
      <alignment horizontal="left" vertical="top" wrapText="1"/>
    </xf>
    <xf numFmtId="0" fontId="72" fillId="0" borderId="138" xfId="187" applyFont="1" applyBorder="1" applyAlignment="1" applyProtection="1">
      <alignment horizontal="left" vertical="top" wrapText="1"/>
    </xf>
    <xf numFmtId="0" fontId="72" fillId="0" borderId="168" xfId="187" applyFont="1" applyBorder="1" applyAlignment="1" applyProtection="1">
      <alignment horizontal="left" vertical="top" wrapText="1"/>
    </xf>
    <xf numFmtId="0" fontId="72" fillId="0" borderId="199" xfId="187" applyFont="1" applyBorder="1" applyAlignment="1" applyProtection="1">
      <alignment horizontal="left" vertical="top" wrapText="1"/>
    </xf>
    <xf numFmtId="0" fontId="72" fillId="0" borderId="201" xfId="187" applyFont="1" applyBorder="1" applyAlignment="1" applyProtection="1">
      <alignment horizontal="left" vertical="top" wrapText="1"/>
    </xf>
    <xf numFmtId="0" fontId="72" fillId="30" borderId="0" xfId="187" applyFont="1" applyFill="1" applyBorder="1" applyAlignment="1" applyProtection="1">
      <alignment horizontal="left" wrapText="1"/>
    </xf>
    <xf numFmtId="0" fontId="72" fillId="30" borderId="0" xfId="187" quotePrefix="1" applyFont="1" applyFill="1" applyBorder="1" applyAlignment="1" applyProtection="1">
      <alignment horizontal="left" wrapText="1" indent="2"/>
    </xf>
    <xf numFmtId="0" fontId="72" fillId="33" borderId="12" xfId="187" applyFont="1" applyFill="1" applyBorder="1" applyAlignment="1" applyProtection="1">
      <alignment horizontal="left" vertical="top"/>
    </xf>
    <xf numFmtId="0" fontId="72" fillId="35" borderId="0" xfId="187" applyFont="1" applyFill="1" applyBorder="1" applyAlignment="1" applyProtection="1">
      <alignment horizontal="left"/>
    </xf>
    <xf numFmtId="0" fontId="103" fillId="30" borderId="55" xfId="187" applyFont="1" applyFill="1" applyBorder="1" applyAlignment="1" applyProtection="1">
      <alignment horizontal="left"/>
    </xf>
    <xf numFmtId="0" fontId="103" fillId="30" borderId="61" xfId="187" applyFont="1" applyFill="1" applyBorder="1" applyAlignment="1" applyProtection="1">
      <alignment horizontal="left"/>
    </xf>
    <xf numFmtId="0" fontId="103" fillId="30" borderId="54" xfId="187" applyFont="1" applyFill="1" applyBorder="1" applyAlignment="1" applyProtection="1">
      <alignment horizontal="left"/>
    </xf>
    <xf numFmtId="0" fontId="72" fillId="30" borderId="54" xfId="187" applyFont="1" applyFill="1" applyBorder="1" applyAlignment="1" applyProtection="1">
      <alignment horizontal="left" vertical="center" wrapText="1"/>
    </xf>
    <xf numFmtId="0" fontId="72" fillId="30" borderId="0" xfId="187" applyFont="1" applyFill="1" applyBorder="1" applyAlignment="1" applyProtection="1">
      <alignment horizontal="left" vertical="center" wrapText="1"/>
    </xf>
    <xf numFmtId="0" fontId="72" fillId="35" borderId="11" xfId="187" applyFont="1" applyFill="1" applyBorder="1" applyAlignment="1" applyProtection="1">
      <alignment horizontal="center" vertical="top" wrapText="1"/>
    </xf>
    <xf numFmtId="0" fontId="72" fillId="35" borderId="13" xfId="187" applyFont="1" applyFill="1" applyBorder="1" applyAlignment="1" applyProtection="1">
      <alignment horizontal="center" vertical="top" wrapText="1"/>
    </xf>
    <xf numFmtId="0" fontId="72" fillId="33" borderId="11" xfId="187" applyFont="1" applyFill="1" applyBorder="1" applyAlignment="1" applyProtection="1">
      <alignment horizontal="center" wrapText="1"/>
      <protection locked="0"/>
    </xf>
    <xf numFmtId="0" fontId="72" fillId="33" borderId="13" xfId="187" applyFont="1" applyFill="1" applyBorder="1" applyAlignment="1" applyProtection="1">
      <alignment horizontal="center" wrapText="1"/>
      <protection locked="0"/>
    </xf>
    <xf numFmtId="0" fontId="72" fillId="35" borderId="0" xfId="187" applyFont="1" applyFill="1" applyBorder="1" applyAlignment="1" applyProtection="1">
      <alignment horizontal="left" vertical="top" wrapText="1"/>
      <protection locked="0"/>
    </xf>
    <xf numFmtId="0" fontId="72" fillId="33" borderId="10" xfId="187" applyFont="1" applyFill="1" applyBorder="1" applyAlignment="1" applyProtection="1">
      <alignment horizontal="left" vertical="top"/>
      <protection locked="0"/>
    </xf>
    <xf numFmtId="14" fontId="72" fillId="37" borderId="10" xfId="187" applyNumberFormat="1" applyFont="1" applyFill="1" applyBorder="1" applyAlignment="1" applyProtection="1">
      <alignment horizontal="left"/>
      <protection locked="0"/>
    </xf>
    <xf numFmtId="0" fontId="72" fillId="35" borderId="0" xfId="187" applyFont="1" applyFill="1" applyBorder="1" applyAlignment="1" applyProtection="1">
      <alignment horizontal="left" vertical="top"/>
      <protection locked="0"/>
    </xf>
    <xf numFmtId="0" fontId="72" fillId="35" borderId="0" xfId="187" applyFont="1" applyFill="1" applyBorder="1" applyAlignment="1" applyProtection="1">
      <alignment horizontal="left" wrapText="1"/>
      <protection locked="0"/>
    </xf>
    <xf numFmtId="0" fontId="72" fillId="30" borderId="0" xfId="187" quotePrefix="1" applyFont="1" applyFill="1" applyBorder="1" applyAlignment="1" applyProtection="1">
      <alignment horizontal="left" vertical="top" wrapText="1" indent="2"/>
      <protection locked="0"/>
    </xf>
    <xf numFmtId="0" fontId="72" fillId="35" borderId="54" xfId="187" applyFont="1" applyFill="1" applyBorder="1" applyAlignment="1" applyProtection="1">
      <alignment horizontal="left" vertical="top" wrapText="1"/>
      <protection locked="0"/>
    </xf>
    <xf numFmtId="0" fontId="72" fillId="30" borderId="0" xfId="187" quotePrefix="1" applyFont="1" applyFill="1" applyBorder="1" applyAlignment="1" applyProtection="1">
      <alignment horizontal="left" wrapText="1" indent="2"/>
      <protection locked="0"/>
    </xf>
    <xf numFmtId="0" fontId="72" fillId="35" borderId="0" xfId="187" applyFont="1" applyFill="1" applyBorder="1" applyAlignment="1" applyProtection="1">
      <alignment horizontal="center"/>
      <protection locked="0"/>
    </xf>
    <xf numFmtId="0" fontId="72" fillId="33" borderId="13" xfId="187" applyFont="1" applyFill="1" applyBorder="1" applyAlignment="1" applyProtection="1">
      <alignment horizontal="left" vertical="top"/>
      <protection locked="0"/>
    </xf>
    <xf numFmtId="0" fontId="72" fillId="38" borderId="16" xfId="187" applyFont="1" applyFill="1" applyBorder="1" applyAlignment="1" applyProtection="1">
      <alignment horizontal="center" vertical="center"/>
    </xf>
    <xf numFmtId="0" fontId="72" fillId="38" borderId="29" xfId="187" applyFont="1" applyFill="1" applyBorder="1" applyAlignment="1" applyProtection="1">
      <alignment horizontal="center" vertical="center"/>
    </xf>
    <xf numFmtId="0" fontId="72" fillId="38" borderId="20" xfId="187" applyFont="1" applyFill="1" applyBorder="1" applyAlignment="1" applyProtection="1">
      <alignment horizontal="center" vertical="center"/>
    </xf>
    <xf numFmtId="0" fontId="72" fillId="35" borderId="152" xfId="187" applyFont="1" applyFill="1" applyBorder="1" applyAlignment="1" applyProtection="1">
      <alignment horizontal="left" vertical="top" wrapText="1"/>
    </xf>
    <xf numFmtId="0" fontId="72" fillId="0" borderId="56" xfId="187" applyFont="1" applyFill="1" applyBorder="1" applyAlignment="1" applyProtection="1">
      <alignment horizontal="left" vertical="top" wrapText="1"/>
    </xf>
    <xf numFmtId="0" fontId="72" fillId="0" borderId="57" xfId="187" applyFont="1" applyFill="1" applyBorder="1" applyAlignment="1" applyProtection="1">
      <alignment horizontal="left" vertical="top" wrapText="1"/>
    </xf>
    <xf numFmtId="0" fontId="72" fillId="0" borderId="142" xfId="187" applyFont="1" applyFill="1" applyBorder="1" applyAlignment="1" applyProtection="1">
      <alignment horizontal="left" vertical="top" wrapText="1"/>
    </xf>
    <xf numFmtId="0" fontId="72" fillId="35" borderId="142" xfId="187" applyFont="1" applyFill="1" applyBorder="1" applyAlignment="1" applyProtection="1">
      <alignment horizontal="left" vertical="top" wrapText="1"/>
    </xf>
    <xf numFmtId="0" fontId="72" fillId="35" borderId="10" xfId="187" applyFont="1" applyFill="1" applyBorder="1" applyAlignment="1" applyProtection="1">
      <alignment horizontal="center" vertical="top" wrapText="1"/>
    </xf>
    <xf numFmtId="0" fontId="72" fillId="35" borderId="59" xfId="187" applyFont="1" applyFill="1" applyBorder="1" applyAlignment="1" applyProtection="1">
      <alignment horizontal="center" vertical="top" wrapText="1"/>
    </xf>
    <xf numFmtId="0" fontId="72" fillId="35" borderId="60" xfId="187" applyFont="1" applyFill="1" applyBorder="1" applyAlignment="1" applyProtection="1">
      <alignment horizontal="center" vertical="top" wrapText="1"/>
    </xf>
    <xf numFmtId="1" fontId="72" fillId="37" borderId="10" xfId="187" quotePrefix="1" applyNumberFormat="1" applyFont="1" applyFill="1" applyBorder="1" applyAlignment="1" applyProtection="1">
      <alignment horizontal="center"/>
      <protection locked="0"/>
    </xf>
    <xf numFmtId="9" fontId="72" fillId="35" borderId="10" xfId="187" applyNumberFormat="1" applyFont="1" applyFill="1" applyBorder="1" applyAlignment="1" applyProtection="1">
      <alignment horizontal="center"/>
    </xf>
    <xf numFmtId="0" fontId="72" fillId="0" borderId="55" xfId="187" applyFont="1" applyBorder="1" applyAlignment="1" applyProtection="1">
      <alignment horizontal="left" vertical="top" wrapText="1"/>
    </xf>
    <xf numFmtId="0" fontId="72" fillId="35" borderId="54" xfId="187" applyFont="1" applyFill="1" applyBorder="1" applyAlignment="1" applyProtection="1">
      <alignment horizontal="center" vertical="top" wrapText="1"/>
    </xf>
    <xf numFmtId="0" fontId="72" fillId="35" borderId="55" xfId="187" applyFont="1" applyFill="1" applyBorder="1" applyAlignment="1" applyProtection="1">
      <alignment horizontal="center" vertical="top" wrapText="1"/>
    </xf>
    <xf numFmtId="0" fontId="72" fillId="35" borderId="39" xfId="187" applyFont="1" applyFill="1" applyBorder="1" applyAlignment="1" applyProtection="1">
      <alignment horizontal="center" vertical="top" wrapText="1"/>
    </xf>
    <xf numFmtId="0" fontId="72" fillId="35" borderId="61" xfId="187" applyFont="1" applyFill="1" applyBorder="1" applyAlignment="1" applyProtection="1">
      <alignment horizontal="center" vertical="top" wrapText="1"/>
    </xf>
    <xf numFmtId="0" fontId="72" fillId="35" borderId="0" xfId="187" applyFont="1" applyFill="1" applyBorder="1" applyAlignment="1" applyProtection="1">
      <alignment horizontal="center"/>
    </xf>
    <xf numFmtId="0" fontId="72" fillId="37" borderId="10" xfId="187" applyFont="1" applyFill="1" applyBorder="1" applyAlignment="1" applyProtection="1">
      <alignment horizontal="left"/>
      <protection locked="0"/>
    </xf>
    <xf numFmtId="14" fontId="72" fillId="35" borderId="0" xfId="187" applyNumberFormat="1" applyFont="1" applyFill="1" applyBorder="1" applyAlignment="1" applyProtection="1">
      <alignment horizontal="center"/>
    </xf>
    <xf numFmtId="0" fontId="72" fillId="33" borderId="10" xfId="187" applyFont="1" applyFill="1" applyBorder="1" applyAlignment="1" applyProtection="1">
      <alignment horizontal="center" vertical="top" wrapText="1"/>
    </xf>
    <xf numFmtId="0" fontId="72" fillId="30" borderId="0" xfId="187" applyFont="1" applyFill="1" applyBorder="1" applyAlignment="1" applyProtection="1">
      <alignment horizontal="left" wrapText="1" indent="1"/>
    </xf>
    <xf numFmtId="0" fontId="72" fillId="30" borderId="0" xfId="187" applyFont="1" applyFill="1" applyBorder="1" applyAlignment="1" applyProtection="1">
      <alignment horizontal="left" indent="1"/>
    </xf>
    <xf numFmtId="0" fontId="72" fillId="33" borderId="10" xfId="187" applyFont="1" applyFill="1" applyBorder="1" applyAlignment="1" applyProtection="1">
      <alignment horizontal="center"/>
    </xf>
    <xf numFmtId="0" fontId="72" fillId="35" borderId="0" xfId="187" applyFont="1" applyFill="1" applyBorder="1" applyAlignment="1" applyProtection="1">
      <alignment horizontal="left" vertical="top" wrapText="1" indent="1"/>
    </xf>
    <xf numFmtId="0" fontId="72" fillId="37" borderId="11" xfId="187" applyFont="1" applyFill="1" applyBorder="1" applyAlignment="1" applyProtection="1">
      <alignment horizontal="left" vertical="top" wrapText="1"/>
      <protection locked="0"/>
    </xf>
    <xf numFmtId="0" fontId="72" fillId="37" borderId="12" xfId="187" applyFont="1" applyFill="1" applyBorder="1" applyAlignment="1" applyProtection="1">
      <alignment horizontal="left" vertical="top" wrapText="1"/>
      <protection locked="0"/>
    </xf>
    <xf numFmtId="0" fontId="72" fillId="37" borderId="13" xfId="187" applyFont="1" applyFill="1" applyBorder="1" applyAlignment="1" applyProtection="1">
      <alignment horizontal="left" vertical="top" wrapText="1"/>
      <protection locked="0"/>
    </xf>
    <xf numFmtId="3" fontId="72" fillId="35" borderId="11" xfId="187" applyNumberFormat="1" applyFont="1" applyFill="1" applyBorder="1" applyAlignment="1" applyProtection="1">
      <alignment horizontal="left" vertical="top" wrapText="1"/>
    </xf>
    <xf numFmtId="0" fontId="72" fillId="0" borderId="0" xfId="187" applyFont="1" applyBorder="1" applyAlignment="1" applyProtection="1">
      <alignment horizontal="left" wrapText="1"/>
    </xf>
    <xf numFmtId="0" fontId="114" fillId="35" borderId="0" xfId="187" applyFont="1" applyFill="1" applyBorder="1" applyAlignment="1" applyProtection="1">
      <alignment horizontal="left" vertical="top" wrapText="1"/>
    </xf>
    <xf numFmtId="0" fontId="72" fillId="35" borderId="0" xfId="187" applyFont="1" applyFill="1" applyBorder="1" applyAlignment="1" applyProtection="1">
      <alignment horizontal="left" vertical="top" wrapText="1" indent="2"/>
    </xf>
    <xf numFmtId="0" fontId="72" fillId="30" borderId="55" xfId="187" applyFont="1" applyFill="1" applyBorder="1" applyAlignment="1" applyProtection="1">
      <alignment horizontal="left" vertical="center" wrapText="1"/>
    </xf>
    <xf numFmtId="0" fontId="72" fillId="30" borderId="61" xfId="187" applyFont="1" applyFill="1" applyBorder="1" applyAlignment="1" applyProtection="1"/>
    <xf numFmtId="0" fontId="72" fillId="30" borderId="54" xfId="187" applyFont="1" applyFill="1" applyBorder="1" applyAlignment="1" applyProtection="1"/>
    <xf numFmtId="0" fontId="72" fillId="35" borderId="0" xfId="187" quotePrefix="1" applyFont="1" applyFill="1" applyBorder="1" applyAlignment="1" applyProtection="1">
      <alignment horizontal="left" vertical="top" wrapText="1" indent="1"/>
    </xf>
    <xf numFmtId="0" fontId="72" fillId="0" borderId="62" xfId="187" applyFont="1" applyBorder="1" applyAlignment="1" applyProtection="1">
      <alignment horizontal="left" wrapText="1"/>
    </xf>
    <xf numFmtId="0" fontId="72" fillId="30" borderId="0" xfId="187" applyFont="1" applyFill="1" applyBorder="1" applyAlignment="1" applyProtection="1">
      <alignment horizontal="left" vertical="top" wrapText="1"/>
    </xf>
    <xf numFmtId="0" fontId="72" fillId="33" borderId="10" xfId="187" applyFont="1" applyFill="1" applyBorder="1" applyAlignment="1" applyProtection="1">
      <alignment horizontal="center" vertical="top"/>
    </xf>
    <xf numFmtId="0" fontId="72" fillId="35" borderId="0" xfId="187" applyNumberFormat="1" applyFont="1" applyFill="1" applyBorder="1" applyAlignment="1" applyProtection="1">
      <alignment horizontal="left" vertical="top" wrapText="1"/>
    </xf>
    <xf numFmtId="0" fontId="87" fillId="0" borderId="0" xfId="187" applyFont="1" applyBorder="1" applyAlignment="1" applyProtection="1">
      <alignment horizontal="left" vertical="center" wrapText="1"/>
    </xf>
    <xf numFmtId="0" fontId="72" fillId="0" borderId="56" xfId="187" applyFont="1" applyBorder="1" applyAlignment="1" applyProtection="1">
      <alignment horizontal="left" vertical="top" wrapText="1"/>
    </xf>
    <xf numFmtId="0" fontId="72" fillId="0" borderId="57" xfId="187" applyFont="1" applyBorder="1" applyAlignment="1" applyProtection="1">
      <alignment horizontal="left" vertical="top" wrapText="1"/>
    </xf>
    <xf numFmtId="0" fontId="72" fillId="0" borderId="142" xfId="187" applyFont="1" applyBorder="1" applyAlignment="1" applyProtection="1">
      <alignment horizontal="left" vertical="top" wrapText="1"/>
    </xf>
    <xf numFmtId="0" fontId="72" fillId="0" borderId="0" xfId="187" applyFont="1" applyFill="1" applyBorder="1" applyAlignment="1" applyProtection="1">
      <alignment horizontal="left" vertical="top" wrapText="1"/>
    </xf>
    <xf numFmtId="0" fontId="72" fillId="37" borderId="11" xfId="187" applyFont="1" applyFill="1" applyBorder="1" applyAlignment="1" applyProtection="1">
      <alignment horizontal="left"/>
      <protection locked="0"/>
    </xf>
    <xf numFmtId="0" fontId="72" fillId="37" borderId="13" xfId="187" applyFont="1" applyFill="1" applyBorder="1" applyAlignment="1" applyProtection="1">
      <alignment horizontal="left"/>
      <protection locked="0"/>
    </xf>
    <xf numFmtId="0" fontId="72" fillId="37" borderId="60" xfId="187" applyFont="1" applyFill="1" applyBorder="1" applyAlignment="1" applyProtection="1">
      <alignment horizontal="left"/>
      <protection locked="0"/>
    </xf>
    <xf numFmtId="0" fontId="72" fillId="37" borderId="12" xfId="187" applyFont="1" applyFill="1" applyBorder="1" applyAlignment="1" applyProtection="1">
      <alignment horizontal="center" vertical="top" wrapText="1"/>
      <protection locked="0"/>
    </xf>
    <xf numFmtId="0" fontId="72" fillId="35" borderId="181" xfId="187" applyFont="1" applyFill="1" applyBorder="1" applyAlignment="1" applyProtection="1">
      <alignment horizontal="left" vertical="top" wrapText="1"/>
    </xf>
    <xf numFmtId="0" fontId="72" fillId="37" borderId="160" xfId="187" applyFont="1" applyFill="1" applyBorder="1" applyAlignment="1" applyProtection="1">
      <alignment horizontal="center" vertical="top" wrapText="1"/>
      <protection locked="0"/>
    </xf>
    <xf numFmtId="0" fontId="72" fillId="37" borderId="161" xfId="187" applyFont="1" applyFill="1" applyBorder="1" applyAlignment="1" applyProtection="1">
      <alignment horizontal="center" vertical="top" wrapText="1"/>
      <protection locked="0"/>
    </xf>
    <xf numFmtId="0" fontId="72" fillId="37" borderId="162" xfId="187" applyFont="1" applyFill="1" applyBorder="1" applyAlignment="1" applyProtection="1">
      <alignment horizontal="center" vertical="top" wrapText="1"/>
      <protection locked="0"/>
    </xf>
    <xf numFmtId="0" fontId="72" fillId="37" borderId="157" xfId="187" applyFont="1" applyFill="1" applyBorder="1" applyAlignment="1" applyProtection="1">
      <alignment horizontal="center" vertical="top" wrapText="1"/>
      <protection locked="0"/>
    </xf>
    <xf numFmtId="0" fontId="72" fillId="37" borderId="159" xfId="187" applyFont="1" applyFill="1" applyBorder="1" applyAlignment="1" applyProtection="1">
      <alignment horizontal="center" vertical="top" wrapText="1"/>
      <protection locked="0"/>
    </xf>
    <xf numFmtId="0" fontId="72" fillId="37" borderId="158" xfId="187" applyFont="1" applyFill="1" applyBorder="1" applyAlignment="1" applyProtection="1">
      <alignment horizontal="center" vertical="top" wrapText="1"/>
      <protection locked="0"/>
    </xf>
    <xf numFmtId="0" fontId="72" fillId="35" borderId="84" xfId="187" applyFont="1" applyFill="1" applyBorder="1" applyAlignment="1" applyProtection="1">
      <alignment horizontal="left" vertical="top" wrapText="1"/>
    </xf>
    <xf numFmtId="0" fontId="72" fillId="35" borderId="74" xfId="187" applyFont="1" applyFill="1" applyBorder="1" applyAlignment="1" applyProtection="1">
      <alignment horizontal="left" vertical="top" wrapText="1"/>
    </xf>
    <xf numFmtId="0" fontId="72" fillId="30" borderId="82" xfId="187" applyFont="1" applyFill="1" applyBorder="1" applyAlignment="1" applyProtection="1">
      <alignment horizontal="left" vertical="top" wrapText="1"/>
    </xf>
    <xf numFmtId="0" fontId="72" fillId="30" borderId="64" xfId="187" applyFont="1" applyFill="1" applyBorder="1" applyAlignment="1" applyProtection="1">
      <alignment horizontal="left" vertical="top" wrapText="1"/>
    </xf>
    <xf numFmtId="0" fontId="72" fillId="30" borderId="83" xfId="187" applyFont="1" applyFill="1" applyBorder="1" applyAlignment="1" applyProtection="1">
      <alignment horizontal="left" vertical="top" wrapText="1"/>
    </xf>
    <xf numFmtId="0" fontId="72" fillId="30" borderId="59" xfId="187" applyFont="1" applyFill="1" applyBorder="1" applyAlignment="1" applyProtection="1">
      <alignment horizontal="left" vertical="top" wrapText="1"/>
    </xf>
    <xf numFmtId="0" fontId="72" fillId="37" borderId="163" xfId="187" applyFont="1" applyFill="1" applyBorder="1" applyAlignment="1" applyProtection="1">
      <alignment horizontal="center" vertical="top" wrapText="1"/>
      <protection locked="0"/>
    </xf>
    <xf numFmtId="0" fontId="72" fillId="37" borderId="164" xfId="187" applyFont="1" applyFill="1" applyBorder="1" applyAlignment="1" applyProtection="1">
      <alignment horizontal="center" vertical="top" wrapText="1"/>
      <protection locked="0"/>
    </xf>
    <xf numFmtId="0" fontId="72" fillId="37" borderId="165" xfId="187" applyFont="1" applyFill="1" applyBorder="1" applyAlignment="1" applyProtection="1">
      <alignment horizontal="center" vertical="top" wrapText="1"/>
      <protection locked="0"/>
    </xf>
    <xf numFmtId="0" fontId="72" fillId="35" borderId="82" xfId="187" applyFont="1" applyFill="1" applyBorder="1" applyAlignment="1" applyProtection="1">
      <alignment horizontal="left" vertical="top" wrapText="1"/>
    </xf>
    <xf numFmtId="0" fontId="72" fillId="35" borderId="64" xfId="187" applyFont="1" applyFill="1" applyBorder="1" applyAlignment="1" applyProtection="1">
      <alignment horizontal="left" vertical="top" wrapText="1"/>
    </xf>
    <xf numFmtId="0" fontId="72" fillId="35" borderId="153" xfId="187" applyFont="1" applyFill="1" applyBorder="1" applyAlignment="1" applyProtection="1">
      <alignment horizontal="left" vertical="top" wrapText="1"/>
    </xf>
    <xf numFmtId="0" fontId="72" fillId="35" borderId="130" xfId="187" applyFont="1" applyFill="1" applyBorder="1" applyAlignment="1" applyProtection="1">
      <alignment horizontal="left" vertical="top" wrapText="1"/>
    </xf>
    <xf numFmtId="0" fontId="72" fillId="35" borderId="92" xfId="187" applyFont="1" applyFill="1" applyBorder="1" applyAlignment="1" applyProtection="1">
      <alignment horizontal="left" vertical="top" wrapText="1"/>
    </xf>
    <xf numFmtId="0" fontId="72" fillId="35" borderId="154" xfId="187" applyFont="1" applyFill="1" applyBorder="1" applyAlignment="1" applyProtection="1">
      <alignment horizontal="left" vertical="top" wrapText="1"/>
    </xf>
    <xf numFmtId="1" fontId="72" fillId="37" borderId="10" xfId="187" applyNumberFormat="1" applyFont="1" applyFill="1" applyBorder="1" applyAlignment="1" applyProtection="1">
      <alignment horizontal="center" vertical="center" wrapText="1"/>
      <protection locked="0"/>
    </xf>
    <xf numFmtId="1" fontId="72" fillId="37" borderId="11" xfId="187" applyNumberFormat="1" applyFont="1" applyFill="1" applyBorder="1" applyAlignment="1" applyProtection="1">
      <alignment horizontal="center" vertical="center"/>
      <protection locked="0"/>
    </xf>
    <xf numFmtId="1" fontId="72" fillId="37" borderId="13" xfId="187" applyNumberFormat="1" applyFont="1" applyFill="1" applyBorder="1" applyAlignment="1" applyProtection="1">
      <alignment horizontal="center" vertical="center"/>
      <protection locked="0"/>
    </xf>
    <xf numFmtId="1" fontId="72" fillId="37" borderId="12" xfId="187" applyNumberFormat="1" applyFont="1" applyFill="1" applyBorder="1" applyAlignment="1" applyProtection="1">
      <alignment horizontal="center" vertical="center"/>
      <protection locked="0"/>
    </xf>
    <xf numFmtId="1" fontId="72" fillId="37" borderId="11" xfId="187" applyNumberFormat="1" applyFont="1" applyFill="1" applyBorder="1" applyAlignment="1" applyProtection="1">
      <alignment horizontal="center" vertical="center" wrapText="1"/>
      <protection locked="0"/>
    </xf>
    <xf numFmtId="1" fontId="72" fillId="37" borderId="12" xfId="187" applyNumberFormat="1" applyFont="1" applyFill="1" applyBorder="1" applyAlignment="1" applyProtection="1">
      <alignment horizontal="center" vertical="center" wrapText="1"/>
      <protection locked="0"/>
    </xf>
    <xf numFmtId="1" fontId="72" fillId="37" borderId="13" xfId="187" applyNumberFormat="1" applyFont="1" applyFill="1" applyBorder="1" applyAlignment="1" applyProtection="1">
      <alignment horizontal="center" vertical="center" wrapText="1"/>
      <protection locked="0"/>
    </xf>
    <xf numFmtId="0" fontId="72" fillId="37" borderId="11" xfId="187" applyFont="1" applyFill="1" applyBorder="1" applyAlignment="1" applyProtection="1">
      <alignment horizontal="center" vertical="center" wrapText="1"/>
      <protection locked="0"/>
    </xf>
    <xf numFmtId="0" fontId="72" fillId="37" borderId="12" xfId="187" applyFont="1" applyFill="1" applyBorder="1" applyAlignment="1" applyProtection="1">
      <alignment horizontal="center" vertical="center" wrapText="1"/>
      <protection locked="0"/>
    </xf>
    <xf numFmtId="0" fontId="72" fillId="37" borderId="13" xfId="187" applyFont="1" applyFill="1" applyBorder="1" applyAlignment="1" applyProtection="1">
      <alignment horizontal="center" vertical="center" wrapText="1"/>
      <protection locked="0"/>
    </xf>
    <xf numFmtId="0" fontId="72" fillId="33" borderId="62" xfId="187" applyFont="1" applyFill="1" applyBorder="1" applyAlignment="1" applyProtection="1">
      <alignment horizontal="center" wrapText="1"/>
    </xf>
    <xf numFmtId="0" fontId="72" fillId="37" borderId="137" xfId="187" applyFont="1" applyFill="1" applyBorder="1" applyAlignment="1" applyProtection="1">
      <alignment horizontal="center" vertical="top" wrapText="1"/>
      <protection locked="0"/>
    </xf>
    <xf numFmtId="0" fontId="72" fillId="30" borderId="0" xfId="187" applyFont="1" applyFill="1" applyBorder="1" applyAlignment="1" applyProtection="1">
      <alignment horizontal="left" wrapText="1" indent="2"/>
    </xf>
    <xf numFmtId="0" fontId="114" fillId="35" borderId="54" xfId="187" applyFont="1" applyFill="1" applyBorder="1" applyAlignment="1" applyProtection="1">
      <alignment horizontal="left" vertical="top" wrapText="1"/>
    </xf>
    <xf numFmtId="0" fontId="72" fillId="30" borderId="0" xfId="187" quotePrefix="1" applyFont="1" applyFill="1" applyBorder="1" applyAlignment="1" applyProtection="1">
      <alignment horizontal="left" vertical="top" wrapText="1" indent="2"/>
    </xf>
    <xf numFmtId="0" fontId="72" fillId="0" borderId="0" xfId="187" applyFont="1" applyFill="1" applyBorder="1" applyAlignment="1" applyProtection="1">
      <alignment horizontal="left" wrapText="1"/>
    </xf>
    <xf numFmtId="2" fontId="72" fillId="37" borderId="10" xfId="187" applyNumberFormat="1" applyFont="1" applyFill="1" applyBorder="1" applyAlignment="1" applyProtection="1">
      <alignment horizontal="left"/>
      <protection locked="0"/>
    </xf>
    <xf numFmtId="0" fontId="72" fillId="0" borderId="10" xfId="187" applyFont="1" applyBorder="1" applyAlignment="1" applyProtection="1">
      <alignment horizontal="right"/>
    </xf>
    <xf numFmtId="0" fontId="72" fillId="0" borderId="0" xfId="187" applyFont="1" applyFill="1" applyBorder="1" applyAlignment="1" applyProtection="1">
      <alignment horizontal="left"/>
    </xf>
    <xf numFmtId="0" fontId="72" fillId="0" borderId="0" xfId="187" applyFont="1" applyFill="1" applyBorder="1" applyAlignment="1" applyProtection="1">
      <alignment horizontal="center"/>
    </xf>
    <xf numFmtId="0" fontId="72" fillId="35" borderId="61" xfId="187" applyFont="1" applyFill="1" applyBorder="1" applyAlignment="1" applyProtection="1">
      <alignment horizontal="left" vertical="top" wrapText="1"/>
    </xf>
    <xf numFmtId="0" fontId="72" fillId="0" borderId="60" xfId="187" applyFont="1" applyBorder="1" applyAlignment="1" applyProtection="1">
      <alignment horizontal="left" vertical="top" wrapText="1"/>
    </xf>
    <xf numFmtId="0" fontId="72" fillId="0" borderId="66" xfId="187" applyFont="1" applyBorder="1" applyAlignment="1" applyProtection="1">
      <alignment horizontal="left" vertical="top" wrapText="1"/>
    </xf>
    <xf numFmtId="0" fontId="72" fillId="0" borderId="58" xfId="187" applyFont="1" applyBorder="1" applyAlignment="1" applyProtection="1">
      <alignment horizontal="left" vertical="top" wrapText="1"/>
    </xf>
    <xf numFmtId="0" fontId="72" fillId="30" borderId="0" xfId="187" quotePrefix="1" applyFont="1" applyFill="1" applyBorder="1" applyAlignment="1" applyProtection="1">
      <alignment horizontal="left" vertical="top" wrapText="1" indent="1"/>
    </xf>
    <xf numFmtId="0" fontId="72" fillId="30" borderId="0" xfId="187" applyFont="1" applyFill="1" applyBorder="1" applyAlignment="1" applyProtection="1">
      <alignment horizontal="left" vertical="top" wrapText="1" indent="1"/>
    </xf>
    <xf numFmtId="0" fontId="72" fillId="35" borderId="0" xfId="187" applyFont="1" applyFill="1" applyBorder="1" applyAlignment="1" applyProtection="1">
      <alignment horizontal="left" vertical="top"/>
    </xf>
    <xf numFmtId="1" fontId="38" fillId="24" borderId="99" xfId="0" applyNumberFormat="1" applyFont="1" applyFill="1" applyBorder="1" applyAlignment="1" applyProtection="1">
      <alignment horizontal="center"/>
      <protection hidden="1"/>
    </xf>
    <xf numFmtId="1" fontId="38" fillId="24" borderId="90" xfId="0" applyNumberFormat="1" applyFont="1" applyFill="1" applyBorder="1" applyAlignment="1" applyProtection="1">
      <alignment horizontal="center"/>
      <protection hidden="1"/>
    </xf>
    <xf numFmtId="0" fontId="42" fillId="25" borderId="25" xfId="0" applyFont="1" applyFill="1" applyBorder="1" applyAlignment="1" applyProtection="1">
      <alignment horizontal="center" wrapText="1"/>
    </xf>
    <xf numFmtId="0" fontId="42" fillId="25" borderId="25" xfId="0" applyFont="1" applyFill="1" applyBorder="1" applyAlignment="1" applyProtection="1">
      <alignment horizontal="center"/>
    </xf>
    <xf numFmtId="0" fontId="65" fillId="25" borderId="102" xfId="0" applyFont="1" applyFill="1" applyBorder="1" applyAlignment="1" applyProtection="1">
      <alignment horizontal="center"/>
    </xf>
    <xf numFmtId="0" fontId="65" fillId="25" borderId="101" xfId="0" applyFont="1" applyFill="1" applyBorder="1" applyAlignment="1" applyProtection="1">
      <alignment horizontal="center"/>
    </xf>
    <xf numFmtId="0" fontId="65" fillId="25" borderId="100" xfId="0" applyFont="1" applyFill="1" applyBorder="1" applyAlignment="1" applyProtection="1">
      <alignment horizontal="center"/>
    </xf>
    <xf numFmtId="0" fontId="55" fillId="25" borderId="98" xfId="0" applyFont="1" applyFill="1" applyBorder="1" applyAlignment="1" applyProtection="1">
      <alignment horizontal="center" vertical="center"/>
    </xf>
    <xf numFmtId="0" fontId="55" fillId="25" borderId="97" xfId="0" applyFont="1" applyFill="1" applyBorder="1" applyAlignment="1" applyProtection="1">
      <alignment horizontal="center" vertical="center"/>
    </xf>
    <xf numFmtId="0" fontId="55" fillId="25" borderId="96" xfId="0" applyFont="1" applyFill="1" applyBorder="1" applyAlignment="1" applyProtection="1">
      <alignment horizontal="center" vertical="center"/>
    </xf>
    <xf numFmtId="0" fontId="8" fillId="0" borderId="89" xfId="0" applyFont="1" applyFill="1" applyBorder="1" applyAlignment="1" applyProtection="1">
      <alignment horizontal="left" wrapText="1"/>
    </xf>
    <xf numFmtId="0" fontId="8" fillId="0" borderId="99" xfId="0" applyFont="1" applyFill="1" applyBorder="1" applyAlignment="1" applyProtection="1">
      <alignment horizontal="left" wrapText="1"/>
    </xf>
    <xf numFmtId="0" fontId="8" fillId="0" borderId="90" xfId="0" applyFont="1" applyFill="1" applyBorder="1" applyAlignment="1" applyProtection="1">
      <alignment horizontal="left" wrapText="1"/>
    </xf>
    <xf numFmtId="0" fontId="23" fillId="25" borderId="98" xfId="57" applyFont="1" applyFill="1" applyBorder="1" applyAlignment="1" applyProtection="1">
      <alignment horizontal="left" vertical="top"/>
      <protection hidden="1"/>
    </xf>
    <xf numFmtId="0" fontId="8" fillId="0" borderId="97" xfId="0" applyFont="1" applyBorder="1" applyAlignment="1" applyProtection="1">
      <alignment horizontal="left"/>
    </xf>
    <xf numFmtId="0" fontId="8" fillId="0" borderId="97" xfId="0" applyFont="1" applyBorder="1" applyAlignment="1" applyProtection="1"/>
    <xf numFmtId="0" fontId="8" fillId="0" borderId="96" xfId="0" applyFont="1" applyBorder="1" applyAlignment="1" applyProtection="1"/>
    <xf numFmtId="1" fontId="38" fillId="24" borderId="89" xfId="0" applyNumberFormat="1" applyFont="1" applyFill="1" applyBorder="1" applyAlignment="1" applyProtection="1">
      <alignment horizontal="center"/>
      <protection hidden="1"/>
    </xf>
    <xf numFmtId="0" fontId="23" fillId="25" borderId="0" xfId="0" applyFont="1" applyFill="1" applyBorder="1" applyAlignment="1" applyProtection="1">
      <alignment horizontal="center"/>
      <protection hidden="1"/>
    </xf>
    <xf numFmtId="1" fontId="23" fillId="25" borderId="0" xfId="0" applyNumberFormat="1" applyFont="1" applyFill="1" applyBorder="1" applyAlignment="1" applyProtection="1">
      <alignment horizontal="center"/>
      <protection hidden="1"/>
    </xf>
    <xf numFmtId="3" fontId="38" fillId="24" borderId="89" xfId="0" applyNumberFormat="1" applyFont="1" applyFill="1" applyBorder="1" applyAlignment="1" applyProtection="1">
      <alignment horizontal="center"/>
      <protection hidden="1"/>
    </xf>
    <xf numFmtId="3" fontId="38" fillId="24" borderId="90" xfId="0" applyNumberFormat="1" applyFont="1" applyFill="1" applyBorder="1" applyAlignment="1" applyProtection="1">
      <alignment horizontal="center"/>
      <protection hidden="1"/>
    </xf>
    <xf numFmtId="2" fontId="38" fillId="24" borderId="89" xfId="0" applyNumberFormat="1" applyFont="1" applyFill="1" applyBorder="1" applyAlignment="1" applyProtection="1">
      <alignment horizontal="center"/>
      <protection hidden="1"/>
    </xf>
    <xf numFmtId="2" fontId="38" fillId="24" borderId="90" xfId="0" applyNumberFormat="1" applyFont="1" applyFill="1" applyBorder="1" applyAlignment="1" applyProtection="1">
      <alignment horizontal="center"/>
      <protection hidden="1"/>
    </xf>
    <xf numFmtId="167" fontId="38" fillId="24" borderId="89" xfId="0" applyNumberFormat="1" applyFont="1" applyFill="1" applyBorder="1" applyAlignment="1" applyProtection="1">
      <alignment horizontal="center"/>
      <protection hidden="1"/>
    </xf>
    <xf numFmtId="167" fontId="38" fillId="24" borderId="90" xfId="0" applyNumberFormat="1" applyFont="1" applyFill="1" applyBorder="1" applyAlignment="1" applyProtection="1">
      <alignment horizontal="center"/>
      <protection hidden="1"/>
    </xf>
    <xf numFmtId="0" fontId="49" fillId="25" borderId="16" xfId="47" applyFont="1" applyFill="1" applyBorder="1" applyAlignment="1">
      <alignment horizontal="center"/>
    </xf>
    <xf numFmtId="0" fontId="49" fillId="25" borderId="20" xfId="47" applyFont="1" applyFill="1" applyBorder="1" applyAlignment="1">
      <alignment horizontal="center"/>
    </xf>
    <xf numFmtId="0" fontId="49" fillId="25" borderId="29" xfId="47" applyFont="1" applyFill="1" applyBorder="1" applyAlignment="1">
      <alignment horizontal="center"/>
    </xf>
    <xf numFmtId="0" fontId="33" fillId="0" borderId="88" xfId="48" applyFont="1" applyBorder="1" applyAlignment="1">
      <alignment horizontal="center"/>
    </xf>
    <xf numFmtId="0" fontId="33" fillId="0" borderId="64" xfId="48" applyFont="1" applyBorder="1" applyAlignment="1">
      <alignment horizontal="center"/>
    </xf>
    <xf numFmtId="0" fontId="33" fillId="0" borderId="73" xfId="48" applyFont="1" applyBorder="1" applyAlignment="1">
      <alignment horizontal="center"/>
    </xf>
    <xf numFmtId="0" fontId="35" fillId="0" borderId="0" xfId="48" applyAlignment="1">
      <alignment horizontal="center"/>
    </xf>
    <xf numFmtId="0" fontId="44" fillId="0" borderId="64" xfId="48" applyFont="1" applyBorder="1" applyAlignment="1">
      <alignment horizontal="center"/>
    </xf>
    <xf numFmtId="0" fontId="44" fillId="0" borderId="73" xfId="48" applyFont="1" applyBorder="1" applyAlignment="1">
      <alignment horizontal="center"/>
    </xf>
    <xf numFmtId="0" fontId="45" fillId="0" borderId="16" xfId="48" applyFont="1" applyBorder="1" applyAlignment="1">
      <alignment horizontal="center"/>
    </xf>
    <xf numFmtId="0" fontId="45" fillId="0" borderId="29" xfId="48" applyFont="1" applyBorder="1" applyAlignment="1">
      <alignment horizontal="center"/>
    </xf>
    <xf numFmtId="0" fontId="45" fillId="0" borderId="20" xfId="48" applyFont="1" applyBorder="1" applyAlignment="1">
      <alignment horizontal="center"/>
    </xf>
    <xf numFmtId="1" fontId="40" fillId="0" borderId="11" xfId="44" applyNumberFormat="1" applyFont="1" applyBorder="1" applyAlignment="1">
      <alignment horizontal="center"/>
    </xf>
    <xf numFmtId="1" fontId="40" fillId="0" borderId="12" xfId="44" applyNumberFormat="1" applyFont="1" applyBorder="1" applyAlignment="1">
      <alignment horizontal="center"/>
    </xf>
    <xf numFmtId="1" fontId="40" fillId="0" borderId="13" xfId="44" applyNumberFormat="1" applyFont="1" applyBorder="1" applyAlignment="1">
      <alignment horizontal="center"/>
    </xf>
    <xf numFmtId="0" fontId="29" fillId="0" borderId="16" xfId="0" applyFont="1" applyBorder="1" applyAlignment="1">
      <alignment horizontal="center"/>
    </xf>
    <xf numFmtId="0" fontId="29" fillId="0" borderId="29" xfId="0" applyFont="1" applyBorder="1" applyAlignment="1">
      <alignment horizontal="center"/>
    </xf>
    <xf numFmtId="0" fontId="29" fillId="0" borderId="20" xfId="0" applyFont="1" applyBorder="1" applyAlignment="1">
      <alignment horizontal="center"/>
    </xf>
    <xf numFmtId="0" fontId="32" fillId="0" borderId="0" xfId="0" applyFont="1" applyAlignment="1">
      <alignment horizontal="center"/>
    </xf>
  </cellXfs>
  <cellStyles count="666">
    <cellStyle name="0.00%" xfId="629"/>
    <cellStyle name="20% - Accent1" xfId="1" builtinId="30" customBuiltin="1"/>
    <cellStyle name="20% - Accent1 10" xfId="457"/>
    <cellStyle name="20% - Accent1 11" xfId="501"/>
    <cellStyle name="20% - Accent1 12" xfId="545"/>
    <cellStyle name="20% - Accent1 13" xfId="589"/>
    <cellStyle name="20% - Accent1 2" xfId="101"/>
    <cellStyle name="20% - Accent1 3" xfId="149"/>
    <cellStyle name="20% - Accent1 4" xfId="193"/>
    <cellStyle name="20% - Accent1 5" xfId="237"/>
    <cellStyle name="20% - Accent1 6" xfId="281"/>
    <cellStyle name="20% - Accent1 7" xfId="325"/>
    <cellStyle name="20% - Accent1 8" xfId="369"/>
    <cellStyle name="20% - Accent1 9" xfId="413"/>
    <cellStyle name="20% - Accent2" xfId="2" builtinId="34" customBuiltin="1"/>
    <cellStyle name="20% - Accent2 10" xfId="456"/>
    <cellStyle name="20% - Accent2 11" xfId="500"/>
    <cellStyle name="20% - Accent2 12" xfId="544"/>
    <cellStyle name="20% - Accent2 13" xfId="588"/>
    <cellStyle name="20% - Accent2 2" xfId="102"/>
    <cellStyle name="20% - Accent2 3" xfId="148"/>
    <cellStyle name="20% - Accent2 4" xfId="192"/>
    <cellStyle name="20% - Accent2 5" xfId="236"/>
    <cellStyle name="20% - Accent2 6" xfId="280"/>
    <cellStyle name="20% - Accent2 7" xfId="324"/>
    <cellStyle name="20% - Accent2 8" xfId="368"/>
    <cellStyle name="20% - Accent2 9" xfId="412"/>
    <cellStyle name="20% - Accent3" xfId="3" builtinId="38" customBuiltin="1"/>
    <cellStyle name="20% - Accent3 10" xfId="455"/>
    <cellStyle name="20% - Accent3 11" xfId="499"/>
    <cellStyle name="20% - Accent3 12" xfId="543"/>
    <cellStyle name="20% - Accent3 13" xfId="587"/>
    <cellStyle name="20% - Accent3 2" xfId="103"/>
    <cellStyle name="20% - Accent3 3" xfId="147"/>
    <cellStyle name="20% - Accent3 4" xfId="191"/>
    <cellStyle name="20% - Accent3 5" xfId="235"/>
    <cellStyle name="20% - Accent3 6" xfId="279"/>
    <cellStyle name="20% - Accent3 7" xfId="323"/>
    <cellStyle name="20% - Accent3 8" xfId="367"/>
    <cellStyle name="20% - Accent3 9" xfId="411"/>
    <cellStyle name="20% - Accent4" xfId="4" builtinId="42" customBuiltin="1"/>
    <cellStyle name="20% - Accent4 10" xfId="454"/>
    <cellStyle name="20% - Accent4 11" xfId="498"/>
    <cellStyle name="20% - Accent4 12" xfId="542"/>
    <cellStyle name="20% - Accent4 13" xfId="586"/>
    <cellStyle name="20% - Accent4 2" xfId="104"/>
    <cellStyle name="20% - Accent4 3" xfId="146"/>
    <cellStyle name="20% - Accent4 4" xfId="190"/>
    <cellStyle name="20% - Accent4 5" xfId="234"/>
    <cellStyle name="20% - Accent4 6" xfId="278"/>
    <cellStyle name="20% - Accent4 7" xfId="322"/>
    <cellStyle name="20% - Accent4 8" xfId="366"/>
    <cellStyle name="20% - Accent4 9" xfId="410"/>
    <cellStyle name="20% - Accent5" xfId="5" builtinId="46" customBuiltin="1"/>
    <cellStyle name="20% - Accent5 10" xfId="453"/>
    <cellStyle name="20% - Accent5 11" xfId="497"/>
    <cellStyle name="20% - Accent5 12" xfId="541"/>
    <cellStyle name="20% - Accent5 13" xfId="585"/>
    <cellStyle name="20% - Accent5 2" xfId="105"/>
    <cellStyle name="20% - Accent5 3" xfId="145"/>
    <cellStyle name="20% - Accent5 4" xfId="189"/>
    <cellStyle name="20% - Accent5 5" xfId="233"/>
    <cellStyle name="20% - Accent5 6" xfId="277"/>
    <cellStyle name="20% - Accent5 7" xfId="321"/>
    <cellStyle name="20% - Accent5 8" xfId="365"/>
    <cellStyle name="20% - Accent5 9" xfId="409"/>
    <cellStyle name="20% - Accent6" xfId="6" builtinId="50" customBuiltin="1"/>
    <cellStyle name="20% - Accent6 10" xfId="452"/>
    <cellStyle name="20% - Accent6 11" xfId="496"/>
    <cellStyle name="20% - Accent6 12" xfId="540"/>
    <cellStyle name="20% - Accent6 13" xfId="584"/>
    <cellStyle name="20% - Accent6 2" xfId="106"/>
    <cellStyle name="20% - Accent6 3" xfId="144"/>
    <cellStyle name="20% - Accent6 4" xfId="188"/>
    <cellStyle name="20% - Accent6 5" xfId="232"/>
    <cellStyle name="20% - Accent6 6" xfId="276"/>
    <cellStyle name="20% - Accent6 7" xfId="320"/>
    <cellStyle name="20% - Accent6 8" xfId="364"/>
    <cellStyle name="20% - Accent6 9" xfId="408"/>
    <cellStyle name="40% - Accent1" xfId="7" builtinId="31" customBuiltin="1"/>
    <cellStyle name="40% - Accent1 10" xfId="416"/>
    <cellStyle name="40% - Accent1 11" xfId="460"/>
    <cellStyle name="40% - Accent1 12" xfId="504"/>
    <cellStyle name="40% - Accent1 13" xfId="548"/>
    <cellStyle name="40% - Accent1 2" xfId="107"/>
    <cellStyle name="40% - Accent1 3" xfId="100"/>
    <cellStyle name="40% - Accent1 4" xfId="152"/>
    <cellStyle name="40% - Accent1 5" xfId="196"/>
    <cellStyle name="40% - Accent1 6" xfId="240"/>
    <cellStyle name="40% - Accent1 7" xfId="284"/>
    <cellStyle name="40% - Accent1 8" xfId="328"/>
    <cellStyle name="40% - Accent1 9" xfId="372"/>
    <cellStyle name="40% - Accent2" xfId="8" builtinId="35" customBuiltin="1"/>
    <cellStyle name="40% - Accent2 10" xfId="447"/>
    <cellStyle name="40% - Accent2 11" xfId="491"/>
    <cellStyle name="40% - Accent2 12" xfId="535"/>
    <cellStyle name="40% - Accent2 13" xfId="579"/>
    <cellStyle name="40% - Accent2 2" xfId="108"/>
    <cellStyle name="40% - Accent2 3" xfId="139"/>
    <cellStyle name="40% - Accent2 4" xfId="183"/>
    <cellStyle name="40% - Accent2 5" xfId="227"/>
    <cellStyle name="40% - Accent2 6" xfId="271"/>
    <cellStyle name="40% - Accent2 7" xfId="315"/>
    <cellStyle name="40% - Accent2 8" xfId="359"/>
    <cellStyle name="40% - Accent2 9" xfId="403"/>
    <cellStyle name="40% - Accent3" xfId="9" builtinId="39" customBuiltin="1"/>
    <cellStyle name="40% - Accent3 10" xfId="446"/>
    <cellStyle name="40% - Accent3 11" xfId="490"/>
    <cellStyle name="40% - Accent3 12" xfId="534"/>
    <cellStyle name="40% - Accent3 13" xfId="578"/>
    <cellStyle name="40% - Accent3 2" xfId="109"/>
    <cellStyle name="40% - Accent3 3" xfId="138"/>
    <cellStyle name="40% - Accent3 4" xfId="182"/>
    <cellStyle name="40% - Accent3 5" xfId="226"/>
    <cellStyle name="40% - Accent3 6" xfId="270"/>
    <cellStyle name="40% - Accent3 7" xfId="314"/>
    <cellStyle name="40% - Accent3 8" xfId="358"/>
    <cellStyle name="40% - Accent3 9" xfId="402"/>
    <cellStyle name="40% - Accent4" xfId="10" builtinId="43" customBuiltin="1"/>
    <cellStyle name="40% - Accent4 10" xfId="445"/>
    <cellStyle name="40% - Accent4 11" xfId="489"/>
    <cellStyle name="40% - Accent4 12" xfId="533"/>
    <cellStyle name="40% - Accent4 13" xfId="577"/>
    <cellStyle name="40% - Accent4 2" xfId="110"/>
    <cellStyle name="40% - Accent4 3" xfId="137"/>
    <cellStyle name="40% - Accent4 4" xfId="181"/>
    <cellStyle name="40% - Accent4 5" xfId="225"/>
    <cellStyle name="40% - Accent4 6" xfId="269"/>
    <cellStyle name="40% - Accent4 7" xfId="313"/>
    <cellStyle name="40% - Accent4 8" xfId="357"/>
    <cellStyle name="40% - Accent4 9" xfId="401"/>
    <cellStyle name="40% - Accent5" xfId="11" builtinId="47" customBuiltin="1"/>
    <cellStyle name="40% - Accent5 10" xfId="438"/>
    <cellStyle name="40% - Accent5 11" xfId="482"/>
    <cellStyle name="40% - Accent5 12" xfId="526"/>
    <cellStyle name="40% - Accent5 13" xfId="570"/>
    <cellStyle name="40% - Accent5 2" xfId="111"/>
    <cellStyle name="40% - Accent5 3" xfId="130"/>
    <cellStyle name="40% - Accent5 4" xfId="174"/>
    <cellStyle name="40% - Accent5 5" xfId="218"/>
    <cellStyle name="40% - Accent5 6" xfId="262"/>
    <cellStyle name="40% - Accent5 7" xfId="306"/>
    <cellStyle name="40% - Accent5 8" xfId="350"/>
    <cellStyle name="40% - Accent5 9" xfId="394"/>
    <cellStyle name="40% - Accent6" xfId="12" builtinId="51" customBuiltin="1"/>
    <cellStyle name="40% - Accent6 10" xfId="436"/>
    <cellStyle name="40% - Accent6 11" xfId="480"/>
    <cellStyle name="40% - Accent6 12" xfId="524"/>
    <cellStyle name="40% - Accent6 13" xfId="568"/>
    <cellStyle name="40% - Accent6 2" xfId="112"/>
    <cellStyle name="40% - Accent6 3" xfId="128"/>
    <cellStyle name="40% - Accent6 4" xfId="172"/>
    <cellStyle name="40% - Accent6 5" xfId="216"/>
    <cellStyle name="40% - Accent6 6" xfId="260"/>
    <cellStyle name="40% - Accent6 7" xfId="304"/>
    <cellStyle name="40% - Accent6 8" xfId="348"/>
    <cellStyle name="40% - Accent6 9" xfId="392"/>
    <cellStyle name="60% - Accent1" xfId="13" builtinId="32" customBuiltin="1"/>
    <cellStyle name="60% - Accent1 10" xfId="465"/>
    <cellStyle name="60% - Accent1 11" xfId="509"/>
    <cellStyle name="60% - Accent1 12" xfId="553"/>
    <cellStyle name="60% - Accent1 13" xfId="596"/>
    <cellStyle name="60% - Accent1 2" xfId="113"/>
    <cellStyle name="60% - Accent1 3" xfId="157"/>
    <cellStyle name="60% - Accent1 4" xfId="201"/>
    <cellStyle name="60% - Accent1 5" xfId="245"/>
    <cellStyle name="60% - Accent1 6" xfId="289"/>
    <cellStyle name="60% - Accent1 7" xfId="333"/>
    <cellStyle name="60% - Accent1 8" xfId="377"/>
    <cellStyle name="60% - Accent1 9" xfId="421"/>
    <cellStyle name="60% - Accent2" xfId="14" builtinId="36" customBuiltin="1"/>
    <cellStyle name="60% - Accent2 10" xfId="466"/>
    <cellStyle name="60% - Accent2 11" xfId="510"/>
    <cellStyle name="60% - Accent2 12" xfId="554"/>
    <cellStyle name="60% - Accent2 13" xfId="597"/>
    <cellStyle name="60% - Accent2 2" xfId="114"/>
    <cellStyle name="60% - Accent2 3" xfId="158"/>
    <cellStyle name="60% - Accent2 4" xfId="202"/>
    <cellStyle name="60% - Accent2 5" xfId="246"/>
    <cellStyle name="60% - Accent2 6" xfId="290"/>
    <cellStyle name="60% - Accent2 7" xfId="334"/>
    <cellStyle name="60% - Accent2 8" xfId="378"/>
    <cellStyle name="60% - Accent2 9" xfId="422"/>
    <cellStyle name="60% - Accent3" xfId="15" builtinId="40" customBuiltin="1"/>
    <cellStyle name="60% - Accent3 10" xfId="467"/>
    <cellStyle name="60% - Accent3 11" xfId="511"/>
    <cellStyle name="60% - Accent3 12" xfId="555"/>
    <cellStyle name="60% - Accent3 13" xfId="598"/>
    <cellStyle name="60% - Accent3 2" xfId="115"/>
    <cellStyle name="60% - Accent3 3" xfId="159"/>
    <cellStyle name="60% - Accent3 4" xfId="203"/>
    <cellStyle name="60% - Accent3 5" xfId="247"/>
    <cellStyle name="60% - Accent3 6" xfId="291"/>
    <cellStyle name="60% - Accent3 7" xfId="335"/>
    <cellStyle name="60% - Accent3 8" xfId="379"/>
    <cellStyle name="60% - Accent3 9" xfId="423"/>
    <cellStyle name="60% - Accent4" xfId="16" builtinId="44" customBuiltin="1"/>
    <cellStyle name="60% - Accent4 10" xfId="468"/>
    <cellStyle name="60% - Accent4 11" xfId="512"/>
    <cellStyle name="60% - Accent4 12" xfId="556"/>
    <cellStyle name="60% - Accent4 13" xfId="599"/>
    <cellStyle name="60% - Accent4 2" xfId="116"/>
    <cellStyle name="60% - Accent4 3" xfId="160"/>
    <cellStyle name="60% - Accent4 4" xfId="204"/>
    <cellStyle name="60% - Accent4 5" xfId="248"/>
    <cellStyle name="60% - Accent4 6" xfId="292"/>
    <cellStyle name="60% - Accent4 7" xfId="336"/>
    <cellStyle name="60% - Accent4 8" xfId="380"/>
    <cellStyle name="60% - Accent4 9" xfId="424"/>
    <cellStyle name="60% - Accent5" xfId="17" builtinId="48" customBuiltin="1"/>
    <cellStyle name="60% - Accent5 10" xfId="469"/>
    <cellStyle name="60% - Accent5 11" xfId="513"/>
    <cellStyle name="60% - Accent5 12" xfId="557"/>
    <cellStyle name="60% - Accent5 13" xfId="600"/>
    <cellStyle name="60% - Accent5 2" xfId="117"/>
    <cellStyle name="60% - Accent5 3" xfId="161"/>
    <cellStyle name="60% - Accent5 4" xfId="205"/>
    <cellStyle name="60% - Accent5 5" xfId="249"/>
    <cellStyle name="60% - Accent5 6" xfId="293"/>
    <cellStyle name="60% - Accent5 7" xfId="337"/>
    <cellStyle name="60% - Accent5 8" xfId="381"/>
    <cellStyle name="60% - Accent5 9" xfId="425"/>
    <cellStyle name="60% - Accent6" xfId="18" builtinId="52" customBuiltin="1"/>
    <cellStyle name="60% - Accent6 10" xfId="470"/>
    <cellStyle name="60% - Accent6 11" xfId="514"/>
    <cellStyle name="60% - Accent6 12" xfId="558"/>
    <cellStyle name="60% - Accent6 13" xfId="601"/>
    <cellStyle name="60% - Accent6 2" xfId="118"/>
    <cellStyle name="60% - Accent6 3" xfId="162"/>
    <cellStyle name="60% - Accent6 4" xfId="206"/>
    <cellStyle name="60% - Accent6 5" xfId="250"/>
    <cellStyle name="60% - Accent6 6" xfId="294"/>
    <cellStyle name="60% - Accent6 7" xfId="338"/>
    <cellStyle name="60% - Accent6 8" xfId="382"/>
    <cellStyle name="60% - Accent6 9" xfId="426"/>
    <cellStyle name="Accent1" xfId="19" builtinId="29" customBuiltin="1"/>
    <cellStyle name="Accent1 10" xfId="471"/>
    <cellStyle name="Accent1 11" xfId="515"/>
    <cellStyle name="Accent1 12" xfId="559"/>
    <cellStyle name="Accent1 13" xfId="602"/>
    <cellStyle name="Accent1 2" xfId="119"/>
    <cellStyle name="Accent1 3" xfId="163"/>
    <cellStyle name="Accent1 4" xfId="207"/>
    <cellStyle name="Accent1 5" xfId="251"/>
    <cellStyle name="Accent1 6" xfId="295"/>
    <cellStyle name="Accent1 7" xfId="339"/>
    <cellStyle name="Accent1 8" xfId="383"/>
    <cellStyle name="Accent1 9" xfId="427"/>
    <cellStyle name="Accent2" xfId="20" builtinId="33" customBuiltin="1"/>
    <cellStyle name="Accent2 10" xfId="472"/>
    <cellStyle name="Accent2 11" xfId="516"/>
    <cellStyle name="Accent2 12" xfId="560"/>
    <cellStyle name="Accent2 13" xfId="603"/>
    <cellStyle name="Accent2 2" xfId="120"/>
    <cellStyle name="Accent2 3" xfId="164"/>
    <cellStyle name="Accent2 4" xfId="208"/>
    <cellStyle name="Accent2 5" xfId="252"/>
    <cellStyle name="Accent2 6" xfId="296"/>
    <cellStyle name="Accent2 7" xfId="340"/>
    <cellStyle name="Accent2 8" xfId="384"/>
    <cellStyle name="Accent2 9" xfId="428"/>
    <cellStyle name="Accent3" xfId="21" builtinId="37" customBuiltin="1"/>
    <cellStyle name="Accent3 10" xfId="473"/>
    <cellStyle name="Accent3 11" xfId="517"/>
    <cellStyle name="Accent3 12" xfId="561"/>
    <cellStyle name="Accent3 13" xfId="604"/>
    <cellStyle name="Accent3 2" xfId="121"/>
    <cellStyle name="Accent3 3" xfId="165"/>
    <cellStyle name="Accent3 4" xfId="209"/>
    <cellStyle name="Accent3 5" xfId="253"/>
    <cellStyle name="Accent3 6" xfId="297"/>
    <cellStyle name="Accent3 7" xfId="341"/>
    <cellStyle name="Accent3 8" xfId="385"/>
    <cellStyle name="Accent3 9" xfId="429"/>
    <cellStyle name="Accent4" xfId="22" builtinId="41" customBuiltin="1"/>
    <cellStyle name="Accent4 10" xfId="474"/>
    <cellStyle name="Accent4 11" xfId="518"/>
    <cellStyle name="Accent4 12" xfId="562"/>
    <cellStyle name="Accent4 13" xfId="605"/>
    <cellStyle name="Accent4 2" xfId="122"/>
    <cellStyle name="Accent4 3" xfId="166"/>
    <cellStyle name="Accent4 4" xfId="210"/>
    <cellStyle name="Accent4 5" xfId="254"/>
    <cellStyle name="Accent4 6" xfId="298"/>
    <cellStyle name="Accent4 7" xfId="342"/>
    <cellStyle name="Accent4 8" xfId="386"/>
    <cellStyle name="Accent4 9" xfId="430"/>
    <cellStyle name="Accent5" xfId="23" builtinId="45" customBuiltin="1"/>
    <cellStyle name="Accent5 10" xfId="475"/>
    <cellStyle name="Accent5 11" xfId="519"/>
    <cellStyle name="Accent5 12" xfId="563"/>
    <cellStyle name="Accent5 13" xfId="606"/>
    <cellStyle name="Accent5 2" xfId="123"/>
    <cellStyle name="Accent5 3" xfId="167"/>
    <cellStyle name="Accent5 4" xfId="211"/>
    <cellStyle name="Accent5 5" xfId="255"/>
    <cellStyle name="Accent5 6" xfId="299"/>
    <cellStyle name="Accent5 7" xfId="343"/>
    <cellStyle name="Accent5 8" xfId="387"/>
    <cellStyle name="Accent5 9" xfId="431"/>
    <cellStyle name="Accent6" xfId="24" builtinId="49" customBuiltin="1"/>
    <cellStyle name="Accent6 10" xfId="476"/>
    <cellStyle name="Accent6 11" xfId="520"/>
    <cellStyle name="Accent6 12" xfId="564"/>
    <cellStyle name="Accent6 13" xfId="607"/>
    <cellStyle name="Accent6 2" xfId="124"/>
    <cellStyle name="Accent6 3" xfId="168"/>
    <cellStyle name="Accent6 4" xfId="212"/>
    <cellStyle name="Accent6 5" xfId="256"/>
    <cellStyle name="Accent6 6" xfId="300"/>
    <cellStyle name="Accent6 7" xfId="344"/>
    <cellStyle name="Accent6 8" xfId="388"/>
    <cellStyle name="Accent6 9" xfId="432"/>
    <cellStyle name="Bad" xfId="25" builtinId="27" customBuiltin="1"/>
    <cellStyle name="Bad 10" xfId="477"/>
    <cellStyle name="Bad 11" xfId="521"/>
    <cellStyle name="Bad 12" xfId="565"/>
    <cellStyle name="Bad 13" xfId="608"/>
    <cellStyle name="Bad 2" xfId="125"/>
    <cellStyle name="Bad 3" xfId="169"/>
    <cellStyle name="Bad 4" xfId="213"/>
    <cellStyle name="Bad 5" xfId="257"/>
    <cellStyle name="Bad 6" xfId="301"/>
    <cellStyle name="Bad 7" xfId="345"/>
    <cellStyle name="Bad 8" xfId="389"/>
    <cellStyle name="Bad 9" xfId="433"/>
    <cellStyle name="Blue Font" xfId="630"/>
    <cellStyle name="Blue, Bold" xfId="631"/>
    <cellStyle name="Bottom Border, Unlocked" xfId="632"/>
    <cellStyle name="Calculation" xfId="26" builtinId="22" customBuiltin="1"/>
    <cellStyle name="Calculation 10" xfId="478"/>
    <cellStyle name="Calculation 11" xfId="522"/>
    <cellStyle name="Calculation 12" xfId="566"/>
    <cellStyle name="Calculation 13" xfId="609"/>
    <cellStyle name="Calculation 2" xfId="126"/>
    <cellStyle name="Calculation 3" xfId="170"/>
    <cellStyle name="Calculation 4" xfId="214"/>
    <cellStyle name="Calculation 5" xfId="258"/>
    <cellStyle name="Calculation 6" xfId="302"/>
    <cellStyle name="Calculation 7" xfId="346"/>
    <cellStyle name="Calculation 8" xfId="390"/>
    <cellStyle name="Calculation 9" xfId="434"/>
    <cellStyle name="Check Cell" xfId="27" builtinId="23" customBuiltin="1"/>
    <cellStyle name="Check Cell 10" xfId="479"/>
    <cellStyle name="Check Cell 11" xfId="523"/>
    <cellStyle name="Check Cell 12" xfId="567"/>
    <cellStyle name="Check Cell 13" xfId="610"/>
    <cellStyle name="Check Cell 2" xfId="127"/>
    <cellStyle name="Check Cell 3" xfId="171"/>
    <cellStyle name="Check Cell 4" xfId="215"/>
    <cellStyle name="Check Cell 5" xfId="259"/>
    <cellStyle name="Check Cell 6" xfId="303"/>
    <cellStyle name="Check Cell 7" xfId="347"/>
    <cellStyle name="Check Cell 8" xfId="391"/>
    <cellStyle name="Check Cell 9" xfId="435"/>
    <cellStyle name="Comma" xfId="28" builtinId="3"/>
    <cellStyle name="Comma 2" xfId="29"/>
    <cellStyle name="Comma 2 10" xfId="173"/>
    <cellStyle name="Comma 2 11" xfId="217"/>
    <cellStyle name="Comma 2 12" xfId="261"/>
    <cellStyle name="Comma 2 13" xfId="305"/>
    <cellStyle name="Comma 2 14" xfId="349"/>
    <cellStyle name="Comma 2 15" xfId="393"/>
    <cellStyle name="Comma 2 16" xfId="437"/>
    <cellStyle name="Comma 2 17" xfId="481"/>
    <cellStyle name="Comma 2 18" xfId="525"/>
    <cellStyle name="Comma 2 19" xfId="569"/>
    <cellStyle name="Comma 2 2" xfId="60"/>
    <cellStyle name="Comma 2 20" xfId="611"/>
    <cellStyle name="Comma 2 3" xfId="68"/>
    <cellStyle name="Comma 2 4" xfId="66"/>
    <cellStyle name="Comma 2 5" xfId="67"/>
    <cellStyle name="Comma 2 6" xfId="78"/>
    <cellStyle name="Comma 2 7" xfId="88"/>
    <cellStyle name="Comma 2 8" xfId="94"/>
    <cellStyle name="Comma 2 9" xfId="129"/>
    <cellStyle name="Comma 3" xfId="30"/>
    <cellStyle name="Comma 4" xfId="633"/>
    <cellStyle name="Comma 5" xfId="634"/>
    <cellStyle name="Currency" xfId="665" builtinId="4"/>
    <cellStyle name="Currency 2" xfId="31"/>
    <cellStyle name="Currency 2 2" xfId="635"/>
    <cellStyle name="Currency 3" xfId="636"/>
    <cellStyle name="Currency 4" xfId="637"/>
    <cellStyle name="Currency 5" xfId="664"/>
    <cellStyle name="DollarHideZero" xfId="638"/>
    <cellStyle name="DollarHideZero 2" xfId="639"/>
    <cellStyle name="Explanatory Text" xfId="32" builtinId="53" customBuiltin="1"/>
    <cellStyle name="Explanatory Text 10" xfId="483"/>
    <cellStyle name="Explanatory Text 11" xfId="527"/>
    <cellStyle name="Explanatory Text 12" xfId="571"/>
    <cellStyle name="Explanatory Text 13" xfId="612"/>
    <cellStyle name="Explanatory Text 2" xfId="131"/>
    <cellStyle name="Explanatory Text 3" xfId="175"/>
    <cellStyle name="Explanatory Text 4" xfId="219"/>
    <cellStyle name="Explanatory Text 5" xfId="263"/>
    <cellStyle name="Explanatory Text 6" xfId="307"/>
    <cellStyle name="Explanatory Text 7" xfId="351"/>
    <cellStyle name="Explanatory Text 8" xfId="395"/>
    <cellStyle name="Explanatory Text 9" xfId="439"/>
    <cellStyle name="Good" xfId="33" builtinId="26" customBuiltin="1"/>
    <cellStyle name="Good 10" xfId="484"/>
    <cellStyle name="Good 11" xfId="528"/>
    <cellStyle name="Good 12" xfId="572"/>
    <cellStyle name="Good 13" xfId="613"/>
    <cellStyle name="Good 2" xfId="132"/>
    <cellStyle name="Good 3" xfId="176"/>
    <cellStyle name="Good 4" xfId="220"/>
    <cellStyle name="Good 5" xfId="264"/>
    <cellStyle name="Good 6" xfId="308"/>
    <cellStyle name="Good 7" xfId="352"/>
    <cellStyle name="Good 8" xfId="396"/>
    <cellStyle name="Good 9" xfId="440"/>
    <cellStyle name="Heading 1" xfId="34" builtinId="16" customBuiltin="1"/>
    <cellStyle name="Heading 1 10" xfId="485"/>
    <cellStyle name="Heading 1 11" xfId="529"/>
    <cellStyle name="Heading 1 12" xfId="573"/>
    <cellStyle name="Heading 1 13" xfId="614"/>
    <cellStyle name="Heading 1 2" xfId="133"/>
    <cellStyle name="Heading 1 3" xfId="177"/>
    <cellStyle name="Heading 1 4" xfId="221"/>
    <cellStyle name="Heading 1 5" xfId="265"/>
    <cellStyle name="Heading 1 6" xfId="309"/>
    <cellStyle name="Heading 1 7" xfId="353"/>
    <cellStyle name="Heading 1 8" xfId="397"/>
    <cellStyle name="Heading 1 9" xfId="441"/>
    <cellStyle name="Heading 2" xfId="35" builtinId="17" customBuiltin="1"/>
    <cellStyle name="Heading 2 10" xfId="486"/>
    <cellStyle name="Heading 2 11" xfId="530"/>
    <cellStyle name="Heading 2 12" xfId="574"/>
    <cellStyle name="Heading 2 13" xfId="615"/>
    <cellStyle name="Heading 2 2" xfId="134"/>
    <cellStyle name="Heading 2 3" xfId="178"/>
    <cellStyle name="Heading 2 4" xfId="222"/>
    <cellStyle name="Heading 2 5" xfId="266"/>
    <cellStyle name="Heading 2 6" xfId="310"/>
    <cellStyle name="Heading 2 7" xfId="354"/>
    <cellStyle name="Heading 2 8" xfId="398"/>
    <cellStyle name="Heading 2 9" xfId="442"/>
    <cellStyle name="Heading 3" xfId="36" builtinId="18" customBuiltin="1"/>
    <cellStyle name="Heading 3 10" xfId="487"/>
    <cellStyle name="Heading 3 11" xfId="531"/>
    <cellStyle name="Heading 3 12" xfId="575"/>
    <cellStyle name="Heading 3 13" xfId="616"/>
    <cellStyle name="Heading 3 2" xfId="135"/>
    <cellStyle name="Heading 3 3" xfId="179"/>
    <cellStyle name="Heading 3 4" xfId="223"/>
    <cellStyle name="Heading 3 5" xfId="267"/>
    <cellStyle name="Heading 3 6" xfId="311"/>
    <cellStyle name="Heading 3 7" xfId="355"/>
    <cellStyle name="Heading 3 8" xfId="399"/>
    <cellStyle name="Heading 3 9" xfId="443"/>
    <cellStyle name="Heading 4" xfId="37" builtinId="19" customBuiltin="1"/>
    <cellStyle name="Heading 4 10" xfId="488"/>
    <cellStyle name="Heading 4 11" xfId="532"/>
    <cellStyle name="Heading 4 12" xfId="576"/>
    <cellStyle name="Heading 4 13" xfId="617"/>
    <cellStyle name="Heading 4 2" xfId="136"/>
    <cellStyle name="Heading 4 3" xfId="180"/>
    <cellStyle name="Heading 4 4" xfId="224"/>
    <cellStyle name="Heading 4 5" xfId="268"/>
    <cellStyle name="Heading 4 6" xfId="312"/>
    <cellStyle name="Heading 4 7" xfId="356"/>
    <cellStyle name="Heading 4 8" xfId="400"/>
    <cellStyle name="Heading 4 9" xfId="444"/>
    <cellStyle name="Hyperlink" xfId="38" builtinId="8"/>
    <cellStyle name="Hyperlink 2" xfId="640"/>
    <cellStyle name="Hyperlink 3" xfId="660"/>
    <cellStyle name="Hyperlink_MF ESTAR RECS Tool 2005-02-15" xfId="56"/>
    <cellStyle name="Hyperlink_Supporting FoxLeg" xfId="661"/>
    <cellStyle name="Hyperlink_TRG_FND1" xfId="57"/>
    <cellStyle name="Input" xfId="39" builtinId="20" customBuiltin="1"/>
    <cellStyle name="Input 10" xfId="492"/>
    <cellStyle name="Input 11" xfId="536"/>
    <cellStyle name="Input 12" xfId="580"/>
    <cellStyle name="Input 13" xfId="618"/>
    <cellStyle name="Input 2" xfId="140"/>
    <cellStyle name="Input 3" xfId="184"/>
    <cellStyle name="Input 4" xfId="228"/>
    <cellStyle name="Input 5" xfId="272"/>
    <cellStyle name="Input 6" xfId="316"/>
    <cellStyle name="Input 7" xfId="360"/>
    <cellStyle name="Input 8" xfId="404"/>
    <cellStyle name="Input 9" xfId="448"/>
    <cellStyle name="Installed" xfId="641"/>
    <cellStyle name="Linked Cell" xfId="40" builtinId="24" customBuiltin="1"/>
    <cellStyle name="Linked Cell 10" xfId="493"/>
    <cellStyle name="Linked Cell 11" xfId="537"/>
    <cellStyle name="Linked Cell 12" xfId="581"/>
    <cellStyle name="Linked Cell 13" xfId="619"/>
    <cellStyle name="Linked Cell 2" xfId="141"/>
    <cellStyle name="Linked Cell 3" xfId="185"/>
    <cellStyle name="Linked Cell 4" xfId="229"/>
    <cellStyle name="Linked Cell 5" xfId="273"/>
    <cellStyle name="Linked Cell 6" xfId="317"/>
    <cellStyle name="Linked Cell 7" xfId="361"/>
    <cellStyle name="Linked Cell 8" xfId="405"/>
    <cellStyle name="Linked Cell 9" xfId="449"/>
    <cellStyle name="Neutral" xfId="41" builtinId="28" customBuiltin="1"/>
    <cellStyle name="Neutral 10" xfId="494"/>
    <cellStyle name="Neutral 11" xfId="538"/>
    <cellStyle name="Neutral 12" xfId="582"/>
    <cellStyle name="Neutral 13" xfId="620"/>
    <cellStyle name="Neutral 2" xfId="142"/>
    <cellStyle name="Neutral 3" xfId="186"/>
    <cellStyle name="Neutral 4" xfId="230"/>
    <cellStyle name="Neutral 5" xfId="274"/>
    <cellStyle name="Neutral 6" xfId="318"/>
    <cellStyle name="Neutral 7" xfId="362"/>
    <cellStyle name="Neutral 8" xfId="406"/>
    <cellStyle name="Neutral 9" xfId="450"/>
    <cellStyle name="Normal" xfId="0" builtinId="0"/>
    <cellStyle name="Normal 10" xfId="93"/>
    <cellStyle name="Normal 18" xfId="628"/>
    <cellStyle name="Normal 18 2" xfId="642"/>
    <cellStyle name="Normal 2" xfId="42"/>
    <cellStyle name="Normal 2 10" xfId="187"/>
    <cellStyle name="Normal 2 11" xfId="231"/>
    <cellStyle name="Normal 2 12" xfId="275"/>
    <cellStyle name="Normal 2 13" xfId="319"/>
    <cellStyle name="Normal 2 14" xfId="363"/>
    <cellStyle name="Normal 2 15" xfId="407"/>
    <cellStyle name="Normal 2 16" xfId="451"/>
    <cellStyle name="Normal 2 17" xfId="495"/>
    <cellStyle name="Normal 2 18" xfId="539"/>
    <cellStyle name="Normal 2 19" xfId="583"/>
    <cellStyle name="Normal 2 2" xfId="61"/>
    <cellStyle name="Normal 2 2 2" xfId="643"/>
    <cellStyle name="Normal 2 20" xfId="621"/>
    <cellStyle name="Normal 2 3" xfId="72"/>
    <cellStyle name="Normal 2 4" xfId="76"/>
    <cellStyle name="Normal 2 5" xfId="70"/>
    <cellStyle name="Normal 2 6" xfId="84"/>
    <cellStyle name="Normal 2 7" xfId="89"/>
    <cellStyle name="Normal 2 8" xfId="95"/>
    <cellStyle name="Normal 2 9" xfId="143"/>
    <cellStyle name="Normal 2_NC - Project Name - ERP Tables_rev0_SWA" xfId="43"/>
    <cellStyle name="Normal 3" xfId="99"/>
    <cellStyle name="Normal 3 2" xfId="62"/>
    <cellStyle name="Normal 3 3" xfId="73"/>
    <cellStyle name="Normal 3 4" xfId="77"/>
    <cellStyle name="Normal 3 5" xfId="71"/>
    <cellStyle name="Normal 3 6" xfId="85"/>
    <cellStyle name="Normal 3 7" xfId="90"/>
    <cellStyle name="Normal 3 8" xfId="96"/>
    <cellStyle name="Normal 3 9" xfId="663"/>
    <cellStyle name="Normal 4" xfId="58"/>
    <cellStyle name="Normal 4 2" xfId="644"/>
    <cellStyle name="Normal 5" xfId="65"/>
    <cellStyle name="Normal 5 2" xfId="645"/>
    <cellStyle name="Normal 6" xfId="646"/>
    <cellStyle name="Normal 6 2" xfId="647"/>
    <cellStyle name="Normal 7" xfId="648"/>
    <cellStyle name="Normal 8" xfId="69"/>
    <cellStyle name="Normal 9" xfId="80"/>
    <cellStyle name="Normal_Alpha" xfId="44"/>
    <cellStyle name="Normal_ALPHA_5" xfId="45"/>
    <cellStyle name="Normal_Sheet1" xfId="59"/>
    <cellStyle name="Normal_Supporting FoxLeg" xfId="662"/>
    <cellStyle name="Normal_Supporting Info" xfId="46"/>
    <cellStyle name="Normal_WaterCalc 11 07 08" xfId="47"/>
    <cellStyle name="Normal_zip-tmy2" xfId="48"/>
    <cellStyle name="Note" xfId="49" builtinId="10" customBuiltin="1"/>
    <cellStyle name="Note 10" xfId="194"/>
    <cellStyle name="Note 11" xfId="238"/>
    <cellStyle name="Note 12" xfId="282"/>
    <cellStyle name="Note 13" xfId="326"/>
    <cellStyle name="Note 14" xfId="370"/>
    <cellStyle name="Note 15" xfId="414"/>
    <cellStyle name="Note 16" xfId="458"/>
    <cellStyle name="Note 17" xfId="502"/>
    <cellStyle name="Note 18" xfId="546"/>
    <cellStyle name="Note 19" xfId="590"/>
    <cellStyle name="Note 2" xfId="63"/>
    <cellStyle name="Note 20" xfId="622"/>
    <cellStyle name="Note 3" xfId="74"/>
    <cellStyle name="Note 4" xfId="79"/>
    <cellStyle name="Note 5" xfId="82"/>
    <cellStyle name="Note 6" xfId="86"/>
    <cellStyle name="Note 7" xfId="91"/>
    <cellStyle name="Note 8" xfId="97"/>
    <cellStyle name="Note 9" xfId="150"/>
    <cellStyle name="NumberHideZero" xfId="649"/>
    <cellStyle name="NumberHideZero 2" xfId="650"/>
    <cellStyle name="Ordered" xfId="651"/>
    <cellStyle name="Output" xfId="50" builtinId="21" customBuiltin="1"/>
    <cellStyle name="Output 10" xfId="503"/>
    <cellStyle name="Output 11" xfId="547"/>
    <cellStyle name="Output 12" xfId="591"/>
    <cellStyle name="Output 13" xfId="623"/>
    <cellStyle name="Output 2" xfId="151"/>
    <cellStyle name="Output 3" xfId="195"/>
    <cellStyle name="Output 4" xfId="239"/>
    <cellStyle name="Output 5" xfId="283"/>
    <cellStyle name="Output 6" xfId="327"/>
    <cellStyle name="Output 7" xfId="371"/>
    <cellStyle name="Output 8" xfId="415"/>
    <cellStyle name="Output 9" xfId="459"/>
    <cellStyle name="Percent" xfId="51" builtinId="5"/>
    <cellStyle name="Percent 2" xfId="52"/>
    <cellStyle name="Percent 2 10" xfId="197"/>
    <cellStyle name="Percent 2 11" xfId="241"/>
    <cellStyle name="Percent 2 12" xfId="285"/>
    <cellStyle name="Percent 2 13" xfId="329"/>
    <cellStyle name="Percent 2 14" xfId="373"/>
    <cellStyle name="Percent 2 15" xfId="417"/>
    <cellStyle name="Percent 2 16" xfId="461"/>
    <cellStyle name="Percent 2 17" xfId="505"/>
    <cellStyle name="Percent 2 18" xfId="549"/>
    <cellStyle name="Percent 2 19" xfId="592"/>
    <cellStyle name="Percent 2 2" xfId="64"/>
    <cellStyle name="Percent 2 20" xfId="624"/>
    <cellStyle name="Percent 2 3" xfId="75"/>
    <cellStyle name="Percent 2 4" xfId="81"/>
    <cellStyle name="Percent 2 5" xfId="83"/>
    <cellStyle name="Percent 2 6" xfId="87"/>
    <cellStyle name="Percent 2 7" xfId="92"/>
    <cellStyle name="Percent 2 8" xfId="98"/>
    <cellStyle name="Percent 2 9" xfId="153"/>
    <cellStyle name="Percent 3" xfId="652"/>
    <cellStyle name="Percent 4" xfId="653"/>
    <cellStyle name="Percent 5" xfId="654"/>
    <cellStyle name="Received" xfId="655"/>
    <cellStyle name="Red Font" xfId="656"/>
    <cellStyle name="Subtotal" xfId="657"/>
    <cellStyle name="Title" xfId="53" builtinId="15" customBuiltin="1"/>
    <cellStyle name="Title 10" xfId="506"/>
    <cellStyle name="Title 11" xfId="550"/>
    <cellStyle name="Title 12" xfId="593"/>
    <cellStyle name="Title 13" xfId="625"/>
    <cellStyle name="Title 2" xfId="154"/>
    <cellStyle name="Title 3" xfId="198"/>
    <cellStyle name="Title 4" xfId="242"/>
    <cellStyle name="Title 5" xfId="286"/>
    <cellStyle name="Title 6" xfId="330"/>
    <cellStyle name="Title 7" xfId="374"/>
    <cellStyle name="Title 8" xfId="418"/>
    <cellStyle name="Title 9" xfId="462"/>
    <cellStyle name="Top Border. Aqua" xfId="658"/>
    <cellStyle name="Total" xfId="54" builtinId="25" customBuiltin="1"/>
    <cellStyle name="Total 10" xfId="507"/>
    <cellStyle name="Total 11" xfId="551"/>
    <cellStyle name="Total 12" xfId="594"/>
    <cellStyle name="Total 13" xfId="626"/>
    <cellStyle name="Total 2" xfId="155"/>
    <cellStyle name="Total 3" xfId="199"/>
    <cellStyle name="Total 4" xfId="243"/>
    <cellStyle name="Total 5" xfId="287"/>
    <cellStyle name="Total 6" xfId="331"/>
    <cellStyle name="Total 7" xfId="375"/>
    <cellStyle name="Total 8" xfId="419"/>
    <cellStyle name="Total 9" xfId="463"/>
    <cellStyle name="Unlocked" xfId="659"/>
    <cellStyle name="Warning Text" xfId="55" builtinId="11" customBuiltin="1"/>
    <cellStyle name="Warning Text 10" xfId="508"/>
    <cellStyle name="Warning Text 11" xfId="552"/>
    <cellStyle name="Warning Text 12" xfId="595"/>
    <cellStyle name="Warning Text 13" xfId="627"/>
    <cellStyle name="Warning Text 2" xfId="156"/>
    <cellStyle name="Warning Text 3" xfId="200"/>
    <cellStyle name="Warning Text 4" xfId="244"/>
    <cellStyle name="Warning Text 5" xfId="288"/>
    <cellStyle name="Warning Text 6" xfId="332"/>
    <cellStyle name="Warning Text 7" xfId="376"/>
    <cellStyle name="Warning Text 8" xfId="420"/>
    <cellStyle name="Warning Text 9" xfId="464"/>
  </cellStyles>
  <dxfs count="32">
    <dxf>
      <fill>
        <patternFill>
          <bgColor rgb="FFFF0000"/>
        </patternFill>
      </fill>
    </dxf>
    <dxf>
      <font>
        <color auto="1"/>
      </font>
      <fill>
        <patternFill>
          <bgColor rgb="FFFF0000"/>
        </patternFill>
      </fill>
    </dxf>
    <dxf>
      <font>
        <condense val="0"/>
        <extend val="0"/>
        <color rgb="FF9C0006"/>
      </font>
      <fill>
        <patternFill>
          <bgColor rgb="FFFFC7CE"/>
        </patternFill>
      </fill>
    </dxf>
    <dxf>
      <font>
        <b/>
        <i val="0"/>
        <color auto="1"/>
      </font>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theme="8" tint="0.79998168889431442"/>
        </patternFill>
      </fill>
    </dxf>
    <dxf>
      <fill>
        <patternFill>
          <bgColor theme="8" tint="0.79998168889431442"/>
        </patternFill>
      </fill>
    </dxf>
    <dxf>
      <fill>
        <patternFill>
          <bgColor rgb="FFFFFF00"/>
        </patternFill>
      </fill>
    </dxf>
    <dxf>
      <numFmt numFmtId="216" formatCode="#.###\ &quot;EER&quot;"/>
    </dxf>
    <dxf>
      <numFmt numFmtId="216" formatCode="#.###\ &quot;EER&quot;"/>
    </dxf>
    <dxf>
      <numFmt numFmtId="217" formatCode="##%\ &quot;AFUE&quot;"/>
    </dxf>
    <dxf>
      <numFmt numFmtId="199" formatCode="##%\ &quot;Et&quot;"/>
    </dxf>
    <dxf>
      <numFmt numFmtId="218" formatCode="##%\ &quot;Ec&quot;"/>
    </dxf>
    <dxf>
      <numFmt numFmtId="219" formatCode="#.0\ &quot;COP&quot;"/>
    </dxf>
    <dxf>
      <numFmt numFmtId="220" formatCode="#.0\ &quot;HSPF&quot;"/>
    </dxf>
    <dxf>
      <numFmt numFmtId="217" formatCode="##%\ &quot;AFUE&quot;"/>
    </dxf>
    <dxf>
      <numFmt numFmtId="199" formatCode="##%\ &quot;Et&quot;"/>
    </dxf>
    <dxf>
      <numFmt numFmtId="218" formatCode="##%\ &quot;Ec&quot;"/>
    </dxf>
    <dxf>
      <numFmt numFmtId="219" formatCode="#.0\ &quot;COP&quot;"/>
    </dxf>
    <dxf>
      <numFmt numFmtId="220" formatCode="#.0\ &quot;HSPF&quot;"/>
    </dxf>
    <dxf>
      <numFmt numFmtId="217" formatCode="##%\ &quot;AFUE&quot;"/>
    </dxf>
    <dxf>
      <numFmt numFmtId="199" formatCode="##%\ &quot;Et&quot;"/>
    </dxf>
    <dxf>
      <numFmt numFmtId="218" formatCode="##%\ &quot;Ec&quot;"/>
    </dxf>
    <dxf>
      <numFmt numFmtId="219" formatCode="#.0\ &quot;COP&quot;"/>
    </dxf>
    <dxf>
      <numFmt numFmtId="220" formatCode="#.0\ &quot;HSPF&quot;"/>
    </dxf>
    <dxf>
      <numFmt numFmtId="221" formatCode="0.#0\ &quot;EF&quot;"/>
    </dxf>
    <dxf>
      <fill>
        <patternFill patternType="lightDown">
          <fgColor theme="0"/>
          <bgColor theme="0" tint="-0.24994659260841701"/>
        </patternFill>
      </fill>
    </dxf>
    <dxf>
      <fill>
        <patternFill patternType="lightDown">
          <fgColor theme="0"/>
          <bgColor theme="0" tint="-0.24994659260841701"/>
        </patternFill>
      </fill>
    </dxf>
    <dxf>
      <fill>
        <patternFill patternType="darkDown">
          <fgColor theme="0"/>
          <bgColor theme="0" tint="-0.24994659260841701"/>
        </patternFill>
      </fill>
    </dxf>
    <dxf>
      <numFmt numFmtId="185" formatCode="###\ &quot;kWh/yr&quot;"/>
    </dxf>
  </dxfs>
  <tableStyles count="0" defaultTableStyle="TableStyleMedium9"/>
  <colors>
    <mruColors>
      <color rgb="FFFFFFCC"/>
      <color rgb="FFCC6600"/>
      <color rgb="FFFFFF99"/>
      <color rgb="FFFFCC99"/>
      <color rgb="FFCCFFFF"/>
      <color rgb="FF000000"/>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21307506053268771"/>
          <c:y val="7.9114046297169061E-2"/>
          <c:w val="0.7046004842615079"/>
          <c:h val="0.72152010223018914"/>
        </c:manualLayout>
      </c:layout>
      <c:scatterChart>
        <c:scatterStyle val="lineMarker"/>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layout>
                <c:manualLayout>
                  <c:x val="-0.244163171193644"/>
                  <c:y val="6.1134974363992858E-2"/>
                </c:manualLayout>
              </c:layout>
              <c:numFmt formatCode="General"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trendlineLbl>
          </c:trendline>
          <c:xVal>
            <c:numRef>
              <c:f>'8.2 - VENT_DUCT TIGHTNESS'!$H$80:$H$84</c:f>
              <c:numCache>
                <c:formatCode>0.000</c:formatCode>
                <c:ptCount val="5"/>
                <c:pt idx="0">
                  <c:v>0</c:v>
                </c:pt>
                <c:pt idx="1">
                  <c:v>0</c:v>
                </c:pt>
                <c:pt idx="2">
                  <c:v>0</c:v>
                </c:pt>
                <c:pt idx="3">
                  <c:v>0</c:v>
                </c:pt>
                <c:pt idx="4">
                  <c:v>0</c:v>
                </c:pt>
              </c:numCache>
            </c:numRef>
          </c:xVal>
          <c:yVal>
            <c:numRef>
              <c:f>'8.2 - VENT_DUCT TIGHTNESS'!$I$80:$I$84</c:f>
              <c:numCache>
                <c:formatCode>0.000</c:formatCode>
                <c:ptCount val="5"/>
                <c:pt idx="0">
                  <c:v>0</c:v>
                </c:pt>
                <c:pt idx="1">
                  <c:v>0</c:v>
                </c:pt>
                <c:pt idx="2">
                  <c:v>0</c:v>
                </c:pt>
                <c:pt idx="3">
                  <c:v>0</c:v>
                </c:pt>
                <c:pt idx="4">
                  <c:v>0</c:v>
                </c:pt>
              </c:numCache>
            </c:numRef>
          </c:yVal>
        </c:ser>
        <c:axId val="91520000"/>
        <c:axId val="95167616"/>
      </c:scatterChart>
      <c:valAx>
        <c:axId val="91520000"/>
        <c:scaling>
          <c:orientation val="minMax"/>
        </c:scaling>
        <c:axPos val="b"/>
        <c:title>
          <c:tx>
            <c:rich>
              <a:bodyPr/>
              <a:lstStyle/>
              <a:p>
                <a:pPr>
                  <a:defRPr sz="825" b="1" i="0" u="none" strike="noStrike" baseline="0">
                    <a:solidFill>
                      <a:srgbClr val="000000"/>
                    </a:solidFill>
                    <a:latin typeface="Arial"/>
                    <a:ea typeface="Arial"/>
                    <a:cs typeface="Arial"/>
                  </a:defRPr>
                </a:pPr>
                <a:r>
                  <a:rPr lang="en-US"/>
                  <a:t>LOG (Duct Pa)</a:t>
                </a:r>
              </a:p>
            </c:rich>
          </c:tx>
          <c:layout>
            <c:manualLayout>
              <c:xMode val="edge"/>
              <c:yMode val="edge"/>
              <c:x val="0.46004851666268992"/>
              <c:y val="0.88607739581332756"/>
            </c:manualLayout>
          </c:layout>
          <c:spPr>
            <a:noFill/>
            <a:ln w="25400">
              <a:noFill/>
            </a:ln>
          </c:spPr>
        </c:title>
        <c:numFmt formatCode="0.000" sourceLinked="1"/>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95167616"/>
        <c:crosses val="autoZero"/>
        <c:crossBetween val="midCat"/>
      </c:valAx>
      <c:valAx>
        <c:axId val="95167616"/>
        <c:scaling>
          <c:orientation val="minMax"/>
        </c:scaling>
        <c:axPos val="l"/>
        <c:title>
          <c:tx>
            <c:rich>
              <a:bodyPr/>
              <a:lstStyle/>
              <a:p>
                <a:pPr>
                  <a:defRPr sz="825" b="1" i="0" u="none" strike="noStrike" baseline="0">
                    <a:solidFill>
                      <a:srgbClr val="000000"/>
                    </a:solidFill>
                    <a:latin typeface="Arial"/>
                    <a:ea typeface="Arial"/>
                    <a:cs typeface="Arial"/>
                  </a:defRPr>
                </a:pPr>
                <a:r>
                  <a:rPr lang="en-US"/>
                  <a:t>LOG(CFM)</a:t>
                </a:r>
              </a:p>
            </c:rich>
          </c:tx>
          <c:layout>
            <c:manualLayout>
              <c:xMode val="edge"/>
              <c:yMode val="edge"/>
              <c:x val="3.8740952835441024E-2"/>
              <c:y val="0.34810191409000707"/>
            </c:manualLayout>
          </c:layout>
          <c:spPr>
            <a:noFill/>
            <a:ln w="25400">
              <a:noFill/>
            </a:ln>
          </c:spPr>
        </c:title>
        <c:numFmt formatCode="0.000" sourceLinked="1"/>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91520000"/>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466725</xdr:colOff>
      <xdr:row>68</xdr:row>
      <xdr:rowOff>114300</xdr:rowOff>
    </xdr:from>
    <xdr:to>
      <xdr:col>9</xdr:col>
      <xdr:colOff>0</xdr:colOff>
      <xdr:row>90</xdr:row>
      <xdr:rowOff>152400</xdr:rowOff>
    </xdr:to>
    <xdr:grpSp>
      <xdr:nvGrpSpPr>
        <xdr:cNvPr id="2" name="Group 3"/>
        <xdr:cNvGrpSpPr>
          <a:grpSpLocks noChangeAspect="1"/>
        </xdr:cNvGrpSpPr>
      </xdr:nvGrpSpPr>
      <xdr:grpSpPr bwMode="auto">
        <a:xfrm>
          <a:off x="2143125" y="22955250"/>
          <a:ext cx="7724775" cy="3390900"/>
          <a:chOff x="269" y="1404"/>
          <a:chExt cx="312" cy="192"/>
        </a:xfrm>
      </xdr:grpSpPr>
      <xdr:sp macro="" textlink="">
        <xdr:nvSpPr>
          <xdr:cNvPr id="3" name="AutoShape 4"/>
          <xdr:cNvSpPr>
            <a:spLocks noChangeAspect="1" noChangeArrowheads="1"/>
          </xdr:cNvSpPr>
        </xdr:nvSpPr>
        <xdr:spPr bwMode="auto">
          <a:xfrm>
            <a:off x="269" y="1404"/>
            <a:ext cx="312" cy="192"/>
          </a:xfrm>
          <a:prstGeom prst="rect">
            <a:avLst/>
          </a:prstGeom>
          <a:noFill/>
          <a:ln w="9525">
            <a:noFill/>
            <a:miter lim="800000"/>
            <a:headEnd/>
            <a:tailEnd/>
          </a:ln>
        </xdr:spPr>
      </xdr: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619125</xdr:colOff>
      <xdr:row>85</xdr:row>
      <xdr:rowOff>47625</xdr:rowOff>
    </xdr:from>
    <xdr:to>
      <xdr:col>8</xdr:col>
      <xdr:colOff>466725</xdr:colOff>
      <xdr:row>103</xdr:row>
      <xdr:rowOff>104775</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114300</xdr:colOff>
      <xdr:row>4</xdr:row>
      <xdr:rowOff>47625</xdr:rowOff>
    </xdr:from>
    <xdr:to>
      <xdr:col>8</xdr:col>
      <xdr:colOff>800100</xdr:colOff>
      <xdr:row>8</xdr:row>
      <xdr:rowOff>0</xdr:rowOff>
    </xdr:to>
    <xdr:sp macro="" textlink="">
      <xdr:nvSpPr>
        <xdr:cNvPr id="2" name="Text Box 1"/>
        <xdr:cNvSpPr txBox="1">
          <a:spLocks noChangeArrowheads="1"/>
        </xdr:cNvSpPr>
      </xdr:nvSpPr>
      <xdr:spPr bwMode="auto">
        <a:xfrm>
          <a:off x="723900" y="1181100"/>
          <a:ext cx="4762500" cy="600075"/>
        </a:xfrm>
        <a:prstGeom prst="rect">
          <a:avLst/>
        </a:prstGeom>
        <a:solidFill>
          <a:srgbClr val="FFFF99"/>
        </a:solidFill>
        <a:ln w="9525">
          <a:noFill/>
          <a:miter lim="800000"/>
          <a:headEnd/>
          <a:tailEnd/>
        </a:ln>
        <a:effectLst/>
      </xdr:spPr>
      <xdr:txBody>
        <a:bodyPr vertOverflow="clip" wrap="square" lIns="27432" tIns="22860" rIns="0" bIns="0" anchor="t" upright="1"/>
        <a:lstStyle/>
        <a:p>
          <a:pPr algn="l" rtl="0">
            <a:defRPr sz="1000"/>
          </a:pPr>
          <a:r>
            <a:rPr lang="en-US" sz="1000" b="0" i="1" strike="noStrike">
              <a:solidFill>
                <a:srgbClr val="333399"/>
              </a:solidFill>
              <a:latin typeface="Arial"/>
              <a:cs typeface="Arial"/>
            </a:rPr>
            <a:t>The Multi-Family Building Design Assistant quantifies the projected performance of a user defined multi-family building relative to E</a:t>
          </a:r>
          <a:r>
            <a:rPr lang="en-US" sz="800" b="0" i="1" strike="noStrike">
              <a:solidFill>
                <a:srgbClr val="333399"/>
              </a:solidFill>
              <a:latin typeface="Arial"/>
              <a:cs typeface="Arial"/>
            </a:rPr>
            <a:t>NERGY</a:t>
          </a:r>
          <a:r>
            <a:rPr lang="en-US" sz="1000" b="0" i="1" strike="noStrike">
              <a:solidFill>
                <a:srgbClr val="333399"/>
              </a:solidFill>
              <a:latin typeface="Arial"/>
              <a:cs typeface="Arial"/>
            </a:rPr>
            <a:t> S</a:t>
          </a:r>
          <a:r>
            <a:rPr lang="en-US" sz="800" b="0" i="1" strike="noStrike">
              <a:solidFill>
                <a:srgbClr val="333399"/>
              </a:solidFill>
              <a:latin typeface="Arial"/>
              <a:cs typeface="Arial"/>
            </a:rPr>
            <a:t>TAR</a:t>
          </a:r>
          <a:r>
            <a:rPr lang="en-US" sz="1000" b="0" i="1" strike="noStrike">
              <a:solidFill>
                <a:srgbClr val="333399"/>
              </a:solidFill>
              <a:latin typeface="Arial"/>
              <a:cs typeface="Arial"/>
            </a:rPr>
            <a:t> where a score of 75 or greater denotes performance among the nation's top 25%.  For definitions or help on the terms below, simply click-on any underlined text.  Click-on "Return" text to come back to this page.  To use this tool you will need to have previously calculated the building's annual energy consumption by fuel type.  Provide entries for your building below.</a:t>
          </a:r>
        </a:p>
      </xdr:txBody>
    </xdr:sp>
    <xdr:clientData/>
  </xdr:twoCellAnchor>
  <xdr:twoCellAnchor>
    <xdr:from>
      <xdr:col>1</xdr:col>
      <xdr:colOff>114300</xdr:colOff>
      <xdr:row>4</xdr:row>
      <xdr:rowOff>47625</xdr:rowOff>
    </xdr:from>
    <xdr:to>
      <xdr:col>8</xdr:col>
      <xdr:colOff>800100</xdr:colOff>
      <xdr:row>8</xdr:row>
      <xdr:rowOff>0</xdr:rowOff>
    </xdr:to>
    <xdr:sp macro="" textlink="">
      <xdr:nvSpPr>
        <xdr:cNvPr id="4" name="Text Box 1"/>
        <xdr:cNvSpPr txBox="1">
          <a:spLocks noChangeArrowheads="1"/>
        </xdr:cNvSpPr>
      </xdr:nvSpPr>
      <xdr:spPr bwMode="auto">
        <a:xfrm>
          <a:off x="723900" y="1181100"/>
          <a:ext cx="4762500" cy="600075"/>
        </a:xfrm>
        <a:prstGeom prst="rect">
          <a:avLst/>
        </a:prstGeom>
        <a:solidFill>
          <a:srgbClr val="FFFF99"/>
        </a:solidFill>
        <a:ln w="9525">
          <a:noFill/>
          <a:miter lim="800000"/>
          <a:headEnd/>
          <a:tailEnd/>
        </a:ln>
        <a:effectLst/>
      </xdr:spPr>
      <xdr:txBody>
        <a:bodyPr vertOverflow="clip" wrap="square" lIns="27432" tIns="22860" rIns="0" bIns="0" anchor="t" upright="1"/>
        <a:lstStyle/>
        <a:p>
          <a:pPr algn="l" rtl="0">
            <a:defRPr sz="1000"/>
          </a:pPr>
          <a:r>
            <a:rPr lang="en-US" sz="1000" b="0" i="1" strike="noStrike">
              <a:solidFill>
                <a:srgbClr val="333399"/>
              </a:solidFill>
              <a:latin typeface="Arial"/>
              <a:cs typeface="Arial"/>
            </a:rPr>
            <a:t>The Multi-Family Building Design Assistant quantifies the projected performance of a user defined multi-family building relative to E</a:t>
          </a:r>
          <a:r>
            <a:rPr lang="en-US" sz="800" b="0" i="1" strike="noStrike">
              <a:solidFill>
                <a:srgbClr val="333399"/>
              </a:solidFill>
              <a:latin typeface="Arial"/>
              <a:cs typeface="Arial"/>
            </a:rPr>
            <a:t>NERGY</a:t>
          </a:r>
          <a:r>
            <a:rPr lang="en-US" sz="1000" b="0" i="1" strike="noStrike">
              <a:solidFill>
                <a:srgbClr val="333399"/>
              </a:solidFill>
              <a:latin typeface="Arial"/>
              <a:cs typeface="Arial"/>
            </a:rPr>
            <a:t> S</a:t>
          </a:r>
          <a:r>
            <a:rPr lang="en-US" sz="800" b="0" i="1" strike="noStrike">
              <a:solidFill>
                <a:srgbClr val="333399"/>
              </a:solidFill>
              <a:latin typeface="Arial"/>
              <a:cs typeface="Arial"/>
            </a:rPr>
            <a:t>TAR</a:t>
          </a:r>
          <a:r>
            <a:rPr lang="en-US" sz="1000" b="0" i="1" strike="noStrike">
              <a:solidFill>
                <a:srgbClr val="333399"/>
              </a:solidFill>
              <a:latin typeface="Arial"/>
              <a:cs typeface="Arial"/>
            </a:rPr>
            <a:t> where a score of 75 or greater denotes performance among the nation's top 25%. To use this tool you will need to have previously calculated the building's annual energy consumption by fuel type.  Provide entries for your building below.</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114300</xdr:colOff>
      <xdr:row>4</xdr:row>
      <xdr:rowOff>47625</xdr:rowOff>
    </xdr:from>
    <xdr:to>
      <xdr:col>8</xdr:col>
      <xdr:colOff>800100</xdr:colOff>
      <xdr:row>8</xdr:row>
      <xdr:rowOff>0</xdr:rowOff>
    </xdr:to>
    <xdr:sp macro="" textlink="">
      <xdr:nvSpPr>
        <xdr:cNvPr id="2" name="Text Box 1"/>
        <xdr:cNvSpPr txBox="1">
          <a:spLocks noChangeArrowheads="1"/>
        </xdr:cNvSpPr>
      </xdr:nvSpPr>
      <xdr:spPr bwMode="auto">
        <a:xfrm>
          <a:off x="723900" y="1019175"/>
          <a:ext cx="4762500" cy="600075"/>
        </a:xfrm>
        <a:prstGeom prst="rect">
          <a:avLst/>
        </a:prstGeom>
        <a:solidFill>
          <a:srgbClr val="FFFF99"/>
        </a:solidFill>
        <a:ln w="9525">
          <a:noFill/>
          <a:miter lim="800000"/>
          <a:headEnd/>
          <a:tailEnd/>
        </a:ln>
        <a:effectLst/>
      </xdr:spPr>
      <xdr:txBody>
        <a:bodyPr vertOverflow="clip" wrap="square" lIns="27432" tIns="22860" rIns="0" bIns="0" anchor="t" upright="1"/>
        <a:lstStyle/>
        <a:p>
          <a:pPr algn="l" rtl="0">
            <a:defRPr sz="1000"/>
          </a:pPr>
          <a:r>
            <a:rPr lang="en-US" sz="1000" b="0" i="1" strike="noStrike">
              <a:solidFill>
                <a:srgbClr val="333399"/>
              </a:solidFill>
              <a:latin typeface="Arial"/>
              <a:cs typeface="Arial"/>
            </a:rPr>
            <a:t>The Multi-Family Building Design Assistant quantifies the projected performance of a user defined multi-family building relative to E</a:t>
          </a:r>
          <a:r>
            <a:rPr lang="en-US" sz="800" b="0" i="1" strike="noStrike">
              <a:solidFill>
                <a:srgbClr val="333399"/>
              </a:solidFill>
              <a:latin typeface="Arial"/>
              <a:cs typeface="Arial"/>
            </a:rPr>
            <a:t>NERGY</a:t>
          </a:r>
          <a:r>
            <a:rPr lang="en-US" sz="1000" b="0" i="1" strike="noStrike">
              <a:solidFill>
                <a:srgbClr val="333399"/>
              </a:solidFill>
              <a:latin typeface="Arial"/>
              <a:cs typeface="Arial"/>
            </a:rPr>
            <a:t> S</a:t>
          </a:r>
          <a:r>
            <a:rPr lang="en-US" sz="800" b="0" i="1" strike="noStrike">
              <a:solidFill>
                <a:srgbClr val="333399"/>
              </a:solidFill>
              <a:latin typeface="Arial"/>
              <a:cs typeface="Arial"/>
            </a:rPr>
            <a:t>TAR</a:t>
          </a:r>
          <a:r>
            <a:rPr lang="en-US" sz="1000" b="0" i="1" strike="noStrike">
              <a:solidFill>
                <a:srgbClr val="333399"/>
              </a:solidFill>
              <a:latin typeface="Arial"/>
              <a:cs typeface="Arial"/>
            </a:rPr>
            <a:t> where a score of 75 or greater denotes performance among the nation's top 25%.  For definitions or help on the terms below, simply click-on any underlined text.  Click-on "Return" text to come back to this page.  To use this tool you will need to have previously calculated the building's annual energy consumption by fuel type.  Provide entries for your building below.</a:t>
          </a:r>
        </a:p>
      </xdr:txBody>
    </xdr:sp>
    <xdr:clientData/>
  </xdr:twoCellAnchor>
  <xdr:twoCellAnchor>
    <xdr:from>
      <xdr:col>1</xdr:col>
      <xdr:colOff>114300</xdr:colOff>
      <xdr:row>4</xdr:row>
      <xdr:rowOff>47625</xdr:rowOff>
    </xdr:from>
    <xdr:to>
      <xdr:col>8</xdr:col>
      <xdr:colOff>800100</xdr:colOff>
      <xdr:row>8</xdr:row>
      <xdr:rowOff>0</xdr:rowOff>
    </xdr:to>
    <xdr:sp macro="" textlink="">
      <xdr:nvSpPr>
        <xdr:cNvPr id="4" name="Text Box 1"/>
        <xdr:cNvSpPr txBox="1">
          <a:spLocks noChangeArrowheads="1"/>
        </xdr:cNvSpPr>
      </xdr:nvSpPr>
      <xdr:spPr bwMode="auto">
        <a:xfrm>
          <a:off x="723900" y="1019175"/>
          <a:ext cx="4762500" cy="600075"/>
        </a:xfrm>
        <a:prstGeom prst="rect">
          <a:avLst/>
        </a:prstGeom>
        <a:solidFill>
          <a:srgbClr val="FFFF99"/>
        </a:solidFill>
        <a:ln w="9525">
          <a:noFill/>
          <a:miter lim="800000"/>
          <a:headEnd/>
          <a:tailEnd/>
        </a:ln>
        <a:effectLst/>
      </xdr:spPr>
      <xdr:txBody>
        <a:bodyPr vertOverflow="clip" wrap="square" lIns="27432" tIns="22860" rIns="0" bIns="0" anchor="t" upright="1"/>
        <a:lstStyle/>
        <a:p>
          <a:pPr algn="l" rtl="0">
            <a:defRPr sz="1000"/>
          </a:pPr>
          <a:r>
            <a:rPr lang="en-US" sz="1000" b="0" i="1" strike="noStrike">
              <a:solidFill>
                <a:srgbClr val="333399"/>
              </a:solidFill>
              <a:latin typeface="Arial"/>
              <a:cs typeface="Arial"/>
            </a:rPr>
            <a:t>The Multi-Family Building Design Assistant quantifies the projected performance of a user defined multi-family building relative to E</a:t>
          </a:r>
          <a:r>
            <a:rPr lang="en-US" sz="800" b="0" i="1" strike="noStrike">
              <a:solidFill>
                <a:srgbClr val="333399"/>
              </a:solidFill>
              <a:latin typeface="Arial"/>
              <a:cs typeface="Arial"/>
            </a:rPr>
            <a:t>NERGY</a:t>
          </a:r>
          <a:r>
            <a:rPr lang="en-US" sz="1000" b="0" i="1" strike="noStrike">
              <a:solidFill>
                <a:srgbClr val="333399"/>
              </a:solidFill>
              <a:latin typeface="Arial"/>
              <a:cs typeface="Arial"/>
            </a:rPr>
            <a:t> S</a:t>
          </a:r>
          <a:r>
            <a:rPr lang="en-US" sz="800" b="0" i="1" strike="noStrike">
              <a:solidFill>
                <a:srgbClr val="333399"/>
              </a:solidFill>
              <a:latin typeface="Arial"/>
              <a:cs typeface="Arial"/>
            </a:rPr>
            <a:t>TAR</a:t>
          </a:r>
          <a:r>
            <a:rPr lang="en-US" sz="1000" b="0" i="1" strike="noStrike">
              <a:solidFill>
                <a:srgbClr val="333399"/>
              </a:solidFill>
              <a:latin typeface="Arial"/>
              <a:cs typeface="Arial"/>
            </a:rPr>
            <a:t> where a score of 75 or greater denotes performance among the nation's top 25%.  To use this tool you will need to have previously calculated the building's annual energy consumption by fuel type.  Provide entries for your building below.</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781050</xdr:colOff>
      <xdr:row>15</xdr:row>
      <xdr:rowOff>114300</xdr:rowOff>
    </xdr:from>
    <xdr:to>
      <xdr:col>10</xdr:col>
      <xdr:colOff>38100</xdr:colOff>
      <xdr:row>17</xdr:row>
      <xdr:rowOff>133350</xdr:rowOff>
    </xdr:to>
    <xdr:sp macro="" textlink="">
      <xdr:nvSpPr>
        <xdr:cNvPr id="34862" name="Oval 1"/>
        <xdr:cNvSpPr>
          <a:spLocks noChangeArrowheads="1"/>
        </xdr:cNvSpPr>
      </xdr:nvSpPr>
      <xdr:spPr bwMode="auto">
        <a:xfrm>
          <a:off x="8791575" y="3629025"/>
          <a:ext cx="657225" cy="419100"/>
        </a:xfrm>
        <a:prstGeom prst="ellipse">
          <a:avLst/>
        </a:prstGeom>
        <a:noFill/>
        <a:ln w="38100">
          <a:solidFill>
            <a:srgbClr val="000000"/>
          </a:solidFill>
          <a:round/>
          <a:headEnd/>
          <a:tailEnd/>
        </a:ln>
      </xdr:spPr>
    </xdr:sp>
    <xdr:clientData/>
  </xdr:twoCellAnchor>
  <xdr:twoCellAnchor>
    <xdr:from>
      <xdr:col>9</xdr:col>
      <xdr:colOff>381000</xdr:colOff>
      <xdr:row>17</xdr:row>
      <xdr:rowOff>142875</xdr:rowOff>
    </xdr:from>
    <xdr:to>
      <xdr:col>10</xdr:col>
      <xdr:colOff>457200</xdr:colOff>
      <xdr:row>46</xdr:row>
      <xdr:rowOff>66675</xdr:rowOff>
    </xdr:to>
    <xdr:sp macro="" textlink="">
      <xdr:nvSpPr>
        <xdr:cNvPr id="34863" name="Line 2"/>
        <xdr:cNvSpPr>
          <a:spLocks noChangeShapeType="1"/>
        </xdr:cNvSpPr>
      </xdr:nvSpPr>
      <xdr:spPr bwMode="auto">
        <a:xfrm flipH="1" flipV="1">
          <a:off x="9182100" y="4057650"/>
          <a:ext cx="685800" cy="4429125"/>
        </a:xfrm>
        <a:prstGeom prst="line">
          <a:avLst/>
        </a:prstGeom>
        <a:noFill/>
        <a:ln w="19050">
          <a:solidFill>
            <a:srgbClr val="000000"/>
          </a:solidFill>
          <a:round/>
          <a:headEnd type="triangle" w="med" len="med"/>
          <a:tailEnd/>
        </a:ln>
      </xdr:spPr>
    </xdr:sp>
    <xdr:clientData/>
  </xdr:twoCellAnchor>
  <xdr:twoCellAnchor>
    <xdr:from>
      <xdr:col>5</xdr:col>
      <xdr:colOff>714375</xdr:colOff>
      <xdr:row>36</xdr:row>
      <xdr:rowOff>9525</xdr:rowOff>
    </xdr:from>
    <xdr:to>
      <xdr:col>7</xdr:col>
      <xdr:colOff>66675</xdr:colOff>
      <xdr:row>40</xdr:row>
      <xdr:rowOff>66675</xdr:rowOff>
    </xdr:to>
    <xdr:sp macro="" textlink="">
      <xdr:nvSpPr>
        <xdr:cNvPr id="34864" name="Oval 3"/>
        <xdr:cNvSpPr>
          <a:spLocks noChangeArrowheads="1"/>
        </xdr:cNvSpPr>
      </xdr:nvSpPr>
      <xdr:spPr bwMode="auto">
        <a:xfrm>
          <a:off x="6448425" y="6562725"/>
          <a:ext cx="1019175" cy="838200"/>
        </a:xfrm>
        <a:prstGeom prst="ellipse">
          <a:avLst/>
        </a:prstGeom>
        <a:noFill/>
        <a:ln w="38100">
          <a:solidFill>
            <a:srgbClr val="000000"/>
          </a:solidFill>
          <a:round/>
          <a:headEnd/>
          <a:tailEnd/>
        </a:ln>
      </xdr:spPr>
    </xdr:sp>
    <xdr:clientData/>
  </xdr:twoCellAnchor>
  <xdr:twoCellAnchor>
    <xdr:from>
      <xdr:col>6</xdr:col>
      <xdr:colOff>542925</xdr:colOff>
      <xdr:row>8</xdr:row>
      <xdr:rowOff>76200</xdr:rowOff>
    </xdr:from>
    <xdr:to>
      <xdr:col>9</xdr:col>
      <xdr:colOff>400050</xdr:colOff>
      <xdr:row>36</xdr:row>
      <xdr:rowOff>38100</xdr:rowOff>
    </xdr:to>
    <xdr:sp macro="" textlink="">
      <xdr:nvSpPr>
        <xdr:cNvPr id="34865" name="Line 4"/>
        <xdr:cNvSpPr>
          <a:spLocks noChangeShapeType="1"/>
        </xdr:cNvSpPr>
      </xdr:nvSpPr>
      <xdr:spPr bwMode="auto">
        <a:xfrm flipV="1">
          <a:off x="7191375" y="1724025"/>
          <a:ext cx="2009775" cy="4867275"/>
        </a:xfrm>
        <a:prstGeom prst="line">
          <a:avLst/>
        </a:prstGeom>
        <a:noFill/>
        <a:ln w="9525">
          <a:solidFill>
            <a:srgbClr val="000000"/>
          </a:solidFill>
          <a:round/>
          <a:headEnd/>
          <a:tailEnd type="triangle" w="med" len="med"/>
        </a:ln>
      </xdr:spPr>
    </xdr:sp>
    <xdr:clientData/>
  </xdr:twoCellAnchor>
  <xdr:twoCellAnchor>
    <xdr:from>
      <xdr:col>3</xdr:col>
      <xdr:colOff>9525</xdr:colOff>
      <xdr:row>38</xdr:row>
      <xdr:rowOff>85725</xdr:rowOff>
    </xdr:from>
    <xdr:to>
      <xdr:col>3</xdr:col>
      <xdr:colOff>1209675</xdr:colOff>
      <xdr:row>45</xdr:row>
      <xdr:rowOff>85725</xdr:rowOff>
    </xdr:to>
    <xdr:sp macro="" textlink="">
      <xdr:nvSpPr>
        <xdr:cNvPr id="34866" name="Oval 5"/>
        <xdr:cNvSpPr>
          <a:spLocks noChangeArrowheads="1"/>
        </xdr:cNvSpPr>
      </xdr:nvSpPr>
      <xdr:spPr bwMode="auto">
        <a:xfrm>
          <a:off x="3676650" y="7058025"/>
          <a:ext cx="1200150" cy="1276350"/>
        </a:xfrm>
        <a:prstGeom prst="ellipse">
          <a:avLst/>
        </a:prstGeom>
        <a:noFill/>
        <a:ln w="38100">
          <a:solidFill>
            <a:srgbClr val="000000"/>
          </a:solidFill>
          <a:round/>
          <a:headEnd/>
          <a:tailEnd/>
        </a:ln>
      </xdr:spPr>
    </xdr:sp>
    <xdr:clientData/>
  </xdr:twoCellAnchor>
  <xdr:twoCellAnchor>
    <xdr:from>
      <xdr:col>1</xdr:col>
      <xdr:colOff>76200</xdr:colOff>
      <xdr:row>7</xdr:row>
      <xdr:rowOff>28575</xdr:rowOff>
    </xdr:from>
    <xdr:to>
      <xdr:col>1</xdr:col>
      <xdr:colOff>1133475</xdr:colOff>
      <xdr:row>11</xdr:row>
      <xdr:rowOff>28575</xdr:rowOff>
    </xdr:to>
    <xdr:sp macro="" textlink="">
      <xdr:nvSpPr>
        <xdr:cNvPr id="34867" name="Oval 6"/>
        <xdr:cNvSpPr>
          <a:spLocks noChangeArrowheads="1"/>
        </xdr:cNvSpPr>
      </xdr:nvSpPr>
      <xdr:spPr bwMode="auto">
        <a:xfrm>
          <a:off x="1495425" y="1419225"/>
          <a:ext cx="1057275" cy="857250"/>
        </a:xfrm>
        <a:prstGeom prst="ellipse">
          <a:avLst/>
        </a:prstGeom>
        <a:noFill/>
        <a:ln w="38100">
          <a:solidFill>
            <a:srgbClr val="000000"/>
          </a:solidFill>
          <a:round/>
          <a:headEnd/>
          <a:tailEnd/>
        </a:ln>
      </xdr:spPr>
    </xdr:sp>
    <xdr:clientData/>
  </xdr:twoCellAnchor>
  <xdr:twoCellAnchor>
    <xdr:from>
      <xdr:col>3</xdr:col>
      <xdr:colOff>952500</xdr:colOff>
      <xdr:row>13</xdr:row>
      <xdr:rowOff>66675</xdr:rowOff>
    </xdr:from>
    <xdr:to>
      <xdr:col>9</xdr:col>
      <xdr:colOff>352425</xdr:colOff>
      <xdr:row>38</xdr:row>
      <xdr:rowOff>95250</xdr:rowOff>
    </xdr:to>
    <xdr:sp macro="" textlink="">
      <xdr:nvSpPr>
        <xdr:cNvPr id="34868" name="Line 7"/>
        <xdr:cNvSpPr>
          <a:spLocks noChangeShapeType="1"/>
        </xdr:cNvSpPr>
      </xdr:nvSpPr>
      <xdr:spPr bwMode="auto">
        <a:xfrm flipV="1">
          <a:off x="4619625" y="3181350"/>
          <a:ext cx="4533900" cy="3886200"/>
        </a:xfrm>
        <a:prstGeom prst="line">
          <a:avLst/>
        </a:prstGeom>
        <a:noFill/>
        <a:ln w="9525">
          <a:solidFill>
            <a:srgbClr val="000000"/>
          </a:solidFill>
          <a:round/>
          <a:headEnd/>
          <a:tailEnd type="triangle" w="med" len="med"/>
        </a:ln>
      </xdr:spPr>
    </xdr:sp>
    <xdr:clientData/>
  </xdr:twoCellAnchor>
  <xdr:twoCellAnchor>
    <xdr:from>
      <xdr:col>2</xdr:col>
      <xdr:colOff>28575</xdr:colOff>
      <xdr:row>9</xdr:row>
      <xdr:rowOff>171450</xdr:rowOff>
    </xdr:from>
    <xdr:to>
      <xdr:col>9</xdr:col>
      <xdr:colOff>266700</xdr:colOff>
      <xdr:row>12</xdr:row>
      <xdr:rowOff>523875</xdr:rowOff>
    </xdr:to>
    <xdr:sp macro="" textlink="">
      <xdr:nvSpPr>
        <xdr:cNvPr id="34869" name="Line 8"/>
        <xdr:cNvSpPr>
          <a:spLocks noChangeShapeType="1"/>
        </xdr:cNvSpPr>
      </xdr:nvSpPr>
      <xdr:spPr bwMode="auto">
        <a:xfrm>
          <a:off x="2667000" y="2019300"/>
          <a:ext cx="6400800" cy="962025"/>
        </a:xfrm>
        <a:prstGeom prst="line">
          <a:avLst/>
        </a:prstGeom>
        <a:noFill/>
        <a:ln w="9525">
          <a:solidFill>
            <a:srgbClr val="000000"/>
          </a:solidFill>
          <a:round/>
          <a:headEnd/>
          <a:tailEnd type="triangle" w="med" len="med"/>
        </a:ln>
      </xdr:spPr>
    </xdr:sp>
    <xdr:clientData/>
  </xdr:twoCellAnchor>
  <xdr:twoCellAnchor>
    <xdr:from>
      <xdr:col>2</xdr:col>
      <xdr:colOff>828675</xdr:colOff>
      <xdr:row>46</xdr:row>
      <xdr:rowOff>66675</xdr:rowOff>
    </xdr:from>
    <xdr:to>
      <xdr:col>10</xdr:col>
      <xdr:colOff>447675</xdr:colOff>
      <xdr:row>50</xdr:row>
      <xdr:rowOff>85725</xdr:rowOff>
    </xdr:to>
    <xdr:sp macro="" textlink="">
      <xdr:nvSpPr>
        <xdr:cNvPr id="34870" name="Line 9"/>
        <xdr:cNvSpPr>
          <a:spLocks noChangeShapeType="1"/>
        </xdr:cNvSpPr>
      </xdr:nvSpPr>
      <xdr:spPr bwMode="auto">
        <a:xfrm flipV="1">
          <a:off x="3467100" y="8486775"/>
          <a:ext cx="6391275" cy="857250"/>
        </a:xfrm>
        <a:prstGeom prst="line">
          <a:avLst/>
        </a:prstGeom>
        <a:noFill/>
        <a:ln w="19050">
          <a:solidFill>
            <a:srgbClr val="000000"/>
          </a:solidFill>
          <a:round/>
          <a:headEnd type="triangle" w="med" len="med"/>
          <a:tailEnd/>
        </a:ln>
      </xdr:spPr>
    </xdr:sp>
    <xdr:clientData/>
  </xdr:twoCellAnchor>
  <xdr:twoCellAnchor>
    <xdr:from>
      <xdr:col>8</xdr:col>
      <xdr:colOff>781050</xdr:colOff>
      <xdr:row>15</xdr:row>
      <xdr:rowOff>114300</xdr:rowOff>
    </xdr:from>
    <xdr:to>
      <xdr:col>10</xdr:col>
      <xdr:colOff>38100</xdr:colOff>
      <xdr:row>17</xdr:row>
      <xdr:rowOff>133350</xdr:rowOff>
    </xdr:to>
    <xdr:sp macro="" textlink="">
      <xdr:nvSpPr>
        <xdr:cNvPr id="11" name="Oval 1"/>
        <xdr:cNvSpPr>
          <a:spLocks noChangeArrowheads="1"/>
        </xdr:cNvSpPr>
      </xdr:nvSpPr>
      <xdr:spPr bwMode="auto">
        <a:xfrm>
          <a:off x="8791575" y="3629025"/>
          <a:ext cx="657225" cy="419100"/>
        </a:xfrm>
        <a:prstGeom prst="ellipse">
          <a:avLst/>
        </a:prstGeom>
        <a:noFill/>
        <a:ln w="38100">
          <a:solidFill>
            <a:srgbClr val="000000"/>
          </a:solidFill>
          <a:round/>
          <a:headEnd/>
          <a:tailEnd/>
        </a:ln>
      </xdr:spPr>
    </xdr:sp>
    <xdr:clientData/>
  </xdr:twoCellAnchor>
  <xdr:twoCellAnchor>
    <xdr:from>
      <xdr:col>9</xdr:col>
      <xdr:colOff>381000</xdr:colOff>
      <xdr:row>17</xdr:row>
      <xdr:rowOff>142875</xdr:rowOff>
    </xdr:from>
    <xdr:to>
      <xdr:col>10</xdr:col>
      <xdr:colOff>457200</xdr:colOff>
      <xdr:row>46</xdr:row>
      <xdr:rowOff>66675</xdr:rowOff>
    </xdr:to>
    <xdr:sp macro="" textlink="">
      <xdr:nvSpPr>
        <xdr:cNvPr id="12" name="Line 2"/>
        <xdr:cNvSpPr>
          <a:spLocks noChangeShapeType="1"/>
        </xdr:cNvSpPr>
      </xdr:nvSpPr>
      <xdr:spPr bwMode="auto">
        <a:xfrm flipH="1" flipV="1">
          <a:off x="9182100" y="4057650"/>
          <a:ext cx="685800" cy="4429125"/>
        </a:xfrm>
        <a:prstGeom prst="line">
          <a:avLst/>
        </a:prstGeom>
        <a:noFill/>
        <a:ln w="19050">
          <a:solidFill>
            <a:srgbClr val="000000"/>
          </a:solidFill>
          <a:round/>
          <a:headEnd type="triangle" w="med" len="med"/>
          <a:tailEnd/>
        </a:ln>
      </xdr:spPr>
    </xdr:sp>
    <xdr:clientData/>
  </xdr:twoCellAnchor>
  <xdr:twoCellAnchor>
    <xdr:from>
      <xdr:col>5</xdr:col>
      <xdr:colOff>714375</xdr:colOff>
      <xdr:row>36</xdr:row>
      <xdr:rowOff>9525</xdr:rowOff>
    </xdr:from>
    <xdr:to>
      <xdr:col>7</xdr:col>
      <xdr:colOff>66675</xdr:colOff>
      <xdr:row>40</xdr:row>
      <xdr:rowOff>66675</xdr:rowOff>
    </xdr:to>
    <xdr:sp macro="" textlink="">
      <xdr:nvSpPr>
        <xdr:cNvPr id="13" name="Oval 3"/>
        <xdr:cNvSpPr>
          <a:spLocks noChangeArrowheads="1"/>
        </xdr:cNvSpPr>
      </xdr:nvSpPr>
      <xdr:spPr bwMode="auto">
        <a:xfrm>
          <a:off x="6448425" y="6562725"/>
          <a:ext cx="1019175" cy="838200"/>
        </a:xfrm>
        <a:prstGeom prst="ellipse">
          <a:avLst/>
        </a:prstGeom>
        <a:noFill/>
        <a:ln w="38100">
          <a:solidFill>
            <a:srgbClr val="000000"/>
          </a:solidFill>
          <a:round/>
          <a:headEnd/>
          <a:tailEnd/>
        </a:ln>
      </xdr:spPr>
    </xdr:sp>
    <xdr:clientData/>
  </xdr:twoCellAnchor>
  <xdr:twoCellAnchor>
    <xdr:from>
      <xdr:col>6</xdr:col>
      <xdr:colOff>542925</xdr:colOff>
      <xdr:row>8</xdr:row>
      <xdr:rowOff>76200</xdr:rowOff>
    </xdr:from>
    <xdr:to>
      <xdr:col>9</xdr:col>
      <xdr:colOff>400050</xdr:colOff>
      <xdr:row>36</xdr:row>
      <xdr:rowOff>38100</xdr:rowOff>
    </xdr:to>
    <xdr:sp macro="" textlink="">
      <xdr:nvSpPr>
        <xdr:cNvPr id="14" name="Line 4"/>
        <xdr:cNvSpPr>
          <a:spLocks noChangeShapeType="1"/>
        </xdr:cNvSpPr>
      </xdr:nvSpPr>
      <xdr:spPr bwMode="auto">
        <a:xfrm flipV="1">
          <a:off x="7191375" y="1724025"/>
          <a:ext cx="2009775" cy="4867275"/>
        </a:xfrm>
        <a:prstGeom prst="line">
          <a:avLst/>
        </a:prstGeom>
        <a:noFill/>
        <a:ln w="9525">
          <a:solidFill>
            <a:srgbClr val="000000"/>
          </a:solidFill>
          <a:round/>
          <a:headEnd/>
          <a:tailEnd type="triangle" w="med" len="med"/>
        </a:ln>
      </xdr:spPr>
    </xdr:sp>
    <xdr:clientData/>
  </xdr:twoCellAnchor>
  <xdr:twoCellAnchor>
    <xdr:from>
      <xdr:col>3</xdr:col>
      <xdr:colOff>9525</xdr:colOff>
      <xdr:row>38</xdr:row>
      <xdr:rowOff>85725</xdr:rowOff>
    </xdr:from>
    <xdr:to>
      <xdr:col>3</xdr:col>
      <xdr:colOff>1209675</xdr:colOff>
      <xdr:row>45</xdr:row>
      <xdr:rowOff>85725</xdr:rowOff>
    </xdr:to>
    <xdr:sp macro="" textlink="">
      <xdr:nvSpPr>
        <xdr:cNvPr id="15" name="Oval 5"/>
        <xdr:cNvSpPr>
          <a:spLocks noChangeArrowheads="1"/>
        </xdr:cNvSpPr>
      </xdr:nvSpPr>
      <xdr:spPr bwMode="auto">
        <a:xfrm>
          <a:off x="3676650" y="7058025"/>
          <a:ext cx="1200150" cy="1276350"/>
        </a:xfrm>
        <a:prstGeom prst="ellipse">
          <a:avLst/>
        </a:prstGeom>
        <a:noFill/>
        <a:ln w="38100">
          <a:solidFill>
            <a:srgbClr val="000000"/>
          </a:solidFill>
          <a:round/>
          <a:headEnd/>
          <a:tailEnd/>
        </a:ln>
      </xdr:spPr>
    </xdr:sp>
    <xdr:clientData/>
  </xdr:twoCellAnchor>
  <xdr:twoCellAnchor>
    <xdr:from>
      <xdr:col>1</xdr:col>
      <xdr:colOff>76200</xdr:colOff>
      <xdr:row>7</xdr:row>
      <xdr:rowOff>28575</xdr:rowOff>
    </xdr:from>
    <xdr:to>
      <xdr:col>1</xdr:col>
      <xdr:colOff>1133475</xdr:colOff>
      <xdr:row>11</xdr:row>
      <xdr:rowOff>28575</xdr:rowOff>
    </xdr:to>
    <xdr:sp macro="" textlink="">
      <xdr:nvSpPr>
        <xdr:cNvPr id="16" name="Oval 6"/>
        <xdr:cNvSpPr>
          <a:spLocks noChangeArrowheads="1"/>
        </xdr:cNvSpPr>
      </xdr:nvSpPr>
      <xdr:spPr bwMode="auto">
        <a:xfrm>
          <a:off x="1495425" y="1419225"/>
          <a:ext cx="1057275" cy="857250"/>
        </a:xfrm>
        <a:prstGeom prst="ellipse">
          <a:avLst/>
        </a:prstGeom>
        <a:noFill/>
        <a:ln w="38100">
          <a:solidFill>
            <a:srgbClr val="000000"/>
          </a:solidFill>
          <a:round/>
          <a:headEnd/>
          <a:tailEnd/>
        </a:ln>
      </xdr:spPr>
    </xdr:sp>
    <xdr:clientData/>
  </xdr:twoCellAnchor>
  <xdr:twoCellAnchor>
    <xdr:from>
      <xdr:col>3</xdr:col>
      <xdr:colOff>952500</xdr:colOff>
      <xdr:row>13</xdr:row>
      <xdr:rowOff>66675</xdr:rowOff>
    </xdr:from>
    <xdr:to>
      <xdr:col>9</xdr:col>
      <xdr:colOff>352425</xdr:colOff>
      <xdr:row>38</xdr:row>
      <xdr:rowOff>95250</xdr:rowOff>
    </xdr:to>
    <xdr:sp macro="" textlink="">
      <xdr:nvSpPr>
        <xdr:cNvPr id="17" name="Line 7"/>
        <xdr:cNvSpPr>
          <a:spLocks noChangeShapeType="1"/>
        </xdr:cNvSpPr>
      </xdr:nvSpPr>
      <xdr:spPr bwMode="auto">
        <a:xfrm flipV="1">
          <a:off x="4619625" y="3181350"/>
          <a:ext cx="4533900" cy="3886200"/>
        </a:xfrm>
        <a:prstGeom prst="line">
          <a:avLst/>
        </a:prstGeom>
        <a:noFill/>
        <a:ln w="9525">
          <a:solidFill>
            <a:srgbClr val="000000"/>
          </a:solidFill>
          <a:round/>
          <a:headEnd/>
          <a:tailEnd type="triangle" w="med" len="med"/>
        </a:ln>
      </xdr:spPr>
    </xdr:sp>
    <xdr:clientData/>
  </xdr:twoCellAnchor>
  <xdr:twoCellAnchor>
    <xdr:from>
      <xdr:col>2</xdr:col>
      <xdr:colOff>28575</xdr:colOff>
      <xdr:row>9</xdr:row>
      <xdr:rowOff>171450</xdr:rowOff>
    </xdr:from>
    <xdr:to>
      <xdr:col>9</xdr:col>
      <xdr:colOff>266700</xdr:colOff>
      <xdr:row>12</xdr:row>
      <xdr:rowOff>523875</xdr:rowOff>
    </xdr:to>
    <xdr:sp macro="" textlink="">
      <xdr:nvSpPr>
        <xdr:cNvPr id="18" name="Line 8"/>
        <xdr:cNvSpPr>
          <a:spLocks noChangeShapeType="1"/>
        </xdr:cNvSpPr>
      </xdr:nvSpPr>
      <xdr:spPr bwMode="auto">
        <a:xfrm>
          <a:off x="2667000" y="2019300"/>
          <a:ext cx="6400800" cy="962025"/>
        </a:xfrm>
        <a:prstGeom prst="line">
          <a:avLst/>
        </a:prstGeom>
        <a:noFill/>
        <a:ln w="9525">
          <a:solidFill>
            <a:srgbClr val="000000"/>
          </a:solidFill>
          <a:round/>
          <a:headEnd/>
          <a:tailEnd type="triangle" w="med" len="med"/>
        </a:ln>
      </xdr:spPr>
    </xdr:sp>
    <xdr:clientData/>
  </xdr:twoCellAnchor>
  <xdr:twoCellAnchor>
    <xdr:from>
      <xdr:col>2</xdr:col>
      <xdr:colOff>828675</xdr:colOff>
      <xdr:row>46</xdr:row>
      <xdr:rowOff>66675</xdr:rowOff>
    </xdr:from>
    <xdr:to>
      <xdr:col>10</xdr:col>
      <xdr:colOff>447675</xdr:colOff>
      <xdr:row>50</xdr:row>
      <xdr:rowOff>85725</xdr:rowOff>
    </xdr:to>
    <xdr:sp macro="" textlink="">
      <xdr:nvSpPr>
        <xdr:cNvPr id="19" name="Line 9"/>
        <xdr:cNvSpPr>
          <a:spLocks noChangeShapeType="1"/>
        </xdr:cNvSpPr>
      </xdr:nvSpPr>
      <xdr:spPr bwMode="auto">
        <a:xfrm flipV="1">
          <a:off x="3467100" y="8486775"/>
          <a:ext cx="6391275" cy="857250"/>
        </a:xfrm>
        <a:prstGeom prst="line">
          <a:avLst/>
        </a:prstGeom>
        <a:noFill/>
        <a:ln w="19050">
          <a:solidFill>
            <a:srgbClr val="000000"/>
          </a:solidFill>
          <a:round/>
          <a:headEnd type="triangle" w="med" len="me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781050</xdr:colOff>
      <xdr:row>15</xdr:row>
      <xdr:rowOff>114300</xdr:rowOff>
    </xdr:from>
    <xdr:to>
      <xdr:col>10</xdr:col>
      <xdr:colOff>38100</xdr:colOff>
      <xdr:row>17</xdr:row>
      <xdr:rowOff>133350</xdr:rowOff>
    </xdr:to>
    <xdr:sp macro="" textlink="">
      <xdr:nvSpPr>
        <xdr:cNvPr id="36903" name="Oval 1"/>
        <xdr:cNvSpPr>
          <a:spLocks noChangeArrowheads="1"/>
        </xdr:cNvSpPr>
      </xdr:nvSpPr>
      <xdr:spPr bwMode="auto">
        <a:xfrm>
          <a:off x="8791575" y="3629025"/>
          <a:ext cx="657225" cy="419100"/>
        </a:xfrm>
        <a:prstGeom prst="ellipse">
          <a:avLst/>
        </a:prstGeom>
        <a:noFill/>
        <a:ln w="38100">
          <a:solidFill>
            <a:srgbClr val="000000"/>
          </a:solidFill>
          <a:round/>
          <a:headEnd/>
          <a:tailEnd/>
        </a:ln>
      </xdr:spPr>
    </xdr:sp>
    <xdr:clientData/>
  </xdr:twoCellAnchor>
  <xdr:twoCellAnchor>
    <xdr:from>
      <xdr:col>9</xdr:col>
      <xdr:colOff>381000</xdr:colOff>
      <xdr:row>17</xdr:row>
      <xdr:rowOff>142875</xdr:rowOff>
    </xdr:from>
    <xdr:to>
      <xdr:col>10</xdr:col>
      <xdr:colOff>457200</xdr:colOff>
      <xdr:row>46</xdr:row>
      <xdr:rowOff>66675</xdr:rowOff>
    </xdr:to>
    <xdr:sp macro="" textlink="">
      <xdr:nvSpPr>
        <xdr:cNvPr id="36904" name="Line 2"/>
        <xdr:cNvSpPr>
          <a:spLocks noChangeShapeType="1"/>
        </xdr:cNvSpPr>
      </xdr:nvSpPr>
      <xdr:spPr bwMode="auto">
        <a:xfrm flipH="1" flipV="1">
          <a:off x="9182100" y="4057650"/>
          <a:ext cx="685800" cy="4429125"/>
        </a:xfrm>
        <a:prstGeom prst="line">
          <a:avLst/>
        </a:prstGeom>
        <a:noFill/>
        <a:ln w="19050">
          <a:solidFill>
            <a:srgbClr val="000000"/>
          </a:solidFill>
          <a:round/>
          <a:headEnd type="triangle" w="med" len="med"/>
          <a:tailEnd/>
        </a:ln>
      </xdr:spPr>
    </xdr:sp>
    <xdr:clientData/>
  </xdr:twoCellAnchor>
  <xdr:twoCellAnchor>
    <xdr:from>
      <xdr:col>5</xdr:col>
      <xdr:colOff>714375</xdr:colOff>
      <xdr:row>36</xdr:row>
      <xdr:rowOff>9525</xdr:rowOff>
    </xdr:from>
    <xdr:to>
      <xdr:col>7</xdr:col>
      <xdr:colOff>66675</xdr:colOff>
      <xdr:row>40</xdr:row>
      <xdr:rowOff>66675</xdr:rowOff>
    </xdr:to>
    <xdr:sp macro="" textlink="">
      <xdr:nvSpPr>
        <xdr:cNvPr id="36905" name="Oval 3"/>
        <xdr:cNvSpPr>
          <a:spLocks noChangeArrowheads="1"/>
        </xdr:cNvSpPr>
      </xdr:nvSpPr>
      <xdr:spPr bwMode="auto">
        <a:xfrm>
          <a:off x="6448425" y="6562725"/>
          <a:ext cx="1019175" cy="838200"/>
        </a:xfrm>
        <a:prstGeom prst="ellipse">
          <a:avLst/>
        </a:prstGeom>
        <a:noFill/>
        <a:ln w="38100">
          <a:solidFill>
            <a:srgbClr val="000000"/>
          </a:solidFill>
          <a:round/>
          <a:headEnd/>
          <a:tailEnd/>
        </a:ln>
      </xdr:spPr>
    </xdr:sp>
    <xdr:clientData/>
  </xdr:twoCellAnchor>
  <xdr:twoCellAnchor>
    <xdr:from>
      <xdr:col>6</xdr:col>
      <xdr:colOff>542925</xdr:colOff>
      <xdr:row>8</xdr:row>
      <xdr:rowOff>76200</xdr:rowOff>
    </xdr:from>
    <xdr:to>
      <xdr:col>9</xdr:col>
      <xdr:colOff>400050</xdr:colOff>
      <xdr:row>36</xdr:row>
      <xdr:rowOff>38100</xdr:rowOff>
    </xdr:to>
    <xdr:sp macro="" textlink="">
      <xdr:nvSpPr>
        <xdr:cNvPr id="36906" name="Line 4"/>
        <xdr:cNvSpPr>
          <a:spLocks noChangeShapeType="1"/>
        </xdr:cNvSpPr>
      </xdr:nvSpPr>
      <xdr:spPr bwMode="auto">
        <a:xfrm flipV="1">
          <a:off x="7191375" y="1724025"/>
          <a:ext cx="2009775" cy="4867275"/>
        </a:xfrm>
        <a:prstGeom prst="line">
          <a:avLst/>
        </a:prstGeom>
        <a:noFill/>
        <a:ln w="9525">
          <a:solidFill>
            <a:srgbClr val="000000"/>
          </a:solidFill>
          <a:round/>
          <a:headEnd/>
          <a:tailEnd type="triangle" w="med" len="med"/>
        </a:ln>
      </xdr:spPr>
    </xdr:sp>
    <xdr:clientData/>
  </xdr:twoCellAnchor>
  <xdr:twoCellAnchor>
    <xdr:from>
      <xdr:col>3</xdr:col>
      <xdr:colOff>9525</xdr:colOff>
      <xdr:row>38</xdr:row>
      <xdr:rowOff>85725</xdr:rowOff>
    </xdr:from>
    <xdr:to>
      <xdr:col>3</xdr:col>
      <xdr:colOff>1209675</xdr:colOff>
      <xdr:row>45</xdr:row>
      <xdr:rowOff>85725</xdr:rowOff>
    </xdr:to>
    <xdr:sp macro="" textlink="">
      <xdr:nvSpPr>
        <xdr:cNvPr id="36907" name="Oval 5"/>
        <xdr:cNvSpPr>
          <a:spLocks noChangeArrowheads="1"/>
        </xdr:cNvSpPr>
      </xdr:nvSpPr>
      <xdr:spPr bwMode="auto">
        <a:xfrm>
          <a:off x="3676650" y="7058025"/>
          <a:ext cx="1200150" cy="1276350"/>
        </a:xfrm>
        <a:prstGeom prst="ellipse">
          <a:avLst/>
        </a:prstGeom>
        <a:noFill/>
        <a:ln w="38100">
          <a:solidFill>
            <a:srgbClr val="000000"/>
          </a:solidFill>
          <a:round/>
          <a:headEnd/>
          <a:tailEnd/>
        </a:ln>
      </xdr:spPr>
    </xdr:sp>
    <xdr:clientData/>
  </xdr:twoCellAnchor>
  <xdr:twoCellAnchor>
    <xdr:from>
      <xdr:col>1</xdr:col>
      <xdr:colOff>76200</xdr:colOff>
      <xdr:row>7</xdr:row>
      <xdr:rowOff>28575</xdr:rowOff>
    </xdr:from>
    <xdr:to>
      <xdr:col>1</xdr:col>
      <xdr:colOff>1133475</xdr:colOff>
      <xdr:row>11</xdr:row>
      <xdr:rowOff>28575</xdr:rowOff>
    </xdr:to>
    <xdr:sp macro="" textlink="">
      <xdr:nvSpPr>
        <xdr:cNvPr id="36908" name="Oval 6"/>
        <xdr:cNvSpPr>
          <a:spLocks noChangeArrowheads="1"/>
        </xdr:cNvSpPr>
      </xdr:nvSpPr>
      <xdr:spPr bwMode="auto">
        <a:xfrm>
          <a:off x="1495425" y="1419225"/>
          <a:ext cx="1057275" cy="857250"/>
        </a:xfrm>
        <a:prstGeom prst="ellipse">
          <a:avLst/>
        </a:prstGeom>
        <a:noFill/>
        <a:ln w="38100">
          <a:solidFill>
            <a:srgbClr val="000000"/>
          </a:solidFill>
          <a:round/>
          <a:headEnd/>
          <a:tailEnd/>
        </a:ln>
      </xdr:spPr>
    </xdr:sp>
    <xdr:clientData/>
  </xdr:twoCellAnchor>
  <xdr:twoCellAnchor>
    <xdr:from>
      <xdr:col>3</xdr:col>
      <xdr:colOff>952500</xdr:colOff>
      <xdr:row>13</xdr:row>
      <xdr:rowOff>66675</xdr:rowOff>
    </xdr:from>
    <xdr:to>
      <xdr:col>9</xdr:col>
      <xdr:colOff>352425</xdr:colOff>
      <xdr:row>38</xdr:row>
      <xdr:rowOff>95250</xdr:rowOff>
    </xdr:to>
    <xdr:sp macro="" textlink="">
      <xdr:nvSpPr>
        <xdr:cNvPr id="36909" name="Line 7"/>
        <xdr:cNvSpPr>
          <a:spLocks noChangeShapeType="1"/>
        </xdr:cNvSpPr>
      </xdr:nvSpPr>
      <xdr:spPr bwMode="auto">
        <a:xfrm flipV="1">
          <a:off x="4619625" y="3181350"/>
          <a:ext cx="4533900" cy="3886200"/>
        </a:xfrm>
        <a:prstGeom prst="line">
          <a:avLst/>
        </a:prstGeom>
        <a:noFill/>
        <a:ln w="9525">
          <a:solidFill>
            <a:srgbClr val="000000"/>
          </a:solidFill>
          <a:round/>
          <a:headEnd/>
          <a:tailEnd type="triangle" w="med" len="med"/>
        </a:ln>
      </xdr:spPr>
    </xdr:sp>
    <xdr:clientData/>
  </xdr:twoCellAnchor>
  <xdr:twoCellAnchor>
    <xdr:from>
      <xdr:col>2</xdr:col>
      <xdr:colOff>28575</xdr:colOff>
      <xdr:row>9</xdr:row>
      <xdr:rowOff>171450</xdr:rowOff>
    </xdr:from>
    <xdr:to>
      <xdr:col>9</xdr:col>
      <xdr:colOff>266700</xdr:colOff>
      <xdr:row>12</xdr:row>
      <xdr:rowOff>523875</xdr:rowOff>
    </xdr:to>
    <xdr:sp macro="" textlink="">
      <xdr:nvSpPr>
        <xdr:cNvPr id="36910" name="Line 8"/>
        <xdr:cNvSpPr>
          <a:spLocks noChangeShapeType="1"/>
        </xdr:cNvSpPr>
      </xdr:nvSpPr>
      <xdr:spPr bwMode="auto">
        <a:xfrm>
          <a:off x="2667000" y="2019300"/>
          <a:ext cx="6400800" cy="962025"/>
        </a:xfrm>
        <a:prstGeom prst="line">
          <a:avLst/>
        </a:prstGeom>
        <a:noFill/>
        <a:ln w="9525">
          <a:solidFill>
            <a:srgbClr val="000000"/>
          </a:solidFill>
          <a:round/>
          <a:headEnd/>
          <a:tailEnd type="triangle" w="med" len="med"/>
        </a:ln>
      </xdr:spPr>
    </xdr:sp>
    <xdr:clientData/>
  </xdr:twoCellAnchor>
  <xdr:twoCellAnchor>
    <xdr:from>
      <xdr:col>2</xdr:col>
      <xdr:colOff>828675</xdr:colOff>
      <xdr:row>46</xdr:row>
      <xdr:rowOff>66675</xdr:rowOff>
    </xdr:from>
    <xdr:to>
      <xdr:col>10</xdr:col>
      <xdr:colOff>447675</xdr:colOff>
      <xdr:row>50</xdr:row>
      <xdr:rowOff>85725</xdr:rowOff>
    </xdr:to>
    <xdr:sp macro="" textlink="">
      <xdr:nvSpPr>
        <xdr:cNvPr id="36911" name="Line 9"/>
        <xdr:cNvSpPr>
          <a:spLocks noChangeShapeType="1"/>
        </xdr:cNvSpPr>
      </xdr:nvSpPr>
      <xdr:spPr bwMode="auto">
        <a:xfrm flipV="1">
          <a:off x="3467100" y="8486775"/>
          <a:ext cx="6391275" cy="857250"/>
        </a:xfrm>
        <a:prstGeom prst="line">
          <a:avLst/>
        </a:prstGeom>
        <a:noFill/>
        <a:ln w="19050">
          <a:solidFill>
            <a:srgbClr val="000000"/>
          </a:solidFill>
          <a:round/>
          <a:headEnd type="triangle" w="med" len="med"/>
          <a:tailEnd/>
        </a:ln>
      </xdr:spPr>
    </xdr:sp>
    <xdr:clientData/>
  </xdr:twoCellAnchor>
  <xdr:twoCellAnchor>
    <xdr:from>
      <xdr:col>8</xdr:col>
      <xdr:colOff>781050</xdr:colOff>
      <xdr:row>15</xdr:row>
      <xdr:rowOff>114300</xdr:rowOff>
    </xdr:from>
    <xdr:to>
      <xdr:col>10</xdr:col>
      <xdr:colOff>38100</xdr:colOff>
      <xdr:row>17</xdr:row>
      <xdr:rowOff>133350</xdr:rowOff>
    </xdr:to>
    <xdr:sp macro="" textlink="">
      <xdr:nvSpPr>
        <xdr:cNvPr id="11" name="Oval 1"/>
        <xdr:cNvSpPr>
          <a:spLocks noChangeArrowheads="1"/>
        </xdr:cNvSpPr>
      </xdr:nvSpPr>
      <xdr:spPr bwMode="auto">
        <a:xfrm>
          <a:off x="8791575" y="3629025"/>
          <a:ext cx="657225" cy="419100"/>
        </a:xfrm>
        <a:prstGeom prst="ellipse">
          <a:avLst/>
        </a:prstGeom>
        <a:noFill/>
        <a:ln w="38100">
          <a:solidFill>
            <a:srgbClr val="000000"/>
          </a:solidFill>
          <a:round/>
          <a:headEnd/>
          <a:tailEnd/>
        </a:ln>
      </xdr:spPr>
    </xdr:sp>
    <xdr:clientData/>
  </xdr:twoCellAnchor>
  <xdr:twoCellAnchor>
    <xdr:from>
      <xdr:col>9</xdr:col>
      <xdr:colOff>381000</xdr:colOff>
      <xdr:row>17</xdr:row>
      <xdr:rowOff>142875</xdr:rowOff>
    </xdr:from>
    <xdr:to>
      <xdr:col>10</xdr:col>
      <xdr:colOff>457200</xdr:colOff>
      <xdr:row>46</xdr:row>
      <xdr:rowOff>66675</xdr:rowOff>
    </xdr:to>
    <xdr:sp macro="" textlink="">
      <xdr:nvSpPr>
        <xdr:cNvPr id="12" name="Line 2"/>
        <xdr:cNvSpPr>
          <a:spLocks noChangeShapeType="1"/>
        </xdr:cNvSpPr>
      </xdr:nvSpPr>
      <xdr:spPr bwMode="auto">
        <a:xfrm flipH="1" flipV="1">
          <a:off x="9182100" y="4057650"/>
          <a:ext cx="685800" cy="4429125"/>
        </a:xfrm>
        <a:prstGeom prst="line">
          <a:avLst/>
        </a:prstGeom>
        <a:noFill/>
        <a:ln w="19050">
          <a:solidFill>
            <a:srgbClr val="000000"/>
          </a:solidFill>
          <a:round/>
          <a:headEnd type="triangle" w="med" len="med"/>
          <a:tailEnd/>
        </a:ln>
      </xdr:spPr>
    </xdr:sp>
    <xdr:clientData/>
  </xdr:twoCellAnchor>
  <xdr:twoCellAnchor>
    <xdr:from>
      <xdr:col>5</xdr:col>
      <xdr:colOff>714375</xdr:colOff>
      <xdr:row>36</xdr:row>
      <xdr:rowOff>9525</xdr:rowOff>
    </xdr:from>
    <xdr:to>
      <xdr:col>7</xdr:col>
      <xdr:colOff>66675</xdr:colOff>
      <xdr:row>40</xdr:row>
      <xdr:rowOff>66675</xdr:rowOff>
    </xdr:to>
    <xdr:sp macro="" textlink="">
      <xdr:nvSpPr>
        <xdr:cNvPr id="13" name="Oval 3"/>
        <xdr:cNvSpPr>
          <a:spLocks noChangeArrowheads="1"/>
        </xdr:cNvSpPr>
      </xdr:nvSpPr>
      <xdr:spPr bwMode="auto">
        <a:xfrm>
          <a:off x="6448425" y="6562725"/>
          <a:ext cx="1019175" cy="838200"/>
        </a:xfrm>
        <a:prstGeom prst="ellipse">
          <a:avLst/>
        </a:prstGeom>
        <a:noFill/>
        <a:ln w="38100">
          <a:solidFill>
            <a:srgbClr val="000000"/>
          </a:solidFill>
          <a:round/>
          <a:headEnd/>
          <a:tailEnd/>
        </a:ln>
      </xdr:spPr>
    </xdr:sp>
    <xdr:clientData/>
  </xdr:twoCellAnchor>
  <xdr:twoCellAnchor>
    <xdr:from>
      <xdr:col>6</xdr:col>
      <xdr:colOff>542925</xdr:colOff>
      <xdr:row>8</xdr:row>
      <xdr:rowOff>76200</xdr:rowOff>
    </xdr:from>
    <xdr:to>
      <xdr:col>9</xdr:col>
      <xdr:colOff>400050</xdr:colOff>
      <xdr:row>36</xdr:row>
      <xdr:rowOff>38100</xdr:rowOff>
    </xdr:to>
    <xdr:sp macro="" textlink="">
      <xdr:nvSpPr>
        <xdr:cNvPr id="14" name="Line 4"/>
        <xdr:cNvSpPr>
          <a:spLocks noChangeShapeType="1"/>
        </xdr:cNvSpPr>
      </xdr:nvSpPr>
      <xdr:spPr bwMode="auto">
        <a:xfrm flipV="1">
          <a:off x="7191375" y="1724025"/>
          <a:ext cx="2009775" cy="4867275"/>
        </a:xfrm>
        <a:prstGeom prst="line">
          <a:avLst/>
        </a:prstGeom>
        <a:noFill/>
        <a:ln w="9525">
          <a:solidFill>
            <a:srgbClr val="000000"/>
          </a:solidFill>
          <a:round/>
          <a:headEnd/>
          <a:tailEnd type="triangle" w="med" len="med"/>
        </a:ln>
      </xdr:spPr>
    </xdr:sp>
    <xdr:clientData/>
  </xdr:twoCellAnchor>
  <xdr:twoCellAnchor>
    <xdr:from>
      <xdr:col>3</xdr:col>
      <xdr:colOff>9525</xdr:colOff>
      <xdr:row>38</xdr:row>
      <xdr:rowOff>85725</xdr:rowOff>
    </xdr:from>
    <xdr:to>
      <xdr:col>3</xdr:col>
      <xdr:colOff>1209675</xdr:colOff>
      <xdr:row>45</xdr:row>
      <xdr:rowOff>85725</xdr:rowOff>
    </xdr:to>
    <xdr:sp macro="" textlink="">
      <xdr:nvSpPr>
        <xdr:cNvPr id="15" name="Oval 5"/>
        <xdr:cNvSpPr>
          <a:spLocks noChangeArrowheads="1"/>
        </xdr:cNvSpPr>
      </xdr:nvSpPr>
      <xdr:spPr bwMode="auto">
        <a:xfrm>
          <a:off x="3676650" y="7058025"/>
          <a:ext cx="1200150" cy="1276350"/>
        </a:xfrm>
        <a:prstGeom prst="ellipse">
          <a:avLst/>
        </a:prstGeom>
        <a:noFill/>
        <a:ln w="38100">
          <a:solidFill>
            <a:srgbClr val="000000"/>
          </a:solidFill>
          <a:round/>
          <a:headEnd/>
          <a:tailEnd/>
        </a:ln>
      </xdr:spPr>
    </xdr:sp>
    <xdr:clientData/>
  </xdr:twoCellAnchor>
  <xdr:twoCellAnchor>
    <xdr:from>
      <xdr:col>1</xdr:col>
      <xdr:colOff>76200</xdr:colOff>
      <xdr:row>7</xdr:row>
      <xdr:rowOff>28575</xdr:rowOff>
    </xdr:from>
    <xdr:to>
      <xdr:col>1</xdr:col>
      <xdr:colOff>1133475</xdr:colOff>
      <xdr:row>11</xdr:row>
      <xdr:rowOff>28575</xdr:rowOff>
    </xdr:to>
    <xdr:sp macro="" textlink="">
      <xdr:nvSpPr>
        <xdr:cNvPr id="16" name="Oval 6"/>
        <xdr:cNvSpPr>
          <a:spLocks noChangeArrowheads="1"/>
        </xdr:cNvSpPr>
      </xdr:nvSpPr>
      <xdr:spPr bwMode="auto">
        <a:xfrm>
          <a:off x="1495425" y="1419225"/>
          <a:ext cx="1057275" cy="857250"/>
        </a:xfrm>
        <a:prstGeom prst="ellipse">
          <a:avLst/>
        </a:prstGeom>
        <a:noFill/>
        <a:ln w="38100">
          <a:solidFill>
            <a:srgbClr val="000000"/>
          </a:solidFill>
          <a:round/>
          <a:headEnd/>
          <a:tailEnd/>
        </a:ln>
      </xdr:spPr>
    </xdr:sp>
    <xdr:clientData/>
  </xdr:twoCellAnchor>
  <xdr:twoCellAnchor>
    <xdr:from>
      <xdr:col>3</xdr:col>
      <xdr:colOff>952500</xdr:colOff>
      <xdr:row>13</xdr:row>
      <xdr:rowOff>66675</xdr:rowOff>
    </xdr:from>
    <xdr:to>
      <xdr:col>9</xdr:col>
      <xdr:colOff>352425</xdr:colOff>
      <xdr:row>38</xdr:row>
      <xdr:rowOff>95250</xdr:rowOff>
    </xdr:to>
    <xdr:sp macro="" textlink="">
      <xdr:nvSpPr>
        <xdr:cNvPr id="17" name="Line 7"/>
        <xdr:cNvSpPr>
          <a:spLocks noChangeShapeType="1"/>
        </xdr:cNvSpPr>
      </xdr:nvSpPr>
      <xdr:spPr bwMode="auto">
        <a:xfrm flipV="1">
          <a:off x="4619625" y="3181350"/>
          <a:ext cx="4533900" cy="3886200"/>
        </a:xfrm>
        <a:prstGeom prst="line">
          <a:avLst/>
        </a:prstGeom>
        <a:noFill/>
        <a:ln w="9525">
          <a:solidFill>
            <a:srgbClr val="000000"/>
          </a:solidFill>
          <a:round/>
          <a:headEnd/>
          <a:tailEnd type="triangle" w="med" len="med"/>
        </a:ln>
      </xdr:spPr>
    </xdr:sp>
    <xdr:clientData/>
  </xdr:twoCellAnchor>
  <xdr:twoCellAnchor>
    <xdr:from>
      <xdr:col>2</xdr:col>
      <xdr:colOff>28575</xdr:colOff>
      <xdr:row>9</xdr:row>
      <xdr:rowOff>171450</xdr:rowOff>
    </xdr:from>
    <xdr:to>
      <xdr:col>9</xdr:col>
      <xdr:colOff>266700</xdr:colOff>
      <xdr:row>12</xdr:row>
      <xdr:rowOff>523875</xdr:rowOff>
    </xdr:to>
    <xdr:sp macro="" textlink="">
      <xdr:nvSpPr>
        <xdr:cNvPr id="18" name="Line 8"/>
        <xdr:cNvSpPr>
          <a:spLocks noChangeShapeType="1"/>
        </xdr:cNvSpPr>
      </xdr:nvSpPr>
      <xdr:spPr bwMode="auto">
        <a:xfrm>
          <a:off x="2667000" y="2019300"/>
          <a:ext cx="6400800" cy="962025"/>
        </a:xfrm>
        <a:prstGeom prst="line">
          <a:avLst/>
        </a:prstGeom>
        <a:noFill/>
        <a:ln w="9525">
          <a:solidFill>
            <a:srgbClr val="000000"/>
          </a:solidFill>
          <a:round/>
          <a:headEnd/>
          <a:tailEnd type="triangle" w="med" len="med"/>
        </a:ln>
      </xdr:spPr>
    </xdr:sp>
    <xdr:clientData/>
  </xdr:twoCellAnchor>
  <xdr:twoCellAnchor>
    <xdr:from>
      <xdr:col>2</xdr:col>
      <xdr:colOff>828675</xdr:colOff>
      <xdr:row>46</xdr:row>
      <xdr:rowOff>66675</xdr:rowOff>
    </xdr:from>
    <xdr:to>
      <xdr:col>10</xdr:col>
      <xdr:colOff>447675</xdr:colOff>
      <xdr:row>50</xdr:row>
      <xdr:rowOff>85725</xdr:rowOff>
    </xdr:to>
    <xdr:sp macro="" textlink="">
      <xdr:nvSpPr>
        <xdr:cNvPr id="19" name="Line 9"/>
        <xdr:cNvSpPr>
          <a:spLocks noChangeShapeType="1"/>
        </xdr:cNvSpPr>
      </xdr:nvSpPr>
      <xdr:spPr bwMode="auto">
        <a:xfrm flipV="1">
          <a:off x="3467100" y="8486775"/>
          <a:ext cx="6391275" cy="857250"/>
        </a:xfrm>
        <a:prstGeom prst="line">
          <a:avLst/>
        </a:prstGeom>
        <a:noFill/>
        <a:ln w="19050">
          <a:solidFill>
            <a:srgbClr val="000000"/>
          </a:solidFill>
          <a:round/>
          <a:headEnd type="triangle" w="med" len="me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Sbeaulieu\Application%20Data\Microsoft\Excel\Copy%20of%20Benchmarking%20Tool%20%20-%20Final%20Draft%209-2-10a.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Benchmarking Instructions"/>
      <sheetName val="Table Instructions"/>
      <sheetName val="Benchmarking Tool"/>
      <sheetName val="Table 1 ERP Summary"/>
      <sheetName val="Avoided Costs"/>
      <sheetName val="Table 2 Detailed Measures"/>
      <sheetName val="Table 3 Gen'l Project Info"/>
      <sheetName val="Table 4 Required Measures"/>
      <sheetName val="Energy Use Variables"/>
      <sheetName val="Model QC"/>
      <sheetName val="Measure QC"/>
      <sheetName val="Paste TREAT .csv"/>
      <sheetName val="Paste eQUEST .csv"/>
      <sheetName val="QC Form"/>
      <sheetName val="50% Complete"/>
      <sheetName val="Substantial Completion"/>
      <sheetName val="MeasureQC Calcs"/>
      <sheetName val="Incentive Schedule"/>
      <sheetName val="DropDowns"/>
      <sheetName val="Equiv Unit Costs"/>
      <sheetName val="Color Legend"/>
      <sheetName val="Zip Code Finder"/>
      <sheetName val="Help"/>
      <sheetName val="DA Input"/>
      <sheetName val="Locator Map"/>
      <sheetName val="Side Calcs"/>
      <sheetName val="ZipCode Map"/>
      <sheetName val="Cities"/>
      <sheetName val="Side Calcs Yr 2"/>
      <sheetName val="Side Calcs Proj"/>
      <sheetName val="Worksheet - Desig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6">
          <cell r="A6" t="str">
            <v>Appliance - Clothes Washer</v>
          </cell>
        </row>
        <row r="56">
          <cell r="B56">
            <v>0</v>
          </cell>
        </row>
      </sheetData>
      <sheetData sheetId="17" refreshError="1"/>
      <sheetData sheetId="18" refreshError="1">
        <row r="3">
          <cell r="A3" t="str">
            <v>gas - firm</v>
          </cell>
          <cell r="C3" t="str">
            <v>yes</v>
          </cell>
        </row>
        <row r="4">
          <cell r="C4" t="str">
            <v>no</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joesmith@smithllc.com" TargetMode="Externa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6.bin"/><Relationship Id="rId1" Type="http://schemas.openxmlformats.org/officeDocument/2006/relationships/hyperlink" Target="http://www.epa.gov/buildings/label" TargetMode="External"/><Relationship Id="rId4" Type="http://schemas.openxmlformats.org/officeDocument/2006/relationships/vmlDrawing" Target="../drawings/vmlDrawing17.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7.bin"/><Relationship Id="rId1" Type="http://schemas.openxmlformats.org/officeDocument/2006/relationships/hyperlink" Target="http://www.epa.gov/buildings/label" TargetMode="External"/><Relationship Id="rId4" Type="http://schemas.openxmlformats.org/officeDocument/2006/relationships/vmlDrawing" Target="../drawings/vmlDrawing1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Sheet2"/>
  <dimension ref="B2:C38"/>
  <sheetViews>
    <sheetView workbookViewId="0">
      <selection activeCell="C32" sqref="C32"/>
    </sheetView>
  </sheetViews>
  <sheetFormatPr defaultRowHeight="12.75"/>
  <cols>
    <col min="1" max="1" width="2.42578125" style="406" customWidth="1"/>
    <col min="2" max="2" width="29.42578125" style="406" bestFit="1" customWidth="1"/>
    <col min="3" max="3" width="43.42578125" style="406" bestFit="1" customWidth="1"/>
    <col min="4" max="16384" width="9.140625" style="406"/>
  </cols>
  <sheetData>
    <row r="2" spans="2:3" ht="15.75">
      <c r="B2" s="408" t="s">
        <v>2678</v>
      </c>
      <c r="C2" s="408">
        <f>'Reporting Summary'!D16</f>
        <v>0</v>
      </c>
    </row>
    <row r="3" spans="2:3" ht="15.75">
      <c r="B3" s="408" t="s">
        <v>2893</v>
      </c>
      <c r="C3" s="415">
        <f>C2</f>
        <v>0</v>
      </c>
    </row>
    <row r="4" spans="2:3" ht="15.75">
      <c r="B4" s="408" t="s">
        <v>2679</v>
      </c>
      <c r="C4" s="408" t="str">
        <f>UPPER(C2)</f>
        <v>0</v>
      </c>
    </row>
    <row r="5" spans="2:3" ht="15.75">
      <c r="B5" s="408" t="s">
        <v>2680</v>
      </c>
      <c r="C5" s="408">
        <f>'Reporting Summary'!D17</f>
        <v>0</v>
      </c>
    </row>
    <row r="6" spans="2:3" ht="15.75">
      <c r="B6" s="408" t="s">
        <v>2681</v>
      </c>
      <c r="C6" s="408">
        <f>'Reporting Summary'!D18</f>
        <v>0</v>
      </c>
    </row>
    <row r="7" spans="2:3" ht="15.75">
      <c r="B7" s="408" t="s">
        <v>2684</v>
      </c>
      <c r="C7" s="408">
        <f>'Reporting Summary'!I14</f>
        <v>0</v>
      </c>
    </row>
    <row r="8" spans="2:3" ht="15.75">
      <c r="B8" s="408" t="s">
        <v>2895</v>
      </c>
      <c r="C8" s="408" t="e">
        <f>#REF!</f>
        <v>#REF!</v>
      </c>
    </row>
    <row r="9" spans="2:3" ht="15.75">
      <c r="B9" s="408" t="s">
        <v>2896</v>
      </c>
      <c r="C9" s="408" t="e">
        <f>#REF!</f>
        <v>#REF!</v>
      </c>
    </row>
    <row r="10" spans="2:3" ht="15.75">
      <c r="B10" s="408" t="s">
        <v>2685</v>
      </c>
      <c r="C10" s="408">
        <f>'Reporting Summary'!I16</f>
        <v>0</v>
      </c>
    </row>
    <row r="11" spans="2:3" ht="15.75">
      <c r="B11" s="408" t="s">
        <v>2692</v>
      </c>
      <c r="C11" s="412">
        <f>'Basic Info'!C38</f>
        <v>0</v>
      </c>
    </row>
    <row r="12" spans="2:3" ht="15.75">
      <c r="B12" s="408" t="s">
        <v>2881</v>
      </c>
      <c r="C12" s="409">
        <f>'Reporting Summary'!D25</f>
        <v>0</v>
      </c>
    </row>
    <row r="13" spans="2:3" ht="15.75">
      <c r="B13" s="408" t="s">
        <v>2882</v>
      </c>
      <c r="C13" s="409">
        <f>'Basic Info'!C43</f>
        <v>0</v>
      </c>
    </row>
    <row r="14" spans="2:3" ht="15.75">
      <c r="B14" s="408" t="s">
        <v>2883</v>
      </c>
      <c r="C14" s="409">
        <f>'Basic Info'!C44</f>
        <v>0</v>
      </c>
    </row>
    <row r="15" spans="2:3" ht="15.75">
      <c r="B15" s="408" t="s">
        <v>2689</v>
      </c>
      <c r="C15" s="410">
        <f>'Basic Info'!C25</f>
        <v>0</v>
      </c>
    </row>
    <row r="16" spans="2:3" ht="15.75">
      <c r="B16" s="408" t="s">
        <v>2689</v>
      </c>
      <c r="C16" s="418">
        <f>C15</f>
        <v>0</v>
      </c>
    </row>
    <row r="17" spans="2:3" ht="15.75">
      <c r="B17" s="408" t="s">
        <v>2885</v>
      </c>
      <c r="C17" s="410">
        <f>'Basic Info'!C23</f>
        <v>0</v>
      </c>
    </row>
    <row r="18" spans="2:3" ht="15.75">
      <c r="B18" s="408" t="s">
        <v>2885</v>
      </c>
      <c r="C18" s="417">
        <f>C17</f>
        <v>0</v>
      </c>
    </row>
    <row r="19" spans="2:3" ht="15.75">
      <c r="B19" s="408" t="s">
        <v>2894</v>
      </c>
      <c r="C19" s="417">
        <f>'Basic Info'!C24</f>
        <v>0</v>
      </c>
    </row>
    <row r="20" spans="2:3" ht="15.75">
      <c r="B20" s="408" t="s">
        <v>2693</v>
      </c>
      <c r="C20" s="408" t="str">
        <f>'Reporting Summary'!I21</f>
        <v>ASHRAE 90.1-2007</v>
      </c>
    </row>
    <row r="21" spans="2:3" ht="15.75">
      <c r="B21" s="408" t="s">
        <v>2698</v>
      </c>
      <c r="C21" s="408">
        <f>'Reporting Summary'!I20</f>
        <v>0</v>
      </c>
    </row>
    <row r="22" spans="2:3" ht="15.75">
      <c r="B22" s="408" t="s">
        <v>2701</v>
      </c>
      <c r="C22" s="408">
        <f>'Reporting Summary'!D20</f>
        <v>0</v>
      </c>
    </row>
    <row r="23" spans="2:3" ht="15.75">
      <c r="B23" s="408" t="s">
        <v>2702</v>
      </c>
      <c r="C23" s="408">
        <f>'Reporting Summary'!D21</f>
        <v>0</v>
      </c>
    </row>
    <row r="24" spans="2:3" ht="15.75">
      <c r="B24" s="408" t="s">
        <v>2891</v>
      </c>
      <c r="C24" s="415">
        <f>C23</f>
        <v>0</v>
      </c>
    </row>
    <row r="25" spans="2:3" ht="15.75">
      <c r="B25" s="408" t="s">
        <v>2703</v>
      </c>
      <c r="C25" s="408">
        <f>'Reporting Summary'!D22</f>
        <v>0</v>
      </c>
    </row>
    <row r="26" spans="2:3" ht="15.75">
      <c r="B26" s="408" t="s">
        <v>2705</v>
      </c>
      <c r="C26" s="408">
        <f>'Reporting Summary'!D23</f>
        <v>0</v>
      </c>
    </row>
    <row r="27" spans="2:3" ht="15.75">
      <c r="B27" s="408" t="s">
        <v>2718</v>
      </c>
      <c r="C27" s="408">
        <f>'Basic Info'!C40</f>
        <v>0</v>
      </c>
    </row>
    <row r="28" spans="2:3" ht="15.75">
      <c r="B28" s="408" t="s">
        <v>2720</v>
      </c>
      <c r="C28" s="408">
        <f>'Basic Info'!C41</f>
        <v>0</v>
      </c>
    </row>
    <row r="29" spans="2:3" ht="15.75">
      <c r="B29" s="408" t="s">
        <v>2719</v>
      </c>
      <c r="C29" s="408">
        <f>'Basic Info'!C45</f>
        <v>0</v>
      </c>
    </row>
    <row r="30" spans="2:3" ht="15.75">
      <c r="B30" s="408" t="s">
        <v>2724</v>
      </c>
      <c r="C30" s="408">
        <f>'Basic Info'!C53</f>
        <v>0.18590000000000001</v>
      </c>
    </row>
    <row r="31" spans="2:3" ht="15.75">
      <c r="B31" s="408" t="s">
        <v>1484</v>
      </c>
      <c r="C31" s="414">
        <f>'Basic Info'!C54</f>
        <v>1.579</v>
      </c>
    </row>
    <row r="32" spans="2:3" ht="15.75">
      <c r="B32" s="408" t="s">
        <v>2686</v>
      </c>
      <c r="C32" s="408">
        <f>'Basic Info'!C37</f>
        <v>0</v>
      </c>
    </row>
    <row r="33" spans="2:3" ht="15.75">
      <c r="B33" s="408" t="s">
        <v>2877</v>
      </c>
      <c r="C33" s="408" t="str">
        <f>UPPER(C32)</f>
        <v>0</v>
      </c>
    </row>
    <row r="34" spans="2:3">
      <c r="B34" s="406" t="s">
        <v>2878</v>
      </c>
      <c r="C34" s="411">
        <f>'Basic Info'!C39</f>
        <v>0</v>
      </c>
    </row>
    <row r="35" spans="2:3" ht="15.75">
      <c r="B35" s="406" t="s">
        <v>2892</v>
      </c>
      <c r="C35" s="416">
        <f>C34</f>
        <v>0</v>
      </c>
    </row>
    <row r="36" spans="2:3">
      <c r="B36" s="406" t="s">
        <v>528</v>
      </c>
      <c r="C36" s="413">
        <f>SUM('Basic Info'!C4:C8)</f>
        <v>0</v>
      </c>
    </row>
    <row r="37" spans="2:3">
      <c r="B37" s="406" t="s">
        <v>2766</v>
      </c>
      <c r="C37" s="407">
        <f>'Basic Info'!C58</f>
        <v>0</v>
      </c>
    </row>
    <row r="38" spans="2:3" ht="15.75">
      <c r="B38" s="406" t="s">
        <v>2898</v>
      </c>
      <c r="C38" s="420">
        <f>C19-C18-C16</f>
        <v>0</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sheetPr codeName="Sheet9">
    <tabColor theme="0" tint="-0.34998626667073579"/>
  </sheetPr>
  <dimension ref="B1:AB164"/>
  <sheetViews>
    <sheetView showGridLines="0" topLeftCell="A81" zoomScaleNormal="100" workbookViewId="0">
      <selection activeCell="J102" sqref="J102"/>
    </sheetView>
  </sheetViews>
  <sheetFormatPr defaultRowHeight="12"/>
  <cols>
    <col min="1" max="1" width="2.5703125" style="606" customWidth="1"/>
    <col min="2" max="2" width="38.5703125" style="606" customWidth="1"/>
    <col min="3" max="3" width="7.7109375" style="1648" customWidth="1"/>
    <col min="4" max="4" width="36.42578125" style="606" customWidth="1"/>
    <col min="5" max="6" width="24.140625" style="606" customWidth="1"/>
    <col min="7" max="7" width="22.7109375" style="606" customWidth="1"/>
    <col min="8" max="8" width="11.42578125" style="606" bestFit="1" customWidth="1"/>
    <col min="9" max="9" width="12.140625" style="606" customWidth="1"/>
    <col min="10" max="10" width="13.28515625" style="606" customWidth="1"/>
    <col min="11" max="11" width="10.85546875" style="606" customWidth="1"/>
    <col min="12" max="24" width="9.140625" style="606"/>
    <col min="25" max="28" width="9.140625" style="606" customWidth="1"/>
    <col min="29" max="16384" width="9.140625" style="606"/>
  </cols>
  <sheetData>
    <row r="1" spans="2:8" ht="18.75">
      <c r="B1" s="619" t="s">
        <v>3040</v>
      </c>
      <c r="C1" s="1647"/>
    </row>
    <row r="2" spans="2:8" ht="13.5" customHeight="1">
      <c r="B2" s="1761"/>
      <c r="C2" s="1647"/>
    </row>
    <row r="3" spans="2:8" ht="13.5" customHeight="1">
      <c r="B3" s="496" t="s">
        <v>4432</v>
      </c>
      <c r="C3" s="1647"/>
    </row>
    <row r="4" spans="2:8" ht="13.5" customHeight="1">
      <c r="B4" s="496" t="s">
        <v>4433</v>
      </c>
      <c r="C4" s="1647"/>
    </row>
    <row r="5" spans="2:8" ht="13.5" customHeight="1">
      <c r="B5" s="496" t="s">
        <v>4434</v>
      </c>
      <c r="C5" s="1647"/>
    </row>
    <row r="6" spans="2:8" ht="13.5" customHeight="1">
      <c r="B6" s="496" t="s">
        <v>4431</v>
      </c>
      <c r="C6" s="1647"/>
    </row>
    <row r="7" spans="2:8" ht="13.5" customHeight="1">
      <c r="B7" s="496" t="s">
        <v>4455</v>
      </c>
      <c r="C7" s="1647"/>
    </row>
    <row r="8" spans="2:8" ht="13.5" customHeight="1">
      <c r="B8" s="495" t="s">
        <v>4454</v>
      </c>
      <c r="C8" s="1647"/>
    </row>
    <row r="9" spans="2:8" ht="13.5" customHeight="1">
      <c r="B9" s="496"/>
    </row>
    <row r="10" spans="2:8" ht="24" customHeight="1">
      <c r="B10" s="1919" t="s">
        <v>4303</v>
      </c>
      <c r="C10" s="1919"/>
      <c r="D10" s="1919"/>
      <c r="E10" s="1919"/>
      <c r="F10" s="1919"/>
      <c r="G10" s="1919"/>
    </row>
    <row r="12" spans="2:8" ht="24">
      <c r="B12" s="616" t="s">
        <v>2805</v>
      </c>
      <c r="C12" s="627" t="s">
        <v>4297</v>
      </c>
      <c r="D12" s="1527" t="s">
        <v>4265</v>
      </c>
      <c r="E12" s="617" t="s">
        <v>4284</v>
      </c>
      <c r="F12" s="1527" t="s">
        <v>4285</v>
      </c>
      <c r="G12" s="617">
        <f>'Basic Info'!C37</f>
        <v>0</v>
      </c>
      <c r="H12" s="1462"/>
    </row>
    <row r="13" spans="2:8">
      <c r="B13" s="607" t="s">
        <v>2770</v>
      </c>
      <c r="C13" s="1906"/>
      <c r="D13" s="1915" t="s">
        <v>4521</v>
      </c>
      <c r="E13" s="612" t="s">
        <v>4302</v>
      </c>
      <c r="F13" s="612" t="s">
        <v>4302</v>
      </c>
      <c r="G13" s="623"/>
      <c r="H13" s="1463"/>
    </row>
    <row r="14" spans="2:8">
      <c r="B14" s="608" t="s">
        <v>2771</v>
      </c>
      <c r="C14" s="1903"/>
      <c r="D14" s="1916"/>
      <c r="E14" s="1526"/>
      <c r="F14" s="1526"/>
      <c r="G14" s="1526"/>
      <c r="H14" s="1463"/>
    </row>
    <row r="15" spans="2:8">
      <c r="B15" s="1543" t="s">
        <v>4288</v>
      </c>
      <c r="C15" s="1906"/>
      <c r="D15" s="1915" t="s">
        <v>4522</v>
      </c>
      <c r="E15" s="612" t="s">
        <v>4302</v>
      </c>
      <c r="F15" s="612" t="s">
        <v>4302</v>
      </c>
      <c r="G15" s="1531"/>
      <c r="H15" s="1463"/>
    </row>
    <row r="16" spans="2:8">
      <c r="B16" s="1543" t="s">
        <v>4289</v>
      </c>
      <c r="C16" s="1903"/>
      <c r="D16" s="1916"/>
      <c r="E16" s="1529"/>
      <c r="F16" s="1529"/>
      <c r="G16" s="1529"/>
      <c r="H16" s="1463"/>
    </row>
    <row r="17" spans="2:8">
      <c r="B17" s="608" t="s">
        <v>2772</v>
      </c>
      <c r="C17" s="1906"/>
      <c r="D17" s="1915" t="s">
        <v>4523</v>
      </c>
      <c r="E17" s="612" t="s">
        <v>4302</v>
      </c>
      <c r="F17" s="612" t="s">
        <v>4302</v>
      </c>
      <c r="G17" s="623"/>
      <c r="H17" s="1463"/>
    </row>
    <row r="18" spans="2:8">
      <c r="B18" s="608" t="s">
        <v>4286</v>
      </c>
      <c r="C18" s="1903"/>
      <c r="D18" s="1916"/>
      <c r="E18" s="1530"/>
      <c r="F18" s="1531"/>
      <c r="G18" s="1530"/>
      <c r="H18" s="1463"/>
    </row>
    <row r="19" spans="2:8">
      <c r="B19" s="608" t="s">
        <v>4290</v>
      </c>
      <c r="C19" s="1906"/>
      <c r="D19" s="1915" t="s">
        <v>4524</v>
      </c>
      <c r="E19" s="612" t="s">
        <v>4302</v>
      </c>
      <c r="F19" s="612" t="s">
        <v>4302</v>
      </c>
      <c r="G19" s="1528"/>
      <c r="H19" s="1463"/>
    </row>
    <row r="20" spans="2:8">
      <c r="B20" s="608" t="s">
        <v>4291</v>
      </c>
      <c r="C20" s="1903"/>
      <c r="D20" s="1916"/>
      <c r="E20" s="1526"/>
      <c r="F20" s="1529"/>
      <c r="G20" s="1526"/>
      <c r="H20" s="1463"/>
    </row>
    <row r="21" spans="2:8" ht="20.25" customHeight="1">
      <c r="B21" s="608" t="s">
        <v>4311</v>
      </c>
      <c r="C21" s="1906"/>
      <c r="D21" s="1915" t="s">
        <v>4525</v>
      </c>
      <c r="E21" s="612" t="s">
        <v>4302</v>
      </c>
      <c r="F21" s="612" t="s">
        <v>4302</v>
      </c>
      <c r="G21" s="623"/>
      <c r="H21" s="1463"/>
    </row>
    <row r="22" spans="2:8" ht="21" customHeight="1">
      <c r="B22" s="608" t="s">
        <v>4312</v>
      </c>
      <c r="C22" s="1903"/>
      <c r="D22" s="1916"/>
      <c r="E22" s="1533"/>
      <c r="F22" s="1534"/>
      <c r="G22" s="1533"/>
      <c r="H22" s="1463"/>
    </row>
    <row r="23" spans="2:8">
      <c r="B23" s="608" t="s">
        <v>4313</v>
      </c>
      <c r="C23" s="1902"/>
      <c r="D23" s="1915" t="s">
        <v>4526</v>
      </c>
      <c r="E23" s="1620" t="s">
        <v>4302</v>
      </c>
      <c r="F23" s="1621" t="s">
        <v>4302</v>
      </c>
      <c r="G23" s="623"/>
      <c r="H23" s="1463"/>
    </row>
    <row r="24" spans="2:8">
      <c r="B24" s="608" t="s">
        <v>4314</v>
      </c>
      <c r="C24" s="1903"/>
      <c r="D24" s="1916"/>
      <c r="E24" s="1533"/>
      <c r="F24" s="1534"/>
      <c r="G24" s="1533"/>
      <c r="H24" s="1463"/>
    </row>
    <row r="25" spans="2:8">
      <c r="B25" s="608" t="s">
        <v>2871</v>
      </c>
      <c r="C25" s="1906"/>
      <c r="D25" s="1915" t="s">
        <v>3160</v>
      </c>
      <c r="E25" s="612" t="s">
        <v>4302</v>
      </c>
      <c r="F25" s="1544"/>
      <c r="G25" s="623"/>
      <c r="H25" s="1463"/>
    </row>
    <row r="26" spans="2:8">
      <c r="B26" s="608" t="s">
        <v>4287</v>
      </c>
      <c r="C26" s="1903"/>
      <c r="D26" s="1916"/>
      <c r="E26" s="1530"/>
      <c r="F26" s="1547"/>
      <c r="G26" s="1530"/>
      <c r="H26" s="1463"/>
    </row>
    <row r="27" spans="2:8">
      <c r="B27" s="608" t="s">
        <v>2809</v>
      </c>
      <c r="C27" s="1906"/>
      <c r="D27" s="1915" t="s">
        <v>4527</v>
      </c>
      <c r="E27" s="612" t="s">
        <v>4302</v>
      </c>
      <c r="F27" s="1547"/>
      <c r="G27" s="623"/>
      <c r="H27" s="1463"/>
    </row>
    <row r="28" spans="2:8">
      <c r="B28" s="608" t="s">
        <v>2810</v>
      </c>
      <c r="C28" s="1903"/>
      <c r="D28" s="1916"/>
      <c r="E28" s="1526"/>
      <c r="F28" s="1547"/>
      <c r="G28" s="1526"/>
      <c r="H28" s="1463"/>
    </row>
    <row r="29" spans="2:8" ht="36">
      <c r="B29" s="608" t="s">
        <v>2773</v>
      </c>
      <c r="C29" s="1525"/>
      <c r="D29" s="1549" t="s">
        <v>4292</v>
      </c>
      <c r="E29" s="1469"/>
      <c r="F29" s="1547"/>
      <c r="G29" s="1469"/>
      <c r="H29" s="1464"/>
    </row>
    <row r="30" spans="2:8">
      <c r="B30" s="608" t="s">
        <v>2774</v>
      </c>
      <c r="C30" s="1906"/>
      <c r="D30" s="1915" t="s">
        <v>4528</v>
      </c>
      <c r="E30" s="623"/>
      <c r="F30" s="1547"/>
      <c r="G30" s="623"/>
      <c r="H30" s="1463"/>
    </row>
    <row r="31" spans="2:8">
      <c r="B31" s="608" t="s">
        <v>2775</v>
      </c>
      <c r="C31" s="1918"/>
      <c r="D31" s="1917"/>
      <c r="E31" s="612" t="s">
        <v>4302</v>
      </c>
      <c r="F31" s="1545"/>
      <c r="G31" s="623"/>
      <c r="H31" s="1463"/>
    </row>
    <row r="32" spans="2:8">
      <c r="B32" s="608" t="s">
        <v>2776</v>
      </c>
      <c r="C32" s="1918"/>
      <c r="D32" s="1917"/>
      <c r="E32" s="1526"/>
      <c r="F32" s="1545"/>
      <c r="G32" s="1526"/>
      <c r="H32" s="1463"/>
    </row>
    <row r="33" spans="2:11">
      <c r="B33" s="608" t="s">
        <v>2777</v>
      </c>
      <c r="C33" s="1903"/>
      <c r="D33" s="1916"/>
      <c r="E33" s="1535"/>
      <c r="F33" s="1547"/>
      <c r="G33" s="1535"/>
      <c r="H33" s="1463"/>
    </row>
    <row r="34" spans="2:11">
      <c r="B34" s="608" t="s">
        <v>2778</v>
      </c>
      <c r="C34" s="1644"/>
      <c r="D34" s="1549" t="s">
        <v>4293</v>
      </c>
      <c r="E34" s="623"/>
      <c r="F34" s="1546"/>
      <c r="G34" s="623"/>
      <c r="H34" s="1463"/>
    </row>
    <row r="35" spans="2:11">
      <c r="B35" s="608" t="s">
        <v>2801</v>
      </c>
      <c r="C35" s="1906"/>
      <c r="D35" s="1915" t="s">
        <v>4529</v>
      </c>
      <c r="E35" s="623"/>
      <c r="F35" s="623"/>
      <c r="G35" s="623"/>
      <c r="H35" s="1463"/>
    </row>
    <row r="36" spans="2:11">
      <c r="B36" s="609" t="s">
        <v>2802</v>
      </c>
      <c r="C36" s="1903"/>
      <c r="D36" s="1916"/>
      <c r="E36" s="1526"/>
      <c r="F36" s="1529"/>
      <c r="G36" s="1526"/>
      <c r="H36" s="1463"/>
    </row>
    <row r="37" spans="2:11">
      <c r="B37" s="610"/>
      <c r="C37" s="629"/>
      <c r="D37" s="1532"/>
      <c r="E37" s="1532"/>
      <c r="F37" s="1532"/>
      <c r="G37" s="1463"/>
    </row>
    <row r="38" spans="2:11">
      <c r="F38" s="1465"/>
    </row>
    <row r="39" spans="2:11">
      <c r="B39" s="616" t="s">
        <v>2806</v>
      </c>
      <c r="C39" s="1649"/>
      <c r="D39" s="1527" t="s">
        <v>4265</v>
      </c>
      <c r="E39" s="617" t="s">
        <v>821</v>
      </c>
      <c r="F39" s="617">
        <f>G12</f>
        <v>0</v>
      </c>
      <c r="G39" s="1462"/>
    </row>
    <row r="40" spans="2:11">
      <c r="B40" s="608" t="s">
        <v>4262</v>
      </c>
      <c r="C40" s="1645"/>
      <c r="D40" s="1549" t="s">
        <v>4294</v>
      </c>
      <c r="E40" s="1607">
        <v>0.7</v>
      </c>
      <c r="F40" s="1608"/>
      <c r="G40" s="1466"/>
    </row>
    <row r="41" spans="2:11" ht="120">
      <c r="B41" s="1609" t="s">
        <v>4308</v>
      </c>
      <c r="C41" s="1610"/>
      <c r="D41" s="1472" t="s">
        <v>4307</v>
      </c>
      <c r="E41" s="1613"/>
      <c r="F41" s="1614"/>
      <c r="G41" s="1466"/>
    </row>
    <row r="42" spans="2:11" ht="24">
      <c r="B42" s="608" t="s">
        <v>2780</v>
      </c>
      <c r="C42" s="1645"/>
      <c r="D42" s="1549" t="s">
        <v>4295</v>
      </c>
      <c r="E42" s="612" t="s">
        <v>2677</v>
      </c>
      <c r="F42" s="623"/>
      <c r="G42" s="1463"/>
    </row>
    <row r="43" spans="2:11">
      <c r="B43" s="1609" t="s">
        <v>4304</v>
      </c>
      <c r="C43" s="1646"/>
      <c r="D43" s="1604" t="s">
        <v>4310</v>
      </c>
      <c r="E43" s="1606"/>
      <c r="F43" s="1606"/>
      <c r="G43" s="1463"/>
    </row>
    <row r="44" spans="2:11">
      <c r="B44" s="1609" t="s">
        <v>4305</v>
      </c>
      <c r="C44" s="1646"/>
      <c r="D44" s="1549" t="s">
        <v>4306</v>
      </c>
      <c r="E44" s="1605"/>
      <c r="F44" s="1605"/>
      <c r="G44" s="1463"/>
    </row>
    <row r="45" spans="2:11">
      <c r="B45" s="608" t="s">
        <v>2779</v>
      </c>
      <c r="C45" s="1645"/>
      <c r="D45" s="1549" t="s">
        <v>4296</v>
      </c>
      <c r="E45" s="1611"/>
      <c r="F45" s="1611"/>
      <c r="G45" s="1467"/>
    </row>
    <row r="48" spans="2:11" ht="24">
      <c r="B48" s="616" t="s">
        <v>2803</v>
      </c>
      <c r="C48" s="1649" t="s">
        <v>4297</v>
      </c>
      <c r="D48" s="1527" t="s">
        <v>4301</v>
      </c>
      <c r="E48" s="617" t="s">
        <v>821</v>
      </c>
      <c r="F48" s="617">
        <f>F39</f>
        <v>0</v>
      </c>
      <c r="G48" s="617" t="s">
        <v>2745</v>
      </c>
      <c r="H48" s="617" t="s">
        <v>2768</v>
      </c>
      <c r="I48" s="617" t="s">
        <v>2769</v>
      </c>
      <c r="J48" s="617" t="s">
        <v>2572</v>
      </c>
      <c r="K48" s="1519" t="s">
        <v>3867</v>
      </c>
    </row>
    <row r="49" spans="2:11">
      <c r="B49" s="608" t="s">
        <v>2797</v>
      </c>
      <c r="C49" s="1601"/>
      <c r="D49" s="1471" t="s">
        <v>4298</v>
      </c>
      <c r="E49" s="1555">
        <v>529</v>
      </c>
      <c r="F49" s="1555">
        <v>423</v>
      </c>
      <c r="G49" s="1480"/>
      <c r="H49" s="1476"/>
      <c r="I49" s="1477"/>
      <c r="J49" s="1516"/>
      <c r="K49" s="1589"/>
    </row>
    <row r="50" spans="2:11">
      <c r="B50" s="608" t="s">
        <v>2798</v>
      </c>
      <c r="C50" s="1906"/>
      <c r="D50" s="1472" t="s">
        <v>4299</v>
      </c>
      <c r="E50" s="1555">
        <v>206</v>
      </c>
      <c r="F50" s="1555">
        <v>164</v>
      </c>
      <c r="G50" s="1520"/>
      <c r="H50" s="1478"/>
      <c r="I50" s="1479"/>
      <c r="J50" s="1517"/>
      <c r="K50" s="1545"/>
    </row>
    <row r="51" spans="2:11">
      <c r="B51" s="608" t="s">
        <v>4263</v>
      </c>
      <c r="C51" s="1903"/>
      <c r="D51" s="1492" t="s">
        <v>4299</v>
      </c>
      <c r="E51" s="1556">
        <v>1290</v>
      </c>
      <c r="F51" s="1640">
        <v>860</v>
      </c>
      <c r="G51" s="1578"/>
      <c r="H51" s="1579"/>
      <c r="I51" s="1579"/>
      <c r="J51" s="1579"/>
      <c r="K51" s="1590"/>
    </row>
    <row r="52" spans="2:11">
      <c r="B52" s="608" t="s">
        <v>2799</v>
      </c>
      <c r="C52" s="1906"/>
      <c r="D52" s="1472" t="s">
        <v>4300</v>
      </c>
      <c r="E52" s="1560">
        <f>IF(K52="Common Area",196,81)</f>
        <v>81</v>
      </c>
      <c r="F52" s="1560">
        <f>IF(K52="Common Area",138,57)</f>
        <v>57</v>
      </c>
      <c r="G52" s="1521"/>
      <c r="H52" s="1478"/>
      <c r="I52" s="1479"/>
      <c r="J52" s="1522"/>
      <c r="K52" s="1522"/>
    </row>
    <row r="53" spans="2:11">
      <c r="B53" s="608" t="s">
        <v>4264</v>
      </c>
      <c r="C53" s="1903"/>
      <c r="D53" s="1472" t="s">
        <v>4300</v>
      </c>
      <c r="E53" s="1559">
        <f>IF(K52="Common Area",5903,2436)</f>
        <v>2436</v>
      </c>
      <c r="F53" s="1559">
        <f>IF(K52="Common Area",2732,1127)</f>
        <v>1127</v>
      </c>
      <c r="G53" s="1578"/>
      <c r="H53" s="1579"/>
      <c r="I53" s="1579"/>
      <c r="J53" s="1586"/>
      <c r="K53" s="1580"/>
    </row>
    <row r="54" spans="2:11" ht="24">
      <c r="B54" s="608" t="s">
        <v>2800</v>
      </c>
      <c r="C54" s="1635"/>
      <c r="D54" s="1483" t="s">
        <v>4267</v>
      </c>
      <c r="E54" s="1473"/>
      <c r="F54" s="1481"/>
      <c r="G54" s="1522"/>
      <c r="H54" s="1522"/>
      <c r="I54" s="1524"/>
      <c r="J54" s="1588"/>
      <c r="K54" s="1581"/>
    </row>
    <row r="55" spans="2:11" ht="24">
      <c r="B55" s="1870" t="s">
        <v>4452</v>
      </c>
      <c r="C55" s="1907"/>
      <c r="D55" s="1483" t="s">
        <v>4266</v>
      </c>
      <c r="E55" s="1473"/>
      <c r="F55" s="1778">
        <f>E55</f>
        <v>0</v>
      </c>
      <c r="G55" s="1518"/>
      <c r="H55" s="1582"/>
      <c r="I55" s="1583"/>
      <c r="J55" s="1587"/>
      <c r="K55" s="1581"/>
    </row>
    <row r="56" spans="2:11" ht="24">
      <c r="B56" s="1870" t="s">
        <v>4453</v>
      </c>
      <c r="C56" s="1908"/>
      <c r="D56" s="1483" t="s">
        <v>4266</v>
      </c>
      <c r="E56" s="1474"/>
      <c r="F56" s="1641">
        <f>E56</f>
        <v>0</v>
      </c>
      <c r="G56" s="1780"/>
      <c r="H56" s="1779"/>
      <c r="I56" s="1587"/>
      <c r="J56" s="1587"/>
      <c r="K56" s="1581"/>
    </row>
    <row r="57" spans="2:11">
      <c r="B57" s="1484" t="s">
        <v>4588</v>
      </c>
      <c r="C57" s="1909"/>
      <c r="D57" s="1485">
        <f>IF(B57="Electric Stove (kWh/yr)",604,45)</f>
        <v>45</v>
      </c>
      <c r="E57" s="1557">
        <f>D57</f>
        <v>45</v>
      </c>
      <c r="F57" s="1558">
        <f>E57</f>
        <v>45</v>
      </c>
      <c r="G57" s="1518"/>
      <c r="H57" s="1584"/>
      <c r="I57" s="1585"/>
      <c r="J57" s="1585"/>
      <c r="K57" s="1581"/>
    </row>
    <row r="58" spans="2:11">
      <c r="B58" s="1484" t="s">
        <v>2876</v>
      </c>
      <c r="C58" s="1602"/>
      <c r="D58" s="1486" t="s">
        <v>4268</v>
      </c>
      <c r="E58" s="1475"/>
      <c r="F58" s="1475"/>
      <c r="G58" s="1523"/>
      <c r="H58" s="1522"/>
      <c r="I58" s="1522"/>
      <c r="J58" s="1524"/>
      <c r="K58" s="1545"/>
    </row>
    <row r="59" spans="2:11" ht="24">
      <c r="B59" s="608" t="s">
        <v>4261</v>
      </c>
      <c r="C59" s="1525"/>
      <c r="D59" s="1486" t="s">
        <v>4266</v>
      </c>
      <c r="E59" s="1642"/>
      <c r="F59" s="1643">
        <f>E59</f>
        <v>0</v>
      </c>
      <c r="G59" s="1803"/>
      <c r="H59" s="1834"/>
      <c r="I59" s="1834"/>
      <c r="J59" s="1834"/>
      <c r="K59" s="1835"/>
    </row>
    <row r="60" spans="2:11">
      <c r="G60" s="1482"/>
      <c r="H60" s="1482"/>
      <c r="I60" s="1482"/>
      <c r="J60" s="1482"/>
      <c r="K60" s="1482"/>
    </row>
    <row r="61" spans="2:11" ht="27.75" customHeight="1">
      <c r="B61" s="1905" t="s">
        <v>4260</v>
      </c>
      <c r="C61" s="1905"/>
      <c r="D61" s="1905"/>
      <c r="E61" s="1905"/>
      <c r="F61" s="1905"/>
      <c r="G61" s="1905"/>
      <c r="H61" s="1905"/>
      <c r="I61" s="1905"/>
    </row>
    <row r="62" spans="2:11">
      <c r="B62" s="1696"/>
      <c r="C62" s="1696"/>
      <c r="D62" s="1696"/>
      <c r="E62" s="1696"/>
      <c r="F62" s="1696"/>
      <c r="G62" s="1696"/>
      <c r="H62" s="1696"/>
      <c r="I62" s="1696"/>
    </row>
    <row r="63" spans="2:11" ht="36">
      <c r="B63" s="616" t="s">
        <v>2867</v>
      </c>
      <c r="C63" s="1649" t="s">
        <v>4297</v>
      </c>
      <c r="D63" s="1527" t="s">
        <v>4265</v>
      </c>
      <c r="E63" s="617" t="s">
        <v>821</v>
      </c>
      <c r="F63" s="617">
        <f>F48</f>
        <v>0</v>
      </c>
      <c r="G63" s="617" t="s">
        <v>2768</v>
      </c>
      <c r="H63" s="617" t="s">
        <v>2769</v>
      </c>
      <c r="I63" s="617" t="s">
        <v>2572</v>
      </c>
      <c r="J63" s="617" t="s">
        <v>2875</v>
      </c>
      <c r="K63" s="617" t="s">
        <v>4347</v>
      </c>
    </row>
    <row r="64" spans="2:11">
      <c r="B64" s="613" t="s">
        <v>2834</v>
      </c>
      <c r="C64" s="1902"/>
      <c r="D64" s="1637" t="s">
        <v>4339</v>
      </c>
      <c r="E64" s="623"/>
      <c r="F64" s="623"/>
      <c r="G64" s="620"/>
      <c r="H64" s="624"/>
      <c r="I64" s="1675"/>
      <c r="J64" s="623"/>
      <c r="K64" s="620"/>
    </row>
    <row r="65" spans="2:28" ht="36">
      <c r="B65" s="613" t="s">
        <v>4343</v>
      </c>
      <c r="C65" s="1898"/>
      <c r="D65" s="1638" t="s">
        <v>4344</v>
      </c>
      <c r="E65" s="1624"/>
      <c r="F65" s="1624"/>
      <c r="G65" s="1563"/>
      <c r="H65" s="1563"/>
      <c r="I65" s="1563"/>
      <c r="J65" s="1566"/>
      <c r="K65" s="1567"/>
    </row>
    <row r="66" spans="2:28" ht="36">
      <c r="B66" s="1663" t="s">
        <v>4606</v>
      </c>
      <c r="C66" s="1898"/>
      <c r="D66" s="1472" t="s">
        <v>4340</v>
      </c>
      <c r="E66" s="1672"/>
      <c r="F66" s="1672"/>
      <c r="G66" s="1565"/>
      <c r="H66" s="1566"/>
      <c r="I66" s="1566"/>
      <c r="J66" s="1566"/>
      <c r="K66" s="1567"/>
      <c r="Y66" s="606" t="str">
        <f>LEFT(RIGHT(B66,LEN(B66)-SEARCH("(",B66,1)),LEN(RIGHT(B66,LEN(B66)-SEARCH("(",B66,1)))-1)</f>
        <v>AFUE</v>
      </c>
      <c r="Z66" s="606" t="str">
        <f>IF(OR(Y66="Ec",Y66="Et",Y66="AFUE"),"% "&amp;Y66,Y66)</f>
        <v>% AFUE</v>
      </c>
      <c r="AA66" s="606" t="str">
        <f>IF(OR(Y66="AFUE",Y66="Et",Y66="Ec"),100*E66&amp;Z66,E66&amp;" "&amp;Z66)</f>
        <v>0% AFUE</v>
      </c>
      <c r="AB66" s="606" t="str">
        <f>IF(OR(Y66="AFUE",Y66="Et",Y66="Ec"),100*F66&amp;Z66,F66&amp;" "&amp;Z66)</f>
        <v>0% AFUE</v>
      </c>
    </row>
    <row r="67" spans="2:28" ht="84">
      <c r="B67" s="611" t="s">
        <v>2860</v>
      </c>
      <c r="C67" s="1903"/>
      <c r="D67" s="1549" t="s">
        <v>4530</v>
      </c>
      <c r="E67" s="1673"/>
      <c r="F67" s="1673"/>
      <c r="G67" s="1569"/>
      <c r="H67" s="1569"/>
      <c r="I67" s="1569"/>
      <c r="J67" s="1569"/>
      <c r="K67" s="1570"/>
    </row>
    <row r="68" spans="2:28" ht="24">
      <c r="B68" s="611" t="s">
        <v>2835</v>
      </c>
      <c r="C68" s="1902"/>
      <c r="D68" s="1549" t="s">
        <v>4341</v>
      </c>
      <c r="E68" s="612" t="s">
        <v>2677</v>
      </c>
      <c r="F68" s="623"/>
      <c r="G68" s="1576"/>
      <c r="H68" s="1577"/>
      <c r="I68" s="1577"/>
      <c r="J68" s="623"/>
      <c r="K68" s="620"/>
    </row>
    <row r="69" spans="2:28">
      <c r="B69" s="611" t="s">
        <v>4345</v>
      </c>
      <c r="C69" s="1898"/>
      <c r="D69" s="1492" t="s">
        <v>2677</v>
      </c>
      <c r="E69" s="612" t="s">
        <v>2677</v>
      </c>
      <c r="F69" s="623"/>
      <c r="G69" s="1562"/>
      <c r="H69" s="1563"/>
      <c r="I69" s="1563"/>
      <c r="J69" s="1566"/>
      <c r="K69" s="1564"/>
    </row>
    <row r="70" spans="2:28">
      <c r="B70" s="1663" t="s">
        <v>4456</v>
      </c>
      <c r="C70" s="1898"/>
      <c r="D70" s="1549" t="s">
        <v>2677</v>
      </c>
      <c r="E70" s="612" t="s">
        <v>2677</v>
      </c>
      <c r="F70" s="1672"/>
      <c r="G70" s="1566"/>
      <c r="H70" s="1566"/>
      <c r="I70" s="1566"/>
      <c r="J70" s="1566"/>
      <c r="K70" s="1567"/>
      <c r="Y70" s="606" t="str">
        <f>LEFT(RIGHT(B70,LEN(B70)-SEARCH("(",B70,1)),LEN(RIGHT(B70,LEN(B70)-SEARCH("(",B70,1)))-1)</f>
        <v>Et</v>
      </c>
      <c r="Z70" s="606" t="str">
        <f>IF(OR(Y70="Ec",Y70="Et",Y70="AFUE"),"% "&amp;Y70,Y70)</f>
        <v>% Et</v>
      </c>
      <c r="AA70" s="606" t="str">
        <f>IF(E70="N/A","N/A",IF(OR(Y70="AFUE",Y70="Et",Y70="Ec"),100*E70&amp;Z70,E70&amp;" "&amp;Z70))</f>
        <v>N/A</v>
      </c>
      <c r="AB70" s="606" t="str">
        <f>IF(F70="N/A","N/A",IF(OR(Y70="AFUE",Y70="Et",Y70="Ec"),100*F70&amp;Z70,F70&amp;" "&amp;Z70))</f>
        <v>0% Et</v>
      </c>
    </row>
    <row r="71" spans="2:28">
      <c r="B71" s="611" t="s">
        <v>2861</v>
      </c>
      <c r="C71" s="1903"/>
      <c r="D71" s="1549" t="s">
        <v>2677</v>
      </c>
      <c r="E71" s="1674" t="s">
        <v>2677</v>
      </c>
      <c r="F71" s="1673"/>
      <c r="G71" s="1569"/>
      <c r="H71" s="1569"/>
      <c r="I71" s="1569"/>
      <c r="J71" s="1569"/>
      <c r="K71" s="1570"/>
    </row>
    <row r="72" spans="2:28">
      <c r="B72" s="611" t="s">
        <v>2836</v>
      </c>
      <c r="C72" s="1902"/>
      <c r="D72" s="1549" t="s">
        <v>2677</v>
      </c>
      <c r="E72" s="612" t="s">
        <v>2677</v>
      </c>
      <c r="F72" s="623"/>
      <c r="G72" s="1470"/>
      <c r="H72" s="623"/>
      <c r="I72" s="623"/>
      <c r="J72" s="623"/>
      <c r="K72" s="1676" t="s">
        <v>1494</v>
      </c>
    </row>
    <row r="73" spans="2:28">
      <c r="B73" s="611" t="s">
        <v>4346</v>
      </c>
      <c r="C73" s="1898"/>
      <c r="D73" s="1604" t="s">
        <v>2677</v>
      </c>
      <c r="E73" s="1629" t="s">
        <v>2677</v>
      </c>
      <c r="F73" s="1624"/>
      <c r="G73" s="1562"/>
      <c r="H73" s="1563"/>
      <c r="I73" s="1563"/>
      <c r="J73" s="1566"/>
      <c r="K73" s="1564"/>
    </row>
    <row r="74" spans="2:28">
      <c r="B74" s="1663" t="s">
        <v>4342</v>
      </c>
      <c r="C74" s="1898"/>
      <c r="D74" s="1549" t="s">
        <v>2677</v>
      </c>
      <c r="E74" s="612" t="s">
        <v>2677</v>
      </c>
      <c r="F74" s="1672"/>
      <c r="G74" s="1566"/>
      <c r="H74" s="1566"/>
      <c r="I74" s="1566"/>
      <c r="J74" s="1566"/>
      <c r="K74" s="1567"/>
      <c r="Y74" s="606" t="str">
        <f>LEFT(RIGHT(B74,LEN(B74)-SEARCH("(",B74,1)),LEN(RIGHT(B74,LEN(B74)-SEARCH("(",B74,1)))-1)</f>
        <v>Et</v>
      </c>
      <c r="Z74" s="606" t="str">
        <f>IF(OR(Y74="Ec",Y74="Et",Y74="AFUE"),"% "&amp;Y74,Y74)</f>
        <v>% Et</v>
      </c>
      <c r="AA74" s="606" t="str">
        <f>IF(E74="N/A","N/A",IF(OR(Y74="AFUE",Y74="Et",Y74="Ec"),100*E74&amp;Z74,E74&amp;" "&amp;Z74))</f>
        <v>N/A</v>
      </c>
      <c r="AB74" s="606" t="str">
        <f>IF(F74="N/A","N/A",IF(OR(Y74="AFUE",Y74="Et",Y74="Ec"),100*F74&amp;Z74,F74&amp;" "&amp;Z74))</f>
        <v>0% Et</v>
      </c>
    </row>
    <row r="75" spans="2:28">
      <c r="B75" s="611" t="s">
        <v>2862</v>
      </c>
      <c r="C75" s="1903"/>
      <c r="D75" s="1549" t="s">
        <v>2677</v>
      </c>
      <c r="E75" s="1674" t="s">
        <v>2677</v>
      </c>
      <c r="F75" s="1673"/>
      <c r="G75" s="1569"/>
      <c r="H75" s="1569"/>
      <c r="I75" s="1569"/>
      <c r="J75" s="1569"/>
      <c r="K75" s="1570"/>
    </row>
    <row r="77" spans="2:28" ht="24.75" customHeight="1">
      <c r="B77" s="1905" t="s">
        <v>2911</v>
      </c>
      <c r="C77" s="1905"/>
      <c r="D77" s="1905"/>
      <c r="E77" s="1905"/>
      <c r="F77" s="1905"/>
      <c r="G77" s="1905"/>
      <c r="H77" s="1905"/>
      <c r="I77" s="1905"/>
      <c r="J77" s="1468"/>
    </row>
    <row r="79" spans="2:28" ht="24">
      <c r="B79" s="618" t="s">
        <v>2868</v>
      </c>
      <c r="C79" s="1649" t="s">
        <v>4297</v>
      </c>
      <c r="D79" s="1527" t="s">
        <v>4265</v>
      </c>
      <c r="E79" s="617" t="s">
        <v>821</v>
      </c>
      <c r="F79" s="617">
        <f>F90</f>
        <v>0</v>
      </c>
      <c r="G79" s="617" t="s">
        <v>2768</v>
      </c>
      <c r="H79" s="617" t="s">
        <v>2769</v>
      </c>
      <c r="I79" s="617" t="s">
        <v>2572</v>
      </c>
      <c r="J79" s="617" t="s">
        <v>2875</v>
      </c>
    </row>
    <row r="80" spans="2:28" ht="24">
      <c r="B80" s="611" t="s">
        <v>2864</v>
      </c>
      <c r="C80" s="1902"/>
      <c r="D80" s="1472" t="s">
        <v>3172</v>
      </c>
      <c r="E80" s="623"/>
      <c r="F80" s="623"/>
      <c r="G80" s="620"/>
      <c r="H80" s="624"/>
      <c r="I80" s="624"/>
      <c r="J80" s="622"/>
    </row>
    <row r="81" spans="2:28">
      <c r="B81" s="1548" t="s">
        <v>4353</v>
      </c>
      <c r="C81" s="1898"/>
      <c r="D81" s="1697" t="s">
        <v>4424</v>
      </c>
      <c r="E81" s="1528"/>
      <c r="F81" s="1528"/>
      <c r="G81" s="1562"/>
      <c r="H81" s="1563"/>
      <c r="I81" s="1563"/>
      <c r="J81" s="1564"/>
    </row>
    <row r="82" spans="2:28" ht="24">
      <c r="B82" s="1663" t="s">
        <v>4337</v>
      </c>
      <c r="C82" s="1898"/>
      <c r="D82" s="1472" t="s">
        <v>3172</v>
      </c>
      <c r="E82" s="1682"/>
      <c r="F82" s="1682"/>
      <c r="G82" s="1565"/>
      <c r="H82" s="1566"/>
      <c r="I82" s="1566"/>
      <c r="J82" s="1567"/>
      <c r="Z82" s="606" t="str">
        <f>LEFT(RIGHT(B82,LEN(B82)-SEARCH("(",B82,1)),LEN(RIGHT(B82,LEN(B82)-SEARCH("(",B82,1)))-1)</f>
        <v>SEER</v>
      </c>
      <c r="AA82" s="606" t="str">
        <f>IF(OR(Y82="AFUE",Y82="Et",Y82="Ec"),100*E82&amp;Z82,E82&amp;" "&amp;Z82)</f>
        <v xml:space="preserve"> SEER</v>
      </c>
      <c r="AB82" s="606" t="str">
        <f>IF(OR(Y82="AFUE",Y82="Et",Y82="Ec"),100*F82&amp;Z82,F82&amp;" "&amp;Z82)</f>
        <v xml:space="preserve"> SEER</v>
      </c>
    </row>
    <row r="83" spans="2:28" ht="60">
      <c r="B83" s="611" t="s">
        <v>2863</v>
      </c>
      <c r="C83" s="1903"/>
      <c r="D83" s="1549" t="s">
        <v>4355</v>
      </c>
      <c r="E83" s="1683"/>
      <c r="F83" s="1683"/>
      <c r="G83" s="1568"/>
      <c r="H83" s="1569"/>
      <c r="I83" s="1569"/>
      <c r="J83" s="1570"/>
    </row>
    <row r="84" spans="2:28">
      <c r="B84" s="611" t="s">
        <v>2865</v>
      </c>
      <c r="C84" s="1902"/>
      <c r="D84" s="612" t="s">
        <v>2677</v>
      </c>
      <c r="E84" s="612" t="s">
        <v>2677</v>
      </c>
      <c r="F84" s="623"/>
      <c r="G84" s="1573"/>
      <c r="H84" s="1574"/>
      <c r="I84" s="1574"/>
      <c r="J84" s="1575"/>
    </row>
    <row r="85" spans="2:28">
      <c r="B85" s="1548" t="s">
        <v>4354</v>
      </c>
      <c r="C85" s="1898"/>
      <c r="D85" s="1679" t="s">
        <v>2677</v>
      </c>
      <c r="E85" s="1679" t="s">
        <v>2677</v>
      </c>
      <c r="F85" s="1528"/>
      <c r="G85" s="1803"/>
      <c r="H85" s="1804"/>
      <c r="I85" s="1804"/>
      <c r="J85" s="1805"/>
    </row>
    <row r="86" spans="2:28">
      <c r="B86" s="1663" t="s">
        <v>4338</v>
      </c>
      <c r="C86" s="1898"/>
      <c r="D86" s="612" t="s">
        <v>2677</v>
      </c>
      <c r="E86" s="612" t="s">
        <v>2677</v>
      </c>
      <c r="F86" s="1682"/>
      <c r="G86" s="1730"/>
      <c r="H86" s="1566"/>
      <c r="I86" s="1566"/>
      <c r="J86" s="1567"/>
      <c r="Z86" s="606" t="str">
        <f>LEFT(RIGHT(B86,LEN(B86)-SEARCH("(",B86,1)),LEN(RIGHT(B86,LEN(B86)-SEARCH("(",B86,1)))-1)</f>
        <v>SEER</v>
      </c>
      <c r="AA86" s="606" t="str">
        <f>IF(OR(Y86="AFUE",Y86="Et",Y86="Ec"),100*E86&amp;Z86,E86&amp;" "&amp;Z86)</f>
        <v>N/A SEER</v>
      </c>
      <c r="AB86" s="606" t="str">
        <f>IF(OR(Y86="AFUE",Y86="Et",Y86="Ec"),100*F86&amp;Z86,F86&amp;" "&amp;Z86)</f>
        <v xml:space="preserve"> SEER</v>
      </c>
    </row>
    <row r="87" spans="2:28">
      <c r="B87" s="611" t="s">
        <v>2866</v>
      </c>
      <c r="C87" s="1903"/>
      <c r="D87" s="612" t="s">
        <v>2677</v>
      </c>
      <c r="E87" s="612" t="s">
        <v>2677</v>
      </c>
      <c r="F87" s="1683"/>
      <c r="G87" s="1568"/>
      <c r="H87" s="1806"/>
      <c r="I87" s="1806"/>
      <c r="J87" s="1807"/>
    </row>
    <row r="90" spans="2:28" ht="24">
      <c r="B90" s="616" t="s">
        <v>4350</v>
      </c>
      <c r="C90" s="1649" t="s">
        <v>4297</v>
      </c>
      <c r="D90" s="1527" t="s">
        <v>4265</v>
      </c>
      <c r="E90" s="617" t="s">
        <v>821</v>
      </c>
      <c r="F90" s="617">
        <f>F63</f>
        <v>0</v>
      </c>
      <c r="G90" s="617" t="s">
        <v>2745</v>
      </c>
      <c r="H90" s="617" t="s">
        <v>2768</v>
      </c>
      <c r="I90" s="617" t="s">
        <v>2769</v>
      </c>
    </row>
    <row r="91" spans="2:28">
      <c r="B91" s="611" t="s">
        <v>2785</v>
      </c>
      <c r="C91" s="1902"/>
      <c r="D91" s="1626" t="s">
        <v>4320</v>
      </c>
      <c r="E91" s="1628">
        <v>180</v>
      </c>
      <c r="F91" s="1781"/>
      <c r="G91" s="1808"/>
      <c r="H91" s="1809"/>
      <c r="I91" s="1810"/>
    </row>
    <row r="92" spans="2:28">
      <c r="B92" s="611" t="s">
        <v>2786</v>
      </c>
      <c r="C92" s="1898"/>
      <c r="D92" s="1626" t="s">
        <v>4321</v>
      </c>
      <c r="E92" s="1628">
        <v>130</v>
      </c>
      <c r="F92" s="1781"/>
      <c r="G92" s="1811"/>
      <c r="H92" s="1812"/>
      <c r="I92" s="1813"/>
    </row>
    <row r="93" spans="2:28">
      <c r="B93" s="611" t="s">
        <v>2859</v>
      </c>
      <c r="C93" s="1899"/>
      <c r="D93" s="1626" t="s">
        <v>2856</v>
      </c>
      <c r="E93" s="612" t="s">
        <v>2856</v>
      </c>
      <c r="F93" s="1782"/>
      <c r="G93" s="1811"/>
      <c r="H93" s="1812"/>
      <c r="I93" s="1813"/>
    </row>
    <row r="94" spans="2:28" ht="24">
      <c r="B94" s="1548" t="s">
        <v>4357</v>
      </c>
      <c r="C94" s="1899"/>
      <c r="D94" s="1625" t="s">
        <v>4358</v>
      </c>
      <c r="E94" s="1625" t="s">
        <v>4358</v>
      </c>
      <c r="F94" s="1783"/>
      <c r="G94" s="1811"/>
      <c r="H94" s="1812"/>
      <c r="I94" s="1813"/>
    </row>
    <row r="95" spans="2:28">
      <c r="B95" s="1548" t="s">
        <v>4356</v>
      </c>
      <c r="C95" s="1677"/>
      <c r="D95" s="1625" t="s">
        <v>2813</v>
      </c>
      <c r="E95" s="1684" t="s">
        <v>2813</v>
      </c>
      <c r="F95" s="1784"/>
      <c r="G95" s="1811"/>
      <c r="H95" s="1812"/>
      <c r="I95" s="1813"/>
    </row>
    <row r="96" spans="2:28">
      <c r="B96" s="611" t="s">
        <v>4533</v>
      </c>
      <c r="C96" s="1677"/>
      <c r="D96" s="1625" t="s">
        <v>4348</v>
      </c>
      <c r="E96" s="1625" t="s">
        <v>4348</v>
      </c>
      <c r="F96" s="1785" t="s">
        <v>4348</v>
      </c>
      <c r="G96" s="1811"/>
      <c r="H96" s="1812"/>
      <c r="I96" s="1813"/>
    </row>
    <row r="97" spans="2:10">
      <c r="B97" s="611" t="s">
        <v>4538</v>
      </c>
      <c r="C97" s="1677"/>
      <c r="D97" s="1819" t="s">
        <v>4531</v>
      </c>
      <c r="E97" s="1819" t="s">
        <v>4531</v>
      </c>
      <c r="F97" s="1820" t="s">
        <v>4531</v>
      </c>
      <c r="G97" s="1821"/>
      <c r="H97" s="1812"/>
      <c r="I97" s="1813"/>
    </row>
    <row r="98" spans="2:10">
      <c r="B98" s="611" t="s">
        <v>4536</v>
      </c>
      <c r="C98" s="1677"/>
      <c r="D98" s="1625" t="s">
        <v>4349</v>
      </c>
      <c r="E98" s="1625" t="s">
        <v>4349</v>
      </c>
      <c r="F98" s="1785" t="s">
        <v>4349</v>
      </c>
      <c r="G98" s="1811"/>
      <c r="H98" s="1812"/>
      <c r="I98" s="1813"/>
    </row>
    <row r="99" spans="2:10">
      <c r="B99" s="611" t="s">
        <v>4534</v>
      </c>
      <c r="C99" s="1677"/>
      <c r="D99" s="1625" t="s">
        <v>4352</v>
      </c>
      <c r="E99" s="1625" t="s">
        <v>4352</v>
      </c>
      <c r="F99" s="1785" t="s">
        <v>4352</v>
      </c>
      <c r="G99" s="1811"/>
      <c r="H99" s="1812"/>
      <c r="I99" s="1813"/>
    </row>
    <row r="100" spans="2:10">
      <c r="B100" s="611" t="s">
        <v>4537</v>
      </c>
      <c r="C100" s="1677"/>
      <c r="D100" s="1819" t="s">
        <v>4532</v>
      </c>
      <c r="E100" s="1819" t="s">
        <v>4532</v>
      </c>
      <c r="F100" s="1820" t="s">
        <v>4532</v>
      </c>
      <c r="G100" s="1821"/>
      <c r="H100" s="1812"/>
      <c r="I100" s="1813"/>
    </row>
    <row r="101" spans="2:10">
      <c r="B101" s="611" t="s">
        <v>4535</v>
      </c>
      <c r="C101" s="1677"/>
      <c r="D101" s="1625" t="s">
        <v>4351</v>
      </c>
      <c r="E101" s="1625" t="s">
        <v>4351</v>
      </c>
      <c r="F101" s="1785" t="s">
        <v>4351</v>
      </c>
      <c r="G101" s="1811"/>
      <c r="H101" s="1812"/>
      <c r="I101" s="1813"/>
    </row>
    <row r="102" spans="2:10">
      <c r="B102" s="1603" t="s">
        <v>4317</v>
      </c>
      <c r="C102" s="1897"/>
      <c r="D102" s="1625" t="s">
        <v>1493</v>
      </c>
      <c r="E102" s="1629" t="s">
        <v>1493</v>
      </c>
      <c r="F102" s="1782"/>
      <c r="G102" s="1800"/>
      <c r="H102" s="1800"/>
      <c r="I102" s="1800"/>
    </row>
    <row r="103" spans="2:10">
      <c r="B103" s="611" t="s">
        <v>2846</v>
      </c>
      <c r="C103" s="1898"/>
      <c r="D103" s="1626" t="s">
        <v>4318</v>
      </c>
      <c r="E103" s="1630">
        <v>19</v>
      </c>
      <c r="F103" s="1786"/>
      <c r="G103" s="1791"/>
      <c r="H103" s="1792"/>
      <c r="I103" s="1793"/>
    </row>
    <row r="104" spans="2:10">
      <c r="B104" s="611" t="s">
        <v>2842</v>
      </c>
      <c r="C104" s="1898"/>
      <c r="D104" s="1627" t="s">
        <v>2694</v>
      </c>
      <c r="E104" s="1631" t="s">
        <v>2694</v>
      </c>
      <c r="F104" s="1787"/>
      <c r="G104" s="1791"/>
      <c r="H104" s="1792"/>
      <c r="I104" s="1793"/>
    </row>
    <row r="105" spans="2:10">
      <c r="B105" s="611" t="s">
        <v>2783</v>
      </c>
      <c r="C105" s="1899"/>
      <c r="D105" s="1626" t="s">
        <v>2837</v>
      </c>
      <c r="E105" s="612" t="s">
        <v>2837</v>
      </c>
      <c r="F105" s="1782"/>
      <c r="G105" s="1791"/>
      <c r="H105" s="1792"/>
      <c r="I105" s="1793"/>
    </row>
    <row r="106" spans="2:10" ht="24">
      <c r="B106" s="611" t="s">
        <v>2784</v>
      </c>
      <c r="C106" s="1899"/>
      <c r="D106" s="1686" t="s">
        <v>4319</v>
      </c>
      <c r="E106" s="1687"/>
      <c r="F106" s="1788"/>
      <c r="G106" s="1791"/>
      <c r="H106" s="1792"/>
      <c r="I106" s="1793"/>
    </row>
    <row r="107" spans="2:10">
      <c r="B107" s="1548" t="s">
        <v>4361</v>
      </c>
      <c r="C107" s="1650"/>
      <c r="D107" s="1549"/>
      <c r="E107" s="1688"/>
      <c r="F107" s="1789"/>
      <c r="G107" s="1791"/>
      <c r="H107" s="1792"/>
      <c r="I107" s="1793"/>
    </row>
    <row r="108" spans="2:10">
      <c r="B108" s="1548" t="s">
        <v>4362</v>
      </c>
      <c r="C108" s="1650"/>
      <c r="D108" s="1680">
        <v>2.9999999999999997E-4</v>
      </c>
      <c r="E108" s="1681">
        <v>2.9999999999999997E-4</v>
      </c>
      <c r="F108" s="1790"/>
      <c r="G108" s="1791"/>
      <c r="H108" s="1792"/>
      <c r="I108" s="1793"/>
    </row>
    <row r="109" spans="2:10">
      <c r="B109" s="611" t="s">
        <v>4359</v>
      </c>
      <c r="C109" s="1644"/>
      <c r="D109" s="1549" t="s">
        <v>2851</v>
      </c>
      <c r="E109" s="612" t="s">
        <v>2851</v>
      </c>
      <c r="F109" s="1782"/>
      <c r="G109" s="1794"/>
      <c r="H109" s="1795"/>
      <c r="I109" s="1796"/>
      <c r="J109" s="1685"/>
    </row>
    <row r="110" spans="2:10">
      <c r="B110" s="614" t="s">
        <v>4360</v>
      </c>
      <c r="C110" s="1644"/>
      <c r="D110" s="1680">
        <v>2.9999999999999997E-4</v>
      </c>
      <c r="E110" s="1681">
        <v>2.9999999999999997E-4</v>
      </c>
      <c r="F110" s="1790"/>
      <c r="G110" s="1797"/>
      <c r="H110" s="1798"/>
      <c r="I110" s="1799"/>
      <c r="J110" s="1685"/>
    </row>
    <row r="112" spans="2:10" ht="24">
      <c r="B112" s="618" t="s">
        <v>2869</v>
      </c>
      <c r="C112" s="1649" t="s">
        <v>4297</v>
      </c>
      <c r="D112" s="1527" t="s">
        <v>4265</v>
      </c>
      <c r="E112" s="617" t="s">
        <v>821</v>
      </c>
      <c r="F112" s="617">
        <f>F79</f>
        <v>0</v>
      </c>
      <c r="G112" s="617" t="s">
        <v>2768</v>
      </c>
      <c r="H112" s="617" t="s">
        <v>2769</v>
      </c>
      <c r="I112" s="616" t="s">
        <v>2572</v>
      </c>
      <c r="J112" s="617" t="s">
        <v>4333</v>
      </c>
    </row>
    <row r="113" spans="2:27" ht="24">
      <c r="B113" s="611" t="s">
        <v>2781</v>
      </c>
      <c r="C113" s="1906"/>
      <c r="D113" s="1492" t="s">
        <v>4274</v>
      </c>
      <c r="E113" s="620"/>
      <c r="F113" s="620"/>
      <c r="G113" s="620"/>
      <c r="H113" s="624"/>
      <c r="I113" s="624"/>
      <c r="J113" s="624"/>
    </row>
    <row r="114" spans="2:27">
      <c r="B114" s="1663" t="s">
        <v>4332</v>
      </c>
      <c r="C114" s="1898"/>
      <c r="D114" s="1486" t="s">
        <v>4334</v>
      </c>
      <c r="E114" s="1664"/>
      <c r="F114" s="1664"/>
      <c r="G114" s="1562"/>
      <c r="H114" s="1563"/>
      <c r="I114" s="1563"/>
      <c r="J114" s="1564"/>
      <c r="Z114" s="606" t="str">
        <f>LEFT(RIGHT(B114,LEN(B114)-SEARCH("(",B114,1)),LEN(RIGHT(B114,LEN(B114)-SEARCH("(",B114,1)))-1)</f>
        <v>Et</v>
      </c>
      <c r="AA114" s="606" t="str">
        <f>IF(OR(Z114="Ec",Z114="Et",Z114="AFUE"),"% "&amp;Z114,Z114)</f>
        <v>% Et</v>
      </c>
    </row>
    <row r="115" spans="2:27">
      <c r="B115" s="1665" t="s">
        <v>4280</v>
      </c>
      <c r="C115" s="1898"/>
      <c r="D115" s="1492" t="s">
        <v>4276</v>
      </c>
      <c r="E115" s="1489"/>
      <c r="F115" s="1489"/>
      <c r="G115" s="1565"/>
      <c r="H115" s="1566"/>
      <c r="I115" s="1566"/>
      <c r="J115" s="1567"/>
    </row>
    <row r="116" spans="2:27">
      <c r="B116" s="611" t="s">
        <v>2782</v>
      </c>
      <c r="C116" s="1898"/>
      <c r="D116" s="1492" t="s">
        <v>4276</v>
      </c>
      <c r="E116" s="1490"/>
      <c r="F116" s="1488"/>
      <c r="G116" s="1565"/>
      <c r="H116" s="1566"/>
      <c r="I116" s="1566"/>
      <c r="J116" s="1567"/>
    </row>
    <row r="117" spans="2:27">
      <c r="B117" s="611" t="s">
        <v>4269</v>
      </c>
      <c r="C117" s="1903"/>
      <c r="D117" s="1492" t="s">
        <v>4276</v>
      </c>
      <c r="E117" s="621"/>
      <c r="F117" s="621"/>
      <c r="G117" s="1565"/>
      <c r="H117" s="1566"/>
      <c r="I117" s="1566"/>
      <c r="J117" s="1567"/>
    </row>
    <row r="118" spans="2:27">
      <c r="B118" s="611" t="s">
        <v>2787</v>
      </c>
      <c r="C118" s="1644"/>
      <c r="D118" s="1492" t="s">
        <v>4275</v>
      </c>
      <c r="E118" s="1802">
        <v>12.5</v>
      </c>
      <c r="F118" s="1487"/>
      <c r="G118" s="1565"/>
      <c r="H118" s="1566"/>
      <c r="I118" s="1566"/>
      <c r="J118" s="1567"/>
    </row>
    <row r="119" spans="2:27">
      <c r="B119" s="1603" t="s">
        <v>4322</v>
      </c>
      <c r="C119" s="1897"/>
      <c r="D119" s="1912" t="s">
        <v>3183</v>
      </c>
      <c r="E119" s="1629">
        <f>F119</f>
        <v>0</v>
      </c>
      <c r="F119" s="1624"/>
      <c r="G119" s="1801"/>
      <c r="H119" s="1801"/>
      <c r="I119" s="1566"/>
      <c r="J119" s="1567"/>
    </row>
    <row r="120" spans="2:27" ht="12.75" customHeight="1">
      <c r="B120" s="1603" t="s">
        <v>4326</v>
      </c>
      <c r="C120" s="1898"/>
      <c r="D120" s="1913"/>
      <c r="E120" s="1624"/>
      <c r="F120" s="1632"/>
      <c r="G120" s="1565"/>
      <c r="H120" s="1566"/>
      <c r="I120" s="1566"/>
      <c r="J120" s="1567"/>
    </row>
    <row r="121" spans="2:27">
      <c r="B121" s="611" t="s">
        <v>4335</v>
      </c>
      <c r="C121" s="1898"/>
      <c r="D121" s="1913"/>
      <c r="E121" s="1633"/>
      <c r="F121" s="1634"/>
      <c r="G121" s="1565"/>
      <c r="H121" s="1566"/>
      <c r="I121" s="1566"/>
      <c r="J121" s="1567"/>
    </row>
    <row r="122" spans="2:27">
      <c r="B122" s="611" t="s">
        <v>4323</v>
      </c>
      <c r="C122" s="1898"/>
      <c r="D122" s="1913"/>
      <c r="E122" s="1624"/>
      <c r="F122" s="620"/>
      <c r="G122" s="1565"/>
      <c r="H122" s="1566"/>
      <c r="I122" s="1566"/>
      <c r="J122" s="1567"/>
    </row>
    <row r="123" spans="2:27">
      <c r="B123" s="611" t="s">
        <v>4324</v>
      </c>
      <c r="C123" s="1899"/>
      <c r="D123" s="1913"/>
      <c r="E123" s="1624"/>
      <c r="F123" s="1632"/>
      <c r="G123" s="1565"/>
      <c r="H123" s="1566"/>
      <c r="I123" s="1566"/>
      <c r="J123" s="1567"/>
    </row>
    <row r="124" spans="2:27">
      <c r="B124" s="611" t="s">
        <v>4325</v>
      </c>
      <c r="C124" s="1899"/>
      <c r="D124" s="1914"/>
      <c r="E124" s="1670"/>
      <c r="F124" s="1670"/>
      <c r="G124" s="1565"/>
      <c r="H124" s="1566"/>
      <c r="I124" s="1566"/>
      <c r="J124" s="1567"/>
    </row>
    <row r="125" spans="2:27">
      <c r="B125" s="611" t="s">
        <v>4270</v>
      </c>
      <c r="C125" s="1902"/>
      <c r="D125" s="1492" t="s">
        <v>4277</v>
      </c>
      <c r="E125" s="1666">
        <v>2.5</v>
      </c>
      <c r="F125" s="1667"/>
      <c r="G125" s="1565"/>
      <c r="H125" s="1566"/>
      <c r="I125" s="1566"/>
      <c r="J125" s="1567"/>
    </row>
    <row r="126" spans="2:27">
      <c r="B126" s="611" t="s">
        <v>4271</v>
      </c>
      <c r="C126" s="1898"/>
      <c r="D126" s="1492" t="s">
        <v>4277</v>
      </c>
      <c r="E126" s="1666">
        <v>2.5</v>
      </c>
      <c r="F126" s="1667"/>
      <c r="G126" s="1565"/>
      <c r="H126" s="1566"/>
      <c r="I126" s="1566"/>
      <c r="J126" s="1567"/>
    </row>
    <row r="127" spans="2:27">
      <c r="B127" s="611" t="s">
        <v>4272</v>
      </c>
      <c r="C127" s="1903"/>
      <c r="D127" s="1492" t="s">
        <v>4277</v>
      </c>
      <c r="E127" s="1666">
        <v>2.5</v>
      </c>
      <c r="F127" s="1667"/>
      <c r="G127" s="1565"/>
      <c r="H127" s="1566"/>
      <c r="I127" s="1566"/>
      <c r="J127" s="1567"/>
    </row>
    <row r="128" spans="2:27">
      <c r="B128" s="611" t="s">
        <v>4273</v>
      </c>
      <c r="C128" s="1900"/>
      <c r="D128" s="1492" t="s">
        <v>4278</v>
      </c>
      <c r="E128" s="1668">
        <v>1.6</v>
      </c>
      <c r="F128" s="1669"/>
      <c r="G128" s="1565"/>
      <c r="H128" s="1566"/>
      <c r="I128" s="1566"/>
      <c r="J128" s="1567"/>
    </row>
    <row r="129" spans="2:11" ht="24">
      <c r="B129" s="611" t="s">
        <v>4336</v>
      </c>
      <c r="C129" s="1901"/>
      <c r="D129" s="1492" t="s">
        <v>4279</v>
      </c>
      <c r="E129" s="1671"/>
      <c r="F129" s="1671"/>
      <c r="G129" s="1568"/>
      <c r="H129" s="1569"/>
      <c r="I129" s="1569"/>
      <c r="J129" s="1570"/>
    </row>
    <row r="131" spans="2:11" ht="24">
      <c r="B131" s="618" t="s">
        <v>2873</v>
      </c>
      <c r="C131" s="1649" t="s">
        <v>4297</v>
      </c>
      <c r="D131" s="1527" t="s">
        <v>4265</v>
      </c>
      <c r="E131" s="617" t="s">
        <v>821</v>
      </c>
      <c r="F131" s="617">
        <f>F112</f>
        <v>0</v>
      </c>
      <c r="G131" s="617" t="s">
        <v>2745</v>
      </c>
      <c r="H131" s="617" t="s">
        <v>2768</v>
      </c>
      <c r="I131" s="617" t="s">
        <v>2769</v>
      </c>
      <c r="J131" s="616" t="s">
        <v>2572</v>
      </c>
      <c r="K131" s="616" t="s">
        <v>4333</v>
      </c>
    </row>
    <row r="132" spans="2:11" ht="36">
      <c r="B132" s="611" t="s">
        <v>4374</v>
      </c>
      <c r="C132" s="1910"/>
      <c r="D132" s="1472" t="s">
        <v>4371</v>
      </c>
      <c r="E132" s="1716"/>
      <c r="F132" s="1716"/>
      <c r="G132" s="620"/>
      <c r="H132" s="620"/>
      <c r="I132" s="624"/>
      <c r="J132" s="1720"/>
      <c r="K132" s="623"/>
    </row>
    <row r="133" spans="2:11" ht="36">
      <c r="B133" s="611" t="s">
        <v>4373</v>
      </c>
      <c r="C133" s="1911"/>
      <c r="D133" s="1472" t="s">
        <v>4372</v>
      </c>
      <c r="E133" s="1716"/>
      <c r="F133" s="1716"/>
      <c r="G133" s="623"/>
      <c r="H133" s="623"/>
      <c r="I133" s="624"/>
      <c r="J133" s="1720"/>
      <c r="K133" s="623"/>
    </row>
    <row r="134" spans="2:11" ht="24">
      <c r="B134" s="611" t="s">
        <v>4389</v>
      </c>
      <c r="C134" s="1644"/>
      <c r="D134" s="1472" t="s">
        <v>3191</v>
      </c>
      <c r="E134" s="1709"/>
      <c r="F134" s="1709"/>
      <c r="G134" s="1571"/>
      <c r="H134" s="1572"/>
      <c r="I134" s="1572"/>
      <c r="J134" s="1572"/>
      <c r="K134" s="1567"/>
    </row>
    <row r="135" spans="2:11">
      <c r="B135" s="611" t="s">
        <v>4388</v>
      </c>
      <c r="C135" s="1902"/>
      <c r="D135" s="1710" t="s">
        <v>4380</v>
      </c>
      <c r="E135" s="1716"/>
      <c r="F135" s="1716"/>
      <c r="G135" s="623"/>
      <c r="H135" s="1566"/>
      <c r="I135" s="1566"/>
      <c r="J135" s="1566"/>
      <c r="K135" s="1567"/>
    </row>
    <row r="136" spans="2:11">
      <c r="B136" s="611" t="s">
        <v>4390</v>
      </c>
      <c r="C136" s="1898"/>
      <c r="D136" s="1710" t="s">
        <v>4380</v>
      </c>
      <c r="E136" s="1721"/>
      <c r="F136" s="1721"/>
      <c r="G136" s="1565"/>
      <c r="H136" s="1566"/>
      <c r="I136" s="1566"/>
      <c r="J136" s="1566"/>
      <c r="K136" s="1567"/>
    </row>
    <row r="137" spans="2:11" ht="24">
      <c r="B137" s="611" t="s">
        <v>4391</v>
      </c>
      <c r="C137" s="1898"/>
      <c r="D137" s="1710" t="s">
        <v>4385</v>
      </c>
      <c r="E137" s="1718"/>
      <c r="F137" s="1718"/>
      <c r="G137" s="1565"/>
      <c r="H137" s="1566"/>
      <c r="I137" s="1566"/>
      <c r="J137" s="1566"/>
      <c r="K137" s="1567"/>
    </row>
    <row r="138" spans="2:11" ht="24">
      <c r="B138" s="611" t="s">
        <v>4392</v>
      </c>
      <c r="C138" s="1903"/>
      <c r="D138" s="1710" t="s">
        <v>4386</v>
      </c>
      <c r="E138" s="1714"/>
      <c r="F138" s="1714"/>
      <c r="G138" s="1730"/>
      <c r="H138" s="1566"/>
      <c r="I138" s="1566"/>
      <c r="J138" s="1566"/>
      <c r="K138" s="1567"/>
    </row>
    <row r="139" spans="2:11">
      <c r="B139" s="611" t="s">
        <v>4513</v>
      </c>
      <c r="C139" s="1762"/>
      <c r="D139" s="1763" t="s">
        <v>4512</v>
      </c>
      <c r="E139" s="1816">
        <f>F139</f>
        <v>0</v>
      </c>
      <c r="F139" s="1672"/>
      <c r="G139" s="1730"/>
      <c r="H139" s="1566"/>
      <c r="I139" s="1566"/>
      <c r="J139" s="1566"/>
      <c r="K139" s="1567"/>
    </row>
    <row r="140" spans="2:11" ht="36">
      <c r="B140" s="611" t="s">
        <v>4375</v>
      </c>
      <c r="C140" s="1644"/>
      <c r="D140" s="1472" t="s">
        <v>3186</v>
      </c>
      <c r="E140" s="1716"/>
      <c r="F140" s="1716"/>
      <c r="G140" s="1565"/>
      <c r="H140" s="1566"/>
      <c r="I140" s="1566"/>
      <c r="J140" s="1566"/>
      <c r="K140" s="1567"/>
    </row>
    <row r="141" spans="2:11">
      <c r="B141" s="611" t="s">
        <v>4381</v>
      </c>
      <c r="C141" s="1898"/>
      <c r="D141" s="1710" t="s">
        <v>4380</v>
      </c>
      <c r="E141" s="1716"/>
      <c r="F141" s="1716"/>
      <c r="G141" s="623"/>
      <c r="H141" s="1566"/>
      <c r="I141" s="1566"/>
      <c r="J141" s="1566"/>
      <c r="K141" s="1567"/>
    </row>
    <row r="142" spans="2:11">
      <c r="B142" s="611" t="s">
        <v>4382</v>
      </c>
      <c r="C142" s="1898"/>
      <c r="D142" s="1710" t="s">
        <v>4380</v>
      </c>
      <c r="E142" s="1717"/>
      <c r="F142" s="1717"/>
      <c r="G142" s="1565"/>
      <c r="H142" s="1566"/>
      <c r="I142" s="1566"/>
      <c r="J142" s="1566"/>
      <c r="K142" s="1567"/>
    </row>
    <row r="143" spans="2:11" ht="24">
      <c r="B143" s="611" t="s">
        <v>4383</v>
      </c>
      <c r="C143" s="1898"/>
      <c r="D143" s="1710" t="s">
        <v>4385</v>
      </c>
      <c r="E143" s="1718"/>
      <c r="F143" s="1718"/>
      <c r="G143" s="1565"/>
      <c r="H143" s="1566"/>
      <c r="I143" s="1566"/>
      <c r="J143" s="1566"/>
      <c r="K143" s="1567"/>
    </row>
    <row r="144" spans="2:11" ht="24">
      <c r="B144" s="611" t="s">
        <v>4387</v>
      </c>
      <c r="C144" s="1904"/>
      <c r="D144" s="1710" t="s">
        <v>4386</v>
      </c>
      <c r="E144" s="1722"/>
      <c r="F144" s="1722"/>
      <c r="G144" s="1565"/>
      <c r="H144" s="1566"/>
      <c r="I144" s="1566"/>
      <c r="J144" s="1566"/>
      <c r="K144" s="1567"/>
    </row>
    <row r="145" spans="2:11" ht="24">
      <c r="B145" s="611" t="s">
        <v>4399</v>
      </c>
      <c r="C145" s="1902"/>
      <c r="D145" s="1492" t="s">
        <v>3189</v>
      </c>
      <c r="E145" s="625"/>
      <c r="F145" s="625"/>
      <c r="G145" s="1565"/>
      <c r="H145" s="1566"/>
      <c r="I145" s="1566"/>
      <c r="J145" s="1566"/>
      <c r="K145" s="1567"/>
    </row>
    <row r="146" spans="2:11" ht="24">
      <c r="B146" s="611" t="s">
        <v>4400</v>
      </c>
      <c r="C146" s="1904"/>
      <c r="D146" s="1492" t="s">
        <v>3189</v>
      </c>
      <c r="E146" s="1716"/>
      <c r="F146" s="1716"/>
      <c r="G146" s="1565"/>
      <c r="H146" s="1566"/>
      <c r="I146" s="1566"/>
      <c r="J146" s="1566"/>
      <c r="K146" s="1567"/>
    </row>
    <row r="147" spans="2:11">
      <c r="B147" s="611" t="s">
        <v>4401</v>
      </c>
      <c r="C147" s="1902"/>
      <c r="D147" s="1710" t="s">
        <v>4379</v>
      </c>
      <c r="E147" s="615" t="s">
        <v>2677</v>
      </c>
      <c r="F147" s="625"/>
      <c r="G147" s="1565"/>
      <c r="H147" s="1566"/>
      <c r="I147" s="1566"/>
      <c r="J147" s="1566"/>
      <c r="K147" s="1567"/>
    </row>
    <row r="148" spans="2:11">
      <c r="B148" s="611" t="s">
        <v>4398</v>
      </c>
      <c r="C148" s="1904"/>
      <c r="D148" s="1710" t="s">
        <v>2677</v>
      </c>
      <c r="E148" s="615" t="s">
        <v>2677</v>
      </c>
      <c r="F148" s="1469"/>
      <c r="G148" s="1565"/>
      <c r="H148" s="1566"/>
      <c r="I148" s="1566"/>
      <c r="J148" s="1566"/>
      <c r="K148" s="1567"/>
    </row>
    <row r="149" spans="2:11" ht="12.75" customHeight="1">
      <c r="B149" s="611" t="s">
        <v>4397</v>
      </c>
      <c r="C149" s="1897"/>
      <c r="D149" s="1710" t="s">
        <v>4380</v>
      </c>
      <c r="E149" s="1716"/>
      <c r="F149" s="1732"/>
      <c r="G149" s="623"/>
      <c r="H149" s="1566"/>
      <c r="I149" s="1566"/>
      <c r="J149" s="1566"/>
      <c r="K149" s="1567"/>
    </row>
    <row r="150" spans="2:11">
      <c r="B150" s="611" t="s">
        <v>4393</v>
      </c>
      <c r="C150" s="1898"/>
      <c r="D150" s="1710" t="s">
        <v>4380</v>
      </c>
      <c r="E150" s="1717"/>
      <c r="F150" s="1717"/>
      <c r="G150" s="1565"/>
      <c r="H150" s="1566"/>
      <c r="I150" s="1566"/>
      <c r="J150" s="1566"/>
      <c r="K150" s="1567"/>
    </row>
    <row r="151" spans="2:11" ht="24">
      <c r="B151" s="611" t="s">
        <v>4394</v>
      </c>
      <c r="C151" s="1898"/>
      <c r="D151" s="1710" t="s">
        <v>4385</v>
      </c>
      <c r="E151" s="1718"/>
      <c r="F151" s="1718"/>
      <c r="G151" s="1565"/>
      <c r="H151" s="1566"/>
      <c r="I151" s="1566"/>
      <c r="J151" s="1566"/>
      <c r="K151" s="1567"/>
    </row>
    <row r="152" spans="2:11" ht="24">
      <c r="B152" s="1712" t="s">
        <v>4411</v>
      </c>
      <c r="C152" s="1898"/>
      <c r="D152" s="1711" t="s">
        <v>4378</v>
      </c>
      <c r="E152" s="1714"/>
      <c r="F152" s="1714"/>
      <c r="G152" s="1565"/>
      <c r="H152" s="1566"/>
      <c r="I152" s="1566"/>
      <c r="J152" s="1566"/>
      <c r="K152" s="1567"/>
    </row>
    <row r="153" spans="2:11">
      <c r="B153" s="1712" t="s">
        <v>4395</v>
      </c>
      <c r="C153" s="1898"/>
      <c r="D153" s="1711" t="s">
        <v>4376</v>
      </c>
      <c r="E153" s="615" t="s">
        <v>2677</v>
      </c>
      <c r="F153" s="625"/>
      <c r="G153" s="1565"/>
      <c r="H153" s="1566"/>
      <c r="I153" s="1566"/>
      <c r="J153" s="1566"/>
      <c r="K153" s="1567"/>
    </row>
    <row r="154" spans="2:11" ht="24">
      <c r="B154" s="1712" t="s">
        <v>4396</v>
      </c>
      <c r="C154" s="1898"/>
      <c r="D154" s="1711" t="s">
        <v>4377</v>
      </c>
      <c r="E154" s="1719">
        <v>24</v>
      </c>
      <c r="F154" s="1713"/>
      <c r="G154" s="1565"/>
      <c r="H154" s="1566"/>
      <c r="I154" s="1566"/>
      <c r="J154" s="1566"/>
      <c r="K154" s="1567"/>
    </row>
    <row r="155" spans="2:11">
      <c r="B155" s="1712" t="s">
        <v>4402</v>
      </c>
      <c r="C155" s="1897"/>
      <c r="D155" s="1711" t="s">
        <v>4376</v>
      </c>
      <c r="E155" s="615" t="s">
        <v>2677</v>
      </c>
      <c r="F155" s="625"/>
      <c r="G155" s="1565"/>
      <c r="H155" s="1566"/>
      <c r="I155" s="1566"/>
      <c r="J155" s="1566"/>
      <c r="K155" s="1567"/>
    </row>
    <row r="156" spans="2:11" ht="24">
      <c r="B156" s="1712" t="s">
        <v>4403</v>
      </c>
      <c r="C156" s="1898"/>
      <c r="D156" s="1711" t="s">
        <v>4377</v>
      </c>
      <c r="E156" s="1713"/>
      <c r="F156" s="1713"/>
      <c r="G156" s="1565"/>
      <c r="H156" s="1566"/>
      <c r="I156" s="1566"/>
      <c r="J156" s="1566"/>
      <c r="K156" s="1567"/>
    </row>
    <row r="157" spans="2:11" ht="48">
      <c r="B157" s="1712" t="s">
        <v>4404</v>
      </c>
      <c r="C157" s="1904"/>
      <c r="D157" s="1711" t="s">
        <v>4384</v>
      </c>
      <c r="E157" s="1714"/>
      <c r="F157" s="1850"/>
      <c r="G157" s="1708"/>
      <c r="H157" s="1569"/>
      <c r="I157" s="1569"/>
      <c r="J157" s="1569"/>
      <c r="K157" s="1570"/>
    </row>
    <row r="159" spans="2:11" ht="24">
      <c r="B159" s="618" t="s">
        <v>2767</v>
      </c>
      <c r="C159" s="1649" t="s">
        <v>4297</v>
      </c>
      <c r="D159" s="1527" t="s">
        <v>4265</v>
      </c>
      <c r="E159" s="617" t="s">
        <v>821</v>
      </c>
      <c r="F159" s="617">
        <f>F131</f>
        <v>0</v>
      </c>
    </row>
    <row r="160" spans="2:11">
      <c r="B160" s="611" t="s">
        <v>4368</v>
      </c>
      <c r="C160" s="1644"/>
      <c r="D160" s="1549" t="s">
        <v>2677</v>
      </c>
      <c r="E160" s="625"/>
      <c r="F160" s="625"/>
    </row>
    <row r="161" spans="2:6">
      <c r="B161" s="611" t="s">
        <v>4369</v>
      </c>
      <c r="C161" s="1644"/>
      <c r="D161" s="1549" t="s">
        <v>2677</v>
      </c>
      <c r="E161" s="625"/>
      <c r="F161" s="625"/>
    </row>
    <row r="162" spans="2:6">
      <c r="B162" s="611" t="s">
        <v>4370</v>
      </c>
      <c r="C162" s="1644"/>
      <c r="D162" s="1549" t="s">
        <v>2677</v>
      </c>
      <c r="E162" s="625"/>
      <c r="F162" s="625"/>
    </row>
    <row r="163" spans="2:6">
      <c r="B163" s="611" t="s">
        <v>2815</v>
      </c>
      <c r="C163" s="1900"/>
      <c r="D163" s="1549" t="s">
        <v>2677</v>
      </c>
      <c r="E163" s="625"/>
      <c r="F163" s="625"/>
    </row>
    <row r="164" spans="2:6">
      <c r="B164" s="614" t="s">
        <v>2874</v>
      </c>
      <c r="C164" s="1901"/>
      <c r="D164" s="1549" t="s">
        <v>2677</v>
      </c>
      <c r="E164" s="625"/>
      <c r="F164" s="625"/>
    </row>
  </sheetData>
  <mergeCells count="49">
    <mergeCell ref="C21:C22"/>
    <mergeCell ref="D13:D14"/>
    <mergeCell ref="D23:D24"/>
    <mergeCell ref="C23:C24"/>
    <mergeCell ref="D21:D22"/>
    <mergeCell ref="B10:G10"/>
    <mergeCell ref="C13:C14"/>
    <mergeCell ref="C15:C16"/>
    <mergeCell ref="C17:C18"/>
    <mergeCell ref="C19:C20"/>
    <mergeCell ref="D15:D16"/>
    <mergeCell ref="D17:D18"/>
    <mergeCell ref="D19:D20"/>
    <mergeCell ref="C50:C51"/>
    <mergeCell ref="C35:C36"/>
    <mergeCell ref="D25:D26"/>
    <mergeCell ref="D27:D28"/>
    <mergeCell ref="D30:D33"/>
    <mergeCell ref="D35:D36"/>
    <mergeCell ref="C25:C26"/>
    <mergeCell ref="C27:C28"/>
    <mergeCell ref="C30:C33"/>
    <mergeCell ref="C91:C92"/>
    <mergeCell ref="C93:C94"/>
    <mergeCell ref="C149:C154"/>
    <mergeCell ref="B77:I77"/>
    <mergeCell ref="C52:C53"/>
    <mergeCell ref="C55:C57"/>
    <mergeCell ref="C64:C67"/>
    <mergeCell ref="C68:C71"/>
    <mergeCell ref="C72:C75"/>
    <mergeCell ref="C135:C138"/>
    <mergeCell ref="C132:C133"/>
    <mergeCell ref="D119:D124"/>
    <mergeCell ref="C80:C83"/>
    <mergeCell ref="C84:C87"/>
    <mergeCell ref="C113:C117"/>
    <mergeCell ref="B61:I61"/>
    <mergeCell ref="C163:C164"/>
    <mergeCell ref="C125:C127"/>
    <mergeCell ref="C155:C157"/>
    <mergeCell ref="C141:C144"/>
    <mergeCell ref="C147:C148"/>
    <mergeCell ref="C145:C146"/>
    <mergeCell ref="C102:C104"/>
    <mergeCell ref="C105:C106"/>
    <mergeCell ref="C119:C122"/>
    <mergeCell ref="C123:C124"/>
    <mergeCell ref="C128:C129"/>
  </mergeCells>
  <conditionalFormatting sqref="D57:F57">
    <cfRule type="expression" dxfId="31" priority="26">
      <formula>$B$57="Electric Stove (kWh/yr)"</formula>
    </cfRule>
  </conditionalFormatting>
  <conditionalFormatting sqref="F103:F107">
    <cfRule type="expression" dxfId="30" priority="24">
      <formula>$F$102="No"</formula>
    </cfRule>
  </conditionalFormatting>
  <conditionalFormatting sqref="F121:F124">
    <cfRule type="expression" dxfId="29" priority="23">
      <formula>$F$102="No"</formula>
    </cfRule>
  </conditionalFormatting>
  <conditionalFormatting sqref="E120:F124">
    <cfRule type="expression" dxfId="28" priority="22">
      <formula>$F$119="No"</formula>
    </cfRule>
  </conditionalFormatting>
  <conditionalFormatting sqref="E114:F114">
    <cfRule type="expression" dxfId="27" priority="21">
      <formula>$B$114="DHW System Efficiency (EF)"</formula>
    </cfRule>
  </conditionalFormatting>
  <conditionalFormatting sqref="E66:F66">
    <cfRule type="expression" dxfId="26" priority="14">
      <formula>$B$66="Primary Heating System Efficiency (HSPF)"</formula>
    </cfRule>
    <cfRule type="expression" dxfId="25" priority="15">
      <formula>$B$66="Primary Heating System Efficiency (COP)"</formula>
    </cfRule>
    <cfRule type="expression" dxfId="24" priority="16">
      <formula>$B$66="Primary Heating System Efficiency (Ec)"</formula>
    </cfRule>
    <cfRule type="expression" dxfId="23" priority="17">
      <formula>$B$66="Primary Heating System Efficiency (Et)"</formula>
    </cfRule>
    <cfRule type="expression" dxfId="22" priority="18">
      <formula>$B$66="Primary Heating System Efficiency (AFUE)"</formula>
    </cfRule>
  </conditionalFormatting>
  <conditionalFormatting sqref="E74:F74">
    <cfRule type="expression" dxfId="21" priority="4">
      <formula>$B$74="Tertiary Heating System Efficiency (HSPF)"</formula>
    </cfRule>
    <cfRule type="expression" dxfId="20" priority="5">
      <formula>$B$74="Tertiary Heating System Efficiency (COP)"</formula>
    </cfRule>
    <cfRule type="expression" dxfId="19" priority="6">
      <formula>$B$74="Tertiary Heating System Efficiency (Ec)"</formula>
    </cfRule>
    <cfRule type="expression" dxfId="18" priority="7">
      <formula>$B$74="Tertiary Heating System Efficiency (Et)"</formula>
    </cfRule>
    <cfRule type="expression" dxfId="17" priority="8">
      <formula>$B$74="Tertiary Heating System Efficiency (AFUE)"</formula>
    </cfRule>
  </conditionalFormatting>
  <conditionalFormatting sqref="E70:F70">
    <cfRule type="expression" dxfId="16" priority="9">
      <formula>$B$70="Secondary Heating System Efficiency (HSPF)"</formula>
    </cfRule>
    <cfRule type="expression" dxfId="15" priority="10">
      <formula>$B$70="Secondary Heating System Efficiency (COP)"</formula>
    </cfRule>
    <cfRule type="expression" dxfId="14" priority="11">
      <formula>$B$70="Secondary Heating System Efficiency (Ec)"</formula>
    </cfRule>
    <cfRule type="expression" dxfId="13" priority="12">
      <formula>$B$70="Secondary Heating System Efficiency (Et)"</formula>
    </cfRule>
    <cfRule type="expression" dxfId="12" priority="13">
      <formula>$B$70="Secondary Heating System Efficiency (AFUE)"</formula>
    </cfRule>
  </conditionalFormatting>
  <conditionalFormatting sqref="E82:F82">
    <cfRule type="expression" dxfId="11" priority="2">
      <formula>$B$82="Primary Cooling System Efficiency (EER)"</formula>
    </cfRule>
  </conditionalFormatting>
  <conditionalFormatting sqref="F86">
    <cfRule type="expression" dxfId="10" priority="1">
      <formula>$B$86="Secondary Cooling System Efficiency (EER)"</formula>
    </cfRule>
  </conditionalFormatting>
  <dataValidations count="18">
    <dataValidation type="list" allowBlank="1" showInputMessage="1" showErrorMessage="1" sqref="I113 J52 J49:J50 J58 I80 I64:I65 I72:I73 I68:I69 I84:I85 J132:J133">
      <formula1>EStar</formula1>
    </dataValidation>
    <dataValidation type="list" allowBlank="1" showInputMessage="1" showErrorMessage="1" sqref="K132:K133">
      <formula1>"Continuous, Intermittent"</formula1>
    </dataValidation>
    <dataValidation type="list" allowBlank="1" showInputMessage="1" showErrorMessage="1" sqref="E122:F122 E104:F104">
      <formula1>PumpClass</formula1>
    </dataValidation>
    <dataValidation type="list" allowBlank="1" showInputMessage="1" showErrorMessage="1" sqref="E123:F123 E105:F105">
      <formula1>Pump</formula1>
    </dataValidation>
    <dataValidation type="list" allowBlank="1" showInputMessage="1" showErrorMessage="1" sqref="E119:F119 E102:F102">
      <formula1>"Please select,Yes, No"</formula1>
    </dataValidation>
    <dataValidation type="list" allowBlank="1" showInputMessage="1" showErrorMessage="1" sqref="B114">
      <formula1>"DHW System Efficiency (EF), DHW System Efficiency (Et)"</formula1>
    </dataValidation>
    <dataValidation type="list" allowBlank="1" showInputMessage="1" showErrorMessage="1" sqref="J113">
      <formula1>"In-Unit, Central"</formula1>
    </dataValidation>
    <dataValidation type="list" allowBlank="1" showInputMessage="1" showErrorMessage="1" sqref="E109:F109 E107:F107">
      <formula1>FanControl</formula1>
    </dataValidation>
    <dataValidation type="list" allowBlank="1" showInputMessage="1" showErrorMessage="1" sqref="E93:F93">
      <formula1>HeatingControl</formula1>
    </dataValidation>
    <dataValidation type="list" allowBlank="1" showInputMessage="1" showErrorMessage="1" sqref="B82">
      <formula1>"Primary Cooling System Efficiency (EER), Primary Cooling System Efficiency (SEER)"</formula1>
    </dataValidation>
    <dataValidation type="list" allowBlank="1" showInputMessage="1" showErrorMessage="1" sqref="B86">
      <formula1>"Secondary Cooling System Efficiency (EER), Secondary Cooling System Efficiency (SEER)"</formula1>
    </dataValidation>
    <dataValidation type="list" allowBlank="1" showInputMessage="1" showErrorMessage="1" sqref="B66">
      <formula1>"Primary Heating System Efficiency (AFUE), , Primary Heating System Efficiency (COP), Primary Heating System Efficiency (Ec), Primary Heating System Efficiency (Et), Primary Heating System Efficiency (HSPF)"</formula1>
    </dataValidation>
    <dataValidation type="list" allowBlank="1" showInputMessage="1" showErrorMessage="1" sqref="B70">
      <formula1>"Secondary Heating System Efficiency (AFUE), Secondary Heating System Efficiency (COP), Secondary Heating System Efficiency (Ec), Secondary Heating System Efficiency (Et), Secondary Heating System Efficiency (HSPF)"</formula1>
    </dataValidation>
    <dataValidation type="list" allowBlank="1" showInputMessage="1" showErrorMessage="1" sqref="B74">
      <formula1>"Tertiary Heating System Efficiency (AFUE), Tertiary Heating System Efficiency (COP), Tertiary Heating System Efficiency (Ec), Tertiary Heating System Efficiency (Et), Tertiary Heating System Efficiency (HSPF)"</formula1>
    </dataValidation>
    <dataValidation type="list" allowBlank="1" showInputMessage="1" showErrorMessage="1" sqref="K64 K68 K72">
      <formula1>"Yes, No"</formula1>
    </dataValidation>
    <dataValidation type="list" allowBlank="1" showInputMessage="1" showErrorMessage="1" sqref="K52">
      <formula1>"Common Area,In-Unit"</formula1>
    </dataValidation>
    <dataValidation type="list" allowBlank="1" showInputMessage="1" showErrorMessage="1" sqref="B57">
      <formula1>"Please Select Type of Stove, Electric Stove (kWh/yr), Gas Stove (therm/yr)"</formula1>
    </dataValidation>
    <dataValidation type="whole" allowBlank="1" showInputMessage="1" showErrorMessage="1" sqref="C49:C50 C52:C59">
      <formula1>1</formula1>
      <formula2>50</formula2>
    </dataValidation>
  </dataValidations>
  <pageMargins left="0.7" right="0.7" top="0.75" bottom="0.75" header="0.3" footer="0.3"/>
  <pageSetup orientation="portrait" r:id="rId1"/>
  <ignoredErrors>
    <ignoredError sqref="F59 F55" unlockedFormula="1"/>
  </ignoredErrors>
  <legacyDrawing r:id="rId2"/>
</worksheet>
</file>

<file path=xl/worksheets/sheet11.xml><?xml version="1.0" encoding="utf-8"?>
<worksheet xmlns="http://schemas.openxmlformats.org/spreadsheetml/2006/main" xmlns:r="http://schemas.openxmlformats.org/officeDocument/2006/relationships">
  <sheetPr codeName="Sheet1" enableFormatConditionsCalculation="0">
    <tabColor theme="0" tint="-0.34998626667073579"/>
  </sheetPr>
  <dimension ref="A1:AM140"/>
  <sheetViews>
    <sheetView showGridLines="0" zoomScaleNormal="100" workbookViewId="0">
      <selection activeCell="H73" sqref="H73:L73"/>
    </sheetView>
  </sheetViews>
  <sheetFormatPr defaultRowHeight="12"/>
  <cols>
    <col min="1" max="1" width="2" style="482" customWidth="1"/>
    <col min="2" max="2" width="28.42578125" style="482" customWidth="1"/>
    <col min="3" max="3" width="17.140625" style="482" customWidth="1"/>
    <col min="4" max="4" width="15.7109375" style="482" customWidth="1"/>
    <col min="5" max="5" width="16.42578125" style="482" customWidth="1"/>
    <col min="6" max="6" width="9.42578125" style="482" customWidth="1"/>
    <col min="7" max="7" width="15.7109375" style="482" customWidth="1"/>
    <col min="8" max="8" width="15.140625" style="482" customWidth="1"/>
    <col min="9" max="10" width="9.42578125" style="482" customWidth="1"/>
    <col min="11" max="11" width="13" style="482" customWidth="1"/>
    <col min="12" max="12" width="3.5703125" style="482" customWidth="1"/>
    <col min="13" max="29" width="9.140625" style="482"/>
    <col min="30" max="30" width="40.140625" style="606" customWidth="1"/>
    <col min="31" max="31" width="47.85546875" style="606" customWidth="1"/>
    <col min="32" max="35" width="9.140625" style="482"/>
    <col min="36" max="39" width="9.140625" style="482" customWidth="1"/>
    <col min="40" max="16384" width="9.140625" style="482"/>
  </cols>
  <sheetData>
    <row r="1" spans="1:12" ht="18.75">
      <c r="B1" s="488" t="s">
        <v>2901</v>
      </c>
    </row>
    <row r="2" spans="1:12" ht="12.75" thickBot="1"/>
    <row r="3" spans="1:12" ht="12.75" thickBot="1">
      <c r="B3" s="1920"/>
      <c r="C3" s="1921"/>
      <c r="D3" s="1921"/>
      <c r="E3" s="1921"/>
      <c r="F3" s="1921"/>
      <c r="G3" s="1921"/>
      <c r="H3" s="1921"/>
      <c r="I3" s="1921"/>
      <c r="J3" s="1921"/>
      <c r="K3" s="1921"/>
      <c r="L3" s="1922"/>
    </row>
    <row r="4" spans="1:12">
      <c r="B4" s="2114" t="s">
        <v>2591</v>
      </c>
      <c r="C4" s="2115"/>
      <c r="D4" s="2115"/>
      <c r="E4" s="2116"/>
      <c r="F4" s="682"/>
      <c r="G4" s="2120" t="s">
        <v>2592</v>
      </c>
      <c r="H4" s="2122"/>
      <c r="I4" s="2122"/>
      <c r="J4" s="2122"/>
      <c r="K4" s="2122"/>
      <c r="L4" s="2123"/>
    </row>
    <row r="5" spans="1:12">
      <c r="B5" s="2117"/>
      <c r="C5" s="2118"/>
      <c r="D5" s="2118"/>
      <c r="E5" s="2119"/>
      <c r="F5" s="682"/>
      <c r="G5" s="2121"/>
      <c r="H5" s="2124"/>
      <c r="I5" s="2124"/>
      <c r="J5" s="2124"/>
      <c r="K5" s="2124"/>
      <c r="L5" s="2125"/>
    </row>
    <row r="6" spans="1:12">
      <c r="B6" s="2126" t="s">
        <v>2593</v>
      </c>
      <c r="C6" s="2127"/>
      <c r="D6" s="2127"/>
      <c r="E6" s="2128"/>
      <c r="F6" s="683"/>
      <c r="G6" s="648" t="s">
        <v>2594</v>
      </c>
      <c r="H6" s="2132"/>
      <c r="I6" s="2132"/>
      <c r="J6" s="2132"/>
      <c r="K6" s="2132"/>
      <c r="L6" s="2125"/>
    </row>
    <row r="7" spans="1:12" ht="12.75" thickBot="1">
      <c r="B7" s="2129"/>
      <c r="C7" s="2130"/>
      <c r="D7" s="2130"/>
      <c r="E7" s="2131"/>
      <c r="F7" s="683"/>
      <c r="G7" s="649" t="s">
        <v>2595</v>
      </c>
      <c r="H7" s="2133"/>
      <c r="I7" s="2134"/>
      <c r="J7" s="2134"/>
      <c r="K7" s="2134"/>
      <c r="L7" s="2135"/>
    </row>
    <row r="8" spans="1:12" ht="12.75" thickBot="1">
      <c r="B8" s="1993"/>
      <c r="C8" s="1994"/>
      <c r="D8" s="1994"/>
      <c r="E8" s="1994"/>
      <c r="F8" s="1994"/>
      <c r="G8" s="1994"/>
      <c r="H8" s="1994"/>
      <c r="I8" s="1994"/>
      <c r="J8" s="1994"/>
      <c r="K8" s="1994"/>
      <c r="L8" s="1995"/>
    </row>
    <row r="9" spans="1:12">
      <c r="B9" s="2136" t="s">
        <v>2596</v>
      </c>
      <c r="C9" s="2137"/>
      <c r="D9" s="2137"/>
      <c r="E9" s="2138"/>
      <c r="F9" s="682"/>
      <c r="G9" s="2120" t="s">
        <v>2592</v>
      </c>
      <c r="H9" s="2122"/>
      <c r="I9" s="2122"/>
      <c r="J9" s="2122"/>
      <c r="K9" s="2122"/>
      <c r="L9" s="2123"/>
    </row>
    <row r="10" spans="1:12">
      <c r="B10" s="2139"/>
      <c r="C10" s="2140"/>
      <c r="D10" s="2140"/>
      <c r="E10" s="2141"/>
      <c r="F10" s="682"/>
      <c r="G10" s="2121"/>
      <c r="H10" s="2124"/>
      <c r="I10" s="2124"/>
      <c r="J10" s="2124"/>
      <c r="K10" s="2124"/>
      <c r="L10" s="2125"/>
    </row>
    <row r="11" spans="1:12">
      <c r="B11" s="2142" t="s">
        <v>2593</v>
      </c>
      <c r="C11" s="2143"/>
      <c r="D11" s="2143"/>
      <c r="E11" s="2144"/>
      <c r="F11" s="683"/>
      <c r="G11" s="648" t="s">
        <v>2594</v>
      </c>
      <c r="H11" s="2132"/>
      <c r="I11" s="2132"/>
      <c r="J11" s="2132"/>
      <c r="K11" s="2132"/>
      <c r="L11" s="2125"/>
    </row>
    <row r="12" spans="1:12" ht="12.75" thickBot="1">
      <c r="B12" s="2145"/>
      <c r="C12" s="2146"/>
      <c r="D12" s="2146"/>
      <c r="E12" s="2147"/>
      <c r="F12" s="684"/>
      <c r="G12" s="649" t="s">
        <v>2595</v>
      </c>
      <c r="H12" s="2133"/>
      <c r="I12" s="2134"/>
      <c r="J12" s="2134"/>
      <c r="K12" s="2134"/>
      <c r="L12" s="2135"/>
    </row>
    <row r="13" spans="1:12" ht="12.75" thickBot="1">
      <c r="B13" s="1923" t="s">
        <v>2528</v>
      </c>
      <c r="C13" s="1924"/>
      <c r="D13" s="1924"/>
      <c r="E13" s="1924"/>
      <c r="F13" s="1924"/>
      <c r="G13" s="1924"/>
      <c r="H13" s="1924"/>
      <c r="I13" s="1924"/>
      <c r="J13" s="1924"/>
      <c r="K13" s="1924"/>
      <c r="L13" s="1925"/>
    </row>
    <row r="14" spans="1:12">
      <c r="A14" s="421"/>
      <c r="B14" s="2098" t="s">
        <v>2529</v>
      </c>
      <c r="C14" s="2097"/>
      <c r="D14" s="2153"/>
      <c r="E14" s="2153"/>
      <c r="F14" s="2153"/>
      <c r="G14" s="2097" t="s">
        <v>2530</v>
      </c>
      <c r="H14" s="2097"/>
      <c r="I14" s="2148">
        <f>'Basic Info'!C71</f>
        <v>0</v>
      </c>
      <c r="J14" s="2148"/>
      <c r="K14" s="2148"/>
      <c r="L14" s="2149"/>
    </row>
    <row r="15" spans="1:12">
      <c r="B15" s="2105" t="s">
        <v>3086</v>
      </c>
      <c r="C15" s="2102"/>
      <c r="D15" s="2154" t="str">
        <f>IF('Basic Info'!C67="","",'Basic Info'!C67)</f>
        <v/>
      </c>
      <c r="E15" s="2101"/>
      <c r="F15" s="2101"/>
      <c r="G15" s="2102" t="s">
        <v>2531</v>
      </c>
      <c r="H15" s="2102"/>
      <c r="I15" s="2150">
        <f>'Basic Info'!D71</f>
        <v>0</v>
      </c>
      <c r="J15" s="2150"/>
      <c r="K15" s="2150"/>
      <c r="L15" s="2151"/>
    </row>
    <row r="16" spans="1:12">
      <c r="B16" s="2105" t="s">
        <v>2532</v>
      </c>
      <c r="C16" s="2102"/>
      <c r="D16" s="2108">
        <f>'Basic Info'!C29</f>
        <v>0</v>
      </c>
      <c r="E16" s="2101"/>
      <c r="F16" s="2101"/>
      <c r="G16" s="2102" t="s">
        <v>2533</v>
      </c>
      <c r="H16" s="2102"/>
      <c r="I16" s="2150">
        <f>'Basic Info'!E71</f>
        <v>0</v>
      </c>
      <c r="J16" s="2150"/>
      <c r="K16" s="2150"/>
      <c r="L16" s="2151"/>
    </row>
    <row r="17" spans="1:12">
      <c r="B17" s="2105" t="s">
        <v>2534</v>
      </c>
      <c r="C17" s="2102"/>
      <c r="D17" s="2108">
        <f>'Basic Info'!C30</f>
        <v>0</v>
      </c>
      <c r="E17" s="2101"/>
      <c r="F17" s="2101"/>
      <c r="G17" s="2102" t="s">
        <v>2535</v>
      </c>
      <c r="H17" s="2102"/>
      <c r="I17" s="2152">
        <f>'Basic Info'!F71</f>
        <v>0</v>
      </c>
      <c r="J17" s="2150"/>
      <c r="K17" s="2150"/>
      <c r="L17" s="2151"/>
    </row>
    <row r="18" spans="1:12" ht="12.75" thickBot="1">
      <c r="B18" s="2066" t="s">
        <v>2682</v>
      </c>
      <c r="C18" s="2067"/>
      <c r="D18" s="2110">
        <f>'Basic Info'!C31</f>
        <v>0</v>
      </c>
      <c r="E18" s="2107"/>
      <c r="F18" s="2107"/>
      <c r="G18" s="2067"/>
      <c r="H18" s="2067"/>
      <c r="I18" s="2092"/>
      <c r="J18" s="2092"/>
      <c r="K18" s="2092"/>
      <c r="L18" s="2093"/>
    </row>
    <row r="19" spans="1:12" ht="12.75" thickBot="1">
      <c r="A19" s="421"/>
      <c r="B19" s="1923" t="s">
        <v>2536</v>
      </c>
      <c r="C19" s="1924"/>
      <c r="D19" s="1924"/>
      <c r="E19" s="1924"/>
      <c r="F19" s="1924"/>
      <c r="G19" s="1924"/>
      <c r="H19" s="1924"/>
      <c r="I19" s="1924"/>
      <c r="J19" s="1924"/>
      <c r="K19" s="1924"/>
      <c r="L19" s="1925"/>
    </row>
    <row r="20" spans="1:12">
      <c r="A20" s="421"/>
      <c r="B20" s="2098" t="s">
        <v>2704</v>
      </c>
      <c r="C20" s="2097"/>
      <c r="D20" s="2095">
        <f>'Basic Info'!D76</f>
        <v>0</v>
      </c>
      <c r="E20" s="2095"/>
      <c r="F20" s="2095"/>
      <c r="G20" s="2097" t="s">
        <v>2699</v>
      </c>
      <c r="H20" s="2097"/>
      <c r="I20" s="2094">
        <f>'Basic Info'!C34</f>
        <v>0</v>
      </c>
      <c r="J20" s="2095"/>
      <c r="K20" s="2095"/>
      <c r="L20" s="2096"/>
    </row>
    <row r="21" spans="1:12">
      <c r="B21" s="2105" t="s">
        <v>2537</v>
      </c>
      <c r="C21" s="2102"/>
      <c r="D21" s="2101">
        <f>'Basic Info'!C76</f>
        <v>0</v>
      </c>
      <c r="E21" s="2101"/>
      <c r="F21" s="2101"/>
      <c r="G21" s="2102" t="s">
        <v>2538</v>
      </c>
      <c r="H21" s="2102"/>
      <c r="I21" s="2108" t="s">
        <v>2904</v>
      </c>
      <c r="J21" s="2101"/>
      <c r="K21" s="2101"/>
      <c r="L21" s="2109"/>
    </row>
    <row r="22" spans="1:12">
      <c r="B22" s="2105" t="s">
        <v>2533</v>
      </c>
      <c r="C22" s="2102"/>
      <c r="D22" s="2101">
        <f>'Basic Info'!E76</f>
        <v>0</v>
      </c>
      <c r="E22" s="2101"/>
      <c r="F22" s="2101"/>
      <c r="G22" s="2102" t="s">
        <v>2539</v>
      </c>
      <c r="H22" s="2102"/>
      <c r="I22" s="2108">
        <f>'Basic Info'!C35</f>
        <v>0</v>
      </c>
      <c r="J22" s="2101"/>
      <c r="K22" s="2101"/>
      <c r="L22" s="2109"/>
    </row>
    <row r="23" spans="1:12" ht="12.75" thickBot="1">
      <c r="B23" s="2066" t="s">
        <v>2535</v>
      </c>
      <c r="C23" s="2067"/>
      <c r="D23" s="2106">
        <f>'Basic Info'!F76</f>
        <v>0</v>
      </c>
      <c r="E23" s="2107"/>
      <c r="F23" s="2107"/>
      <c r="G23" s="2067"/>
      <c r="H23" s="2067"/>
      <c r="I23" s="2099"/>
      <c r="J23" s="2099"/>
      <c r="K23" s="2099"/>
      <c r="L23" s="2100"/>
    </row>
    <row r="24" spans="1:12" ht="12.75" thickBot="1">
      <c r="B24" s="1923" t="s">
        <v>2540</v>
      </c>
      <c r="C24" s="1924"/>
      <c r="D24" s="1924"/>
      <c r="E24" s="1924"/>
      <c r="F24" s="1924"/>
      <c r="G24" s="1924"/>
      <c r="H24" s="1924"/>
      <c r="I24" s="1924"/>
      <c r="J24" s="1924"/>
      <c r="K24" s="1924"/>
      <c r="L24" s="1925"/>
    </row>
    <row r="25" spans="1:12">
      <c r="A25" s="421"/>
      <c r="B25" s="2065" t="s">
        <v>2541</v>
      </c>
      <c r="C25" s="1935"/>
      <c r="D25" s="2076">
        <f>'Basic Info'!C42</f>
        <v>0</v>
      </c>
      <c r="E25" s="2077"/>
      <c r="F25" s="2078"/>
      <c r="G25" s="1932" t="s">
        <v>3043</v>
      </c>
      <c r="H25" s="1933"/>
      <c r="I25" s="2103">
        <f>'Basic Info'!C24</f>
        <v>0</v>
      </c>
      <c r="J25" s="2103"/>
      <c r="K25" s="2103"/>
      <c r="L25" s="2104"/>
    </row>
    <row r="26" spans="1:12">
      <c r="A26" s="421"/>
      <c r="B26" s="2065" t="s">
        <v>2542</v>
      </c>
      <c r="C26" s="1935"/>
      <c r="D26" s="2076">
        <f>'Basic Info'!C45</f>
        <v>0</v>
      </c>
      <c r="E26" s="2077"/>
      <c r="F26" s="2078"/>
      <c r="G26" s="2064" t="s">
        <v>898</v>
      </c>
      <c r="H26" s="2064"/>
      <c r="I26" s="2074">
        <f>'Basic Info'!C11</f>
        <v>0</v>
      </c>
      <c r="J26" s="2074"/>
      <c r="K26" s="2074"/>
      <c r="L26" s="2075"/>
    </row>
    <row r="27" spans="1:12">
      <c r="A27" s="421"/>
      <c r="B27" s="2065" t="s">
        <v>2544</v>
      </c>
      <c r="C27" s="1935"/>
      <c r="D27" s="2076">
        <f>'Basic Info'!C47</f>
        <v>0</v>
      </c>
      <c r="E27" s="2077"/>
      <c r="F27" s="2078"/>
      <c r="G27" s="2064" t="s">
        <v>2543</v>
      </c>
      <c r="H27" s="2064"/>
      <c r="I27" s="2074">
        <f>SUM('Basic Info'!C12:C21)</f>
        <v>0</v>
      </c>
      <c r="J27" s="2074"/>
      <c r="K27" s="2074"/>
      <c r="L27" s="2075"/>
    </row>
    <row r="28" spans="1:12">
      <c r="A28" s="421"/>
      <c r="B28" s="2065" t="s">
        <v>2546</v>
      </c>
      <c r="C28" s="1935"/>
      <c r="D28" s="2076">
        <f>'Basic Info'!C48</f>
        <v>0</v>
      </c>
      <c r="E28" s="2077"/>
      <c r="F28" s="2078"/>
      <c r="G28" s="2064" t="s">
        <v>2545</v>
      </c>
      <c r="H28" s="2064"/>
      <c r="I28" s="2074">
        <f>'Basic Info'!C23</f>
        <v>0</v>
      </c>
      <c r="J28" s="2074"/>
      <c r="K28" s="2074"/>
      <c r="L28" s="2075"/>
    </row>
    <row r="29" spans="1:12">
      <c r="A29" s="421"/>
      <c r="B29" s="2065" t="s">
        <v>2547</v>
      </c>
      <c r="C29" s="1935"/>
      <c r="D29" s="2076">
        <f>'Basic Info'!C49</f>
        <v>0</v>
      </c>
      <c r="E29" s="2077"/>
      <c r="F29" s="2078"/>
      <c r="G29" s="2064" t="s">
        <v>1273</v>
      </c>
      <c r="H29" s="2064"/>
      <c r="I29" s="2074">
        <f>'Basic Info'!C22</f>
        <v>0</v>
      </c>
      <c r="J29" s="2074"/>
      <c r="K29" s="2074"/>
      <c r="L29" s="2075"/>
    </row>
    <row r="30" spans="1:12">
      <c r="A30" s="421"/>
      <c r="B30" s="2079" t="s">
        <v>2548</v>
      </c>
      <c r="C30" s="2080"/>
      <c r="D30" s="2081">
        <f>'Basic Info'!C50</f>
        <v>0</v>
      </c>
      <c r="E30" s="2081"/>
      <c r="F30" s="2081"/>
      <c r="G30" s="1934" t="s">
        <v>3090</v>
      </c>
      <c r="H30" s="1935"/>
      <c r="I30" s="2074">
        <f>'Basic Info'!C25</f>
        <v>0</v>
      </c>
      <c r="J30" s="2074"/>
      <c r="K30" s="2074"/>
      <c r="L30" s="2075"/>
    </row>
    <row r="31" spans="1:12" ht="12.75" customHeight="1">
      <c r="A31" s="421"/>
      <c r="B31" s="2068"/>
      <c r="C31" s="1937"/>
      <c r="D31" s="1937"/>
      <c r="E31" s="1937"/>
      <c r="F31" s="2069"/>
      <c r="G31" s="2064" t="s">
        <v>2549</v>
      </c>
      <c r="H31" s="2064"/>
      <c r="I31" s="2074">
        <f>SUMIF('Basic Info'!D11:D23, "Heated &amp; Cooled", 'Basic Info'!C11:C23)</f>
        <v>0</v>
      </c>
      <c r="J31" s="2074"/>
      <c r="K31" s="2074"/>
      <c r="L31" s="2075"/>
    </row>
    <row r="32" spans="1:12" ht="12.75" customHeight="1">
      <c r="A32" s="421"/>
      <c r="B32" s="2070"/>
      <c r="C32" s="1940"/>
      <c r="D32" s="1940"/>
      <c r="E32" s="1940"/>
      <c r="F32" s="2071"/>
      <c r="G32" s="2064" t="s">
        <v>2550</v>
      </c>
      <c r="H32" s="2064"/>
      <c r="I32" s="2074">
        <f>SUMIF('Basic Info'!D11:D23, "Heated-Only", 'Basic Info'!C11:C23)</f>
        <v>0</v>
      </c>
      <c r="J32" s="2074"/>
      <c r="K32" s="2074"/>
      <c r="L32" s="2075"/>
    </row>
    <row r="33" spans="1:12" ht="13.5" customHeight="1" thickBot="1">
      <c r="A33" s="421"/>
      <c r="B33" s="2072"/>
      <c r="C33" s="1943"/>
      <c r="D33" s="1943"/>
      <c r="E33" s="1943"/>
      <c r="F33" s="2073"/>
      <c r="G33" s="2082" t="s">
        <v>2551</v>
      </c>
      <c r="H33" s="2082"/>
      <c r="I33" s="2178">
        <f>SUMIF('Basic Info'!D11:D23, "Cooled-Only", 'Basic Info'!C11:C23)</f>
        <v>0</v>
      </c>
      <c r="J33" s="2178"/>
      <c r="K33" s="2178"/>
      <c r="L33" s="2179"/>
    </row>
    <row r="34" spans="1:12" ht="12.75" thickBot="1">
      <c r="A34" s="421"/>
      <c r="B34" s="2057" t="s">
        <v>2552</v>
      </c>
      <c r="C34" s="2058"/>
      <c r="D34" s="705" t="s">
        <v>1267</v>
      </c>
      <c r="E34" s="705" t="s">
        <v>2553</v>
      </c>
      <c r="F34" s="705" t="s">
        <v>2554</v>
      </c>
      <c r="G34" s="705" t="s">
        <v>2555</v>
      </c>
      <c r="H34" s="705" t="s">
        <v>2556</v>
      </c>
      <c r="I34" s="2039" t="s">
        <v>1266</v>
      </c>
      <c r="J34" s="2039"/>
      <c r="K34" s="2039"/>
      <c r="L34" s="2040"/>
    </row>
    <row r="35" spans="1:12">
      <c r="A35" s="421"/>
      <c r="B35" s="2016" t="s">
        <v>219</v>
      </c>
      <c r="C35" s="2017"/>
      <c r="D35" s="703">
        <f>'Basic Info'!C4</f>
        <v>0</v>
      </c>
      <c r="E35" s="703">
        <f>'Basic Info'!C5</f>
        <v>0</v>
      </c>
      <c r="F35" s="703">
        <f>'Basic Info'!C6</f>
        <v>0</v>
      </c>
      <c r="G35" s="703">
        <f>'Basic Info'!C7</f>
        <v>0</v>
      </c>
      <c r="H35" s="703">
        <f>'Basic Info'!C8</f>
        <v>0</v>
      </c>
      <c r="I35" s="2037">
        <f>SUM(D35:H35)</f>
        <v>0</v>
      </c>
      <c r="J35" s="2037"/>
      <c r="K35" s="2037"/>
      <c r="L35" s="2038"/>
    </row>
    <row r="36" spans="1:12" ht="12.75" thickBot="1">
      <c r="B36" s="2059" t="s">
        <v>3044</v>
      </c>
      <c r="C36" s="2060"/>
      <c r="D36" s="704"/>
      <c r="E36" s="704"/>
      <c r="F36" s="704"/>
      <c r="G36" s="704"/>
      <c r="H36" s="704"/>
      <c r="I36" s="2021" t="e">
        <f>(D36*D35+E36*E35+F36*F35+G36*G35+H36*H35)/I35</f>
        <v>#DIV/0!</v>
      </c>
      <c r="J36" s="2021"/>
      <c r="K36" s="2021"/>
      <c r="L36" s="2022"/>
    </row>
    <row r="37" spans="1:12" ht="12.75" customHeight="1" thickBot="1">
      <c r="A37" s="421"/>
      <c r="B37" s="1926" t="s">
        <v>19</v>
      </c>
      <c r="C37" s="1927"/>
      <c r="D37" s="1927"/>
      <c r="E37" s="1927"/>
      <c r="F37" s="1927"/>
      <c r="G37" s="1927"/>
      <c r="H37" s="1927"/>
      <c r="I37" s="1927"/>
      <c r="J37" s="1927"/>
      <c r="K37" s="1927"/>
      <c r="L37" s="1928"/>
    </row>
    <row r="38" spans="1:12">
      <c r="A38" s="421"/>
      <c r="B38" s="2061" t="s">
        <v>20</v>
      </c>
      <c r="C38" s="2062"/>
      <c r="D38" s="2063"/>
      <c r="E38" s="680">
        <f>I25-I29</f>
        <v>0</v>
      </c>
      <c r="F38" s="1945" t="s">
        <v>1216</v>
      </c>
      <c r="G38" s="1946"/>
      <c r="H38" s="1946"/>
      <c r="I38" s="1946"/>
      <c r="J38" s="1946"/>
      <c r="K38" s="1946"/>
      <c r="L38" s="1947"/>
    </row>
    <row r="39" spans="1:12">
      <c r="A39" s="421"/>
      <c r="B39" s="2025" t="s">
        <v>21</v>
      </c>
      <c r="C39" s="2026"/>
      <c r="D39" s="2027"/>
      <c r="E39" s="865">
        <f>'Basic Info'!C4+'Basic Info'!C5+2*'Basic Info'!C6+3*'Basic Info'!C7+4*'Basic Info'!C8</f>
        <v>0</v>
      </c>
      <c r="F39" s="1936"/>
      <c r="G39" s="1937"/>
      <c r="H39" s="1937"/>
      <c r="I39" s="1937"/>
      <c r="J39" s="1937"/>
      <c r="K39" s="1937"/>
      <c r="L39" s="1938"/>
    </row>
    <row r="40" spans="1:12">
      <c r="A40" s="421"/>
      <c r="B40" s="2025" t="s">
        <v>22</v>
      </c>
      <c r="C40" s="2026"/>
      <c r="D40" s="2027"/>
      <c r="E40" s="491">
        <f>D25</f>
        <v>0</v>
      </c>
      <c r="F40" s="1939"/>
      <c r="G40" s="1940"/>
      <c r="H40" s="1940"/>
      <c r="I40" s="1940"/>
      <c r="J40" s="1940"/>
      <c r="K40" s="1940"/>
      <c r="L40" s="1941"/>
    </row>
    <row r="41" spans="1:12">
      <c r="B41" s="2025" t="s">
        <v>23</v>
      </c>
      <c r="C41" s="2026"/>
      <c r="D41" s="2027"/>
      <c r="E41" s="489"/>
      <c r="F41" s="1939"/>
      <c r="G41" s="1940"/>
      <c r="H41" s="1940"/>
      <c r="I41" s="1940"/>
      <c r="J41" s="1940"/>
      <c r="K41" s="1940"/>
      <c r="L41" s="1941"/>
    </row>
    <row r="42" spans="1:12">
      <c r="B42" s="2025" t="s">
        <v>24</v>
      </c>
      <c r="C42" s="2026"/>
      <c r="D42" s="2027"/>
      <c r="E42" s="489"/>
      <c r="F42" s="1939"/>
      <c r="G42" s="1940"/>
      <c r="H42" s="1940"/>
      <c r="I42" s="1940"/>
      <c r="J42" s="1940"/>
      <c r="K42" s="1940"/>
      <c r="L42" s="1941"/>
    </row>
    <row r="43" spans="1:12">
      <c r="B43" s="2025" t="s">
        <v>25</v>
      </c>
      <c r="C43" s="2026"/>
      <c r="D43" s="2027"/>
      <c r="E43" s="865">
        <f>'Model Inputs'!G50</f>
        <v>0</v>
      </c>
      <c r="F43" s="1939"/>
      <c r="G43" s="1940"/>
      <c r="H43" s="1940"/>
      <c r="I43" s="1940"/>
      <c r="J43" s="1940"/>
      <c r="K43" s="1940"/>
      <c r="L43" s="1941"/>
    </row>
    <row r="44" spans="1:12">
      <c r="B44" s="2025" t="s">
        <v>26</v>
      </c>
      <c r="C44" s="2026"/>
      <c r="D44" s="2027"/>
      <c r="E44" s="679" t="e">
        <f>(I31+I32)/E38</f>
        <v>#DIV/0!</v>
      </c>
      <c r="F44" s="1939"/>
      <c r="G44" s="1940"/>
      <c r="H44" s="1940"/>
      <c r="I44" s="1940"/>
      <c r="J44" s="1940"/>
      <c r="K44" s="1940"/>
      <c r="L44" s="1941"/>
    </row>
    <row r="45" spans="1:12" ht="12.75" thickBot="1">
      <c r="B45" s="2018" t="s">
        <v>27</v>
      </c>
      <c r="C45" s="2019"/>
      <c r="D45" s="2020"/>
      <c r="E45" s="681" t="e">
        <f>(I31+I33)/E38</f>
        <v>#DIV/0!</v>
      </c>
      <c r="F45" s="1942"/>
      <c r="G45" s="1943"/>
      <c r="H45" s="1943"/>
      <c r="I45" s="1943"/>
      <c r="J45" s="1943"/>
      <c r="K45" s="1943"/>
      <c r="L45" s="1944"/>
    </row>
    <row r="46" spans="1:12" ht="12.75" thickBot="1">
      <c r="A46" s="421"/>
      <c r="B46" s="1923" t="s">
        <v>36</v>
      </c>
      <c r="C46" s="1924"/>
      <c r="D46" s="1924"/>
      <c r="E46" s="1924"/>
      <c r="F46" s="1924"/>
      <c r="G46" s="1924"/>
      <c r="H46" s="1924"/>
      <c r="I46" s="1924"/>
      <c r="J46" s="1924"/>
      <c r="K46" s="1924"/>
      <c r="L46" s="1925"/>
    </row>
    <row r="47" spans="1:12" ht="12" customHeight="1">
      <c r="A47" s="421"/>
      <c r="B47" s="2091" t="s">
        <v>2557</v>
      </c>
      <c r="C47" s="2029"/>
      <c r="D47" s="669" t="s">
        <v>2558</v>
      </c>
      <c r="E47" s="2028" t="s">
        <v>2559</v>
      </c>
      <c r="F47" s="2029"/>
      <c r="G47" s="2030"/>
      <c r="H47" s="2028" t="s">
        <v>2560</v>
      </c>
      <c r="I47" s="2029"/>
      <c r="J47" s="2029"/>
      <c r="K47" s="2029"/>
      <c r="L47" s="2180"/>
    </row>
    <row r="48" spans="1:12">
      <c r="A48" s="421"/>
      <c r="B48" s="2031" t="s">
        <v>2561</v>
      </c>
      <c r="C48" s="2032"/>
      <c r="D48" s="2032"/>
      <c r="E48" s="2032"/>
      <c r="F48" s="2032"/>
      <c r="G48" s="2032"/>
      <c r="H48" s="2032"/>
      <c r="I48" s="2032"/>
      <c r="J48" s="2032"/>
      <c r="K48" s="2032"/>
      <c r="L48" s="2033"/>
    </row>
    <row r="49" spans="1:39">
      <c r="B49" s="1953" t="s">
        <v>2808</v>
      </c>
      <c r="C49" s="1954"/>
      <c r="D49" s="840" t="s">
        <v>2564</v>
      </c>
      <c r="E49" s="2034" t="str">
        <f>CONCATENATE('Model Inputs'!E13,", ",'Model Inputs'!E14)</f>
        <v xml:space="preserve">Per ASHRAE, </v>
      </c>
      <c r="F49" s="2035"/>
      <c r="G49" s="2036"/>
      <c r="H49" s="1998" t="str">
        <f>CONCATENATE('Model Inputs'!G13," , ",'Model Inputs'!G14)</f>
        <v xml:space="preserve"> , </v>
      </c>
      <c r="I49" s="1999"/>
      <c r="J49" s="1999"/>
      <c r="K49" s="1999"/>
      <c r="L49" s="2000"/>
      <c r="AD49" s="606" t="str">
        <f t="shared" ref="AD49:AD97" si="0">E49</f>
        <v xml:space="preserve">Per ASHRAE, </v>
      </c>
      <c r="AE49" s="606" t="str">
        <f>H49</f>
        <v xml:space="preserve"> , </v>
      </c>
      <c r="AL49" s="482" t="s">
        <v>2610</v>
      </c>
      <c r="AM49" s="482" t="s">
        <v>2607</v>
      </c>
    </row>
    <row r="50" spans="1:39">
      <c r="B50" s="1953" t="s">
        <v>2811</v>
      </c>
      <c r="C50" s="1966"/>
      <c r="D50" s="840" t="s">
        <v>4459</v>
      </c>
      <c r="E50" s="2001" t="str">
        <f>IF('Model Inputs'!G17="N/A","N/A",CONCATENATE('Model Inputs'!E17,", ",'Model Inputs'!E18))</f>
        <v xml:space="preserve">Per ASHRAE, </v>
      </c>
      <c r="F50" s="2002"/>
      <c r="G50" s="2003"/>
      <c r="H50" s="1998" t="str">
        <f>IF('Model Inputs'!G17="N/A","N/A",CONCATENATE('Model Inputs'!G17," , ",'Model Inputs'!G18))</f>
        <v xml:space="preserve"> , </v>
      </c>
      <c r="I50" s="1999"/>
      <c r="J50" s="1999"/>
      <c r="K50" s="1999"/>
      <c r="L50" s="2000"/>
      <c r="AD50" s="606" t="str">
        <f t="shared" si="0"/>
        <v xml:space="preserve">Per ASHRAE, </v>
      </c>
      <c r="AE50" s="606" t="str">
        <f t="shared" ref="AE50:AE116" si="1">H50</f>
        <v xml:space="preserve"> , </v>
      </c>
      <c r="AL50" s="482" t="s">
        <v>2606</v>
      </c>
      <c r="AM50" s="482" t="s">
        <v>1129</v>
      </c>
    </row>
    <row r="51" spans="1:39">
      <c r="B51" s="1953" t="s">
        <v>2812</v>
      </c>
      <c r="C51" s="1954"/>
      <c r="D51" s="840" t="s">
        <v>2564</v>
      </c>
      <c r="E51" s="2001" t="str">
        <f>IF('Model Inputs'!G19="N/A","N/A",CONCATENATE('Model Inputs'!E19,", ",'Model Inputs'!E20))</f>
        <v xml:space="preserve">Per ASHRAE, </v>
      </c>
      <c r="F51" s="2002"/>
      <c r="G51" s="2003"/>
      <c r="H51" s="1998" t="str">
        <f>IF('Model Inputs'!G19="N/A","N/A",CONCATENATE('Model Inputs'!G19," , ",'Model Inputs'!G20))</f>
        <v xml:space="preserve"> , </v>
      </c>
      <c r="I51" s="1999"/>
      <c r="J51" s="1999"/>
      <c r="K51" s="1999"/>
      <c r="L51" s="2000"/>
      <c r="AD51" s="606" t="str">
        <f t="shared" si="0"/>
        <v xml:space="preserve">Per ASHRAE, </v>
      </c>
      <c r="AE51" s="606" t="str">
        <f t="shared" si="1"/>
        <v xml:space="preserve"> , </v>
      </c>
    </row>
    <row r="52" spans="1:39">
      <c r="B52" s="1953" t="s">
        <v>4460</v>
      </c>
      <c r="C52" s="1954"/>
      <c r="D52" s="840" t="s">
        <v>4457</v>
      </c>
      <c r="E52" s="2001" t="str">
        <f>IF('Model Inputs'!G21="N/A","N/A",CONCATENATE('Model Inputs'!E21,", ",'Model Inputs'!E22))</f>
        <v xml:space="preserve">Per ASHRAE, </v>
      </c>
      <c r="F52" s="2002"/>
      <c r="G52" s="2003"/>
      <c r="H52" s="1998" t="str">
        <f>IF('Model Inputs'!G21="N/A","N/A",CONCATENATE('Model Inputs'!G21," , ",'Model Inputs'!G22))</f>
        <v xml:space="preserve"> , </v>
      </c>
      <c r="I52" s="1999"/>
      <c r="J52" s="1999"/>
      <c r="K52" s="1999"/>
      <c r="L52" s="2000"/>
      <c r="AD52" s="606" t="str">
        <f t="shared" si="0"/>
        <v xml:space="preserve">Per ASHRAE, </v>
      </c>
      <c r="AE52" s="606" t="str">
        <f t="shared" si="1"/>
        <v xml:space="preserve"> , </v>
      </c>
      <c r="AL52" s="482" t="s">
        <v>2611</v>
      </c>
      <c r="AM52" s="482" t="s">
        <v>2609</v>
      </c>
    </row>
    <row r="53" spans="1:39">
      <c r="B53" s="2023" t="s">
        <v>4461</v>
      </c>
      <c r="C53" s="2024"/>
      <c r="D53" s="840" t="s">
        <v>4457</v>
      </c>
      <c r="E53" s="2001" t="str">
        <f>IF('Model Inputs'!G23="N/A","N/A",CONCATENATE('Model Inputs'!E23,", ",'Model Inputs'!E24))</f>
        <v xml:space="preserve">Per ASHRAE, </v>
      </c>
      <c r="F53" s="2002"/>
      <c r="G53" s="2003"/>
      <c r="H53" s="1998" t="str">
        <f>IF('Model Inputs'!G23="N/A","N/A",CONCATENATE('Model Inputs'!G23," , ",'Model Inputs'!G24))</f>
        <v xml:space="preserve"> , </v>
      </c>
      <c r="I53" s="1999"/>
      <c r="J53" s="1999"/>
      <c r="K53" s="1999"/>
      <c r="L53" s="2000"/>
    </row>
    <row r="54" spans="1:39">
      <c r="B54" s="654" t="s">
        <v>2872</v>
      </c>
      <c r="C54" s="650"/>
      <c r="D54" s="840" t="s">
        <v>4459</v>
      </c>
      <c r="E54" s="2001" t="str">
        <f>IF('Model Inputs'!G25="N/A","N/A",CONCATENATE('Model Inputs'!E25,", ",'Model Inputs'!E26))</f>
        <v xml:space="preserve">Per ASHRAE, </v>
      </c>
      <c r="F54" s="2002"/>
      <c r="G54" s="2003"/>
      <c r="H54" s="1998" t="str">
        <f>IF('Model Inputs'!G25="N/A","N/A",CONCATENATE('Model Inputs'!G25," , ",'Model Inputs'!G26))</f>
        <v xml:space="preserve"> , </v>
      </c>
      <c r="I54" s="1999"/>
      <c r="J54" s="1999"/>
      <c r="K54" s="1999"/>
      <c r="L54" s="2000"/>
      <c r="AD54" s="606" t="str">
        <f t="shared" si="0"/>
        <v xml:space="preserve">Per ASHRAE, </v>
      </c>
      <c r="AE54" s="606" t="str">
        <f t="shared" si="1"/>
        <v xml:space="preserve"> , </v>
      </c>
      <c r="AL54" s="482" t="s">
        <v>2609</v>
      </c>
    </row>
    <row r="55" spans="1:39">
      <c r="B55" s="654" t="s">
        <v>2809</v>
      </c>
      <c r="C55" s="650"/>
      <c r="D55" s="840" t="s">
        <v>2564</v>
      </c>
      <c r="E55" s="2001" t="str">
        <f>CONCATENATE('Model Inputs'!E27,", ",'Model Inputs'!E28)</f>
        <v xml:space="preserve">Per ASHRAE, </v>
      </c>
      <c r="F55" s="2002"/>
      <c r="G55" s="2003"/>
      <c r="H55" s="2053" t="str">
        <f>CONCATENATE('Model Inputs'!G27," , ",'Model Inputs'!G28)</f>
        <v xml:space="preserve"> , </v>
      </c>
      <c r="I55" s="2053"/>
      <c r="J55" s="2053"/>
      <c r="K55" s="2053"/>
      <c r="L55" s="2054"/>
      <c r="AD55" s="606" t="str">
        <f t="shared" si="0"/>
        <v xml:space="preserve">Per ASHRAE, </v>
      </c>
      <c r="AE55" s="606" t="str">
        <f t="shared" si="1"/>
        <v xml:space="preserve"> , </v>
      </c>
    </row>
    <row r="56" spans="1:39">
      <c r="B56" s="1953" t="s">
        <v>2562</v>
      </c>
      <c r="C56" s="1954"/>
      <c r="D56" s="840" t="s">
        <v>4458</v>
      </c>
      <c r="E56" s="2088">
        <f>'Model Inputs'!E29</f>
        <v>0</v>
      </c>
      <c r="F56" s="2089"/>
      <c r="G56" s="2090"/>
      <c r="H56" s="2087">
        <f>'Model Inputs'!G29</f>
        <v>0</v>
      </c>
      <c r="I56" s="1961"/>
      <c r="J56" s="1961"/>
      <c r="K56" s="1961"/>
      <c r="L56" s="1962"/>
      <c r="AD56" s="606">
        <f t="shared" si="0"/>
        <v>0</v>
      </c>
      <c r="AE56" s="606">
        <f t="shared" si="1"/>
        <v>0</v>
      </c>
    </row>
    <row r="57" spans="1:39">
      <c r="B57" s="1953" t="s">
        <v>3096</v>
      </c>
      <c r="C57" s="1954"/>
      <c r="D57" s="491" t="s">
        <v>2564</v>
      </c>
      <c r="E57" s="1950" t="str">
        <f>CONCATENATE('Model Inputs'!E30,", ", 'Model Inputs'!E31,", ",'Model Inputs'!E32)</f>
        <v xml:space="preserve">, Per ASHRAE, </v>
      </c>
      <c r="F57" s="1951"/>
      <c r="G57" s="1952"/>
      <c r="H57" s="1961" t="str">
        <f>CONCATENATE('Model Inputs'!G30," , ", 'Model Inputs'!G31," , ",'Model Inputs'!G32)</f>
        <v xml:space="preserve"> ,  , </v>
      </c>
      <c r="I57" s="1961"/>
      <c r="J57" s="1961"/>
      <c r="K57" s="1961"/>
      <c r="L57" s="1962"/>
      <c r="AD57" s="606" t="str">
        <f t="shared" si="0"/>
        <v xml:space="preserve">, Per ASHRAE, </v>
      </c>
      <c r="AE57" s="606" t="str">
        <f t="shared" si="1"/>
        <v xml:space="preserve"> ,  , </v>
      </c>
    </row>
    <row r="58" spans="1:39">
      <c r="B58" s="1953" t="s">
        <v>3095</v>
      </c>
      <c r="C58" s="1954"/>
      <c r="D58" s="491" t="s">
        <v>2565</v>
      </c>
      <c r="E58" s="2004">
        <f>'Model Inputs'!E33</f>
        <v>0</v>
      </c>
      <c r="F58" s="2005"/>
      <c r="G58" s="2006"/>
      <c r="H58" s="2007">
        <f>'Model Inputs'!G33</f>
        <v>0</v>
      </c>
      <c r="I58" s="2007"/>
      <c r="J58" s="2007"/>
      <c r="K58" s="2007"/>
      <c r="L58" s="2008"/>
      <c r="AD58" s="606">
        <f t="shared" si="0"/>
        <v>0</v>
      </c>
      <c r="AE58" s="606">
        <f t="shared" si="1"/>
        <v>0</v>
      </c>
    </row>
    <row r="59" spans="1:39">
      <c r="B59" s="1953" t="s">
        <v>2566</v>
      </c>
      <c r="C59" s="1954"/>
      <c r="D59" s="840"/>
      <c r="E59" s="1950">
        <f>'Model Inputs'!E34</f>
        <v>0</v>
      </c>
      <c r="F59" s="1951"/>
      <c r="G59" s="1952"/>
      <c r="H59" s="1960">
        <f>'Model Inputs'!G34</f>
        <v>0</v>
      </c>
      <c r="I59" s="1961"/>
      <c r="J59" s="1961"/>
      <c r="K59" s="1961"/>
      <c r="L59" s="1962"/>
      <c r="AD59" s="606">
        <f t="shared" si="0"/>
        <v>0</v>
      </c>
      <c r="AE59" s="606">
        <f t="shared" si="1"/>
        <v>0</v>
      </c>
    </row>
    <row r="60" spans="1:39">
      <c r="A60" s="421"/>
      <c r="B60" s="654" t="s">
        <v>2814</v>
      </c>
      <c r="C60" s="650"/>
      <c r="D60" s="840" t="s">
        <v>2564</v>
      </c>
      <c r="E60" s="1950" t="str">
        <f>CONCATENATE('Model Inputs'!E35,", ",'Model Inputs'!E36)</f>
        <v xml:space="preserve">, </v>
      </c>
      <c r="F60" s="1951"/>
      <c r="G60" s="1952"/>
      <c r="H60" s="1960" t="str">
        <f>CONCATENATE('Model Inputs'!G35," , ",'Model Inputs'!G36)</f>
        <v xml:space="preserve"> , </v>
      </c>
      <c r="I60" s="1960"/>
      <c r="J60" s="1960"/>
      <c r="K60" s="1960"/>
      <c r="L60" s="2009"/>
      <c r="AD60" s="606" t="str">
        <f t="shared" si="0"/>
        <v xml:space="preserve">, </v>
      </c>
      <c r="AE60" s="606" t="str">
        <f t="shared" si="1"/>
        <v xml:space="preserve"> , </v>
      </c>
    </row>
    <row r="61" spans="1:39">
      <c r="A61" s="421"/>
      <c r="B61" s="1957" t="s">
        <v>2567</v>
      </c>
      <c r="C61" s="1958"/>
      <c r="D61" s="1958"/>
      <c r="E61" s="1958"/>
      <c r="F61" s="1958"/>
      <c r="G61" s="1958"/>
      <c r="H61" s="1958"/>
      <c r="I61" s="1958"/>
      <c r="J61" s="1958"/>
      <c r="K61" s="1958"/>
      <c r="L61" s="1959"/>
      <c r="AD61" s="606">
        <f t="shared" si="0"/>
        <v>0</v>
      </c>
      <c r="AE61" s="606">
        <f t="shared" si="1"/>
        <v>0</v>
      </c>
    </row>
    <row r="62" spans="1:39" ht="14.25">
      <c r="A62" s="421"/>
      <c r="B62" s="1953" t="s">
        <v>2568</v>
      </c>
      <c r="C62" s="1966"/>
      <c r="D62" s="840" t="s">
        <v>3042</v>
      </c>
      <c r="E62" s="2047">
        <f>'Model Inputs'!E40</f>
        <v>0.7</v>
      </c>
      <c r="F62" s="2048"/>
      <c r="G62" s="2049"/>
      <c r="H62" s="2013">
        <f>'Model Inputs'!F40</f>
        <v>0</v>
      </c>
      <c r="I62" s="2014"/>
      <c r="J62" s="2014"/>
      <c r="K62" s="2014"/>
      <c r="L62" s="2015"/>
      <c r="AD62" s="606">
        <f t="shared" si="0"/>
        <v>0.7</v>
      </c>
      <c r="AE62" s="606">
        <f t="shared" si="1"/>
        <v>0</v>
      </c>
    </row>
    <row r="63" spans="1:39" ht="14.25">
      <c r="A63" s="421"/>
      <c r="B63" s="1953" t="s">
        <v>3088</v>
      </c>
      <c r="C63" s="1966"/>
      <c r="D63" s="840" t="s">
        <v>3042</v>
      </c>
      <c r="E63" s="2010">
        <f>'Model Inputs'!E41</f>
        <v>0</v>
      </c>
      <c r="F63" s="2011"/>
      <c r="G63" s="2012"/>
      <c r="H63" s="2010">
        <f>'Model Inputs'!F41</f>
        <v>0</v>
      </c>
      <c r="I63" s="2011"/>
      <c r="J63" s="2011"/>
      <c r="K63" s="2011"/>
      <c r="L63" s="2086"/>
      <c r="AD63" s="606">
        <f t="shared" si="0"/>
        <v>0</v>
      </c>
      <c r="AE63" s="606">
        <f t="shared" si="1"/>
        <v>0</v>
      </c>
    </row>
    <row r="64" spans="1:39">
      <c r="A64" s="421"/>
      <c r="B64" s="1953" t="s">
        <v>3089</v>
      </c>
      <c r="C64" s="1966"/>
      <c r="D64" s="840" t="s">
        <v>896</v>
      </c>
      <c r="E64" s="2047">
        <f>'Model Inputs'!E45</f>
        <v>0</v>
      </c>
      <c r="F64" s="2048"/>
      <c r="G64" s="2049"/>
      <c r="H64" s="2055">
        <f>'Model Inputs'!F45</f>
        <v>0</v>
      </c>
      <c r="I64" s="2055"/>
      <c r="J64" s="2055"/>
      <c r="K64" s="2055"/>
      <c r="L64" s="2056"/>
      <c r="AD64" s="606">
        <f t="shared" si="0"/>
        <v>0</v>
      </c>
      <c r="AE64" s="606">
        <f t="shared" si="1"/>
        <v>0</v>
      </c>
    </row>
    <row r="65" spans="1:31">
      <c r="A65" s="421"/>
      <c r="B65" s="1953" t="s">
        <v>2570</v>
      </c>
      <c r="C65" s="1954"/>
      <c r="D65" s="840"/>
      <c r="E65" s="2044" t="str">
        <f>'Model Inputs'!E42</f>
        <v>N/A</v>
      </c>
      <c r="F65" s="2045"/>
      <c r="G65" s="2046"/>
      <c r="H65" s="2050">
        <f>'Model Inputs'!F42</f>
        <v>0</v>
      </c>
      <c r="I65" s="2051"/>
      <c r="J65" s="2051"/>
      <c r="K65" s="2051"/>
      <c r="L65" s="2052"/>
      <c r="AD65" s="606" t="str">
        <f t="shared" si="0"/>
        <v>N/A</v>
      </c>
      <c r="AE65" s="606">
        <f t="shared" si="1"/>
        <v>0</v>
      </c>
    </row>
    <row r="66" spans="1:31">
      <c r="A66" s="421"/>
      <c r="B66" s="1953" t="s">
        <v>2571</v>
      </c>
      <c r="C66" s="1966"/>
      <c r="D66" s="840" t="s">
        <v>2572</v>
      </c>
      <c r="E66" s="1963" t="str">
        <f>IF('Model Inputs'!G49=0,"N/A","Non-Energy Star")</f>
        <v>N/A</v>
      </c>
      <c r="F66" s="1964"/>
      <c r="G66" s="1965"/>
      <c r="H66" s="1960" t="str">
        <f>IF('Model Inputs'!G49=0,"N/A",'Model Inputs'!J49)</f>
        <v>N/A</v>
      </c>
      <c r="I66" s="1961"/>
      <c r="J66" s="1961"/>
      <c r="K66" s="1961"/>
      <c r="L66" s="1962"/>
      <c r="AD66" s="606" t="str">
        <f t="shared" si="0"/>
        <v>N/A</v>
      </c>
      <c r="AE66" s="606" t="str">
        <f t="shared" si="1"/>
        <v>N/A</v>
      </c>
    </row>
    <row r="67" spans="1:31">
      <c r="A67" s="421"/>
      <c r="B67" s="1953" t="s">
        <v>2573</v>
      </c>
      <c r="C67" s="1966"/>
      <c r="D67" s="840" t="s">
        <v>2572</v>
      </c>
      <c r="E67" s="1963" t="str">
        <f>IF('Model Inputs'!G50=0,"N/A","Non-Energy Star")</f>
        <v>N/A</v>
      </c>
      <c r="F67" s="1964"/>
      <c r="G67" s="1965"/>
      <c r="H67" s="1960" t="str">
        <f>IF('Model Inputs'!G50=0,"N/A",'Model Inputs'!J50)</f>
        <v>N/A</v>
      </c>
      <c r="I67" s="1961"/>
      <c r="J67" s="1961"/>
      <c r="K67" s="1961"/>
      <c r="L67" s="1962"/>
      <c r="AD67" s="606" t="str">
        <f t="shared" si="0"/>
        <v>N/A</v>
      </c>
      <c r="AE67" s="606" t="str">
        <f t="shared" si="1"/>
        <v>N/A</v>
      </c>
    </row>
    <row r="68" spans="1:31">
      <c r="A68" s="421"/>
      <c r="B68" s="1953" t="s">
        <v>3145</v>
      </c>
      <c r="C68" s="1966"/>
      <c r="D68" s="840" t="s">
        <v>2572</v>
      </c>
      <c r="E68" s="1963" t="str">
        <f>IF('Model Inputs'!G52=0,"N/A","Non-Energy Star")</f>
        <v>N/A</v>
      </c>
      <c r="F68" s="1964"/>
      <c r="G68" s="1965"/>
      <c r="H68" s="1960" t="str">
        <f>IF('Model Inputs'!G52=0,"N/A",'Model Inputs'!J52)</f>
        <v>N/A</v>
      </c>
      <c r="I68" s="1961"/>
      <c r="J68" s="1961"/>
      <c r="K68" s="1961"/>
      <c r="L68" s="1962"/>
      <c r="AD68" s="606" t="str">
        <f t="shared" si="0"/>
        <v>N/A</v>
      </c>
      <c r="AE68" s="606" t="str">
        <f t="shared" si="1"/>
        <v>N/A</v>
      </c>
    </row>
    <row r="69" spans="1:31">
      <c r="A69" s="421"/>
      <c r="B69" s="1957" t="s">
        <v>3087</v>
      </c>
      <c r="C69" s="1958"/>
      <c r="D69" s="1958"/>
      <c r="E69" s="1958"/>
      <c r="F69" s="1958"/>
      <c r="G69" s="1958"/>
      <c r="H69" s="1958"/>
      <c r="I69" s="1958"/>
      <c r="J69" s="1958"/>
      <c r="K69" s="1958"/>
      <c r="L69" s="1959"/>
      <c r="AD69" s="606">
        <f t="shared" si="0"/>
        <v>0</v>
      </c>
      <c r="AE69" s="606">
        <f t="shared" si="1"/>
        <v>0</v>
      </c>
    </row>
    <row r="70" spans="1:31">
      <c r="A70" s="421"/>
      <c r="B70" s="1953" t="s">
        <v>2574</v>
      </c>
      <c r="C70" s="1954"/>
      <c r="D70" s="840"/>
      <c r="E70" s="2044">
        <f>'Model Inputs'!E64</f>
        <v>0</v>
      </c>
      <c r="F70" s="2045"/>
      <c r="G70" s="2046"/>
      <c r="H70" s="2050">
        <f>'Model Inputs'!F64</f>
        <v>0</v>
      </c>
      <c r="I70" s="2051"/>
      <c r="J70" s="2051"/>
      <c r="K70" s="2051"/>
      <c r="L70" s="2052"/>
      <c r="AD70" s="606">
        <f t="shared" si="0"/>
        <v>0</v>
      </c>
      <c r="AE70" s="606">
        <f t="shared" si="1"/>
        <v>0</v>
      </c>
    </row>
    <row r="71" spans="1:31">
      <c r="A71" s="421"/>
      <c r="B71" s="1953" t="s">
        <v>2575</v>
      </c>
      <c r="C71" s="1966"/>
      <c r="D71" s="840" t="s">
        <v>2572</v>
      </c>
      <c r="E71" s="2041" t="str">
        <f>IF(OR('Model Inputs'!J132='Drop Down'!L6,'Model Inputs'!J133='Drop Down'!L6)=TRUE,'Drop Down'!L5,IF(OR('Model Inputs'!J132='Drop Down'!L5,'Model Inputs'!J133='Drop Down'!L5)=TRUE,'Drop Down'!L5,IF(OR('Model Inputs'!J132='Drop Down'!L4,'Model Inputs'!J133='Drop Down'!L4)=TRUE,'Drop Down'!L4,'Drop Down'!L3)))</f>
        <v>Not Applicable</v>
      </c>
      <c r="F71" s="2042"/>
      <c r="G71" s="2043"/>
      <c r="H71" s="2053" t="str">
        <f>IF(OR('Model Inputs'!J132='Drop Down'!L6,'Model Inputs'!J133='Drop Down'!L6)=TRUE,"Energy Star",IF(OR('Model Inputs'!J132='Drop Down'!L5,'Model Inputs'!J133='Drop Down'!L5)=TRUE,'Drop Down'!L5,IF(OR('Model Inputs'!J132='Drop Down'!L4,'Model Inputs'!J133='Drop Down'!L4)=TRUE,'Drop Down'!L4,'Drop Down'!L3)))</f>
        <v>Not Applicable</v>
      </c>
      <c r="I71" s="2053"/>
      <c r="J71" s="2053"/>
      <c r="K71" s="2053"/>
      <c r="L71" s="2054"/>
      <c r="AD71" s="606" t="str">
        <f t="shared" si="0"/>
        <v>Not Applicable</v>
      </c>
      <c r="AE71" s="606" t="str">
        <f t="shared" si="1"/>
        <v>Not Applicable</v>
      </c>
    </row>
    <row r="72" spans="1:31">
      <c r="A72" s="421"/>
      <c r="B72" s="1953" t="s">
        <v>2853</v>
      </c>
      <c r="C72" s="1966"/>
      <c r="D72" s="840" t="s">
        <v>2576</v>
      </c>
      <c r="E72" s="1950" t="str">
        <f>'Model Inputs'!AA66</f>
        <v>0% AFUE</v>
      </c>
      <c r="F72" s="1951"/>
      <c r="G72" s="1952"/>
      <c r="H72" s="1960" t="str">
        <f>'Model Inputs'!AB66</f>
        <v>0% AFUE</v>
      </c>
      <c r="I72" s="1961"/>
      <c r="J72" s="1961"/>
      <c r="K72" s="1961"/>
      <c r="L72" s="1962"/>
      <c r="AD72" s="606" t="str">
        <f t="shared" si="0"/>
        <v>0% AFUE</v>
      </c>
      <c r="AE72" s="606" t="str">
        <f t="shared" si="1"/>
        <v>0% AFUE</v>
      </c>
    </row>
    <row r="73" spans="1:31">
      <c r="A73" s="421"/>
      <c r="B73" s="1953" t="s">
        <v>2852</v>
      </c>
      <c r="C73" s="1966"/>
      <c r="D73" s="840" t="s">
        <v>2577</v>
      </c>
      <c r="E73" s="1950" t="str">
        <f>'Model Inputs'!AA82</f>
        <v xml:space="preserve"> SEER</v>
      </c>
      <c r="F73" s="1951"/>
      <c r="G73" s="1952"/>
      <c r="H73" s="1960" t="str">
        <f>'Model Inputs'!AB82</f>
        <v xml:space="preserve"> SEER</v>
      </c>
      <c r="I73" s="1961"/>
      <c r="J73" s="1961"/>
      <c r="K73" s="1961"/>
      <c r="L73" s="1962"/>
      <c r="AD73" s="606" t="str">
        <f t="shared" si="0"/>
        <v xml:space="preserve"> SEER</v>
      </c>
      <c r="AE73" s="606" t="str">
        <f t="shared" si="1"/>
        <v xml:space="preserve"> SEER</v>
      </c>
    </row>
    <row r="74" spans="1:31">
      <c r="A74" s="421"/>
      <c r="B74" s="1978" t="s">
        <v>2578</v>
      </c>
      <c r="C74" s="1979"/>
      <c r="D74" s="864" t="s">
        <v>4462</v>
      </c>
      <c r="E74" s="2192">
        <f>'Model Inputs'!E108</f>
        <v>2.9999999999999997E-4</v>
      </c>
      <c r="F74" s="2193"/>
      <c r="G74" s="2194"/>
      <c r="H74" s="1973">
        <f>'Model Inputs'!F110</f>
        <v>0</v>
      </c>
      <c r="I74" s="1973"/>
      <c r="J74" s="1973"/>
      <c r="K74" s="1973"/>
      <c r="L74" s="1974"/>
      <c r="AD74" s="606">
        <f t="shared" si="0"/>
        <v>2.9999999999999997E-4</v>
      </c>
      <c r="AE74" s="606">
        <f t="shared" si="1"/>
        <v>0</v>
      </c>
    </row>
    <row r="75" spans="1:31">
      <c r="A75" s="421"/>
      <c r="B75" s="2083" t="s">
        <v>2579</v>
      </c>
      <c r="C75" s="2084"/>
      <c r="D75" s="2084"/>
      <c r="E75" s="2084"/>
      <c r="F75" s="2084"/>
      <c r="G75" s="2084"/>
      <c r="H75" s="2084"/>
      <c r="I75" s="2084"/>
      <c r="J75" s="2084"/>
      <c r="K75" s="2084"/>
      <c r="L75" s="2085"/>
      <c r="AD75" s="606">
        <f t="shared" si="0"/>
        <v>0</v>
      </c>
      <c r="AE75" s="606">
        <f t="shared" si="1"/>
        <v>0</v>
      </c>
    </row>
    <row r="76" spans="1:31">
      <c r="A76" s="421"/>
      <c r="B76" s="1953" t="s">
        <v>2608</v>
      </c>
      <c r="C76" s="1954"/>
      <c r="D76" s="840" t="s">
        <v>2580</v>
      </c>
      <c r="E76" s="2004">
        <f>'Model Inputs'!E114</f>
        <v>0</v>
      </c>
      <c r="F76" s="2005"/>
      <c r="G76" s="2006"/>
      <c r="H76" s="2007">
        <f>'Model Inputs'!F114</f>
        <v>0</v>
      </c>
      <c r="I76" s="2007"/>
      <c r="J76" s="2007"/>
      <c r="K76" s="2007"/>
      <c r="L76" s="2008"/>
      <c r="AD76" s="606">
        <f t="shared" si="0"/>
        <v>0</v>
      </c>
      <c r="AE76" s="606">
        <f t="shared" si="1"/>
        <v>0</v>
      </c>
    </row>
    <row r="77" spans="1:31">
      <c r="B77" s="1953" t="s">
        <v>881</v>
      </c>
      <c r="C77" s="1966"/>
      <c r="D77" s="840" t="s">
        <v>220</v>
      </c>
      <c r="E77" s="1975">
        <v>2.5</v>
      </c>
      <c r="F77" s="1976"/>
      <c r="G77" s="1977"/>
      <c r="H77" s="1985">
        <f>'Model Inputs'!F126</f>
        <v>0</v>
      </c>
      <c r="I77" s="1985"/>
      <c r="J77" s="1985"/>
      <c r="K77" s="1985"/>
      <c r="L77" s="1986"/>
      <c r="AD77" s="606">
        <f t="shared" si="0"/>
        <v>2.5</v>
      </c>
      <c r="AE77" s="606">
        <f t="shared" si="1"/>
        <v>0</v>
      </c>
    </row>
    <row r="78" spans="1:31">
      <c r="B78" s="1639" t="s">
        <v>4328</v>
      </c>
      <c r="C78" s="1651"/>
      <c r="D78" s="1652" t="s">
        <v>220</v>
      </c>
      <c r="E78" s="1989">
        <f>'Model Inputs'!E127</f>
        <v>2.5</v>
      </c>
      <c r="F78" s="1990"/>
      <c r="G78" s="1991"/>
      <c r="H78" s="1985">
        <f>'Model Inputs'!F127</f>
        <v>0</v>
      </c>
      <c r="I78" s="1985"/>
      <c r="J78" s="1985"/>
      <c r="K78" s="1985"/>
      <c r="L78" s="1986"/>
    </row>
    <row r="79" spans="1:31">
      <c r="B79" s="1953" t="s">
        <v>879</v>
      </c>
      <c r="C79" s="1966"/>
      <c r="D79" s="840" t="s">
        <v>220</v>
      </c>
      <c r="E79" s="1975">
        <v>2.5</v>
      </c>
      <c r="F79" s="1976"/>
      <c r="G79" s="1977"/>
      <c r="H79" s="1985">
        <f>'Model Inputs'!F125</f>
        <v>0</v>
      </c>
      <c r="I79" s="1985"/>
      <c r="J79" s="1985"/>
      <c r="K79" s="1985"/>
      <c r="L79" s="1986"/>
      <c r="AD79" s="606">
        <f t="shared" si="0"/>
        <v>2.5</v>
      </c>
      <c r="AE79" s="606">
        <f t="shared" si="1"/>
        <v>0</v>
      </c>
    </row>
    <row r="80" spans="1:31">
      <c r="B80" s="1955" t="s">
        <v>2581</v>
      </c>
      <c r="C80" s="1956"/>
      <c r="D80" s="840" t="s">
        <v>2582</v>
      </c>
      <c r="E80" s="1963">
        <v>0</v>
      </c>
      <c r="F80" s="1964"/>
      <c r="G80" s="1965"/>
      <c r="H80" s="2187"/>
      <c r="I80" s="2187"/>
      <c r="J80" s="2187"/>
      <c r="K80" s="2187"/>
      <c r="L80" s="2188"/>
      <c r="AD80" s="606">
        <f t="shared" si="0"/>
        <v>0</v>
      </c>
      <c r="AE80" s="606">
        <f t="shared" si="1"/>
        <v>0</v>
      </c>
    </row>
    <row r="81" spans="1:31" ht="12" customHeight="1">
      <c r="B81" s="1957" t="s">
        <v>2583</v>
      </c>
      <c r="C81" s="1958"/>
      <c r="D81" s="1958"/>
      <c r="E81" s="1958"/>
      <c r="F81" s="1958"/>
      <c r="G81" s="1958"/>
      <c r="H81" s="1958"/>
      <c r="I81" s="1958"/>
      <c r="J81" s="1958"/>
      <c r="K81" s="1958"/>
      <c r="L81" s="1959"/>
      <c r="AD81" s="606">
        <f t="shared" si="0"/>
        <v>0</v>
      </c>
      <c r="AE81" s="606">
        <f t="shared" si="1"/>
        <v>0</v>
      </c>
    </row>
    <row r="82" spans="1:31">
      <c r="B82" s="1970" t="s">
        <v>2584</v>
      </c>
      <c r="C82" s="1971"/>
      <c r="D82" s="840"/>
      <c r="E82" s="1950">
        <f>'Model Inputs'!E163</f>
        <v>0</v>
      </c>
      <c r="F82" s="1951"/>
      <c r="G82" s="1952"/>
      <c r="H82" s="1960">
        <f>'Model Inputs'!F163</f>
        <v>0</v>
      </c>
      <c r="I82" s="1961"/>
      <c r="J82" s="1961"/>
      <c r="K82" s="1961"/>
      <c r="L82" s="1962"/>
      <c r="AD82" s="606">
        <f t="shared" si="0"/>
        <v>0</v>
      </c>
      <c r="AE82" s="606">
        <f t="shared" si="1"/>
        <v>0</v>
      </c>
    </row>
    <row r="83" spans="1:31">
      <c r="B83" s="1953" t="s">
        <v>2585</v>
      </c>
      <c r="C83" s="1954"/>
      <c r="D83" s="840" t="s">
        <v>149</v>
      </c>
      <c r="E83" s="1950">
        <f>'Model Inputs'!E164</f>
        <v>0</v>
      </c>
      <c r="F83" s="1951"/>
      <c r="G83" s="1952"/>
      <c r="H83" s="1960">
        <f>'Model Inputs'!F164</f>
        <v>0</v>
      </c>
      <c r="I83" s="1961"/>
      <c r="J83" s="1961"/>
      <c r="K83" s="1961"/>
      <c r="L83" s="1962"/>
      <c r="AD83" s="606">
        <f t="shared" si="0"/>
        <v>0</v>
      </c>
      <c r="AE83" s="606">
        <f t="shared" si="1"/>
        <v>0</v>
      </c>
    </row>
    <row r="84" spans="1:31">
      <c r="B84" s="1957" t="s">
        <v>4329</v>
      </c>
      <c r="C84" s="1958"/>
      <c r="D84" s="1958"/>
      <c r="E84" s="1958"/>
      <c r="F84" s="1958"/>
      <c r="G84" s="1958"/>
      <c r="H84" s="1958"/>
      <c r="I84" s="1958"/>
      <c r="J84" s="1958"/>
      <c r="K84" s="1958"/>
      <c r="L84" s="1959"/>
      <c r="AD84" s="606">
        <f t="shared" si="0"/>
        <v>0</v>
      </c>
      <c r="AE84" s="606">
        <f t="shared" si="1"/>
        <v>0</v>
      </c>
    </row>
    <row r="85" spans="1:31">
      <c r="A85" s="421"/>
      <c r="B85" s="1972"/>
      <c r="C85" s="1972"/>
      <c r="D85" s="1653"/>
      <c r="E85" s="1980"/>
      <c r="F85" s="1980"/>
      <c r="G85" s="1980"/>
      <c r="H85" s="2189"/>
      <c r="I85" s="2189"/>
      <c r="J85" s="2189"/>
      <c r="K85" s="2189"/>
      <c r="L85" s="2189"/>
      <c r="AD85" s="606">
        <f t="shared" si="0"/>
        <v>0</v>
      </c>
      <c r="AE85" s="606">
        <f t="shared" si="1"/>
        <v>0</v>
      </c>
    </row>
    <row r="86" spans="1:31">
      <c r="B86" s="1987"/>
      <c r="C86" s="1988"/>
      <c r="D86" s="1653"/>
      <c r="E86" s="1980"/>
      <c r="F86" s="1980"/>
      <c r="G86" s="1980"/>
      <c r="H86" s="2189"/>
      <c r="I86" s="2189"/>
      <c r="J86" s="2189"/>
      <c r="K86" s="2189"/>
      <c r="L86" s="2189"/>
      <c r="AD86" s="606">
        <f t="shared" si="0"/>
        <v>0</v>
      </c>
      <c r="AE86" s="606">
        <f t="shared" si="1"/>
        <v>0</v>
      </c>
    </row>
    <row r="87" spans="1:31">
      <c r="B87" s="1972"/>
      <c r="C87" s="1972"/>
      <c r="D87" s="1653"/>
      <c r="E87" s="1980"/>
      <c r="F87" s="1980"/>
      <c r="G87" s="1980"/>
      <c r="H87" s="2189"/>
      <c r="I87" s="2189"/>
      <c r="J87" s="2189"/>
      <c r="K87" s="2189"/>
      <c r="L87" s="2189"/>
      <c r="AD87" s="606">
        <f t="shared" si="0"/>
        <v>0</v>
      </c>
      <c r="AE87" s="606">
        <f t="shared" si="1"/>
        <v>0</v>
      </c>
    </row>
    <row r="88" spans="1:31" ht="12.75" thickBot="1">
      <c r="A88" s="421"/>
      <c r="B88" s="1929" t="s">
        <v>37</v>
      </c>
      <c r="C88" s="1930"/>
      <c r="D88" s="1930"/>
      <c r="E88" s="1930"/>
      <c r="F88" s="1930"/>
      <c r="G88" s="1930"/>
      <c r="H88" s="1930"/>
      <c r="I88" s="1930"/>
      <c r="J88" s="1930"/>
      <c r="K88" s="1930"/>
      <c r="L88" s="1931"/>
      <c r="AD88" s="606">
        <f t="shared" si="0"/>
        <v>0</v>
      </c>
      <c r="AE88" s="606">
        <f t="shared" si="1"/>
        <v>0</v>
      </c>
    </row>
    <row r="89" spans="1:31" ht="24">
      <c r="A89" s="421"/>
      <c r="B89" s="667" t="s">
        <v>2586</v>
      </c>
      <c r="C89" s="668"/>
      <c r="D89" s="669" t="s">
        <v>528</v>
      </c>
      <c r="E89" s="2028" t="s">
        <v>3</v>
      </c>
      <c r="F89" s="2029"/>
      <c r="G89" s="2028" t="s">
        <v>4</v>
      </c>
      <c r="H89" s="2030"/>
      <c r="I89" s="2028" t="s">
        <v>5</v>
      </c>
      <c r="J89" s="2029"/>
      <c r="K89" s="2029"/>
      <c r="L89" s="2180"/>
      <c r="AD89" s="606" t="str">
        <f t="shared" si="0"/>
        <v xml:space="preserve">Baseline 
Annual Consumption </v>
      </c>
      <c r="AE89" s="606">
        <f t="shared" si="1"/>
        <v>0</v>
      </c>
    </row>
    <row r="90" spans="1:31">
      <c r="B90" s="2111" t="s">
        <v>6</v>
      </c>
      <c r="C90" s="2112"/>
      <c r="D90" s="2112"/>
      <c r="E90" s="2112"/>
      <c r="F90" s="2112"/>
      <c r="G90" s="2112"/>
      <c r="H90" s="2112"/>
      <c r="I90" s="2112"/>
      <c r="J90" s="2112"/>
      <c r="K90" s="2112"/>
      <c r="L90" s="2113"/>
      <c r="AD90" s="606">
        <f t="shared" si="0"/>
        <v>0</v>
      </c>
      <c r="AE90" s="606">
        <f t="shared" si="1"/>
        <v>0</v>
      </c>
    </row>
    <row r="91" spans="1:31">
      <c r="B91" s="1970" t="s">
        <v>7</v>
      </c>
      <c r="C91" s="2195"/>
      <c r="D91" s="655" t="s">
        <v>148</v>
      </c>
      <c r="E91" s="1981" t="e">
        <f>'Results from eQUEST'!T18</f>
        <v>#DIV/0!</v>
      </c>
      <c r="F91" s="1982"/>
      <c r="G91" s="1981">
        <f>'Results from eQUEST'!T21</f>
        <v>0</v>
      </c>
      <c r="H91" s="1982"/>
      <c r="I91" s="1996" t="e">
        <f>IF(E91&gt;0, (E91-G91)/E91, "NA")</f>
        <v>#DIV/0!</v>
      </c>
      <c r="J91" s="1996"/>
      <c r="K91" s="1996"/>
      <c r="L91" s="1997"/>
      <c r="AD91" s="606" t="e">
        <f t="shared" si="0"/>
        <v>#DIV/0!</v>
      </c>
      <c r="AE91" s="606">
        <f t="shared" si="1"/>
        <v>0</v>
      </c>
    </row>
    <row r="92" spans="1:31">
      <c r="B92" s="1953" t="s">
        <v>8</v>
      </c>
      <c r="C92" s="1966"/>
      <c r="D92" s="656" t="s">
        <v>148</v>
      </c>
      <c r="E92" s="1992" t="e">
        <f>'Results from eQUEST'!P18+'Results from eQUEST'!V18</f>
        <v>#DIV/0!</v>
      </c>
      <c r="F92" s="1984"/>
      <c r="G92" s="1983">
        <f>'Results from eQUEST'!P21+'Results from eQUEST'!V21</f>
        <v>0</v>
      </c>
      <c r="H92" s="1984"/>
      <c r="I92" s="1967" t="e">
        <f t="shared" ref="I92:I100" si="2">IF(E92&gt;0, (E92-G92)/E92, "NA")</f>
        <v>#DIV/0!</v>
      </c>
      <c r="J92" s="1968"/>
      <c r="K92" s="1968"/>
      <c r="L92" s="1969"/>
      <c r="AD92" s="606" t="e">
        <f t="shared" si="0"/>
        <v>#DIV/0!</v>
      </c>
      <c r="AE92" s="606">
        <f t="shared" ref="AE92:AE97" si="3">H92</f>
        <v>0</v>
      </c>
    </row>
    <row r="93" spans="1:31">
      <c r="B93" s="1953" t="s">
        <v>9</v>
      </c>
      <c r="C93" s="1966"/>
      <c r="D93" s="656" t="s">
        <v>148</v>
      </c>
      <c r="E93" s="1992" t="e">
        <f>'Results from eQUEST'!Q18+'Results from eQUEST'!R18</f>
        <v>#DIV/0!</v>
      </c>
      <c r="F93" s="1984"/>
      <c r="G93" s="1983">
        <f>'Results from eQUEST'!Q21+'Results from eQUEST'!R21</f>
        <v>0</v>
      </c>
      <c r="H93" s="1984"/>
      <c r="I93" s="1967" t="e">
        <f t="shared" si="2"/>
        <v>#DIV/0!</v>
      </c>
      <c r="J93" s="1968"/>
      <c r="K93" s="1968"/>
      <c r="L93" s="1969"/>
      <c r="AD93" s="606" t="e">
        <f t="shared" si="0"/>
        <v>#DIV/0!</v>
      </c>
      <c r="AE93" s="606">
        <f t="shared" si="3"/>
        <v>0</v>
      </c>
    </row>
    <row r="94" spans="1:31">
      <c r="B94" s="1953" t="s">
        <v>10</v>
      </c>
      <c r="C94" s="1966"/>
      <c r="D94" s="656" t="s">
        <v>148</v>
      </c>
      <c r="E94" s="1992" t="e">
        <f>'Results from eQUEST'!W18</f>
        <v>#DIV/0!</v>
      </c>
      <c r="F94" s="1984"/>
      <c r="G94" s="1983">
        <f>'Results from eQUEST'!W21</f>
        <v>0</v>
      </c>
      <c r="H94" s="1984"/>
      <c r="I94" s="1967" t="e">
        <f t="shared" si="2"/>
        <v>#DIV/0!</v>
      </c>
      <c r="J94" s="1968"/>
      <c r="K94" s="1968"/>
      <c r="L94" s="1969"/>
      <c r="AD94" s="606" t="e">
        <f t="shared" si="0"/>
        <v>#DIV/0!</v>
      </c>
      <c r="AE94" s="606">
        <f t="shared" si="3"/>
        <v>0</v>
      </c>
    </row>
    <row r="95" spans="1:31">
      <c r="B95" s="1953" t="s">
        <v>11</v>
      </c>
      <c r="C95" s="1966"/>
      <c r="D95" s="656" t="s">
        <v>148</v>
      </c>
      <c r="E95" s="1983" t="e">
        <f>'Results from eQUEST'!M18+'Results from eQUEST'!N18-E96</f>
        <v>#DIV/0!</v>
      </c>
      <c r="F95" s="1984"/>
      <c r="G95" s="1983">
        <f>'Results from eQUEST'!M21+'Results from eQUEST'!N21-G96</f>
        <v>0</v>
      </c>
      <c r="H95" s="1984"/>
      <c r="I95" s="1967" t="e">
        <f t="shared" si="2"/>
        <v>#DIV/0!</v>
      </c>
      <c r="J95" s="1968"/>
      <c r="K95" s="1968"/>
      <c r="L95" s="1969"/>
      <c r="AD95" s="606" t="e">
        <f t="shared" si="0"/>
        <v>#DIV/0!</v>
      </c>
      <c r="AE95" s="606">
        <f t="shared" si="3"/>
        <v>0</v>
      </c>
    </row>
    <row r="96" spans="1:31">
      <c r="B96" s="1953" t="s">
        <v>2569</v>
      </c>
      <c r="C96" s="1966"/>
      <c r="D96" s="656" t="s">
        <v>148</v>
      </c>
      <c r="E96" s="1992" t="str">
        <f>IF('Results from eQUEST'!M14="","0",E64*12*365/1000)</f>
        <v>0</v>
      </c>
      <c r="F96" s="1984"/>
      <c r="G96" s="1983" t="str">
        <f>IF('Results from eQUEST'!M14="","0",H64*12*365/1000)</f>
        <v>0</v>
      </c>
      <c r="H96" s="1984"/>
      <c r="I96" s="1967" t="e">
        <f t="shared" si="2"/>
        <v>#DIV/0!</v>
      </c>
      <c r="J96" s="1968"/>
      <c r="K96" s="1968"/>
      <c r="L96" s="1969"/>
      <c r="AD96" s="606" t="str">
        <f t="shared" si="0"/>
        <v>0</v>
      </c>
      <c r="AE96" s="606">
        <f t="shared" si="3"/>
        <v>0</v>
      </c>
    </row>
    <row r="97" spans="2:31">
      <c r="B97" s="1953" t="s">
        <v>529</v>
      </c>
      <c r="C97" s="1966"/>
      <c r="D97" s="656" t="s">
        <v>148</v>
      </c>
      <c r="E97" s="1992" t="e">
        <f>'Results from eQUEST'!$O$18+'Results from eQUEST'!$U$18-E100</f>
        <v>#DIV/0!</v>
      </c>
      <c r="F97" s="1984"/>
      <c r="G97" s="1983">
        <f>'Results from eQUEST'!$O$21+'Results from eQUEST'!$U$21-G100</f>
        <v>0</v>
      </c>
      <c r="H97" s="1984"/>
      <c r="I97" s="1967" t="e">
        <f t="shared" si="2"/>
        <v>#DIV/0!</v>
      </c>
      <c r="J97" s="1968"/>
      <c r="K97" s="1968"/>
      <c r="L97" s="1969"/>
      <c r="AD97" s="606" t="e">
        <f t="shared" si="0"/>
        <v>#DIV/0!</v>
      </c>
      <c r="AE97" s="606">
        <f t="shared" si="3"/>
        <v>0</v>
      </c>
    </row>
    <row r="98" spans="2:31">
      <c r="B98" s="838" t="s">
        <v>1265</v>
      </c>
      <c r="C98" s="839"/>
      <c r="D98" s="656" t="s">
        <v>148</v>
      </c>
      <c r="E98" s="1983" t="e">
        <f>'Results from eQUEST'!S18</f>
        <v>#DIV/0!</v>
      </c>
      <c r="F98" s="1984"/>
      <c r="G98" s="1983">
        <f>'Results from eQUEST'!S21</f>
        <v>0</v>
      </c>
      <c r="H98" s="1984"/>
      <c r="I98" s="1967" t="e">
        <f t="shared" si="2"/>
        <v>#DIV/0!</v>
      </c>
      <c r="J98" s="1968"/>
      <c r="K98" s="1968"/>
      <c r="L98" s="1969"/>
    </row>
    <row r="99" spans="2:31">
      <c r="B99" s="1953" t="s">
        <v>3094</v>
      </c>
      <c r="C99" s="1966"/>
      <c r="D99" s="656" t="s">
        <v>148</v>
      </c>
      <c r="E99" s="1992" t="e">
        <f>'Results from eQUEST'!X18-E96</f>
        <v>#DIV/0!</v>
      </c>
      <c r="F99" s="1984"/>
      <c r="G99" s="1983">
        <f>'Results from eQUEST'!X21-G96</f>
        <v>0</v>
      </c>
      <c r="H99" s="1984"/>
      <c r="I99" s="1967" t="e">
        <f t="shared" si="2"/>
        <v>#DIV/0!</v>
      </c>
      <c r="J99" s="1968"/>
      <c r="K99" s="1968"/>
      <c r="L99" s="1969"/>
      <c r="AD99" s="606" t="e">
        <f t="shared" ref="AD99:AD104" si="4">E99</f>
        <v>#DIV/0!</v>
      </c>
      <c r="AE99" s="606">
        <f t="shared" ref="AE99:AE104" si="5">H99</f>
        <v>0</v>
      </c>
    </row>
    <row r="100" spans="2:31">
      <c r="B100" s="1955" t="s">
        <v>13</v>
      </c>
      <c r="C100" s="1956"/>
      <c r="D100" s="657" t="s">
        <v>148</v>
      </c>
      <c r="E100" s="2190"/>
      <c r="F100" s="2191"/>
      <c r="G100" s="1948">
        <f>E100</f>
        <v>0</v>
      </c>
      <c r="H100" s="1949"/>
      <c r="I100" s="2159" t="str">
        <f t="shared" si="2"/>
        <v>NA</v>
      </c>
      <c r="J100" s="2160"/>
      <c r="K100" s="2160"/>
      <c r="L100" s="2161"/>
      <c r="AD100" s="606">
        <f t="shared" si="4"/>
        <v>0</v>
      </c>
      <c r="AE100" s="606">
        <f t="shared" si="5"/>
        <v>0</v>
      </c>
    </row>
    <row r="101" spans="2:31">
      <c r="B101" s="2111" t="s">
        <v>14</v>
      </c>
      <c r="C101" s="2112"/>
      <c r="D101" s="2112"/>
      <c r="E101" s="2112"/>
      <c r="F101" s="2112"/>
      <c r="G101" s="2112"/>
      <c r="H101" s="2112"/>
      <c r="I101" s="2112"/>
      <c r="J101" s="2112"/>
      <c r="K101" s="2112"/>
      <c r="L101" s="2113"/>
      <c r="AD101" s="606">
        <f t="shared" si="4"/>
        <v>0</v>
      </c>
      <c r="AE101" s="606">
        <f t="shared" si="5"/>
        <v>0</v>
      </c>
    </row>
    <row r="102" spans="2:31">
      <c r="B102" s="1953" t="s">
        <v>8</v>
      </c>
      <c r="C102" s="1966"/>
      <c r="D102" s="656" t="s">
        <v>2</v>
      </c>
      <c r="E102" s="1983" t="e">
        <f>'Results from eQUEST'!$BB$18*100000/1000000+'Results from eQUEST'!$BH$18*100000/1000000-E107</f>
        <v>#DIV/0!</v>
      </c>
      <c r="F102" s="1984"/>
      <c r="G102" s="1983">
        <f>'Results from eQUEST'!$BB$21*100000/1000000+'Results from eQUEST'!$BH$21*100000/1000000-G107</f>
        <v>0</v>
      </c>
      <c r="H102" s="1984"/>
      <c r="I102" s="2158" t="e">
        <f>IF(E102&gt;0, (E102-G102)/E102, "NA")</f>
        <v>#DIV/0!</v>
      </c>
      <c r="J102" s="1996"/>
      <c r="K102" s="1996"/>
      <c r="L102" s="1997"/>
      <c r="AD102" s="606" t="e">
        <f t="shared" si="4"/>
        <v>#DIV/0!</v>
      </c>
      <c r="AE102" s="606">
        <f t="shared" si="5"/>
        <v>0</v>
      </c>
    </row>
    <row r="103" spans="2:31">
      <c r="B103" s="1953" t="s">
        <v>10</v>
      </c>
      <c r="C103" s="1954"/>
      <c r="D103" s="656" t="s">
        <v>2</v>
      </c>
      <c r="E103" s="1983" t="e">
        <f>'Results from eQUEST'!$BI$18*100000/1000000-E108</f>
        <v>#DIV/0!</v>
      </c>
      <c r="F103" s="1984"/>
      <c r="G103" s="1983">
        <f>'Results from eQUEST'!$BI$21*100000/1000000-G108</f>
        <v>0</v>
      </c>
      <c r="H103" s="1984"/>
      <c r="I103" s="1967" t="e">
        <f>IF(E103&gt;0, (E103-G103)/E103, "NA")</f>
        <v>#DIV/0!</v>
      </c>
      <c r="J103" s="1968"/>
      <c r="K103" s="1968"/>
      <c r="L103" s="1969"/>
      <c r="AD103" s="606" t="e">
        <f t="shared" si="4"/>
        <v>#DIV/0!</v>
      </c>
      <c r="AE103" s="606">
        <f t="shared" si="5"/>
        <v>0</v>
      </c>
    </row>
    <row r="104" spans="2:31">
      <c r="B104" s="1953" t="s">
        <v>529</v>
      </c>
      <c r="C104" s="1954"/>
      <c r="D104" s="656" t="s">
        <v>2</v>
      </c>
      <c r="E104" s="1983" t="e">
        <f>'Results from eQUEST'!$BA$18*100000/1000000</f>
        <v>#DIV/0!</v>
      </c>
      <c r="F104" s="1984"/>
      <c r="G104" s="1983">
        <f>'Results from eQUEST'!$BA$21*100000/1000000</f>
        <v>0</v>
      </c>
      <c r="H104" s="1984"/>
      <c r="I104" s="1967" t="e">
        <f>IF(E104&gt;0, (E104-G104)/E104, "NA")</f>
        <v>#DIV/0!</v>
      </c>
      <c r="J104" s="1968"/>
      <c r="K104" s="1968"/>
      <c r="L104" s="1969"/>
      <c r="AD104" s="606" t="e">
        <f t="shared" si="4"/>
        <v>#DIV/0!</v>
      </c>
      <c r="AE104" s="606">
        <f t="shared" si="5"/>
        <v>0</v>
      </c>
    </row>
    <row r="105" spans="2:31">
      <c r="B105" s="1955" t="s">
        <v>12</v>
      </c>
      <c r="C105" s="2169"/>
      <c r="D105" s="658" t="s">
        <v>2</v>
      </c>
      <c r="E105" s="1948" t="e">
        <f>('Results from eQUEST'!BK18)*100000/1000000-'Reporting Summary'!E102:F102-'Reporting Summary'!E103:F103-'Reporting Summary'!E104:F104</f>
        <v>#DIV/0!</v>
      </c>
      <c r="F105" s="1949"/>
      <c r="G105" s="1948">
        <f>('Results from eQUEST'!BK21)*100000/1000000-'Reporting Summary'!G102:H102-'Reporting Summary'!G103:H103-'Reporting Summary'!G104:H104</f>
        <v>0</v>
      </c>
      <c r="H105" s="1949"/>
      <c r="I105" s="1967" t="e">
        <f>IF(E105&gt;0.001, (E105-G105)/E105, "NA")</f>
        <v>#DIV/0!</v>
      </c>
      <c r="J105" s="1968"/>
      <c r="K105" s="1968"/>
      <c r="L105" s="1969"/>
    </row>
    <row r="106" spans="2:31">
      <c r="B106" s="2111" t="s">
        <v>15</v>
      </c>
      <c r="C106" s="2112"/>
      <c r="D106" s="2112"/>
      <c r="E106" s="2112"/>
      <c r="F106" s="2112"/>
      <c r="G106" s="2112"/>
      <c r="H106" s="2112"/>
      <c r="I106" s="2112"/>
      <c r="J106" s="2112"/>
      <c r="K106" s="2112"/>
      <c r="L106" s="2113"/>
      <c r="AD106" s="606">
        <f t="shared" ref="AD106:AD116" si="6">E106</f>
        <v>0</v>
      </c>
      <c r="AE106" s="606">
        <f>H106</f>
        <v>0</v>
      </c>
    </row>
    <row r="107" spans="2:31">
      <c r="B107" s="1953" t="s">
        <v>8</v>
      </c>
      <c r="C107" s="1966"/>
      <c r="D107" s="656" t="s">
        <v>2</v>
      </c>
      <c r="E107" s="2172"/>
      <c r="F107" s="2173"/>
      <c r="G107" s="2172"/>
      <c r="H107" s="2173"/>
      <c r="I107" s="2158" t="str">
        <f>IF(E107&gt;0, (E107-G107)/E107, "NA")</f>
        <v>NA</v>
      </c>
      <c r="J107" s="1996"/>
      <c r="K107" s="1996"/>
      <c r="L107" s="1997"/>
      <c r="AD107" s="606">
        <f t="shared" si="6"/>
        <v>0</v>
      </c>
      <c r="AE107" s="606">
        <f>H107</f>
        <v>0</v>
      </c>
    </row>
    <row r="108" spans="2:31">
      <c r="B108" s="1955" t="s">
        <v>10</v>
      </c>
      <c r="C108" s="2169"/>
      <c r="D108" s="658" t="s">
        <v>2</v>
      </c>
      <c r="E108" s="2170"/>
      <c r="F108" s="2171"/>
      <c r="G108" s="2170"/>
      <c r="H108" s="2171"/>
      <c r="I108" s="2159" t="str">
        <f>IF(E108&gt;0, (E108-G108)/E108, "NA")</f>
        <v>NA</v>
      </c>
      <c r="J108" s="2160"/>
      <c r="K108" s="2160"/>
      <c r="L108" s="2161"/>
      <c r="AD108" s="606">
        <f t="shared" si="6"/>
        <v>0</v>
      </c>
      <c r="AE108" s="606">
        <f>H108</f>
        <v>0</v>
      </c>
    </row>
    <row r="109" spans="2:31">
      <c r="B109" s="2111" t="s">
        <v>16</v>
      </c>
      <c r="C109" s="2112"/>
      <c r="D109" s="2112"/>
      <c r="E109" s="2112"/>
      <c r="F109" s="2112"/>
      <c r="G109" s="2112"/>
      <c r="H109" s="2112"/>
      <c r="I109" s="2112"/>
      <c r="J109" s="2112"/>
      <c r="K109" s="2112"/>
      <c r="L109" s="2113"/>
      <c r="AD109" s="606">
        <f t="shared" si="6"/>
        <v>0</v>
      </c>
      <c r="AE109" s="606">
        <f t="shared" si="1"/>
        <v>0</v>
      </c>
    </row>
    <row r="110" spans="2:31">
      <c r="B110" s="2167" t="s">
        <v>6</v>
      </c>
      <c r="C110" s="2168"/>
      <c r="D110" s="656" t="s">
        <v>148</v>
      </c>
      <c r="E110" s="1983" t="e">
        <f>SUM(E91:F100)</f>
        <v>#DIV/0!</v>
      </c>
      <c r="F110" s="1984"/>
      <c r="G110" s="1983">
        <f>SUM(G91:H100)</f>
        <v>0</v>
      </c>
      <c r="H110" s="1984"/>
      <c r="I110" s="2158" t="e">
        <f>IF(E110&gt;0, (E110-G110)/E110, "NA")</f>
        <v>#DIV/0!</v>
      </c>
      <c r="J110" s="1996"/>
      <c r="K110" s="1996"/>
      <c r="L110" s="1997"/>
      <c r="AD110" s="606" t="e">
        <f t="shared" si="6"/>
        <v>#DIV/0!</v>
      </c>
      <c r="AE110" s="606">
        <f t="shared" si="1"/>
        <v>0</v>
      </c>
    </row>
    <row r="111" spans="2:31">
      <c r="B111" s="2167" t="s">
        <v>14</v>
      </c>
      <c r="C111" s="2168"/>
      <c r="D111" s="656" t="s">
        <v>2</v>
      </c>
      <c r="E111" s="1983" t="e">
        <f>SUM(E102:F105)</f>
        <v>#DIV/0!</v>
      </c>
      <c r="F111" s="1984"/>
      <c r="G111" s="1983">
        <f>SUM(G102:H105)</f>
        <v>0</v>
      </c>
      <c r="H111" s="1984"/>
      <c r="I111" s="1967" t="e">
        <f>IF(E111&gt;0, (E111-G111)/E111, "NA")</f>
        <v>#DIV/0!</v>
      </c>
      <c r="J111" s="1968"/>
      <c r="K111" s="1968"/>
      <c r="L111" s="1969"/>
      <c r="AD111" s="606" t="e">
        <f t="shared" si="6"/>
        <v>#DIV/0!</v>
      </c>
      <c r="AE111" s="606">
        <f t="shared" si="1"/>
        <v>0</v>
      </c>
    </row>
    <row r="112" spans="2:31" ht="12.75" thickBot="1">
      <c r="B112" s="2174" t="s">
        <v>17</v>
      </c>
      <c r="C112" s="2175"/>
      <c r="D112" s="659" t="s">
        <v>2</v>
      </c>
      <c r="E112" s="2165">
        <f>SUM(E107:F108)</f>
        <v>0</v>
      </c>
      <c r="F112" s="2166"/>
      <c r="G112" s="2165">
        <f>SUM(G107:H108)</f>
        <v>0</v>
      </c>
      <c r="H112" s="2166"/>
      <c r="I112" s="2162" t="str">
        <f>IF(E112&gt;0, (E112-G112)/E112, "NA")</f>
        <v>NA</v>
      </c>
      <c r="J112" s="2163"/>
      <c r="K112" s="2163"/>
      <c r="L112" s="2164"/>
      <c r="AD112" s="606">
        <f t="shared" si="6"/>
        <v>0</v>
      </c>
      <c r="AE112" s="606">
        <f t="shared" si="1"/>
        <v>0</v>
      </c>
    </row>
    <row r="113" spans="1:31" ht="12.75" thickBot="1">
      <c r="A113" s="421"/>
      <c r="B113" s="1923" t="s">
        <v>38</v>
      </c>
      <c r="C113" s="1924"/>
      <c r="D113" s="1924"/>
      <c r="E113" s="1924"/>
      <c r="F113" s="1924"/>
      <c r="G113" s="1924"/>
      <c r="H113" s="1924"/>
      <c r="I113" s="1924"/>
      <c r="J113" s="1924"/>
      <c r="K113" s="1924"/>
      <c r="L113" s="1925"/>
      <c r="AD113" s="606">
        <f t="shared" si="6"/>
        <v>0</v>
      </c>
      <c r="AE113" s="606">
        <f t="shared" si="1"/>
        <v>0</v>
      </c>
    </row>
    <row r="114" spans="1:31">
      <c r="A114" s="421"/>
      <c r="B114" s="688" t="s">
        <v>1485</v>
      </c>
      <c r="C114" s="689">
        <f>'Simulation Summary'!C17</f>
        <v>0.18590000000000001</v>
      </c>
      <c r="D114" s="690" t="s">
        <v>1486</v>
      </c>
      <c r="E114" s="675"/>
      <c r="F114" s="675"/>
      <c r="G114" s="675"/>
      <c r="H114" s="675"/>
      <c r="I114" s="675"/>
      <c r="J114" s="675"/>
      <c r="K114" s="675"/>
      <c r="L114" s="670"/>
      <c r="AD114" s="606">
        <f t="shared" si="6"/>
        <v>0</v>
      </c>
      <c r="AE114" s="606">
        <f t="shared" si="1"/>
        <v>0</v>
      </c>
    </row>
    <row r="115" spans="1:31">
      <c r="A115" s="421"/>
      <c r="B115" s="691" t="s">
        <v>1274</v>
      </c>
      <c r="C115" s="692">
        <f>'Simulation Summary'!C18</f>
        <v>1.579</v>
      </c>
      <c r="D115" s="693" t="s">
        <v>1487</v>
      </c>
      <c r="E115" s="675"/>
      <c r="F115" s="675"/>
      <c r="G115" s="675"/>
      <c r="H115" s="675"/>
      <c r="I115" s="675"/>
      <c r="J115" s="675"/>
      <c r="K115" s="675"/>
      <c r="L115" s="670"/>
      <c r="AD115" s="606">
        <f t="shared" si="6"/>
        <v>0</v>
      </c>
      <c r="AE115" s="606">
        <f t="shared" si="1"/>
        <v>0</v>
      </c>
    </row>
    <row r="116" spans="1:31" ht="12.75" thickBot="1">
      <c r="A116" s="421"/>
      <c r="B116" s="694" t="s">
        <v>2587</v>
      </c>
      <c r="C116" s="732"/>
      <c r="D116" s="695" t="s">
        <v>0</v>
      </c>
      <c r="E116" s="675"/>
      <c r="F116" s="675"/>
      <c r="G116" s="675"/>
      <c r="H116" s="675"/>
      <c r="I116" s="675"/>
      <c r="J116" s="675"/>
      <c r="K116" s="675"/>
      <c r="L116" s="670"/>
      <c r="AD116" s="606">
        <f t="shared" si="6"/>
        <v>0</v>
      </c>
      <c r="AE116" s="606">
        <f t="shared" si="1"/>
        <v>0</v>
      </c>
    </row>
    <row r="117" spans="1:31" ht="12.75" thickBot="1">
      <c r="A117" s="421"/>
      <c r="B117" s="1923" t="s">
        <v>39</v>
      </c>
      <c r="C117" s="1924"/>
      <c r="D117" s="1924"/>
      <c r="E117" s="1924"/>
      <c r="F117" s="1924"/>
      <c r="G117" s="1924"/>
      <c r="H117" s="1924"/>
      <c r="I117" s="1924"/>
      <c r="J117" s="1924"/>
      <c r="K117" s="1924"/>
      <c r="L117" s="1925"/>
      <c r="AD117" s="606">
        <f t="shared" ref="AD117:AD139" si="7">E117</f>
        <v>0</v>
      </c>
      <c r="AE117" s="606">
        <f t="shared" ref="AE117:AE139" si="8">H117</f>
        <v>0</v>
      </c>
    </row>
    <row r="118" spans="1:31">
      <c r="A118" s="421"/>
      <c r="B118" s="696"/>
      <c r="C118" s="2155" t="s">
        <v>991</v>
      </c>
      <c r="D118" s="2155"/>
      <c r="E118" s="2155"/>
      <c r="F118" s="697"/>
      <c r="G118" s="2155" t="s">
        <v>992</v>
      </c>
      <c r="H118" s="2155"/>
      <c r="I118" s="2155"/>
      <c r="J118" s="2156" t="s">
        <v>1490</v>
      </c>
      <c r="K118" s="2156" t="s">
        <v>1491</v>
      </c>
      <c r="L118" s="2185"/>
      <c r="AD118" s="606">
        <f t="shared" si="7"/>
        <v>0</v>
      </c>
      <c r="AE118" s="606">
        <f t="shared" si="8"/>
        <v>0</v>
      </c>
    </row>
    <row r="119" spans="1:31">
      <c r="A119" s="421"/>
      <c r="B119" s="698"/>
      <c r="C119" s="740" t="s">
        <v>1</v>
      </c>
      <c r="D119" s="740" t="s">
        <v>1492</v>
      </c>
      <c r="E119" s="740" t="s">
        <v>1495</v>
      </c>
      <c r="F119" s="640"/>
      <c r="G119" s="740" t="s">
        <v>1</v>
      </c>
      <c r="H119" s="740" t="s">
        <v>1492</v>
      </c>
      <c r="I119" s="740" t="s">
        <v>1495</v>
      </c>
      <c r="J119" s="2157"/>
      <c r="K119" s="2157"/>
      <c r="L119" s="2186"/>
      <c r="M119" s="421"/>
      <c r="AD119" s="606" t="str">
        <f t="shared" si="7"/>
        <v>Cost, $</v>
      </c>
      <c r="AE119" s="606" t="str">
        <f t="shared" si="8"/>
        <v>Electricity, Btu</v>
      </c>
    </row>
    <row r="120" spans="1:31">
      <c r="A120" s="421"/>
      <c r="B120" s="648" t="s">
        <v>1496</v>
      </c>
      <c r="C120" s="737" t="e">
        <f>100000*SUMIF('Results from eQUEST'!$AY$8:$BJ$8, B120, 'Results from eQUEST'!$AY$18:$BJ$18)</f>
        <v>#DIV/0!</v>
      </c>
      <c r="D120" s="737" t="e">
        <f>3412*SUMIF('Results from eQUEST'!$M$8:$X$8,B120, 'Results from eQUEST'!$M$18:$X$18)</f>
        <v>#DIV/0!</v>
      </c>
      <c r="E120" s="1814" t="e">
        <f>C120/100000*$C$115+D120/3412*$C$114</f>
        <v>#DIV/0!</v>
      </c>
      <c r="F120" s="738"/>
      <c r="G120" s="737">
        <f>100000*SUMIF('Results from eQUEST'!$AY$8:$BJ$8, B120, 'Results from eQUEST'!$AY$21:$BJ$21)</f>
        <v>0</v>
      </c>
      <c r="H120" s="737">
        <f>3412*SUMIF('Results from eQUEST'!$M$8:$X$8,B120, 'Results from eQUEST'!$M$21:$X$21)</f>
        <v>0</v>
      </c>
      <c r="I120" s="1814">
        <f>G120/100000*$C$115+H120/3412*$C$114</f>
        <v>0</v>
      </c>
      <c r="J120" s="1815" t="e">
        <f>IF(SUM(C120:D120)=0,0,(SUM(C120:D120)-SUM(G120:H120))/SUM(C120:D120))</f>
        <v>#DIV/0!</v>
      </c>
      <c r="K120" s="2183" t="e">
        <f>IF(E120=0,0,(E120-I120)/E120)</f>
        <v>#DIV/0!</v>
      </c>
      <c r="L120" s="2184"/>
      <c r="M120" s="421"/>
      <c r="AD120" s="606" t="e">
        <f t="shared" si="7"/>
        <v>#DIV/0!</v>
      </c>
      <c r="AE120" s="606">
        <f t="shared" si="8"/>
        <v>0</v>
      </c>
    </row>
    <row r="121" spans="1:31">
      <c r="A121" s="421"/>
      <c r="B121" s="648" t="s">
        <v>1497</v>
      </c>
      <c r="C121" s="737" t="e">
        <f>100000*SUMIF('Results from eQUEST'!$AY$8:$BJ$8, B121, 'Results from eQUEST'!$AY$18:$BJ$18)</f>
        <v>#DIV/0!</v>
      </c>
      <c r="D121" s="737" t="e">
        <f>3412*SUMIF('Results from eQUEST'!$M$8:$X$8,B121, 'Results from eQUEST'!$M$18:$X$18)</f>
        <v>#DIV/0!</v>
      </c>
      <c r="E121" s="1814" t="e">
        <f t="shared" ref="E121:E126" si="9">C121/100000*$C$115+D121/3412*$C$114</f>
        <v>#DIV/0!</v>
      </c>
      <c r="F121" s="738"/>
      <c r="G121" s="737">
        <f>100000*SUMIF('Results from eQUEST'!$AY$8:$BJ$8, B121, 'Results from eQUEST'!$AY$21:$BJ$21)</f>
        <v>0</v>
      </c>
      <c r="H121" s="737">
        <f>3412*SUMIF('Results from eQUEST'!$M$8:$X$8,B121, 'Results from eQUEST'!$M$21:$X$21)</f>
        <v>0</v>
      </c>
      <c r="I121" s="1814">
        <f t="shared" ref="I121:I126" si="10">G121/100000*$C$115+H121/3412*$C$114</f>
        <v>0</v>
      </c>
      <c r="J121" s="1815" t="e">
        <f t="shared" ref="J121:J127" si="11">IF(SUM(C121:D121)=0,0,(SUM(C121:D121)-SUM(G121:H121))/SUM(C121:D121))</f>
        <v>#DIV/0!</v>
      </c>
      <c r="K121" s="2181" t="e">
        <f t="shared" ref="K121:K127" si="12">IF(E121=0,0,(E121-I121)/E121)</f>
        <v>#DIV/0!</v>
      </c>
      <c r="L121" s="2182"/>
      <c r="M121" s="421"/>
      <c r="AD121" s="606" t="e">
        <f t="shared" si="7"/>
        <v>#DIV/0!</v>
      </c>
      <c r="AE121" s="606">
        <f t="shared" si="8"/>
        <v>0</v>
      </c>
    </row>
    <row r="122" spans="1:31">
      <c r="A122" s="421"/>
      <c r="B122" s="648" t="s">
        <v>1498</v>
      </c>
      <c r="C122" s="737" t="e">
        <f>100000*SUMIF('Results from eQUEST'!$AY$8:$BJ$8, B122, 'Results from eQUEST'!$AY$18:$BJ$18)</f>
        <v>#DIV/0!</v>
      </c>
      <c r="D122" s="737" t="e">
        <f>3412*SUMIF('Results from eQUEST'!$M$8:$X$8,B122, 'Results from eQUEST'!$M$18:$X$18)</f>
        <v>#DIV/0!</v>
      </c>
      <c r="E122" s="1814" t="e">
        <f t="shared" si="9"/>
        <v>#DIV/0!</v>
      </c>
      <c r="F122" s="738"/>
      <c r="G122" s="737">
        <f>100000*SUMIF('Results from eQUEST'!$AY$8:$BJ$8, B122, 'Results from eQUEST'!$AY$21:$BJ$21)</f>
        <v>0</v>
      </c>
      <c r="H122" s="737">
        <f>3412*SUMIF('Results from eQUEST'!$M$8:$X$8,B122, 'Results from eQUEST'!$M$21:$X$21)</f>
        <v>0</v>
      </c>
      <c r="I122" s="1814">
        <f t="shared" si="10"/>
        <v>0</v>
      </c>
      <c r="J122" s="1815" t="e">
        <f t="shared" si="11"/>
        <v>#DIV/0!</v>
      </c>
      <c r="K122" s="2181" t="e">
        <f t="shared" si="12"/>
        <v>#DIV/0!</v>
      </c>
      <c r="L122" s="2182"/>
      <c r="M122" s="421"/>
      <c r="AD122" s="606" t="e">
        <f t="shared" si="7"/>
        <v>#DIV/0!</v>
      </c>
      <c r="AE122" s="606">
        <f t="shared" si="8"/>
        <v>0</v>
      </c>
    </row>
    <row r="123" spans="1:31">
      <c r="A123" s="421"/>
      <c r="B123" s="648" t="s">
        <v>1499</v>
      </c>
      <c r="C123" s="737" t="e">
        <f>100000*SUMIF('Results from eQUEST'!$AY$8:$BJ$8, B123, 'Results from eQUEST'!$AY$18:$BJ$18)</f>
        <v>#DIV/0!</v>
      </c>
      <c r="D123" s="737" t="e">
        <f>3412*SUMIF('Results from eQUEST'!$M$8:$X$8,B123, 'Results from eQUEST'!$M$18:$X$18)</f>
        <v>#DIV/0!</v>
      </c>
      <c r="E123" s="1814" t="e">
        <f t="shared" si="9"/>
        <v>#DIV/0!</v>
      </c>
      <c r="F123" s="738"/>
      <c r="G123" s="737">
        <f>100000*SUMIF('Results from eQUEST'!$AY$8:$BJ$8, B123, 'Results from eQUEST'!$AY$21:$BJ$21)</f>
        <v>0</v>
      </c>
      <c r="H123" s="737">
        <f>3412*SUMIF('Results from eQUEST'!$M$8:$X$8,B123, 'Results from eQUEST'!$M$21:$X$21)</f>
        <v>0</v>
      </c>
      <c r="I123" s="1814">
        <f t="shared" si="10"/>
        <v>0</v>
      </c>
      <c r="J123" s="1815" t="e">
        <f t="shared" si="11"/>
        <v>#DIV/0!</v>
      </c>
      <c r="K123" s="2181" t="e">
        <f t="shared" si="12"/>
        <v>#DIV/0!</v>
      </c>
      <c r="L123" s="2182"/>
      <c r="M123" s="421"/>
      <c r="AD123" s="606" t="e">
        <f t="shared" si="7"/>
        <v>#DIV/0!</v>
      </c>
      <c r="AE123" s="606">
        <f t="shared" si="8"/>
        <v>0</v>
      </c>
    </row>
    <row r="124" spans="1:31">
      <c r="A124" s="421"/>
      <c r="B124" s="648" t="s">
        <v>3091</v>
      </c>
      <c r="C124" s="737" t="e">
        <f>100000*SUMIF('Results from eQUEST'!$AY$8:$BJ$8, B124, 'Results from eQUEST'!$AY$18:$BJ$18)</f>
        <v>#DIV/0!</v>
      </c>
      <c r="D124" s="737" t="e">
        <f>3412*SUMIF('Results from eQUEST'!$M$8:$X$8,B124, 'Results from eQUEST'!$M$18:$X$18)</f>
        <v>#DIV/0!</v>
      </c>
      <c r="E124" s="1814" t="e">
        <f t="shared" si="9"/>
        <v>#DIV/0!</v>
      </c>
      <c r="F124" s="738"/>
      <c r="G124" s="737">
        <f>100000*SUMIF('Results from eQUEST'!$AY$8:$BJ$8, B124, 'Results from eQUEST'!$AY$21:$BJ$21)</f>
        <v>0</v>
      </c>
      <c r="H124" s="737">
        <f>3412*SUMIF('Results from eQUEST'!$M$8:$X$8,B124, 'Results from eQUEST'!$M$21:$X$21)</f>
        <v>0</v>
      </c>
      <c r="I124" s="1814">
        <f t="shared" si="10"/>
        <v>0</v>
      </c>
      <c r="J124" s="1815" t="e">
        <f t="shared" si="11"/>
        <v>#DIV/0!</v>
      </c>
      <c r="K124" s="2181" t="e">
        <f t="shared" si="12"/>
        <v>#DIV/0!</v>
      </c>
      <c r="L124" s="2182"/>
      <c r="M124" s="421"/>
      <c r="AD124" s="606" t="e">
        <f t="shared" si="7"/>
        <v>#DIV/0!</v>
      </c>
      <c r="AE124" s="606">
        <f t="shared" si="8"/>
        <v>0</v>
      </c>
    </row>
    <row r="125" spans="1:31">
      <c r="A125" s="421"/>
      <c r="B125" s="648" t="s">
        <v>3092</v>
      </c>
      <c r="C125" s="737" t="e">
        <f>100000*SUMIF('Results from eQUEST'!$AY$8:$BJ$8, B125, 'Results from eQUEST'!$AY$18:$BJ$18)</f>
        <v>#DIV/0!</v>
      </c>
      <c r="D125" s="737" t="e">
        <f>3412*SUMIF('Results from eQUEST'!$M$8:$X$8,B125, 'Results from eQUEST'!$M$18:$X$18)</f>
        <v>#DIV/0!</v>
      </c>
      <c r="E125" s="1814" t="e">
        <f t="shared" si="9"/>
        <v>#DIV/0!</v>
      </c>
      <c r="F125" s="738"/>
      <c r="G125" s="737">
        <f>100000*SUMIF('Results from eQUEST'!$AY$8:$BJ$8, B125, 'Results from eQUEST'!$AY$21:$BJ$21)</f>
        <v>0</v>
      </c>
      <c r="H125" s="737">
        <f>3412*SUMIF('Results from eQUEST'!$M$8:$X$8,B125, 'Results from eQUEST'!$M$21:$X$21)</f>
        <v>0</v>
      </c>
      <c r="I125" s="1814">
        <f t="shared" si="10"/>
        <v>0</v>
      </c>
      <c r="J125" s="1815" t="e">
        <f t="shared" si="11"/>
        <v>#DIV/0!</v>
      </c>
      <c r="K125" s="2181" t="e">
        <f t="shared" si="12"/>
        <v>#DIV/0!</v>
      </c>
      <c r="L125" s="2182"/>
      <c r="M125" s="421"/>
    </row>
    <row r="126" spans="1:31">
      <c r="A126" s="421"/>
      <c r="B126" s="648" t="s">
        <v>3093</v>
      </c>
      <c r="C126" s="737" t="e">
        <f>100000*SUMIF('Results from eQUEST'!$AY$8:$BJ$8, B126, 'Results from eQUEST'!$AY$18:$BJ$18)</f>
        <v>#DIV/0!</v>
      </c>
      <c r="D126" s="737" t="e">
        <f>3412*SUMIF('Results from eQUEST'!$M$8:$X$8,B126, 'Results from eQUEST'!$M$18:$X$18)</f>
        <v>#DIV/0!</v>
      </c>
      <c r="E126" s="1814" t="e">
        <f t="shared" si="9"/>
        <v>#DIV/0!</v>
      </c>
      <c r="F126" s="738"/>
      <c r="G126" s="737">
        <f>100000*SUMIF('Results from eQUEST'!$AY$8:$BJ$8, B126, 'Results from eQUEST'!$AY$21:$BJ$21)</f>
        <v>0</v>
      </c>
      <c r="H126" s="737">
        <f>3412*SUMIF('Results from eQUEST'!$M$8:$X$8,B126, 'Results from eQUEST'!$M$21:$X$21)</f>
        <v>0</v>
      </c>
      <c r="I126" s="1814">
        <f t="shared" si="10"/>
        <v>0</v>
      </c>
      <c r="J126" s="1815" t="e">
        <f t="shared" si="11"/>
        <v>#DIV/0!</v>
      </c>
      <c r="K126" s="2181" t="e">
        <f t="shared" si="12"/>
        <v>#DIV/0!</v>
      </c>
      <c r="L126" s="2182"/>
      <c r="M126" s="421"/>
      <c r="AD126" s="606" t="e">
        <f t="shared" si="7"/>
        <v>#DIV/0!</v>
      </c>
      <c r="AE126" s="606">
        <f t="shared" si="8"/>
        <v>0</v>
      </c>
    </row>
    <row r="127" spans="1:31" ht="12.75" thickBot="1">
      <c r="A127" s="421"/>
      <c r="B127" s="699" t="s">
        <v>1266</v>
      </c>
      <c r="C127" s="737" t="e">
        <f>SUM(C120:C126)</f>
        <v>#DIV/0!</v>
      </c>
      <c r="D127" s="737" t="e">
        <f>SUM(D120:D126)</f>
        <v>#DIV/0!</v>
      </c>
      <c r="E127" s="1814" t="e">
        <f>SUM(E120:E126)</f>
        <v>#DIV/0!</v>
      </c>
      <c r="F127" s="739"/>
      <c r="G127" s="737">
        <f>SUM(G120:G126)</f>
        <v>0</v>
      </c>
      <c r="H127" s="737">
        <f>SUM(H120:H126)</f>
        <v>0</v>
      </c>
      <c r="I127" s="1814">
        <f>SUM(I120:I126)</f>
        <v>0</v>
      </c>
      <c r="J127" s="1815" t="e">
        <f t="shared" si="11"/>
        <v>#DIV/0!</v>
      </c>
      <c r="K127" s="2176" t="e">
        <f t="shared" si="12"/>
        <v>#DIV/0!</v>
      </c>
      <c r="L127" s="2177"/>
      <c r="M127" s="421"/>
      <c r="AD127" s="606" t="e">
        <f t="shared" si="7"/>
        <v>#DIV/0!</v>
      </c>
      <c r="AE127" s="606">
        <f t="shared" si="8"/>
        <v>0</v>
      </c>
    </row>
    <row r="128" spans="1:31" ht="12.75" thickBot="1">
      <c r="A128" s="421"/>
      <c r="B128" s="1923" t="s">
        <v>40</v>
      </c>
      <c r="C128" s="1924"/>
      <c r="D128" s="1924"/>
      <c r="E128" s="1924"/>
      <c r="F128" s="1924"/>
      <c r="G128" s="1924"/>
      <c r="H128" s="1924"/>
      <c r="I128" s="1924"/>
      <c r="J128" s="1924"/>
      <c r="K128" s="1924"/>
      <c r="L128" s="1925"/>
      <c r="M128" s="421"/>
      <c r="AD128" s="606">
        <f t="shared" si="7"/>
        <v>0</v>
      </c>
      <c r="AE128" s="606">
        <f t="shared" si="8"/>
        <v>0</v>
      </c>
    </row>
    <row r="129" spans="1:31">
      <c r="A129" s="421"/>
      <c r="B129" s="700"/>
      <c r="C129" s="701" t="s">
        <v>991</v>
      </c>
      <c r="D129" s="702" t="s">
        <v>992</v>
      </c>
      <c r="E129" s="671"/>
      <c r="F129" s="672"/>
      <c r="G129" s="672"/>
      <c r="H129" s="672"/>
      <c r="I129" s="672"/>
      <c r="J129" s="672"/>
      <c r="K129" s="672"/>
      <c r="L129" s="673"/>
      <c r="M129" s="421"/>
      <c r="AD129" s="606">
        <f t="shared" si="7"/>
        <v>0</v>
      </c>
      <c r="AE129" s="606">
        <f t="shared" si="8"/>
        <v>0</v>
      </c>
    </row>
    <row r="130" spans="1:31" ht="12.75" thickBot="1">
      <c r="A130" s="421"/>
      <c r="B130" s="708"/>
      <c r="C130" s="709" t="s">
        <v>2099</v>
      </c>
      <c r="D130" s="710" t="s">
        <v>2099</v>
      </c>
      <c r="E130" s="674"/>
      <c r="F130" s="675"/>
      <c r="G130" s="675"/>
      <c r="H130" s="675"/>
      <c r="I130" s="675"/>
      <c r="J130" s="675"/>
      <c r="K130" s="675"/>
      <c r="L130" s="670"/>
      <c r="AD130" s="606">
        <f t="shared" si="7"/>
        <v>0</v>
      </c>
      <c r="AE130" s="606">
        <f t="shared" si="8"/>
        <v>0</v>
      </c>
    </row>
    <row r="131" spans="1:31">
      <c r="A131" s="421"/>
      <c r="B131" s="648" t="s">
        <v>1496</v>
      </c>
      <c r="C131" s="741">
        <f>IF('GHSF Calculator'!$E$16=0,0,SUM(C120:D120)/'GHSF Calculator'!$E$16)</f>
        <v>0</v>
      </c>
      <c r="D131" s="742">
        <f>IF('GHSF Calculator'!$E$16=0,0,SUM(G120:H120)/'GHSF Calculator'!$E$16)</f>
        <v>0</v>
      </c>
      <c r="E131" s="674"/>
      <c r="F131" s="675"/>
      <c r="G131" s="675"/>
      <c r="H131" s="675"/>
      <c r="I131" s="675"/>
      <c r="J131" s="675"/>
      <c r="K131" s="675"/>
      <c r="L131" s="670"/>
      <c r="AD131" s="606">
        <f t="shared" si="7"/>
        <v>0</v>
      </c>
      <c r="AE131" s="606">
        <f t="shared" si="8"/>
        <v>0</v>
      </c>
    </row>
    <row r="132" spans="1:31">
      <c r="A132" s="421"/>
      <c r="B132" s="648" t="s">
        <v>1497</v>
      </c>
      <c r="C132" s="743">
        <f>IF('GHSF Calculator'!$E$16=0,0,SUM(C121:D121)/'GHSF Calculator'!$E$16)</f>
        <v>0</v>
      </c>
      <c r="D132" s="706">
        <f>IF('GHSF Calculator'!$E$16=0,0,SUM(G121:H121)/'GHSF Calculator'!$E$16)</f>
        <v>0</v>
      </c>
      <c r="E132" s="674"/>
      <c r="F132" s="675"/>
      <c r="G132" s="675"/>
      <c r="H132" s="675"/>
      <c r="I132" s="675"/>
      <c r="J132" s="675"/>
      <c r="K132" s="675"/>
      <c r="L132" s="670"/>
      <c r="AD132" s="606">
        <f t="shared" si="7"/>
        <v>0</v>
      </c>
      <c r="AE132" s="606">
        <f t="shared" si="8"/>
        <v>0</v>
      </c>
    </row>
    <row r="133" spans="1:31">
      <c r="A133" s="421"/>
      <c r="B133" s="648" t="s">
        <v>1498</v>
      </c>
      <c r="C133" s="743">
        <f>IF('GHSF Calculator'!$E$16=0,0,SUM(C122:D122)/'GHSF Calculator'!$E$16)</f>
        <v>0</v>
      </c>
      <c r="D133" s="706">
        <f>IF('GHSF Calculator'!$E$16=0,0,SUM(G122:H122)/'GHSF Calculator'!$E$16)</f>
        <v>0</v>
      </c>
      <c r="E133" s="674"/>
      <c r="F133" s="675"/>
      <c r="G133" s="675"/>
      <c r="H133" s="675"/>
      <c r="I133" s="675"/>
      <c r="J133" s="675"/>
      <c r="K133" s="675"/>
      <c r="L133" s="670"/>
      <c r="AD133" s="606">
        <f t="shared" si="7"/>
        <v>0</v>
      </c>
      <c r="AE133" s="606">
        <f t="shared" si="8"/>
        <v>0</v>
      </c>
    </row>
    <row r="134" spans="1:31">
      <c r="A134" s="421"/>
      <c r="B134" s="648" t="s">
        <v>1499</v>
      </c>
      <c r="C134" s="743">
        <f>IF('GHSF Calculator'!$E$16=0,0,SUM(C123:D123)/'GHSF Calculator'!$E$16)</f>
        <v>0</v>
      </c>
      <c r="D134" s="706">
        <f>IF('GHSF Calculator'!$E$16=0,0,SUM(G123:H123)/'GHSF Calculator'!$E$16)</f>
        <v>0</v>
      </c>
      <c r="E134" s="674"/>
      <c r="F134" s="675"/>
      <c r="G134" s="675"/>
      <c r="H134" s="675"/>
      <c r="I134" s="675"/>
      <c r="J134" s="675"/>
      <c r="K134" s="675"/>
      <c r="L134" s="670"/>
      <c r="AD134" s="606">
        <f t="shared" si="7"/>
        <v>0</v>
      </c>
      <c r="AE134" s="606">
        <f t="shared" si="8"/>
        <v>0</v>
      </c>
    </row>
    <row r="135" spans="1:31">
      <c r="A135" s="421"/>
      <c r="B135" s="648" t="s">
        <v>3091</v>
      </c>
      <c r="C135" s="743">
        <f>IF('GHSF Calculator'!$E$16=0,0,SUM(C124:D124)/'GHSF Calculator'!$E$16)</f>
        <v>0</v>
      </c>
      <c r="D135" s="706">
        <f>IF('GHSF Calculator'!$E$16=0,0,SUM(G124:H124)/'GHSF Calculator'!$E$16)</f>
        <v>0</v>
      </c>
      <c r="E135" s="674"/>
      <c r="F135" s="675"/>
      <c r="G135" s="675"/>
      <c r="H135" s="675"/>
      <c r="I135" s="675"/>
      <c r="J135" s="675"/>
      <c r="K135" s="675"/>
      <c r="L135" s="670"/>
      <c r="AD135" s="606">
        <f t="shared" si="7"/>
        <v>0</v>
      </c>
      <c r="AE135" s="606">
        <f t="shared" si="8"/>
        <v>0</v>
      </c>
    </row>
    <row r="136" spans="1:31">
      <c r="A136" s="421"/>
      <c r="B136" s="648" t="s">
        <v>3092</v>
      </c>
      <c r="C136" s="743">
        <f>IF('GHSF Calculator'!$E$16=0,0,SUM(C125:D125)/'GHSF Calculator'!$E$16)</f>
        <v>0</v>
      </c>
      <c r="D136" s="706">
        <f>IF('GHSF Calculator'!$E$16=0,0,SUM(G125:H125)/'GHSF Calculator'!$E$16)</f>
        <v>0</v>
      </c>
      <c r="E136" s="674"/>
      <c r="F136" s="675"/>
      <c r="G136" s="675"/>
      <c r="H136" s="675"/>
      <c r="I136" s="675"/>
      <c r="J136" s="675"/>
      <c r="K136" s="675"/>
      <c r="L136" s="670"/>
    </row>
    <row r="137" spans="1:31">
      <c r="A137" s="421"/>
      <c r="B137" s="648" t="s">
        <v>3093</v>
      </c>
      <c r="C137" s="743">
        <f>IF('GHSF Calculator'!$E$16=0,0,SUM(C126:D126)/'GHSF Calculator'!$E$16)</f>
        <v>0</v>
      </c>
      <c r="D137" s="706">
        <f>IF('GHSF Calculator'!$E$16=0,0,SUM(G126:H126)/'GHSF Calculator'!$E$16)</f>
        <v>0</v>
      </c>
      <c r="E137" s="674"/>
      <c r="F137" s="675"/>
      <c r="G137" s="675"/>
      <c r="H137" s="675"/>
      <c r="I137" s="675"/>
      <c r="J137" s="675"/>
      <c r="K137" s="675"/>
      <c r="L137" s="670"/>
      <c r="AD137" s="606">
        <f t="shared" si="7"/>
        <v>0</v>
      </c>
      <c r="AE137" s="606">
        <f t="shared" si="8"/>
        <v>0</v>
      </c>
    </row>
    <row r="138" spans="1:31" ht="12.75" thickBot="1">
      <c r="A138" s="421"/>
      <c r="B138" s="699" t="s">
        <v>1266</v>
      </c>
      <c r="C138" s="744">
        <f>IF('GHSF Calculator'!$E$16=0,0,SUM(C127:D127)/'GHSF Calculator'!$E$16)</f>
        <v>0</v>
      </c>
      <c r="D138" s="707">
        <f>IF('GHSF Calculator'!$E$16=0,0,SUM(G127:H127)/'GHSF Calculator'!$E$16)</f>
        <v>0</v>
      </c>
      <c r="E138" s="676"/>
      <c r="F138" s="677"/>
      <c r="G138" s="677"/>
      <c r="H138" s="677"/>
      <c r="I138" s="677"/>
      <c r="J138" s="677"/>
      <c r="K138" s="677"/>
      <c r="L138" s="678"/>
      <c r="AD138" s="606">
        <f t="shared" si="7"/>
        <v>0</v>
      </c>
      <c r="AE138" s="606">
        <f t="shared" si="8"/>
        <v>0</v>
      </c>
    </row>
    <row r="139" spans="1:31" ht="12.75" thickBot="1">
      <c r="A139" s="421"/>
      <c r="B139" s="1920"/>
      <c r="C139" s="1921"/>
      <c r="D139" s="1921"/>
      <c r="E139" s="1921"/>
      <c r="F139" s="1921"/>
      <c r="G139" s="1921"/>
      <c r="H139" s="1921"/>
      <c r="I139" s="1921"/>
      <c r="J139" s="1921"/>
      <c r="K139" s="1921"/>
      <c r="L139" s="1922"/>
      <c r="AD139" s="606">
        <f t="shared" si="7"/>
        <v>0</v>
      </c>
      <c r="AE139" s="606">
        <f t="shared" si="8"/>
        <v>0</v>
      </c>
    </row>
    <row r="140" spans="1:31">
      <c r="A140" s="421"/>
      <c r="B140" s="421"/>
    </row>
  </sheetData>
  <mergeCells count="308">
    <mergeCell ref="B105:C105"/>
    <mergeCell ref="E105:F105"/>
    <mergeCell ref="G105:H105"/>
    <mergeCell ref="I105:L105"/>
    <mergeCell ref="E77:G77"/>
    <mergeCell ref="E76:G76"/>
    <mergeCell ref="E74:G74"/>
    <mergeCell ref="B102:C102"/>
    <mergeCell ref="B103:C103"/>
    <mergeCell ref="E95:F95"/>
    <mergeCell ref="G95:H95"/>
    <mergeCell ref="B94:C94"/>
    <mergeCell ref="E92:F92"/>
    <mergeCell ref="I89:L89"/>
    <mergeCell ref="B97:C97"/>
    <mergeCell ref="B91:C91"/>
    <mergeCell ref="B92:C92"/>
    <mergeCell ref="E91:F91"/>
    <mergeCell ref="G92:H92"/>
    <mergeCell ref="B99:C99"/>
    <mergeCell ref="B96:C96"/>
    <mergeCell ref="B93:C93"/>
    <mergeCell ref="G102:H102"/>
    <mergeCell ref="G103:H103"/>
    <mergeCell ref="E102:F102"/>
    <mergeCell ref="H87:L87"/>
    <mergeCell ref="H86:L86"/>
    <mergeCell ref="E89:F89"/>
    <mergeCell ref="G89:H89"/>
    <mergeCell ref="G98:H98"/>
    <mergeCell ref="E99:F99"/>
    <mergeCell ref="E87:G87"/>
    <mergeCell ref="I99:L99"/>
    <mergeCell ref="K124:L124"/>
    <mergeCell ref="K126:L126"/>
    <mergeCell ref="K121:L121"/>
    <mergeCell ref="K122:L122"/>
    <mergeCell ref="K120:L120"/>
    <mergeCell ref="K118:L119"/>
    <mergeCell ref="G118:I118"/>
    <mergeCell ref="H55:L55"/>
    <mergeCell ref="E60:G60"/>
    <mergeCell ref="H79:L79"/>
    <mergeCell ref="H80:L80"/>
    <mergeCell ref="H82:L82"/>
    <mergeCell ref="H83:L83"/>
    <mergeCell ref="H85:L85"/>
    <mergeCell ref="I100:L100"/>
    <mergeCell ref="I102:L102"/>
    <mergeCell ref="I103:L103"/>
    <mergeCell ref="I104:L104"/>
    <mergeCell ref="E100:F100"/>
    <mergeCell ref="G97:H97"/>
    <mergeCell ref="G99:H99"/>
    <mergeCell ref="I95:L95"/>
    <mergeCell ref="K125:L125"/>
    <mergeCell ref="E98:F98"/>
    <mergeCell ref="K127:L127"/>
    <mergeCell ref="I30:L30"/>
    <mergeCell ref="I31:L31"/>
    <mergeCell ref="I32:L32"/>
    <mergeCell ref="I33:L33"/>
    <mergeCell ref="H47:L47"/>
    <mergeCell ref="G111:H111"/>
    <mergeCell ref="E110:F110"/>
    <mergeCell ref="E103:F103"/>
    <mergeCell ref="E94:F94"/>
    <mergeCell ref="E97:F97"/>
    <mergeCell ref="G104:H104"/>
    <mergeCell ref="E108:F108"/>
    <mergeCell ref="E93:F93"/>
    <mergeCell ref="G93:H93"/>
    <mergeCell ref="G107:H107"/>
    <mergeCell ref="E104:F104"/>
    <mergeCell ref="K123:L123"/>
    <mergeCell ref="I92:L92"/>
    <mergeCell ref="I93:L93"/>
    <mergeCell ref="I94:L94"/>
    <mergeCell ref="H73:L73"/>
    <mergeCell ref="B90:L90"/>
    <mergeCell ref="H77:L77"/>
    <mergeCell ref="C118:E118"/>
    <mergeCell ref="J118:J119"/>
    <mergeCell ref="I107:L107"/>
    <mergeCell ref="I108:L108"/>
    <mergeCell ref="I110:L110"/>
    <mergeCell ref="I111:L111"/>
    <mergeCell ref="I112:L112"/>
    <mergeCell ref="G112:H112"/>
    <mergeCell ref="E112:F112"/>
    <mergeCell ref="B110:C110"/>
    <mergeCell ref="B108:C108"/>
    <mergeCell ref="G108:H108"/>
    <mergeCell ref="B107:C107"/>
    <mergeCell ref="E107:F107"/>
    <mergeCell ref="B111:C111"/>
    <mergeCell ref="B109:L109"/>
    <mergeCell ref="B112:C112"/>
    <mergeCell ref="E111:F111"/>
    <mergeCell ref="G110:H110"/>
    <mergeCell ref="B106:L106"/>
    <mergeCell ref="B101:L101"/>
    <mergeCell ref="B104:C104"/>
    <mergeCell ref="B100:C100"/>
    <mergeCell ref="B4:E5"/>
    <mergeCell ref="G4:G5"/>
    <mergeCell ref="H4:L5"/>
    <mergeCell ref="B6:E7"/>
    <mergeCell ref="H6:L6"/>
    <mergeCell ref="H7:L7"/>
    <mergeCell ref="B9:E10"/>
    <mergeCell ref="G9:G10"/>
    <mergeCell ref="H9:L10"/>
    <mergeCell ref="B11:E12"/>
    <mergeCell ref="H11:L11"/>
    <mergeCell ref="H12:L12"/>
    <mergeCell ref="I14:L14"/>
    <mergeCell ref="I15:L15"/>
    <mergeCell ref="I16:L16"/>
    <mergeCell ref="I17:L17"/>
    <mergeCell ref="H66:L66"/>
    <mergeCell ref="D14:F14"/>
    <mergeCell ref="D15:F15"/>
    <mergeCell ref="B14:C14"/>
    <mergeCell ref="B15:C15"/>
    <mergeCell ref="B16:C16"/>
    <mergeCell ref="B18:C18"/>
    <mergeCell ref="G14:H14"/>
    <mergeCell ref="G15:H15"/>
    <mergeCell ref="D16:F16"/>
    <mergeCell ref="G16:H16"/>
    <mergeCell ref="B17:C17"/>
    <mergeCell ref="G17:H17"/>
    <mergeCell ref="D18:F18"/>
    <mergeCell ref="D17:F17"/>
    <mergeCell ref="G18:H18"/>
    <mergeCell ref="I18:L18"/>
    <mergeCell ref="I20:L20"/>
    <mergeCell ref="G20:H20"/>
    <mergeCell ref="D20:F20"/>
    <mergeCell ref="B20:C20"/>
    <mergeCell ref="I23:L23"/>
    <mergeCell ref="B25:C25"/>
    <mergeCell ref="D21:F21"/>
    <mergeCell ref="D25:F25"/>
    <mergeCell ref="G22:H22"/>
    <mergeCell ref="I25:L25"/>
    <mergeCell ref="B21:C21"/>
    <mergeCell ref="B22:C22"/>
    <mergeCell ref="G21:H21"/>
    <mergeCell ref="G23:H23"/>
    <mergeCell ref="D23:F23"/>
    <mergeCell ref="D22:F22"/>
    <mergeCell ref="I21:L21"/>
    <mergeCell ref="I22:L22"/>
    <mergeCell ref="B70:C70"/>
    <mergeCell ref="B44:D44"/>
    <mergeCell ref="B41:D41"/>
    <mergeCell ref="E73:G73"/>
    <mergeCell ref="E72:G72"/>
    <mergeCell ref="H76:L76"/>
    <mergeCell ref="B75:L75"/>
    <mergeCell ref="B76:C76"/>
    <mergeCell ref="B64:C64"/>
    <mergeCell ref="B66:C66"/>
    <mergeCell ref="B65:C65"/>
    <mergeCell ref="H63:L63"/>
    <mergeCell ref="H54:L54"/>
    <mergeCell ref="H56:L56"/>
    <mergeCell ref="E56:G56"/>
    <mergeCell ref="B61:L61"/>
    <mergeCell ref="E55:G55"/>
    <mergeCell ref="H57:L57"/>
    <mergeCell ref="B47:C47"/>
    <mergeCell ref="G26:H26"/>
    <mergeCell ref="B26:C26"/>
    <mergeCell ref="G29:H29"/>
    <mergeCell ref="B23:C23"/>
    <mergeCell ref="B31:F33"/>
    <mergeCell ref="I26:L26"/>
    <mergeCell ref="I27:L27"/>
    <mergeCell ref="I28:L28"/>
    <mergeCell ref="D26:F26"/>
    <mergeCell ref="G27:H27"/>
    <mergeCell ref="B27:C27"/>
    <mergeCell ref="B29:C29"/>
    <mergeCell ref="D27:F27"/>
    <mergeCell ref="B30:C30"/>
    <mergeCell ref="B28:C28"/>
    <mergeCell ref="D29:F29"/>
    <mergeCell ref="I29:L29"/>
    <mergeCell ref="G28:H28"/>
    <mergeCell ref="D28:F28"/>
    <mergeCell ref="D30:F30"/>
    <mergeCell ref="G31:H31"/>
    <mergeCell ref="G32:H32"/>
    <mergeCell ref="G33:H33"/>
    <mergeCell ref="I34:L34"/>
    <mergeCell ref="H50:L50"/>
    <mergeCell ref="H49:L49"/>
    <mergeCell ref="E71:G71"/>
    <mergeCell ref="E70:G70"/>
    <mergeCell ref="E68:G68"/>
    <mergeCell ref="E67:G67"/>
    <mergeCell ref="E66:G66"/>
    <mergeCell ref="E65:G65"/>
    <mergeCell ref="E64:G64"/>
    <mergeCell ref="H70:L70"/>
    <mergeCell ref="H71:L71"/>
    <mergeCell ref="H64:L64"/>
    <mergeCell ref="H65:L65"/>
    <mergeCell ref="B69:L69"/>
    <mergeCell ref="B67:C67"/>
    <mergeCell ref="E62:G62"/>
    <mergeCell ref="B68:C68"/>
    <mergeCell ref="B71:C71"/>
    <mergeCell ref="B34:C34"/>
    <mergeCell ref="B40:D40"/>
    <mergeCell ref="B39:D39"/>
    <mergeCell ref="B36:C36"/>
    <mergeCell ref="B38:D38"/>
    <mergeCell ref="B35:C35"/>
    <mergeCell ref="B45:D45"/>
    <mergeCell ref="H51:L51"/>
    <mergeCell ref="I36:L36"/>
    <mergeCell ref="E53:G53"/>
    <mergeCell ref="H53:L53"/>
    <mergeCell ref="B53:C53"/>
    <mergeCell ref="B51:C51"/>
    <mergeCell ref="E51:G51"/>
    <mergeCell ref="B42:D42"/>
    <mergeCell ref="B50:C50"/>
    <mergeCell ref="E50:G50"/>
    <mergeCell ref="E47:G47"/>
    <mergeCell ref="B43:D43"/>
    <mergeCell ref="B49:C49"/>
    <mergeCell ref="B48:L48"/>
    <mergeCell ref="E49:G49"/>
    <mergeCell ref="I35:L35"/>
    <mergeCell ref="B3:L3"/>
    <mergeCell ref="B8:L8"/>
    <mergeCell ref="I91:L91"/>
    <mergeCell ref="I97:L97"/>
    <mergeCell ref="H67:L67"/>
    <mergeCell ref="H68:L68"/>
    <mergeCell ref="H59:L59"/>
    <mergeCell ref="H52:L52"/>
    <mergeCell ref="E52:G52"/>
    <mergeCell ref="B56:C56"/>
    <mergeCell ref="B63:C63"/>
    <mergeCell ref="B62:C62"/>
    <mergeCell ref="B59:C59"/>
    <mergeCell ref="E54:G54"/>
    <mergeCell ref="B57:C57"/>
    <mergeCell ref="E58:G58"/>
    <mergeCell ref="B52:C52"/>
    <mergeCell ref="E57:G57"/>
    <mergeCell ref="E59:G59"/>
    <mergeCell ref="H58:L58"/>
    <mergeCell ref="H60:L60"/>
    <mergeCell ref="E63:G63"/>
    <mergeCell ref="H62:L62"/>
    <mergeCell ref="B58:C58"/>
    <mergeCell ref="B82:C82"/>
    <mergeCell ref="B85:C85"/>
    <mergeCell ref="H74:L74"/>
    <mergeCell ref="B72:C72"/>
    <mergeCell ref="B79:C79"/>
    <mergeCell ref="E79:G79"/>
    <mergeCell ref="B74:C74"/>
    <mergeCell ref="I96:L96"/>
    <mergeCell ref="E86:G86"/>
    <mergeCell ref="G91:H91"/>
    <mergeCell ref="G96:H96"/>
    <mergeCell ref="E85:G85"/>
    <mergeCell ref="B81:L81"/>
    <mergeCell ref="H78:L78"/>
    <mergeCell ref="B86:C86"/>
    <mergeCell ref="E78:G78"/>
    <mergeCell ref="B87:C87"/>
    <mergeCell ref="G94:H94"/>
    <mergeCell ref="E96:F96"/>
    <mergeCell ref="B77:C77"/>
    <mergeCell ref="B73:C73"/>
    <mergeCell ref="B139:L139"/>
    <mergeCell ref="B13:L13"/>
    <mergeCell ref="B19:L19"/>
    <mergeCell ref="B24:L24"/>
    <mergeCell ref="B37:L37"/>
    <mergeCell ref="B46:L46"/>
    <mergeCell ref="B88:L88"/>
    <mergeCell ref="B113:L113"/>
    <mergeCell ref="B117:L117"/>
    <mergeCell ref="B128:L128"/>
    <mergeCell ref="G25:H25"/>
    <mergeCell ref="G30:H30"/>
    <mergeCell ref="F39:L45"/>
    <mergeCell ref="F38:L38"/>
    <mergeCell ref="G100:H100"/>
    <mergeCell ref="E83:G83"/>
    <mergeCell ref="B83:C83"/>
    <mergeCell ref="B80:C80"/>
    <mergeCell ref="E82:G82"/>
    <mergeCell ref="B84:L84"/>
    <mergeCell ref="H72:L72"/>
    <mergeCell ref="E80:G80"/>
    <mergeCell ref="B95:C95"/>
    <mergeCell ref="I98:L98"/>
  </mergeCells>
  <phoneticPr fontId="9" type="noConversion"/>
  <dataValidations count="1">
    <dataValidation type="list" allowBlank="1" showInputMessage="1" showErrorMessage="1" sqref="D14">
      <formula1>"Schematic Drawings, Working Drawings,Construction Contract Awarded, Currently Under Construction, Development Complete"</formula1>
    </dataValidation>
  </dataValidations>
  <hyperlinks>
    <hyperlink ref="I17" r:id="rId1" display="joesmith@smithllc.com"/>
  </hyperlinks>
  <pageMargins left="0.25" right="0.25" top="0.75" bottom="0.75" header="0.3" footer="0.3"/>
  <pageSetup orientation="landscape" horizontalDpi="400" verticalDpi="400" r:id="rId2"/>
  <headerFooter alignWithMargins="0">
    <oddFooter>&amp;LEPA ENERGY STAR Multifamily High-Rise Program</oddFooter>
  </headerFooter>
  <rowBreaks count="2" manualBreakCount="2">
    <brk id="46" max="16383" man="1"/>
    <brk id="113" max="16383" man="1"/>
  </rowBreaks>
</worksheet>
</file>

<file path=xl/worksheets/sheet12.xml><?xml version="1.0" encoding="utf-8"?>
<worksheet xmlns="http://schemas.openxmlformats.org/spreadsheetml/2006/main" xmlns:r="http://schemas.openxmlformats.org/officeDocument/2006/relationships">
  <sheetPr codeName="Sheet10">
    <tabColor theme="5" tint="-0.249977111117893"/>
  </sheetPr>
  <dimension ref="A1:AY210"/>
  <sheetViews>
    <sheetView showGridLines="0" workbookViewId="0">
      <selection activeCell="A73" sqref="A73"/>
    </sheetView>
  </sheetViews>
  <sheetFormatPr defaultRowHeight="12"/>
  <cols>
    <col min="1" max="1" width="81.140625" style="434" bestFit="1" customWidth="1"/>
    <col min="2" max="2" width="11.85546875" style="434" bestFit="1" customWidth="1"/>
    <col min="3" max="3" width="9.140625" style="434" bestFit="1" customWidth="1"/>
    <col min="4" max="4" width="8.28515625" style="434" bestFit="1" customWidth="1"/>
    <col min="5" max="5" width="11.5703125" style="434" customWidth="1"/>
    <col min="6" max="51" width="8.28515625" style="434" bestFit="1" customWidth="1"/>
    <col min="52" max="256" width="9.140625" style="434"/>
    <col min="257" max="257" width="81.140625" style="434" bestFit="1" customWidth="1"/>
    <col min="258" max="258" width="11.85546875" style="434" bestFit="1" customWidth="1"/>
    <col min="259" max="259" width="9.140625" style="434" bestFit="1" customWidth="1"/>
    <col min="260" max="307" width="8.28515625" style="434" bestFit="1" customWidth="1"/>
    <col min="308" max="512" width="9.140625" style="434"/>
    <col min="513" max="513" width="81.140625" style="434" bestFit="1" customWidth="1"/>
    <col min="514" max="514" width="11.85546875" style="434" bestFit="1" customWidth="1"/>
    <col min="515" max="515" width="9.140625" style="434" bestFit="1" customWidth="1"/>
    <col min="516" max="563" width="8.28515625" style="434" bestFit="1" customWidth="1"/>
    <col min="564" max="768" width="9.140625" style="434"/>
    <col min="769" max="769" width="81.140625" style="434" bestFit="1" customWidth="1"/>
    <col min="770" max="770" width="11.85546875" style="434" bestFit="1" customWidth="1"/>
    <col min="771" max="771" width="9.140625" style="434" bestFit="1" customWidth="1"/>
    <col min="772" max="819" width="8.28515625" style="434" bestFit="1" customWidth="1"/>
    <col min="820" max="1024" width="9.140625" style="434"/>
    <col min="1025" max="1025" width="81.140625" style="434" bestFit="1" customWidth="1"/>
    <col min="1026" max="1026" width="11.85546875" style="434" bestFit="1" customWidth="1"/>
    <col min="1027" max="1027" width="9.140625" style="434" bestFit="1" customWidth="1"/>
    <col min="1028" max="1075" width="8.28515625" style="434" bestFit="1" customWidth="1"/>
    <col min="1076" max="1280" width="9.140625" style="434"/>
    <col min="1281" max="1281" width="81.140625" style="434" bestFit="1" customWidth="1"/>
    <col min="1282" max="1282" width="11.85546875" style="434" bestFit="1" customWidth="1"/>
    <col min="1283" max="1283" width="9.140625" style="434" bestFit="1" customWidth="1"/>
    <col min="1284" max="1331" width="8.28515625" style="434" bestFit="1" customWidth="1"/>
    <col min="1332" max="1536" width="9.140625" style="434"/>
    <col min="1537" max="1537" width="81.140625" style="434" bestFit="1" customWidth="1"/>
    <col min="1538" max="1538" width="11.85546875" style="434" bestFit="1" customWidth="1"/>
    <col min="1539" max="1539" width="9.140625" style="434" bestFit="1" customWidth="1"/>
    <col min="1540" max="1587" width="8.28515625" style="434" bestFit="1" customWidth="1"/>
    <col min="1588" max="1792" width="9.140625" style="434"/>
    <col min="1793" max="1793" width="81.140625" style="434" bestFit="1" customWidth="1"/>
    <col min="1794" max="1794" width="11.85546875" style="434" bestFit="1" customWidth="1"/>
    <col min="1795" max="1795" width="9.140625" style="434" bestFit="1" customWidth="1"/>
    <col min="1796" max="1843" width="8.28515625" style="434" bestFit="1" customWidth="1"/>
    <col min="1844" max="2048" width="9.140625" style="434"/>
    <col min="2049" max="2049" width="81.140625" style="434" bestFit="1" customWidth="1"/>
    <col min="2050" max="2050" width="11.85546875" style="434" bestFit="1" customWidth="1"/>
    <col min="2051" max="2051" width="9.140625" style="434" bestFit="1" customWidth="1"/>
    <col min="2052" max="2099" width="8.28515625" style="434" bestFit="1" customWidth="1"/>
    <col min="2100" max="2304" width="9.140625" style="434"/>
    <col min="2305" max="2305" width="81.140625" style="434" bestFit="1" customWidth="1"/>
    <col min="2306" max="2306" width="11.85546875" style="434" bestFit="1" customWidth="1"/>
    <col min="2307" max="2307" width="9.140625" style="434" bestFit="1" customWidth="1"/>
    <col min="2308" max="2355" width="8.28515625" style="434" bestFit="1" customWidth="1"/>
    <col min="2356" max="2560" width="9.140625" style="434"/>
    <col min="2561" max="2561" width="81.140625" style="434" bestFit="1" customWidth="1"/>
    <col min="2562" max="2562" width="11.85546875" style="434" bestFit="1" customWidth="1"/>
    <col min="2563" max="2563" width="9.140625" style="434" bestFit="1" customWidth="1"/>
    <col min="2564" max="2611" width="8.28515625" style="434" bestFit="1" customWidth="1"/>
    <col min="2612" max="2816" width="9.140625" style="434"/>
    <col min="2817" max="2817" width="81.140625" style="434" bestFit="1" customWidth="1"/>
    <col min="2818" max="2818" width="11.85546875" style="434" bestFit="1" customWidth="1"/>
    <col min="2819" max="2819" width="9.140625" style="434" bestFit="1" customWidth="1"/>
    <col min="2820" max="2867" width="8.28515625" style="434" bestFit="1" customWidth="1"/>
    <col min="2868" max="3072" width="9.140625" style="434"/>
    <col min="3073" max="3073" width="81.140625" style="434" bestFit="1" customWidth="1"/>
    <col min="3074" max="3074" width="11.85546875" style="434" bestFit="1" customWidth="1"/>
    <col min="3075" max="3075" width="9.140625" style="434" bestFit="1" customWidth="1"/>
    <col min="3076" max="3123" width="8.28515625" style="434" bestFit="1" customWidth="1"/>
    <col min="3124" max="3328" width="9.140625" style="434"/>
    <col min="3329" max="3329" width="81.140625" style="434" bestFit="1" customWidth="1"/>
    <col min="3330" max="3330" width="11.85546875" style="434" bestFit="1" customWidth="1"/>
    <col min="3331" max="3331" width="9.140625" style="434" bestFit="1" customWidth="1"/>
    <col min="3332" max="3379" width="8.28515625" style="434" bestFit="1" customWidth="1"/>
    <col min="3380" max="3584" width="9.140625" style="434"/>
    <col min="3585" max="3585" width="81.140625" style="434" bestFit="1" customWidth="1"/>
    <col min="3586" max="3586" width="11.85546875" style="434" bestFit="1" customWidth="1"/>
    <col min="3587" max="3587" width="9.140625" style="434" bestFit="1" customWidth="1"/>
    <col min="3588" max="3635" width="8.28515625" style="434" bestFit="1" customWidth="1"/>
    <col min="3636" max="3840" width="9.140625" style="434"/>
    <col min="3841" max="3841" width="81.140625" style="434" bestFit="1" customWidth="1"/>
    <col min="3842" max="3842" width="11.85546875" style="434" bestFit="1" customWidth="1"/>
    <col min="3843" max="3843" width="9.140625" style="434" bestFit="1" customWidth="1"/>
    <col min="3844" max="3891" width="8.28515625" style="434" bestFit="1" customWidth="1"/>
    <col min="3892" max="4096" width="9.140625" style="434"/>
    <col min="4097" max="4097" width="81.140625" style="434" bestFit="1" customWidth="1"/>
    <col min="4098" max="4098" width="11.85546875" style="434" bestFit="1" customWidth="1"/>
    <col min="4099" max="4099" width="9.140625" style="434" bestFit="1" customWidth="1"/>
    <col min="4100" max="4147" width="8.28515625" style="434" bestFit="1" customWidth="1"/>
    <col min="4148" max="4352" width="9.140625" style="434"/>
    <col min="4353" max="4353" width="81.140625" style="434" bestFit="1" customWidth="1"/>
    <col min="4354" max="4354" width="11.85546875" style="434" bestFit="1" customWidth="1"/>
    <col min="4355" max="4355" width="9.140625" style="434" bestFit="1" customWidth="1"/>
    <col min="4356" max="4403" width="8.28515625" style="434" bestFit="1" customWidth="1"/>
    <col min="4404" max="4608" width="9.140625" style="434"/>
    <col min="4609" max="4609" width="81.140625" style="434" bestFit="1" customWidth="1"/>
    <col min="4610" max="4610" width="11.85546875" style="434" bestFit="1" customWidth="1"/>
    <col min="4611" max="4611" width="9.140625" style="434" bestFit="1" customWidth="1"/>
    <col min="4612" max="4659" width="8.28515625" style="434" bestFit="1" customWidth="1"/>
    <col min="4660" max="4864" width="9.140625" style="434"/>
    <col min="4865" max="4865" width="81.140625" style="434" bestFit="1" customWidth="1"/>
    <col min="4866" max="4866" width="11.85546875" style="434" bestFit="1" customWidth="1"/>
    <col min="4867" max="4867" width="9.140625" style="434" bestFit="1" customWidth="1"/>
    <col min="4868" max="4915" width="8.28515625" style="434" bestFit="1" customWidth="1"/>
    <col min="4916" max="5120" width="9.140625" style="434"/>
    <col min="5121" max="5121" width="81.140625" style="434" bestFit="1" customWidth="1"/>
    <col min="5122" max="5122" width="11.85546875" style="434" bestFit="1" customWidth="1"/>
    <col min="5123" max="5123" width="9.140625" style="434" bestFit="1" customWidth="1"/>
    <col min="5124" max="5171" width="8.28515625" style="434" bestFit="1" customWidth="1"/>
    <col min="5172" max="5376" width="9.140625" style="434"/>
    <col min="5377" max="5377" width="81.140625" style="434" bestFit="1" customWidth="1"/>
    <col min="5378" max="5378" width="11.85546875" style="434" bestFit="1" customWidth="1"/>
    <col min="5379" max="5379" width="9.140625" style="434" bestFit="1" customWidth="1"/>
    <col min="5380" max="5427" width="8.28515625" style="434" bestFit="1" customWidth="1"/>
    <col min="5428" max="5632" width="9.140625" style="434"/>
    <col min="5633" max="5633" width="81.140625" style="434" bestFit="1" customWidth="1"/>
    <col min="5634" max="5634" width="11.85546875" style="434" bestFit="1" customWidth="1"/>
    <col min="5635" max="5635" width="9.140625" style="434" bestFit="1" customWidth="1"/>
    <col min="5636" max="5683" width="8.28515625" style="434" bestFit="1" customWidth="1"/>
    <col min="5684" max="5888" width="9.140625" style="434"/>
    <col min="5889" max="5889" width="81.140625" style="434" bestFit="1" customWidth="1"/>
    <col min="5890" max="5890" width="11.85546875" style="434" bestFit="1" customWidth="1"/>
    <col min="5891" max="5891" width="9.140625" style="434" bestFit="1" customWidth="1"/>
    <col min="5892" max="5939" width="8.28515625" style="434" bestFit="1" customWidth="1"/>
    <col min="5940" max="6144" width="9.140625" style="434"/>
    <col min="6145" max="6145" width="81.140625" style="434" bestFit="1" customWidth="1"/>
    <col min="6146" max="6146" width="11.85546875" style="434" bestFit="1" customWidth="1"/>
    <col min="6147" max="6147" width="9.140625" style="434" bestFit="1" customWidth="1"/>
    <col min="6148" max="6195" width="8.28515625" style="434" bestFit="1" customWidth="1"/>
    <col min="6196" max="6400" width="9.140625" style="434"/>
    <col min="6401" max="6401" width="81.140625" style="434" bestFit="1" customWidth="1"/>
    <col min="6402" max="6402" width="11.85546875" style="434" bestFit="1" customWidth="1"/>
    <col min="6403" max="6403" width="9.140625" style="434" bestFit="1" customWidth="1"/>
    <col min="6404" max="6451" width="8.28515625" style="434" bestFit="1" customWidth="1"/>
    <col min="6452" max="6656" width="9.140625" style="434"/>
    <col min="6657" max="6657" width="81.140625" style="434" bestFit="1" customWidth="1"/>
    <col min="6658" max="6658" width="11.85546875" style="434" bestFit="1" customWidth="1"/>
    <col min="6659" max="6659" width="9.140625" style="434" bestFit="1" customWidth="1"/>
    <col min="6660" max="6707" width="8.28515625" style="434" bestFit="1" customWidth="1"/>
    <col min="6708" max="6912" width="9.140625" style="434"/>
    <col min="6913" max="6913" width="81.140625" style="434" bestFit="1" customWidth="1"/>
    <col min="6914" max="6914" width="11.85546875" style="434" bestFit="1" customWidth="1"/>
    <col min="6915" max="6915" width="9.140625" style="434" bestFit="1" customWidth="1"/>
    <col min="6916" max="6963" width="8.28515625" style="434" bestFit="1" customWidth="1"/>
    <col min="6964" max="7168" width="9.140625" style="434"/>
    <col min="7169" max="7169" width="81.140625" style="434" bestFit="1" customWidth="1"/>
    <col min="7170" max="7170" width="11.85546875" style="434" bestFit="1" customWidth="1"/>
    <col min="7171" max="7171" width="9.140625" style="434" bestFit="1" customWidth="1"/>
    <col min="7172" max="7219" width="8.28515625" style="434" bestFit="1" customWidth="1"/>
    <col min="7220" max="7424" width="9.140625" style="434"/>
    <col min="7425" max="7425" width="81.140625" style="434" bestFit="1" customWidth="1"/>
    <col min="7426" max="7426" width="11.85546875" style="434" bestFit="1" customWidth="1"/>
    <col min="7427" max="7427" width="9.140625" style="434" bestFit="1" customWidth="1"/>
    <col min="7428" max="7475" width="8.28515625" style="434" bestFit="1" customWidth="1"/>
    <col min="7476" max="7680" width="9.140625" style="434"/>
    <col min="7681" max="7681" width="81.140625" style="434" bestFit="1" customWidth="1"/>
    <col min="7682" max="7682" width="11.85546875" style="434" bestFit="1" customWidth="1"/>
    <col min="7683" max="7683" width="9.140625" style="434" bestFit="1" customWidth="1"/>
    <col min="7684" max="7731" width="8.28515625" style="434" bestFit="1" customWidth="1"/>
    <col min="7732" max="7936" width="9.140625" style="434"/>
    <col min="7937" max="7937" width="81.140625" style="434" bestFit="1" customWidth="1"/>
    <col min="7938" max="7938" width="11.85546875" style="434" bestFit="1" customWidth="1"/>
    <col min="7939" max="7939" width="9.140625" style="434" bestFit="1" customWidth="1"/>
    <col min="7940" max="7987" width="8.28515625" style="434" bestFit="1" customWidth="1"/>
    <col min="7988" max="8192" width="9.140625" style="434"/>
    <col min="8193" max="8193" width="81.140625" style="434" bestFit="1" customWidth="1"/>
    <col min="8194" max="8194" width="11.85546875" style="434" bestFit="1" customWidth="1"/>
    <col min="8195" max="8195" width="9.140625" style="434" bestFit="1" customWidth="1"/>
    <col min="8196" max="8243" width="8.28515625" style="434" bestFit="1" customWidth="1"/>
    <col min="8244" max="8448" width="9.140625" style="434"/>
    <col min="8449" max="8449" width="81.140625" style="434" bestFit="1" customWidth="1"/>
    <col min="8450" max="8450" width="11.85546875" style="434" bestFit="1" customWidth="1"/>
    <col min="8451" max="8451" width="9.140625" style="434" bestFit="1" customWidth="1"/>
    <col min="8452" max="8499" width="8.28515625" style="434" bestFit="1" customWidth="1"/>
    <col min="8500" max="8704" width="9.140625" style="434"/>
    <col min="8705" max="8705" width="81.140625" style="434" bestFit="1" customWidth="1"/>
    <col min="8706" max="8706" width="11.85546875" style="434" bestFit="1" customWidth="1"/>
    <col min="8707" max="8707" width="9.140625" style="434" bestFit="1" customWidth="1"/>
    <col min="8708" max="8755" width="8.28515625" style="434" bestFit="1" customWidth="1"/>
    <col min="8756" max="8960" width="9.140625" style="434"/>
    <col min="8961" max="8961" width="81.140625" style="434" bestFit="1" customWidth="1"/>
    <col min="8962" max="8962" width="11.85546875" style="434" bestFit="1" customWidth="1"/>
    <col min="8963" max="8963" width="9.140625" style="434" bestFit="1" customWidth="1"/>
    <col min="8964" max="9011" width="8.28515625" style="434" bestFit="1" customWidth="1"/>
    <col min="9012" max="9216" width="9.140625" style="434"/>
    <col min="9217" max="9217" width="81.140625" style="434" bestFit="1" customWidth="1"/>
    <col min="9218" max="9218" width="11.85546875" style="434" bestFit="1" customWidth="1"/>
    <col min="9219" max="9219" width="9.140625" style="434" bestFit="1" customWidth="1"/>
    <col min="9220" max="9267" width="8.28515625" style="434" bestFit="1" customWidth="1"/>
    <col min="9268" max="9472" width="9.140625" style="434"/>
    <col min="9473" max="9473" width="81.140625" style="434" bestFit="1" customWidth="1"/>
    <col min="9474" max="9474" width="11.85546875" style="434" bestFit="1" customWidth="1"/>
    <col min="9475" max="9475" width="9.140625" style="434" bestFit="1" customWidth="1"/>
    <col min="9476" max="9523" width="8.28515625" style="434" bestFit="1" customWidth="1"/>
    <col min="9524" max="9728" width="9.140625" style="434"/>
    <col min="9729" max="9729" width="81.140625" style="434" bestFit="1" customWidth="1"/>
    <col min="9730" max="9730" width="11.85546875" style="434" bestFit="1" customWidth="1"/>
    <col min="9731" max="9731" width="9.140625" style="434" bestFit="1" customWidth="1"/>
    <col min="9732" max="9779" width="8.28515625" style="434" bestFit="1" customWidth="1"/>
    <col min="9780" max="9984" width="9.140625" style="434"/>
    <col min="9985" max="9985" width="81.140625" style="434" bestFit="1" customWidth="1"/>
    <col min="9986" max="9986" width="11.85546875" style="434" bestFit="1" customWidth="1"/>
    <col min="9987" max="9987" width="9.140625" style="434" bestFit="1" customWidth="1"/>
    <col min="9988" max="10035" width="8.28515625" style="434" bestFit="1" customWidth="1"/>
    <col min="10036" max="10240" width="9.140625" style="434"/>
    <col min="10241" max="10241" width="81.140625" style="434" bestFit="1" customWidth="1"/>
    <col min="10242" max="10242" width="11.85546875" style="434" bestFit="1" customWidth="1"/>
    <col min="10243" max="10243" width="9.140625" style="434" bestFit="1" customWidth="1"/>
    <col min="10244" max="10291" width="8.28515625" style="434" bestFit="1" customWidth="1"/>
    <col min="10292" max="10496" width="9.140625" style="434"/>
    <col min="10497" max="10497" width="81.140625" style="434" bestFit="1" customWidth="1"/>
    <col min="10498" max="10498" width="11.85546875" style="434" bestFit="1" customWidth="1"/>
    <col min="10499" max="10499" width="9.140625" style="434" bestFit="1" customWidth="1"/>
    <col min="10500" max="10547" width="8.28515625" style="434" bestFit="1" customWidth="1"/>
    <col min="10548" max="10752" width="9.140625" style="434"/>
    <col min="10753" max="10753" width="81.140625" style="434" bestFit="1" customWidth="1"/>
    <col min="10754" max="10754" width="11.85546875" style="434" bestFit="1" customWidth="1"/>
    <col min="10755" max="10755" width="9.140625" style="434" bestFit="1" customWidth="1"/>
    <col min="10756" max="10803" width="8.28515625" style="434" bestFit="1" customWidth="1"/>
    <col min="10804" max="11008" width="9.140625" style="434"/>
    <col min="11009" max="11009" width="81.140625" style="434" bestFit="1" customWidth="1"/>
    <col min="11010" max="11010" width="11.85546875" style="434" bestFit="1" customWidth="1"/>
    <col min="11011" max="11011" width="9.140625" style="434" bestFit="1" customWidth="1"/>
    <col min="11012" max="11059" width="8.28515625" style="434" bestFit="1" customWidth="1"/>
    <col min="11060" max="11264" width="9.140625" style="434"/>
    <col min="11265" max="11265" width="81.140625" style="434" bestFit="1" customWidth="1"/>
    <col min="11266" max="11266" width="11.85546875" style="434" bestFit="1" customWidth="1"/>
    <col min="11267" max="11267" width="9.140625" style="434" bestFit="1" customWidth="1"/>
    <col min="11268" max="11315" width="8.28515625" style="434" bestFit="1" customWidth="1"/>
    <col min="11316" max="11520" width="9.140625" style="434"/>
    <col min="11521" max="11521" width="81.140625" style="434" bestFit="1" customWidth="1"/>
    <col min="11522" max="11522" width="11.85546875" style="434" bestFit="1" customWidth="1"/>
    <col min="11523" max="11523" width="9.140625" style="434" bestFit="1" customWidth="1"/>
    <col min="11524" max="11571" width="8.28515625" style="434" bestFit="1" customWidth="1"/>
    <col min="11572" max="11776" width="9.140625" style="434"/>
    <col min="11777" max="11777" width="81.140625" style="434" bestFit="1" customWidth="1"/>
    <col min="11778" max="11778" width="11.85546875" style="434" bestFit="1" customWidth="1"/>
    <col min="11779" max="11779" width="9.140625" style="434" bestFit="1" customWidth="1"/>
    <col min="11780" max="11827" width="8.28515625" style="434" bestFit="1" customWidth="1"/>
    <col min="11828" max="12032" width="9.140625" style="434"/>
    <col min="12033" max="12033" width="81.140625" style="434" bestFit="1" customWidth="1"/>
    <col min="12034" max="12034" width="11.85546875" style="434" bestFit="1" customWidth="1"/>
    <col min="12035" max="12035" width="9.140625" style="434" bestFit="1" customWidth="1"/>
    <col min="12036" max="12083" width="8.28515625" style="434" bestFit="1" customWidth="1"/>
    <col min="12084" max="12288" width="9.140625" style="434"/>
    <col min="12289" max="12289" width="81.140625" style="434" bestFit="1" customWidth="1"/>
    <col min="12290" max="12290" width="11.85546875" style="434" bestFit="1" customWidth="1"/>
    <col min="12291" max="12291" width="9.140625" style="434" bestFit="1" customWidth="1"/>
    <col min="12292" max="12339" width="8.28515625" style="434" bestFit="1" customWidth="1"/>
    <col min="12340" max="12544" width="9.140625" style="434"/>
    <col min="12545" max="12545" width="81.140625" style="434" bestFit="1" customWidth="1"/>
    <col min="12546" max="12546" width="11.85546875" style="434" bestFit="1" customWidth="1"/>
    <col min="12547" max="12547" width="9.140625" style="434" bestFit="1" customWidth="1"/>
    <col min="12548" max="12595" width="8.28515625" style="434" bestFit="1" customWidth="1"/>
    <col min="12596" max="12800" width="9.140625" style="434"/>
    <col min="12801" max="12801" width="81.140625" style="434" bestFit="1" customWidth="1"/>
    <col min="12802" max="12802" width="11.85546875" style="434" bestFit="1" customWidth="1"/>
    <col min="12803" max="12803" width="9.140625" style="434" bestFit="1" customWidth="1"/>
    <col min="12804" max="12851" width="8.28515625" style="434" bestFit="1" customWidth="1"/>
    <col min="12852" max="13056" width="9.140625" style="434"/>
    <col min="13057" max="13057" width="81.140625" style="434" bestFit="1" customWidth="1"/>
    <col min="13058" max="13058" width="11.85546875" style="434" bestFit="1" customWidth="1"/>
    <col min="13059" max="13059" width="9.140625" style="434" bestFit="1" customWidth="1"/>
    <col min="13060" max="13107" width="8.28515625" style="434" bestFit="1" customWidth="1"/>
    <col min="13108" max="13312" width="9.140625" style="434"/>
    <col min="13313" max="13313" width="81.140625" style="434" bestFit="1" customWidth="1"/>
    <col min="13314" max="13314" width="11.85546875" style="434" bestFit="1" customWidth="1"/>
    <col min="13315" max="13315" width="9.140625" style="434" bestFit="1" customWidth="1"/>
    <col min="13316" max="13363" width="8.28515625" style="434" bestFit="1" customWidth="1"/>
    <col min="13364" max="13568" width="9.140625" style="434"/>
    <col min="13569" max="13569" width="81.140625" style="434" bestFit="1" customWidth="1"/>
    <col min="13570" max="13570" width="11.85546875" style="434" bestFit="1" customWidth="1"/>
    <col min="13571" max="13571" width="9.140625" style="434" bestFit="1" customWidth="1"/>
    <col min="13572" max="13619" width="8.28515625" style="434" bestFit="1" customWidth="1"/>
    <col min="13620" max="13824" width="9.140625" style="434"/>
    <col min="13825" max="13825" width="81.140625" style="434" bestFit="1" customWidth="1"/>
    <col min="13826" max="13826" width="11.85546875" style="434" bestFit="1" customWidth="1"/>
    <col min="13827" max="13827" width="9.140625" style="434" bestFit="1" customWidth="1"/>
    <col min="13828" max="13875" width="8.28515625" style="434" bestFit="1" customWidth="1"/>
    <col min="13876" max="14080" width="9.140625" style="434"/>
    <col min="14081" max="14081" width="81.140625" style="434" bestFit="1" customWidth="1"/>
    <col min="14082" max="14082" width="11.85546875" style="434" bestFit="1" customWidth="1"/>
    <col min="14083" max="14083" width="9.140625" style="434" bestFit="1" customWidth="1"/>
    <col min="14084" max="14131" width="8.28515625" style="434" bestFit="1" customWidth="1"/>
    <col min="14132" max="14336" width="9.140625" style="434"/>
    <col min="14337" max="14337" width="81.140625" style="434" bestFit="1" customWidth="1"/>
    <col min="14338" max="14338" width="11.85546875" style="434" bestFit="1" customWidth="1"/>
    <col min="14339" max="14339" width="9.140625" style="434" bestFit="1" customWidth="1"/>
    <col min="14340" max="14387" width="8.28515625" style="434" bestFit="1" customWidth="1"/>
    <col min="14388" max="14592" width="9.140625" style="434"/>
    <col min="14593" max="14593" width="81.140625" style="434" bestFit="1" customWidth="1"/>
    <col min="14594" max="14594" width="11.85546875" style="434" bestFit="1" customWidth="1"/>
    <col min="14595" max="14595" width="9.140625" style="434" bestFit="1" customWidth="1"/>
    <col min="14596" max="14643" width="8.28515625" style="434" bestFit="1" customWidth="1"/>
    <col min="14644" max="14848" width="9.140625" style="434"/>
    <col min="14849" max="14849" width="81.140625" style="434" bestFit="1" customWidth="1"/>
    <col min="14850" max="14850" width="11.85546875" style="434" bestFit="1" customWidth="1"/>
    <col min="14851" max="14851" width="9.140625" style="434" bestFit="1" customWidth="1"/>
    <col min="14852" max="14899" width="8.28515625" style="434" bestFit="1" customWidth="1"/>
    <col min="14900" max="15104" width="9.140625" style="434"/>
    <col min="15105" max="15105" width="81.140625" style="434" bestFit="1" customWidth="1"/>
    <col min="15106" max="15106" width="11.85546875" style="434" bestFit="1" customWidth="1"/>
    <col min="15107" max="15107" width="9.140625" style="434" bestFit="1" customWidth="1"/>
    <col min="15108" max="15155" width="8.28515625" style="434" bestFit="1" customWidth="1"/>
    <col min="15156" max="15360" width="9.140625" style="434"/>
    <col min="15361" max="15361" width="81.140625" style="434" bestFit="1" customWidth="1"/>
    <col min="15362" max="15362" width="11.85546875" style="434" bestFit="1" customWidth="1"/>
    <col min="15363" max="15363" width="9.140625" style="434" bestFit="1" customWidth="1"/>
    <col min="15364" max="15411" width="8.28515625" style="434" bestFit="1" customWidth="1"/>
    <col min="15412" max="15616" width="9.140625" style="434"/>
    <col min="15617" max="15617" width="81.140625" style="434" bestFit="1" customWidth="1"/>
    <col min="15618" max="15618" width="11.85546875" style="434" bestFit="1" customWidth="1"/>
    <col min="15619" max="15619" width="9.140625" style="434" bestFit="1" customWidth="1"/>
    <col min="15620" max="15667" width="8.28515625" style="434" bestFit="1" customWidth="1"/>
    <col min="15668" max="15872" width="9.140625" style="434"/>
    <col min="15873" max="15873" width="81.140625" style="434" bestFit="1" customWidth="1"/>
    <col min="15874" max="15874" width="11.85546875" style="434" bestFit="1" customWidth="1"/>
    <col min="15875" max="15875" width="9.140625" style="434" bestFit="1" customWidth="1"/>
    <col min="15876" max="15923" width="8.28515625" style="434" bestFit="1" customWidth="1"/>
    <col min="15924" max="16128" width="9.140625" style="434"/>
    <col min="16129" max="16129" width="81.140625" style="434" bestFit="1" customWidth="1"/>
    <col min="16130" max="16130" width="11.85546875" style="434" bestFit="1" customWidth="1"/>
    <col min="16131" max="16131" width="9.140625" style="434" bestFit="1" customWidth="1"/>
    <col min="16132" max="16179" width="8.28515625" style="434" bestFit="1" customWidth="1"/>
    <col min="16180" max="16384" width="9.140625" style="434"/>
  </cols>
  <sheetData>
    <row r="1" spans="1:51" ht="18.75">
      <c r="A1" s="432" t="s">
        <v>2929</v>
      </c>
      <c r="B1" s="433"/>
      <c r="C1" s="433"/>
      <c r="D1" s="433"/>
      <c r="E1" s="433"/>
      <c r="F1" s="433"/>
      <c r="G1" s="433"/>
      <c r="H1" s="433"/>
      <c r="I1" s="433"/>
      <c r="J1" s="433"/>
      <c r="K1" s="433"/>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row>
    <row r="2" spans="1:51" ht="19.5" thickBot="1">
      <c r="A2" s="432"/>
      <c r="B2" s="433"/>
      <c r="C2" s="433"/>
      <c r="D2" s="433"/>
      <c r="E2" s="433"/>
      <c r="F2" s="433"/>
      <c r="G2" s="433"/>
      <c r="H2" s="433"/>
      <c r="I2" s="433"/>
      <c r="J2" s="433"/>
      <c r="K2" s="433"/>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row>
    <row r="3" spans="1:51" ht="16.5" thickBot="1">
      <c r="A3" s="460" t="str">
        <f>IF(G3=1,"Electric Utility: "&amp;'Basic Info'!C58&amp;"; Gas Utility: "&amp;'Basic Info'!C59&amp;"; NYC","Electric Utility: "&amp;'Basic Info'!C58&amp;"; Gas Utility: "&amp;'Basic Info'!C59)</f>
        <v xml:space="preserve">Electric Utility: ; Gas Utility: </v>
      </c>
      <c r="B3" s="435" t="s">
        <v>2930</v>
      </c>
      <c r="C3" s="436">
        <v>5.5E-2</v>
      </c>
      <c r="D3" s="433"/>
      <c r="E3" s="474" t="e">
        <f>VLOOKUP('Basic Info'!$C$58,'Drop Down'!$AA$2:$AB$7,2,FALSE)</f>
        <v>#N/A</v>
      </c>
      <c r="F3" s="474" t="e">
        <f>VLOOKUP('Basic Info'!$C$59,'Drop Down'!AE2:AF5,2,FALSE)</f>
        <v>#N/A</v>
      </c>
      <c r="G3" s="433">
        <f>IF('Basic Info'!C60="Yes",1,0)</f>
        <v>0</v>
      </c>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row>
    <row r="4" spans="1:51" ht="15.75" thickBot="1">
      <c r="A4" s="437" t="s">
        <v>2931</v>
      </c>
    </row>
    <row r="5" spans="1:51" ht="12.75" thickBot="1">
      <c r="A5" s="438" t="s">
        <v>2932</v>
      </c>
      <c r="B5" s="439">
        <v>2010</v>
      </c>
      <c r="C5" s="440">
        <v>2011</v>
      </c>
      <c r="D5" s="440">
        <v>2012</v>
      </c>
      <c r="E5" s="440">
        <v>2013</v>
      </c>
      <c r="F5" s="440">
        <v>2014</v>
      </c>
      <c r="G5" s="440">
        <v>2015</v>
      </c>
      <c r="H5" s="440">
        <v>2016</v>
      </c>
      <c r="I5" s="440">
        <v>2017</v>
      </c>
      <c r="J5" s="440">
        <v>2018</v>
      </c>
      <c r="K5" s="440">
        <v>2019</v>
      </c>
      <c r="L5" s="440">
        <v>2020</v>
      </c>
      <c r="M5" s="440">
        <v>2021</v>
      </c>
      <c r="N5" s="440">
        <v>2022</v>
      </c>
      <c r="O5" s="440">
        <v>2023</v>
      </c>
      <c r="P5" s="440">
        <v>2024</v>
      </c>
      <c r="Q5" s="440">
        <v>2025</v>
      </c>
      <c r="R5" s="440">
        <v>2026</v>
      </c>
      <c r="S5" s="440">
        <v>2027</v>
      </c>
      <c r="T5" s="440">
        <v>2028</v>
      </c>
      <c r="U5" s="440">
        <v>2029</v>
      </c>
      <c r="V5" s="440">
        <v>2030</v>
      </c>
      <c r="W5" s="440">
        <v>2031</v>
      </c>
      <c r="X5" s="440">
        <v>2032</v>
      </c>
      <c r="Y5" s="440">
        <v>2033</v>
      </c>
      <c r="Z5" s="440">
        <v>2034</v>
      </c>
      <c r="AA5" s="440">
        <v>2035</v>
      </c>
      <c r="AB5" s="440">
        <v>2036</v>
      </c>
      <c r="AC5" s="440">
        <v>2037</v>
      </c>
      <c r="AD5" s="440">
        <v>2038</v>
      </c>
      <c r="AE5" s="440">
        <v>2039</v>
      </c>
      <c r="AF5" s="440">
        <v>2040</v>
      </c>
      <c r="AG5" s="440">
        <v>2041</v>
      </c>
      <c r="AH5" s="440">
        <v>2042</v>
      </c>
      <c r="AI5" s="440">
        <v>2043</v>
      </c>
      <c r="AJ5" s="440">
        <v>2044</v>
      </c>
      <c r="AK5" s="440">
        <v>2045</v>
      </c>
      <c r="AL5" s="440">
        <v>2046</v>
      </c>
      <c r="AM5" s="440">
        <v>2047</v>
      </c>
      <c r="AN5" s="440">
        <v>2048</v>
      </c>
      <c r="AO5" s="440">
        <v>2049</v>
      </c>
      <c r="AP5" s="440">
        <v>2050</v>
      </c>
      <c r="AQ5" s="440">
        <v>2051</v>
      </c>
      <c r="AR5" s="440">
        <v>2052</v>
      </c>
      <c r="AS5" s="440">
        <v>2053</v>
      </c>
      <c r="AT5" s="440">
        <v>2054</v>
      </c>
      <c r="AU5" s="440">
        <v>2055</v>
      </c>
      <c r="AV5" s="440">
        <v>2056</v>
      </c>
      <c r="AW5" s="440">
        <v>2057</v>
      </c>
      <c r="AX5" s="440">
        <v>2058</v>
      </c>
      <c r="AY5" s="441">
        <v>2059</v>
      </c>
    </row>
    <row r="6" spans="1:51">
      <c r="A6" s="442" t="s">
        <v>2943</v>
      </c>
      <c r="B6" s="443" t="e">
        <f t="shared" ref="B6:AG6" si="0">IF($G$3=1,B190,IF($E$3=1,VLOOKUP($A6,CentralHudson,B$210,FALSE),IF($E$3=2,VLOOKUP($A6,ConEd,B$210,FALSE),IF($E$3=3,VLOOKUP($A6,NationalGrid,B$210,FALSE),IF($E$3=4,VLOOKUP($A6,NYSEG,B$210,FALSE),IF($E$3=5,VLOOKUP($A6,OandR,B$210,FALSE),VLOOKUP($A6,RGandE,B$210,FALSE)))))))</f>
        <v>#N/A</v>
      </c>
      <c r="C6" s="443" t="e">
        <f t="shared" si="0"/>
        <v>#N/A</v>
      </c>
      <c r="D6" s="443" t="e">
        <f t="shared" si="0"/>
        <v>#N/A</v>
      </c>
      <c r="E6" s="443" t="e">
        <f t="shared" si="0"/>
        <v>#N/A</v>
      </c>
      <c r="F6" s="443" t="e">
        <f t="shared" si="0"/>
        <v>#N/A</v>
      </c>
      <c r="G6" s="443" t="e">
        <f t="shared" si="0"/>
        <v>#N/A</v>
      </c>
      <c r="H6" s="443" t="e">
        <f t="shared" si="0"/>
        <v>#N/A</v>
      </c>
      <c r="I6" s="443" t="e">
        <f t="shared" si="0"/>
        <v>#N/A</v>
      </c>
      <c r="J6" s="443" t="e">
        <f t="shared" si="0"/>
        <v>#N/A</v>
      </c>
      <c r="K6" s="443" t="e">
        <f t="shared" si="0"/>
        <v>#N/A</v>
      </c>
      <c r="L6" s="443" t="e">
        <f t="shared" si="0"/>
        <v>#N/A</v>
      </c>
      <c r="M6" s="443" t="e">
        <f t="shared" si="0"/>
        <v>#N/A</v>
      </c>
      <c r="N6" s="443" t="e">
        <f t="shared" si="0"/>
        <v>#N/A</v>
      </c>
      <c r="O6" s="443" t="e">
        <f t="shared" si="0"/>
        <v>#N/A</v>
      </c>
      <c r="P6" s="443" t="e">
        <f t="shared" si="0"/>
        <v>#N/A</v>
      </c>
      <c r="Q6" s="443" t="e">
        <f t="shared" si="0"/>
        <v>#N/A</v>
      </c>
      <c r="R6" s="443" t="e">
        <f t="shared" si="0"/>
        <v>#N/A</v>
      </c>
      <c r="S6" s="443" t="e">
        <f t="shared" si="0"/>
        <v>#N/A</v>
      </c>
      <c r="T6" s="443" t="e">
        <f t="shared" si="0"/>
        <v>#N/A</v>
      </c>
      <c r="U6" s="443" t="e">
        <f t="shared" si="0"/>
        <v>#N/A</v>
      </c>
      <c r="V6" s="443" t="e">
        <f t="shared" si="0"/>
        <v>#N/A</v>
      </c>
      <c r="W6" s="443" t="e">
        <f t="shared" si="0"/>
        <v>#N/A</v>
      </c>
      <c r="X6" s="443" t="e">
        <f t="shared" si="0"/>
        <v>#N/A</v>
      </c>
      <c r="Y6" s="443" t="e">
        <f t="shared" si="0"/>
        <v>#N/A</v>
      </c>
      <c r="Z6" s="443" t="e">
        <f t="shared" si="0"/>
        <v>#N/A</v>
      </c>
      <c r="AA6" s="443" t="e">
        <f t="shared" si="0"/>
        <v>#N/A</v>
      </c>
      <c r="AB6" s="443" t="e">
        <f t="shared" si="0"/>
        <v>#N/A</v>
      </c>
      <c r="AC6" s="443" t="e">
        <f t="shared" si="0"/>
        <v>#N/A</v>
      </c>
      <c r="AD6" s="443" t="e">
        <f t="shared" si="0"/>
        <v>#N/A</v>
      </c>
      <c r="AE6" s="443" t="e">
        <f t="shared" si="0"/>
        <v>#N/A</v>
      </c>
      <c r="AF6" s="443" t="e">
        <f t="shared" si="0"/>
        <v>#N/A</v>
      </c>
      <c r="AG6" s="443" t="e">
        <f t="shared" si="0"/>
        <v>#N/A</v>
      </c>
      <c r="AH6" s="443" t="e">
        <f t="shared" ref="AH6:AY6" si="1">IF($G$3=1,AH190,IF($E$3=1,VLOOKUP($A6,CentralHudson,AH$210,FALSE),IF($E$3=2,VLOOKUP($A6,ConEd,AH$210,FALSE),IF($E$3=3,VLOOKUP($A6,NationalGrid,AH$210,FALSE),IF($E$3=4,VLOOKUP($A6,NYSEG,AH$210,FALSE),IF($E$3=5,VLOOKUP($A6,OandR,AH$210,FALSE),VLOOKUP($A6,RGandE,AH$210,FALSE)))))))</f>
        <v>#N/A</v>
      </c>
      <c r="AI6" s="443" t="e">
        <f t="shared" si="1"/>
        <v>#N/A</v>
      </c>
      <c r="AJ6" s="443" t="e">
        <f t="shared" si="1"/>
        <v>#N/A</v>
      </c>
      <c r="AK6" s="443" t="e">
        <f t="shared" si="1"/>
        <v>#N/A</v>
      </c>
      <c r="AL6" s="443" t="e">
        <f t="shared" si="1"/>
        <v>#N/A</v>
      </c>
      <c r="AM6" s="443" t="e">
        <f t="shared" si="1"/>
        <v>#N/A</v>
      </c>
      <c r="AN6" s="443" t="e">
        <f t="shared" si="1"/>
        <v>#N/A</v>
      </c>
      <c r="AO6" s="443" t="e">
        <f t="shared" si="1"/>
        <v>#N/A</v>
      </c>
      <c r="AP6" s="443" t="e">
        <f t="shared" si="1"/>
        <v>#N/A</v>
      </c>
      <c r="AQ6" s="443" t="e">
        <f t="shared" si="1"/>
        <v>#N/A</v>
      </c>
      <c r="AR6" s="443" t="e">
        <f t="shared" si="1"/>
        <v>#N/A</v>
      </c>
      <c r="AS6" s="443" t="e">
        <f t="shared" si="1"/>
        <v>#N/A</v>
      </c>
      <c r="AT6" s="443" t="e">
        <f t="shared" si="1"/>
        <v>#N/A</v>
      </c>
      <c r="AU6" s="443" t="e">
        <f t="shared" si="1"/>
        <v>#N/A</v>
      </c>
      <c r="AV6" s="443" t="e">
        <f t="shared" si="1"/>
        <v>#N/A</v>
      </c>
      <c r="AW6" s="443" t="e">
        <f t="shared" si="1"/>
        <v>#N/A</v>
      </c>
      <c r="AX6" s="443" t="e">
        <f t="shared" si="1"/>
        <v>#N/A</v>
      </c>
      <c r="AY6" s="443" t="e">
        <f t="shared" si="1"/>
        <v>#N/A</v>
      </c>
    </row>
    <row r="7" spans="1:51">
      <c r="A7" s="446" t="s">
        <v>2944</v>
      </c>
      <c r="B7" s="443" t="e">
        <f t="shared" ref="B7:AG7" si="2">IF($G$3=1,B191,IF($E$3=1,VLOOKUP($A7,CentralHudson,B$210,FALSE),IF($E$3=2,VLOOKUP($A7,ConEd,B$210,FALSE),IF($E$3=3,VLOOKUP($A7,NationalGrid,B$210,FALSE),IF($E$3=4,VLOOKUP($A7,NYSEG,B$210,FALSE),IF($E$3=5,VLOOKUP($A7,OandR,B$210,FALSE),VLOOKUP($A7,RGandE,B$210,FALSE)))))))</f>
        <v>#N/A</v>
      </c>
      <c r="C7" s="443" t="e">
        <f t="shared" si="2"/>
        <v>#N/A</v>
      </c>
      <c r="D7" s="443" t="e">
        <f t="shared" si="2"/>
        <v>#N/A</v>
      </c>
      <c r="E7" s="443" t="e">
        <f t="shared" si="2"/>
        <v>#N/A</v>
      </c>
      <c r="F7" s="443" t="e">
        <f t="shared" si="2"/>
        <v>#N/A</v>
      </c>
      <c r="G7" s="443" t="e">
        <f t="shared" si="2"/>
        <v>#N/A</v>
      </c>
      <c r="H7" s="443" t="e">
        <f t="shared" si="2"/>
        <v>#N/A</v>
      </c>
      <c r="I7" s="443" t="e">
        <f t="shared" si="2"/>
        <v>#N/A</v>
      </c>
      <c r="J7" s="443" t="e">
        <f t="shared" si="2"/>
        <v>#N/A</v>
      </c>
      <c r="K7" s="443" t="e">
        <f t="shared" si="2"/>
        <v>#N/A</v>
      </c>
      <c r="L7" s="443" t="e">
        <f t="shared" si="2"/>
        <v>#N/A</v>
      </c>
      <c r="M7" s="443" t="e">
        <f t="shared" si="2"/>
        <v>#N/A</v>
      </c>
      <c r="N7" s="443" t="e">
        <f t="shared" si="2"/>
        <v>#N/A</v>
      </c>
      <c r="O7" s="443" t="e">
        <f t="shared" si="2"/>
        <v>#N/A</v>
      </c>
      <c r="P7" s="443" t="e">
        <f t="shared" si="2"/>
        <v>#N/A</v>
      </c>
      <c r="Q7" s="443" t="e">
        <f t="shared" si="2"/>
        <v>#N/A</v>
      </c>
      <c r="R7" s="443" t="e">
        <f t="shared" si="2"/>
        <v>#N/A</v>
      </c>
      <c r="S7" s="443" t="e">
        <f t="shared" si="2"/>
        <v>#N/A</v>
      </c>
      <c r="T7" s="443" t="e">
        <f t="shared" si="2"/>
        <v>#N/A</v>
      </c>
      <c r="U7" s="443" t="e">
        <f t="shared" si="2"/>
        <v>#N/A</v>
      </c>
      <c r="V7" s="443" t="e">
        <f t="shared" si="2"/>
        <v>#N/A</v>
      </c>
      <c r="W7" s="443" t="e">
        <f t="shared" si="2"/>
        <v>#N/A</v>
      </c>
      <c r="X7" s="443" t="e">
        <f t="shared" si="2"/>
        <v>#N/A</v>
      </c>
      <c r="Y7" s="443" t="e">
        <f t="shared" si="2"/>
        <v>#N/A</v>
      </c>
      <c r="Z7" s="443" t="e">
        <f t="shared" si="2"/>
        <v>#N/A</v>
      </c>
      <c r="AA7" s="443" t="e">
        <f t="shared" si="2"/>
        <v>#N/A</v>
      </c>
      <c r="AB7" s="443" t="e">
        <f t="shared" si="2"/>
        <v>#N/A</v>
      </c>
      <c r="AC7" s="443" t="e">
        <f t="shared" si="2"/>
        <v>#N/A</v>
      </c>
      <c r="AD7" s="443" t="e">
        <f t="shared" si="2"/>
        <v>#N/A</v>
      </c>
      <c r="AE7" s="443" t="e">
        <f t="shared" si="2"/>
        <v>#N/A</v>
      </c>
      <c r="AF7" s="443" t="e">
        <f t="shared" si="2"/>
        <v>#N/A</v>
      </c>
      <c r="AG7" s="443" t="e">
        <f t="shared" si="2"/>
        <v>#N/A</v>
      </c>
      <c r="AH7" s="443" t="e">
        <f t="shared" ref="AH7:AY7" si="3">IF($G$3=1,AH191,IF($E$3=1,VLOOKUP($A7,CentralHudson,AH$210,FALSE),IF($E$3=2,VLOOKUP($A7,ConEd,AH$210,FALSE),IF($E$3=3,VLOOKUP($A7,NationalGrid,AH$210,FALSE),IF($E$3=4,VLOOKUP($A7,NYSEG,AH$210,FALSE),IF($E$3=5,VLOOKUP($A7,OandR,AH$210,FALSE),VLOOKUP($A7,RGandE,AH$210,FALSE)))))))</f>
        <v>#N/A</v>
      </c>
      <c r="AI7" s="443" t="e">
        <f t="shared" si="3"/>
        <v>#N/A</v>
      </c>
      <c r="AJ7" s="443" t="e">
        <f t="shared" si="3"/>
        <v>#N/A</v>
      </c>
      <c r="AK7" s="443" t="e">
        <f t="shared" si="3"/>
        <v>#N/A</v>
      </c>
      <c r="AL7" s="443" t="e">
        <f t="shared" si="3"/>
        <v>#N/A</v>
      </c>
      <c r="AM7" s="443" t="e">
        <f t="shared" si="3"/>
        <v>#N/A</v>
      </c>
      <c r="AN7" s="443" t="e">
        <f t="shared" si="3"/>
        <v>#N/A</v>
      </c>
      <c r="AO7" s="443" t="e">
        <f t="shared" si="3"/>
        <v>#N/A</v>
      </c>
      <c r="AP7" s="443" t="e">
        <f t="shared" si="3"/>
        <v>#N/A</v>
      </c>
      <c r="AQ7" s="443" t="e">
        <f t="shared" si="3"/>
        <v>#N/A</v>
      </c>
      <c r="AR7" s="443" t="e">
        <f t="shared" si="3"/>
        <v>#N/A</v>
      </c>
      <c r="AS7" s="443" t="e">
        <f t="shared" si="3"/>
        <v>#N/A</v>
      </c>
      <c r="AT7" s="443" t="e">
        <f t="shared" si="3"/>
        <v>#N/A</v>
      </c>
      <c r="AU7" s="443" t="e">
        <f t="shared" si="3"/>
        <v>#N/A</v>
      </c>
      <c r="AV7" s="443" t="e">
        <f t="shared" si="3"/>
        <v>#N/A</v>
      </c>
      <c r="AW7" s="443" t="e">
        <f t="shared" si="3"/>
        <v>#N/A</v>
      </c>
      <c r="AX7" s="443" t="e">
        <f t="shared" si="3"/>
        <v>#N/A</v>
      </c>
      <c r="AY7" s="443" t="e">
        <f t="shared" si="3"/>
        <v>#N/A</v>
      </c>
    </row>
    <row r="8" spans="1:51">
      <c r="A8" s="446" t="s">
        <v>2945</v>
      </c>
      <c r="B8" s="1760" t="e">
        <f t="shared" ref="B8:AG8" si="4">IF($G$3=1,B192,IF($F$3=2,VLOOKUP($A8,ConEd,B$210,FALSE),IF($F$3=5,VLOOKUP($A8,OandR,B$210,FALSE),IF($F$3=7,VLOOKUP($A8,KEDLI,B$210,FALSE),VLOOKUP($A8,CentralHudson,B$210,FALSE)))))</f>
        <v>#N/A</v>
      </c>
      <c r="C8" s="1760" t="e">
        <f t="shared" si="4"/>
        <v>#N/A</v>
      </c>
      <c r="D8" s="1760" t="e">
        <f t="shared" si="4"/>
        <v>#N/A</v>
      </c>
      <c r="E8" s="1760" t="e">
        <f t="shared" si="4"/>
        <v>#N/A</v>
      </c>
      <c r="F8" s="1760" t="e">
        <f t="shared" si="4"/>
        <v>#N/A</v>
      </c>
      <c r="G8" s="1760" t="e">
        <f t="shared" si="4"/>
        <v>#N/A</v>
      </c>
      <c r="H8" s="1760" t="e">
        <f t="shared" si="4"/>
        <v>#N/A</v>
      </c>
      <c r="I8" s="1760" t="e">
        <f t="shared" si="4"/>
        <v>#N/A</v>
      </c>
      <c r="J8" s="1760" t="e">
        <f t="shared" si="4"/>
        <v>#N/A</v>
      </c>
      <c r="K8" s="1760" t="e">
        <f t="shared" si="4"/>
        <v>#N/A</v>
      </c>
      <c r="L8" s="1760" t="e">
        <f t="shared" si="4"/>
        <v>#N/A</v>
      </c>
      <c r="M8" s="1760" t="e">
        <f t="shared" si="4"/>
        <v>#N/A</v>
      </c>
      <c r="N8" s="1760" t="e">
        <f t="shared" si="4"/>
        <v>#N/A</v>
      </c>
      <c r="O8" s="1760" t="e">
        <f t="shared" si="4"/>
        <v>#N/A</v>
      </c>
      <c r="P8" s="1760" t="e">
        <f t="shared" si="4"/>
        <v>#N/A</v>
      </c>
      <c r="Q8" s="1760" t="e">
        <f t="shared" si="4"/>
        <v>#N/A</v>
      </c>
      <c r="R8" s="1760" t="e">
        <f t="shared" si="4"/>
        <v>#N/A</v>
      </c>
      <c r="S8" s="1760" t="e">
        <f t="shared" si="4"/>
        <v>#N/A</v>
      </c>
      <c r="T8" s="1760" t="e">
        <f t="shared" si="4"/>
        <v>#N/A</v>
      </c>
      <c r="U8" s="1760" t="e">
        <f t="shared" si="4"/>
        <v>#N/A</v>
      </c>
      <c r="V8" s="1760" t="e">
        <f t="shared" si="4"/>
        <v>#N/A</v>
      </c>
      <c r="W8" s="1760" t="e">
        <f t="shared" si="4"/>
        <v>#N/A</v>
      </c>
      <c r="X8" s="1760" t="e">
        <f t="shared" si="4"/>
        <v>#N/A</v>
      </c>
      <c r="Y8" s="1760" t="e">
        <f t="shared" si="4"/>
        <v>#N/A</v>
      </c>
      <c r="Z8" s="1760" t="e">
        <f t="shared" si="4"/>
        <v>#N/A</v>
      </c>
      <c r="AA8" s="1760" t="e">
        <f t="shared" si="4"/>
        <v>#N/A</v>
      </c>
      <c r="AB8" s="1760" t="e">
        <f t="shared" si="4"/>
        <v>#N/A</v>
      </c>
      <c r="AC8" s="1760" t="e">
        <f t="shared" si="4"/>
        <v>#N/A</v>
      </c>
      <c r="AD8" s="1760" t="e">
        <f t="shared" si="4"/>
        <v>#N/A</v>
      </c>
      <c r="AE8" s="1760" t="e">
        <f t="shared" si="4"/>
        <v>#N/A</v>
      </c>
      <c r="AF8" s="1760" t="e">
        <f t="shared" si="4"/>
        <v>#N/A</v>
      </c>
      <c r="AG8" s="1760" t="e">
        <f t="shared" si="4"/>
        <v>#N/A</v>
      </c>
      <c r="AH8" s="1760" t="e">
        <f t="shared" ref="AH8:AY8" si="5">IF($G$3=1,AH192,IF($F$3=2,VLOOKUP($A8,ConEd,AH$210,FALSE),IF($F$3=5,VLOOKUP($A8,OandR,AH$210,FALSE),IF($F$3=7,VLOOKUP($A8,KEDLI,AH$210,FALSE),VLOOKUP($A8,CentralHudson,AH$210,FALSE)))))</f>
        <v>#N/A</v>
      </c>
      <c r="AI8" s="1760" t="e">
        <f t="shared" si="5"/>
        <v>#N/A</v>
      </c>
      <c r="AJ8" s="1760" t="e">
        <f t="shared" si="5"/>
        <v>#N/A</v>
      </c>
      <c r="AK8" s="1760" t="e">
        <f t="shared" si="5"/>
        <v>#N/A</v>
      </c>
      <c r="AL8" s="1760" t="e">
        <f t="shared" si="5"/>
        <v>#N/A</v>
      </c>
      <c r="AM8" s="1760" t="e">
        <f t="shared" si="5"/>
        <v>#N/A</v>
      </c>
      <c r="AN8" s="1760" t="e">
        <f t="shared" si="5"/>
        <v>#N/A</v>
      </c>
      <c r="AO8" s="1760" t="e">
        <f t="shared" si="5"/>
        <v>#N/A</v>
      </c>
      <c r="AP8" s="1760" t="e">
        <f t="shared" si="5"/>
        <v>#N/A</v>
      </c>
      <c r="AQ8" s="1760" t="e">
        <f t="shared" si="5"/>
        <v>#N/A</v>
      </c>
      <c r="AR8" s="1760" t="e">
        <f t="shared" si="5"/>
        <v>#N/A</v>
      </c>
      <c r="AS8" s="1760" t="e">
        <f t="shared" si="5"/>
        <v>#N/A</v>
      </c>
      <c r="AT8" s="1760" t="e">
        <f t="shared" si="5"/>
        <v>#N/A</v>
      </c>
      <c r="AU8" s="1760" t="e">
        <f t="shared" si="5"/>
        <v>#N/A</v>
      </c>
      <c r="AV8" s="1760" t="e">
        <f t="shared" si="5"/>
        <v>#N/A</v>
      </c>
      <c r="AW8" s="1760" t="e">
        <f t="shared" si="5"/>
        <v>#N/A</v>
      </c>
      <c r="AX8" s="1760" t="e">
        <f t="shared" si="5"/>
        <v>#N/A</v>
      </c>
      <c r="AY8" s="1760" t="e">
        <f t="shared" si="5"/>
        <v>#N/A</v>
      </c>
    </row>
    <row r="9" spans="1:51">
      <c r="A9" s="446" t="s">
        <v>2946</v>
      </c>
      <c r="B9" s="1760" t="e">
        <f t="shared" ref="B9:AG9" si="6">IF($G$3=1,B193,IF($F$3=2,VLOOKUP($A9,ConEd,B$210,FALSE),IF($F$3=5,VLOOKUP($A9,OandR,B$210,FALSE),IF($F$3=7,VLOOKUP($A9,KEDLI,B$210,FALSE),VLOOKUP($A9,CentralHudson,B$210,FALSE)))))</f>
        <v>#N/A</v>
      </c>
      <c r="C9" s="1760" t="e">
        <f t="shared" si="6"/>
        <v>#N/A</v>
      </c>
      <c r="D9" s="1760" t="e">
        <f t="shared" si="6"/>
        <v>#N/A</v>
      </c>
      <c r="E9" s="1760" t="e">
        <f t="shared" si="6"/>
        <v>#N/A</v>
      </c>
      <c r="F9" s="1760" t="e">
        <f t="shared" si="6"/>
        <v>#N/A</v>
      </c>
      <c r="G9" s="1760" t="e">
        <f t="shared" si="6"/>
        <v>#N/A</v>
      </c>
      <c r="H9" s="1760" t="e">
        <f t="shared" si="6"/>
        <v>#N/A</v>
      </c>
      <c r="I9" s="1760" t="e">
        <f t="shared" si="6"/>
        <v>#N/A</v>
      </c>
      <c r="J9" s="1760" t="e">
        <f t="shared" si="6"/>
        <v>#N/A</v>
      </c>
      <c r="K9" s="1760" t="e">
        <f t="shared" si="6"/>
        <v>#N/A</v>
      </c>
      <c r="L9" s="1760" t="e">
        <f t="shared" si="6"/>
        <v>#N/A</v>
      </c>
      <c r="M9" s="1760" t="e">
        <f t="shared" si="6"/>
        <v>#N/A</v>
      </c>
      <c r="N9" s="1760" t="e">
        <f t="shared" si="6"/>
        <v>#N/A</v>
      </c>
      <c r="O9" s="1760" t="e">
        <f t="shared" si="6"/>
        <v>#N/A</v>
      </c>
      <c r="P9" s="1760" t="e">
        <f t="shared" si="6"/>
        <v>#N/A</v>
      </c>
      <c r="Q9" s="1760" t="e">
        <f t="shared" si="6"/>
        <v>#N/A</v>
      </c>
      <c r="R9" s="1760" t="e">
        <f t="shared" si="6"/>
        <v>#N/A</v>
      </c>
      <c r="S9" s="1760" t="e">
        <f t="shared" si="6"/>
        <v>#N/A</v>
      </c>
      <c r="T9" s="1760" t="e">
        <f t="shared" si="6"/>
        <v>#N/A</v>
      </c>
      <c r="U9" s="1760" t="e">
        <f t="shared" si="6"/>
        <v>#N/A</v>
      </c>
      <c r="V9" s="1760" t="e">
        <f t="shared" si="6"/>
        <v>#N/A</v>
      </c>
      <c r="W9" s="1760" t="e">
        <f t="shared" si="6"/>
        <v>#N/A</v>
      </c>
      <c r="X9" s="1760" t="e">
        <f t="shared" si="6"/>
        <v>#N/A</v>
      </c>
      <c r="Y9" s="1760" t="e">
        <f t="shared" si="6"/>
        <v>#N/A</v>
      </c>
      <c r="Z9" s="1760" t="e">
        <f t="shared" si="6"/>
        <v>#N/A</v>
      </c>
      <c r="AA9" s="1760" t="e">
        <f t="shared" si="6"/>
        <v>#N/A</v>
      </c>
      <c r="AB9" s="1760" t="e">
        <f t="shared" si="6"/>
        <v>#N/A</v>
      </c>
      <c r="AC9" s="1760" t="e">
        <f t="shared" si="6"/>
        <v>#N/A</v>
      </c>
      <c r="AD9" s="1760" t="e">
        <f t="shared" si="6"/>
        <v>#N/A</v>
      </c>
      <c r="AE9" s="1760" t="e">
        <f t="shared" si="6"/>
        <v>#N/A</v>
      </c>
      <c r="AF9" s="1760" t="e">
        <f t="shared" si="6"/>
        <v>#N/A</v>
      </c>
      <c r="AG9" s="1760" t="e">
        <f t="shared" si="6"/>
        <v>#N/A</v>
      </c>
      <c r="AH9" s="1760" t="e">
        <f t="shared" ref="AH9:AY9" si="7">IF($G$3=1,AH193,IF($F$3=2,VLOOKUP($A9,ConEd,AH$210,FALSE),IF($F$3=5,VLOOKUP($A9,OandR,AH$210,FALSE),IF($F$3=7,VLOOKUP($A9,KEDLI,AH$210,FALSE),VLOOKUP($A9,CentralHudson,AH$210,FALSE)))))</f>
        <v>#N/A</v>
      </c>
      <c r="AI9" s="1760" t="e">
        <f t="shared" si="7"/>
        <v>#N/A</v>
      </c>
      <c r="AJ9" s="1760" t="e">
        <f t="shared" si="7"/>
        <v>#N/A</v>
      </c>
      <c r="AK9" s="1760" t="e">
        <f t="shared" si="7"/>
        <v>#N/A</v>
      </c>
      <c r="AL9" s="1760" t="e">
        <f t="shared" si="7"/>
        <v>#N/A</v>
      </c>
      <c r="AM9" s="1760" t="e">
        <f t="shared" si="7"/>
        <v>#N/A</v>
      </c>
      <c r="AN9" s="1760" t="e">
        <f t="shared" si="7"/>
        <v>#N/A</v>
      </c>
      <c r="AO9" s="1760" t="e">
        <f t="shared" si="7"/>
        <v>#N/A</v>
      </c>
      <c r="AP9" s="1760" t="e">
        <f t="shared" si="7"/>
        <v>#N/A</v>
      </c>
      <c r="AQ9" s="1760" t="e">
        <f t="shared" si="7"/>
        <v>#N/A</v>
      </c>
      <c r="AR9" s="1760" t="e">
        <f t="shared" si="7"/>
        <v>#N/A</v>
      </c>
      <c r="AS9" s="1760" t="e">
        <f t="shared" si="7"/>
        <v>#N/A</v>
      </c>
      <c r="AT9" s="1760" t="e">
        <f t="shared" si="7"/>
        <v>#N/A</v>
      </c>
      <c r="AU9" s="1760" t="e">
        <f t="shared" si="7"/>
        <v>#N/A</v>
      </c>
      <c r="AV9" s="1760" t="e">
        <f t="shared" si="7"/>
        <v>#N/A</v>
      </c>
      <c r="AW9" s="1760" t="e">
        <f t="shared" si="7"/>
        <v>#N/A</v>
      </c>
      <c r="AX9" s="1760" t="e">
        <f t="shared" si="7"/>
        <v>#N/A</v>
      </c>
      <c r="AY9" s="1760" t="e">
        <f t="shared" si="7"/>
        <v>#N/A</v>
      </c>
    </row>
    <row r="10" spans="1:51">
      <c r="A10" s="446" t="s">
        <v>2933</v>
      </c>
      <c r="B10" s="1760" t="e">
        <f t="shared" ref="B10:AG10" si="8">IF($G$3=1,B194,IF($F$3=2,VLOOKUP($A10,ConEd,B$210,FALSE),IF($F$3=5,VLOOKUP($A10,OandR,B$210,FALSE),IF($F$3=7,VLOOKUP($A10,KEDLI,B$210,FALSE),VLOOKUP($A10,CentralHudson,B$210,FALSE)))))</f>
        <v>#N/A</v>
      </c>
      <c r="C10" s="1760" t="e">
        <f t="shared" si="8"/>
        <v>#N/A</v>
      </c>
      <c r="D10" s="1760" t="e">
        <f t="shared" si="8"/>
        <v>#N/A</v>
      </c>
      <c r="E10" s="1760" t="e">
        <f t="shared" si="8"/>
        <v>#N/A</v>
      </c>
      <c r="F10" s="1760" t="e">
        <f t="shared" si="8"/>
        <v>#N/A</v>
      </c>
      <c r="G10" s="1760" t="e">
        <f t="shared" si="8"/>
        <v>#N/A</v>
      </c>
      <c r="H10" s="1760" t="e">
        <f t="shared" si="8"/>
        <v>#N/A</v>
      </c>
      <c r="I10" s="1760" t="e">
        <f t="shared" si="8"/>
        <v>#N/A</v>
      </c>
      <c r="J10" s="1760" t="e">
        <f t="shared" si="8"/>
        <v>#N/A</v>
      </c>
      <c r="K10" s="1760" t="e">
        <f t="shared" si="8"/>
        <v>#N/A</v>
      </c>
      <c r="L10" s="1760" t="e">
        <f t="shared" si="8"/>
        <v>#N/A</v>
      </c>
      <c r="M10" s="1760" t="e">
        <f t="shared" si="8"/>
        <v>#N/A</v>
      </c>
      <c r="N10" s="1760" t="e">
        <f t="shared" si="8"/>
        <v>#N/A</v>
      </c>
      <c r="O10" s="1760" t="e">
        <f t="shared" si="8"/>
        <v>#N/A</v>
      </c>
      <c r="P10" s="1760" t="e">
        <f t="shared" si="8"/>
        <v>#N/A</v>
      </c>
      <c r="Q10" s="1760" t="e">
        <f t="shared" si="8"/>
        <v>#N/A</v>
      </c>
      <c r="R10" s="1760" t="e">
        <f t="shared" si="8"/>
        <v>#N/A</v>
      </c>
      <c r="S10" s="1760" t="e">
        <f t="shared" si="8"/>
        <v>#N/A</v>
      </c>
      <c r="T10" s="1760" t="e">
        <f t="shared" si="8"/>
        <v>#N/A</v>
      </c>
      <c r="U10" s="1760" t="e">
        <f t="shared" si="8"/>
        <v>#N/A</v>
      </c>
      <c r="V10" s="1760" t="e">
        <f t="shared" si="8"/>
        <v>#N/A</v>
      </c>
      <c r="W10" s="1760" t="e">
        <f t="shared" si="8"/>
        <v>#N/A</v>
      </c>
      <c r="X10" s="1760" t="e">
        <f t="shared" si="8"/>
        <v>#N/A</v>
      </c>
      <c r="Y10" s="1760" t="e">
        <f t="shared" si="8"/>
        <v>#N/A</v>
      </c>
      <c r="Z10" s="1760" t="e">
        <f t="shared" si="8"/>
        <v>#N/A</v>
      </c>
      <c r="AA10" s="1760" t="e">
        <f t="shared" si="8"/>
        <v>#N/A</v>
      </c>
      <c r="AB10" s="1760" t="e">
        <f t="shared" si="8"/>
        <v>#N/A</v>
      </c>
      <c r="AC10" s="1760" t="e">
        <f t="shared" si="8"/>
        <v>#N/A</v>
      </c>
      <c r="AD10" s="1760" t="e">
        <f t="shared" si="8"/>
        <v>#N/A</v>
      </c>
      <c r="AE10" s="1760" t="e">
        <f t="shared" si="8"/>
        <v>#N/A</v>
      </c>
      <c r="AF10" s="1760" t="e">
        <f t="shared" si="8"/>
        <v>#N/A</v>
      </c>
      <c r="AG10" s="1760" t="e">
        <f t="shared" si="8"/>
        <v>#N/A</v>
      </c>
      <c r="AH10" s="1760" t="e">
        <f t="shared" ref="AH10:AY10" si="9">IF($G$3=1,AH194,IF($F$3=2,VLOOKUP($A10,ConEd,AH$210,FALSE),IF($F$3=5,VLOOKUP($A10,OandR,AH$210,FALSE),IF($F$3=7,VLOOKUP($A10,KEDLI,AH$210,FALSE),VLOOKUP($A10,CentralHudson,AH$210,FALSE)))))</f>
        <v>#N/A</v>
      </c>
      <c r="AI10" s="1760" t="e">
        <f t="shared" si="9"/>
        <v>#N/A</v>
      </c>
      <c r="AJ10" s="1760" t="e">
        <f t="shared" si="9"/>
        <v>#N/A</v>
      </c>
      <c r="AK10" s="1760" t="e">
        <f t="shared" si="9"/>
        <v>#N/A</v>
      </c>
      <c r="AL10" s="1760" t="e">
        <f t="shared" si="9"/>
        <v>#N/A</v>
      </c>
      <c r="AM10" s="1760" t="e">
        <f t="shared" si="9"/>
        <v>#N/A</v>
      </c>
      <c r="AN10" s="1760" t="e">
        <f t="shared" si="9"/>
        <v>#N/A</v>
      </c>
      <c r="AO10" s="1760" t="e">
        <f t="shared" si="9"/>
        <v>#N/A</v>
      </c>
      <c r="AP10" s="1760" t="e">
        <f t="shared" si="9"/>
        <v>#N/A</v>
      </c>
      <c r="AQ10" s="1760" t="e">
        <f t="shared" si="9"/>
        <v>#N/A</v>
      </c>
      <c r="AR10" s="1760" t="e">
        <f t="shared" si="9"/>
        <v>#N/A</v>
      </c>
      <c r="AS10" s="1760" t="e">
        <f t="shared" si="9"/>
        <v>#N/A</v>
      </c>
      <c r="AT10" s="1760" t="e">
        <f t="shared" si="9"/>
        <v>#N/A</v>
      </c>
      <c r="AU10" s="1760" t="e">
        <f t="shared" si="9"/>
        <v>#N/A</v>
      </c>
      <c r="AV10" s="1760" t="e">
        <f t="shared" si="9"/>
        <v>#N/A</v>
      </c>
      <c r="AW10" s="1760" t="e">
        <f t="shared" si="9"/>
        <v>#N/A</v>
      </c>
      <c r="AX10" s="1760" t="e">
        <f t="shared" si="9"/>
        <v>#N/A</v>
      </c>
      <c r="AY10" s="1760" t="e">
        <f t="shared" si="9"/>
        <v>#N/A</v>
      </c>
    </row>
    <row r="11" spans="1:51">
      <c r="A11" s="446" t="s">
        <v>2934</v>
      </c>
      <c r="B11" s="1760" t="e">
        <f t="shared" ref="B11:AG11" si="10">IF($G$3=1,B195,IF($F$3=2,VLOOKUP($A11,ConEd,B$210,FALSE),IF($F$3=5,VLOOKUP($A11,OandR,B$210,FALSE),IF($F$3=7,VLOOKUP($A11,KEDLI,B$210,FALSE),VLOOKUP($A11,CentralHudson,B$210,FALSE)))))</f>
        <v>#N/A</v>
      </c>
      <c r="C11" s="1760" t="e">
        <f t="shared" si="10"/>
        <v>#N/A</v>
      </c>
      <c r="D11" s="1760" t="e">
        <f t="shared" si="10"/>
        <v>#N/A</v>
      </c>
      <c r="E11" s="1760" t="e">
        <f t="shared" si="10"/>
        <v>#N/A</v>
      </c>
      <c r="F11" s="1760" t="e">
        <f t="shared" si="10"/>
        <v>#N/A</v>
      </c>
      <c r="G11" s="1760" t="e">
        <f t="shared" si="10"/>
        <v>#N/A</v>
      </c>
      <c r="H11" s="1760" t="e">
        <f t="shared" si="10"/>
        <v>#N/A</v>
      </c>
      <c r="I11" s="1760" t="e">
        <f t="shared" si="10"/>
        <v>#N/A</v>
      </c>
      <c r="J11" s="1760" t="e">
        <f t="shared" si="10"/>
        <v>#N/A</v>
      </c>
      <c r="K11" s="1760" t="e">
        <f t="shared" si="10"/>
        <v>#N/A</v>
      </c>
      <c r="L11" s="1760" t="e">
        <f t="shared" si="10"/>
        <v>#N/A</v>
      </c>
      <c r="M11" s="1760" t="e">
        <f t="shared" si="10"/>
        <v>#N/A</v>
      </c>
      <c r="N11" s="1760" t="e">
        <f t="shared" si="10"/>
        <v>#N/A</v>
      </c>
      <c r="O11" s="1760" t="e">
        <f t="shared" si="10"/>
        <v>#N/A</v>
      </c>
      <c r="P11" s="1760" t="e">
        <f t="shared" si="10"/>
        <v>#N/A</v>
      </c>
      <c r="Q11" s="1760" t="e">
        <f t="shared" si="10"/>
        <v>#N/A</v>
      </c>
      <c r="R11" s="1760" t="e">
        <f t="shared" si="10"/>
        <v>#N/A</v>
      </c>
      <c r="S11" s="1760" t="e">
        <f t="shared" si="10"/>
        <v>#N/A</v>
      </c>
      <c r="T11" s="1760" t="e">
        <f t="shared" si="10"/>
        <v>#N/A</v>
      </c>
      <c r="U11" s="1760" t="e">
        <f t="shared" si="10"/>
        <v>#N/A</v>
      </c>
      <c r="V11" s="1760" t="e">
        <f t="shared" si="10"/>
        <v>#N/A</v>
      </c>
      <c r="W11" s="1760" t="e">
        <f t="shared" si="10"/>
        <v>#N/A</v>
      </c>
      <c r="X11" s="1760" t="e">
        <f t="shared" si="10"/>
        <v>#N/A</v>
      </c>
      <c r="Y11" s="1760" t="e">
        <f t="shared" si="10"/>
        <v>#N/A</v>
      </c>
      <c r="Z11" s="1760" t="e">
        <f t="shared" si="10"/>
        <v>#N/A</v>
      </c>
      <c r="AA11" s="1760" t="e">
        <f t="shared" si="10"/>
        <v>#N/A</v>
      </c>
      <c r="AB11" s="1760" t="e">
        <f t="shared" si="10"/>
        <v>#N/A</v>
      </c>
      <c r="AC11" s="1760" t="e">
        <f t="shared" si="10"/>
        <v>#N/A</v>
      </c>
      <c r="AD11" s="1760" t="e">
        <f t="shared" si="10"/>
        <v>#N/A</v>
      </c>
      <c r="AE11" s="1760" t="e">
        <f t="shared" si="10"/>
        <v>#N/A</v>
      </c>
      <c r="AF11" s="1760" t="e">
        <f t="shared" si="10"/>
        <v>#N/A</v>
      </c>
      <c r="AG11" s="1760" t="e">
        <f t="shared" si="10"/>
        <v>#N/A</v>
      </c>
      <c r="AH11" s="1760" t="e">
        <f t="shared" ref="AH11:AY11" si="11">IF($G$3=1,AH195,IF($F$3=2,VLOOKUP($A11,ConEd,AH$210,FALSE),IF($F$3=5,VLOOKUP($A11,OandR,AH$210,FALSE),IF($F$3=7,VLOOKUP($A11,KEDLI,AH$210,FALSE),VLOOKUP($A11,CentralHudson,AH$210,FALSE)))))</f>
        <v>#N/A</v>
      </c>
      <c r="AI11" s="1760" t="e">
        <f t="shared" si="11"/>
        <v>#N/A</v>
      </c>
      <c r="AJ11" s="1760" t="e">
        <f t="shared" si="11"/>
        <v>#N/A</v>
      </c>
      <c r="AK11" s="1760" t="e">
        <f t="shared" si="11"/>
        <v>#N/A</v>
      </c>
      <c r="AL11" s="1760" t="e">
        <f t="shared" si="11"/>
        <v>#N/A</v>
      </c>
      <c r="AM11" s="1760" t="e">
        <f t="shared" si="11"/>
        <v>#N/A</v>
      </c>
      <c r="AN11" s="1760" t="e">
        <f t="shared" si="11"/>
        <v>#N/A</v>
      </c>
      <c r="AO11" s="1760" t="e">
        <f t="shared" si="11"/>
        <v>#N/A</v>
      </c>
      <c r="AP11" s="1760" t="e">
        <f t="shared" si="11"/>
        <v>#N/A</v>
      </c>
      <c r="AQ11" s="1760" t="e">
        <f t="shared" si="11"/>
        <v>#N/A</v>
      </c>
      <c r="AR11" s="1760" t="e">
        <f t="shared" si="11"/>
        <v>#N/A</v>
      </c>
      <c r="AS11" s="1760" t="e">
        <f t="shared" si="11"/>
        <v>#N/A</v>
      </c>
      <c r="AT11" s="1760" t="e">
        <f t="shared" si="11"/>
        <v>#N/A</v>
      </c>
      <c r="AU11" s="1760" t="e">
        <f t="shared" si="11"/>
        <v>#N/A</v>
      </c>
      <c r="AV11" s="1760" t="e">
        <f t="shared" si="11"/>
        <v>#N/A</v>
      </c>
      <c r="AW11" s="1760" t="e">
        <f t="shared" si="11"/>
        <v>#N/A</v>
      </c>
      <c r="AX11" s="1760" t="e">
        <f t="shared" si="11"/>
        <v>#N/A</v>
      </c>
      <c r="AY11" s="1760" t="e">
        <f t="shared" si="11"/>
        <v>#N/A</v>
      </c>
    </row>
    <row r="12" spans="1:51">
      <c r="A12" s="446" t="s">
        <v>2935</v>
      </c>
      <c r="B12" s="1760" t="e">
        <f t="shared" ref="B12:AG12" si="12">IF($G$3=1,B196,IF($F$3=2,VLOOKUP($A12,ConEd,B$210,FALSE),IF($F$3=5,VLOOKUP($A12,OandR,B$210,FALSE),IF($F$3=7,VLOOKUP($A12,KEDLI,B$210,FALSE),VLOOKUP($A12,CentralHudson,B$210,FALSE)))))</f>
        <v>#N/A</v>
      </c>
      <c r="C12" s="1760" t="e">
        <f t="shared" si="12"/>
        <v>#N/A</v>
      </c>
      <c r="D12" s="1760" t="e">
        <f t="shared" si="12"/>
        <v>#N/A</v>
      </c>
      <c r="E12" s="1760" t="e">
        <f t="shared" si="12"/>
        <v>#N/A</v>
      </c>
      <c r="F12" s="1760" t="e">
        <f t="shared" si="12"/>
        <v>#N/A</v>
      </c>
      <c r="G12" s="1760" t="e">
        <f t="shared" si="12"/>
        <v>#N/A</v>
      </c>
      <c r="H12" s="1760" t="e">
        <f t="shared" si="12"/>
        <v>#N/A</v>
      </c>
      <c r="I12" s="1760" t="e">
        <f t="shared" si="12"/>
        <v>#N/A</v>
      </c>
      <c r="J12" s="1760" t="e">
        <f t="shared" si="12"/>
        <v>#N/A</v>
      </c>
      <c r="K12" s="1760" t="e">
        <f t="shared" si="12"/>
        <v>#N/A</v>
      </c>
      <c r="L12" s="1760" t="e">
        <f t="shared" si="12"/>
        <v>#N/A</v>
      </c>
      <c r="M12" s="1760" t="e">
        <f t="shared" si="12"/>
        <v>#N/A</v>
      </c>
      <c r="N12" s="1760" t="e">
        <f t="shared" si="12"/>
        <v>#N/A</v>
      </c>
      <c r="O12" s="1760" t="e">
        <f t="shared" si="12"/>
        <v>#N/A</v>
      </c>
      <c r="P12" s="1760" t="e">
        <f t="shared" si="12"/>
        <v>#N/A</v>
      </c>
      <c r="Q12" s="1760" t="e">
        <f t="shared" si="12"/>
        <v>#N/A</v>
      </c>
      <c r="R12" s="1760" t="e">
        <f t="shared" si="12"/>
        <v>#N/A</v>
      </c>
      <c r="S12" s="1760" t="e">
        <f t="shared" si="12"/>
        <v>#N/A</v>
      </c>
      <c r="T12" s="1760" t="e">
        <f t="shared" si="12"/>
        <v>#N/A</v>
      </c>
      <c r="U12" s="1760" t="e">
        <f t="shared" si="12"/>
        <v>#N/A</v>
      </c>
      <c r="V12" s="1760" t="e">
        <f t="shared" si="12"/>
        <v>#N/A</v>
      </c>
      <c r="W12" s="1760" t="e">
        <f t="shared" si="12"/>
        <v>#N/A</v>
      </c>
      <c r="X12" s="1760" t="e">
        <f t="shared" si="12"/>
        <v>#N/A</v>
      </c>
      <c r="Y12" s="1760" t="e">
        <f t="shared" si="12"/>
        <v>#N/A</v>
      </c>
      <c r="Z12" s="1760" t="e">
        <f t="shared" si="12"/>
        <v>#N/A</v>
      </c>
      <c r="AA12" s="1760" t="e">
        <f t="shared" si="12"/>
        <v>#N/A</v>
      </c>
      <c r="AB12" s="1760" t="e">
        <f t="shared" si="12"/>
        <v>#N/A</v>
      </c>
      <c r="AC12" s="1760" t="e">
        <f t="shared" si="12"/>
        <v>#N/A</v>
      </c>
      <c r="AD12" s="1760" t="e">
        <f t="shared" si="12"/>
        <v>#N/A</v>
      </c>
      <c r="AE12" s="1760" t="e">
        <f t="shared" si="12"/>
        <v>#N/A</v>
      </c>
      <c r="AF12" s="1760" t="e">
        <f t="shared" si="12"/>
        <v>#N/A</v>
      </c>
      <c r="AG12" s="1760" t="e">
        <f t="shared" si="12"/>
        <v>#N/A</v>
      </c>
      <c r="AH12" s="1760" t="e">
        <f t="shared" ref="AH12:AY12" si="13">IF($G$3=1,AH196,IF($F$3=2,VLOOKUP($A12,ConEd,AH$210,FALSE),IF($F$3=5,VLOOKUP($A12,OandR,AH$210,FALSE),IF($F$3=7,VLOOKUP($A12,KEDLI,AH$210,FALSE),VLOOKUP($A12,CentralHudson,AH$210,FALSE)))))</f>
        <v>#N/A</v>
      </c>
      <c r="AI12" s="1760" t="e">
        <f t="shared" si="13"/>
        <v>#N/A</v>
      </c>
      <c r="AJ12" s="1760" t="e">
        <f t="shared" si="13"/>
        <v>#N/A</v>
      </c>
      <c r="AK12" s="1760" t="e">
        <f t="shared" si="13"/>
        <v>#N/A</v>
      </c>
      <c r="AL12" s="1760" t="e">
        <f t="shared" si="13"/>
        <v>#N/A</v>
      </c>
      <c r="AM12" s="1760" t="e">
        <f t="shared" si="13"/>
        <v>#N/A</v>
      </c>
      <c r="AN12" s="1760" t="e">
        <f t="shared" si="13"/>
        <v>#N/A</v>
      </c>
      <c r="AO12" s="1760" t="e">
        <f t="shared" si="13"/>
        <v>#N/A</v>
      </c>
      <c r="AP12" s="1760" t="e">
        <f t="shared" si="13"/>
        <v>#N/A</v>
      </c>
      <c r="AQ12" s="1760" t="e">
        <f t="shared" si="13"/>
        <v>#N/A</v>
      </c>
      <c r="AR12" s="1760" t="e">
        <f t="shared" si="13"/>
        <v>#N/A</v>
      </c>
      <c r="AS12" s="1760" t="e">
        <f t="shared" si="13"/>
        <v>#N/A</v>
      </c>
      <c r="AT12" s="1760" t="e">
        <f t="shared" si="13"/>
        <v>#N/A</v>
      </c>
      <c r="AU12" s="1760" t="e">
        <f t="shared" si="13"/>
        <v>#N/A</v>
      </c>
      <c r="AV12" s="1760" t="e">
        <f t="shared" si="13"/>
        <v>#N/A</v>
      </c>
      <c r="AW12" s="1760" t="e">
        <f t="shared" si="13"/>
        <v>#N/A</v>
      </c>
      <c r="AX12" s="1760" t="e">
        <f t="shared" si="13"/>
        <v>#N/A</v>
      </c>
      <c r="AY12" s="1760" t="e">
        <f t="shared" si="13"/>
        <v>#N/A</v>
      </c>
    </row>
    <row r="13" spans="1:51" ht="12.75" thickBot="1">
      <c r="A13" s="453" t="s">
        <v>2936</v>
      </c>
      <c r="B13" s="1760" t="e">
        <f t="shared" ref="B13:AG13" si="14">IF($G$3=1,B197,IF($F$3=2,VLOOKUP($A13,ConEd,B$210,FALSE),IF($F$3=5,VLOOKUP($A13,OandR,B$210,FALSE),IF($F$3=7,VLOOKUP($A13,KEDLI,B$210,FALSE),VLOOKUP($A13,CentralHudson,B$210,FALSE)))))</f>
        <v>#N/A</v>
      </c>
      <c r="C13" s="1760" t="e">
        <f t="shared" si="14"/>
        <v>#N/A</v>
      </c>
      <c r="D13" s="1760" t="e">
        <f t="shared" si="14"/>
        <v>#N/A</v>
      </c>
      <c r="E13" s="1760" t="e">
        <f t="shared" si="14"/>
        <v>#N/A</v>
      </c>
      <c r="F13" s="1760" t="e">
        <f t="shared" si="14"/>
        <v>#N/A</v>
      </c>
      <c r="G13" s="1760" t="e">
        <f t="shared" si="14"/>
        <v>#N/A</v>
      </c>
      <c r="H13" s="1760" t="e">
        <f t="shared" si="14"/>
        <v>#N/A</v>
      </c>
      <c r="I13" s="1760" t="e">
        <f t="shared" si="14"/>
        <v>#N/A</v>
      </c>
      <c r="J13" s="1760" t="e">
        <f t="shared" si="14"/>
        <v>#N/A</v>
      </c>
      <c r="K13" s="1760" t="e">
        <f t="shared" si="14"/>
        <v>#N/A</v>
      </c>
      <c r="L13" s="1760" t="e">
        <f t="shared" si="14"/>
        <v>#N/A</v>
      </c>
      <c r="M13" s="1760" t="e">
        <f t="shared" si="14"/>
        <v>#N/A</v>
      </c>
      <c r="N13" s="1760" t="e">
        <f t="shared" si="14"/>
        <v>#N/A</v>
      </c>
      <c r="O13" s="1760" t="e">
        <f t="shared" si="14"/>
        <v>#N/A</v>
      </c>
      <c r="P13" s="1760" t="e">
        <f t="shared" si="14"/>
        <v>#N/A</v>
      </c>
      <c r="Q13" s="1760" t="e">
        <f t="shared" si="14"/>
        <v>#N/A</v>
      </c>
      <c r="R13" s="1760" t="e">
        <f t="shared" si="14"/>
        <v>#N/A</v>
      </c>
      <c r="S13" s="1760" t="e">
        <f t="shared" si="14"/>
        <v>#N/A</v>
      </c>
      <c r="T13" s="1760" t="e">
        <f t="shared" si="14"/>
        <v>#N/A</v>
      </c>
      <c r="U13" s="1760" t="e">
        <f t="shared" si="14"/>
        <v>#N/A</v>
      </c>
      <c r="V13" s="1760" t="e">
        <f t="shared" si="14"/>
        <v>#N/A</v>
      </c>
      <c r="W13" s="1760" t="e">
        <f t="shared" si="14"/>
        <v>#N/A</v>
      </c>
      <c r="X13" s="1760" t="e">
        <f t="shared" si="14"/>
        <v>#N/A</v>
      </c>
      <c r="Y13" s="1760" t="e">
        <f t="shared" si="14"/>
        <v>#N/A</v>
      </c>
      <c r="Z13" s="1760" t="e">
        <f t="shared" si="14"/>
        <v>#N/A</v>
      </c>
      <c r="AA13" s="1760" t="e">
        <f t="shared" si="14"/>
        <v>#N/A</v>
      </c>
      <c r="AB13" s="1760" t="e">
        <f t="shared" si="14"/>
        <v>#N/A</v>
      </c>
      <c r="AC13" s="1760" t="e">
        <f t="shared" si="14"/>
        <v>#N/A</v>
      </c>
      <c r="AD13" s="1760" t="e">
        <f t="shared" si="14"/>
        <v>#N/A</v>
      </c>
      <c r="AE13" s="1760" t="e">
        <f t="shared" si="14"/>
        <v>#N/A</v>
      </c>
      <c r="AF13" s="1760" t="e">
        <f t="shared" si="14"/>
        <v>#N/A</v>
      </c>
      <c r="AG13" s="1760" t="e">
        <f t="shared" si="14"/>
        <v>#N/A</v>
      </c>
      <c r="AH13" s="1760" t="e">
        <f t="shared" ref="AH13:AY13" si="15">IF($G$3=1,AH197,IF($F$3=2,VLOOKUP($A13,ConEd,AH$210,FALSE),IF($F$3=5,VLOOKUP($A13,OandR,AH$210,FALSE),IF($F$3=7,VLOOKUP($A13,KEDLI,AH$210,FALSE),VLOOKUP($A13,CentralHudson,AH$210,FALSE)))))</f>
        <v>#N/A</v>
      </c>
      <c r="AI13" s="1760" t="e">
        <f t="shared" si="15"/>
        <v>#N/A</v>
      </c>
      <c r="AJ13" s="1760" t="e">
        <f t="shared" si="15"/>
        <v>#N/A</v>
      </c>
      <c r="AK13" s="1760" t="e">
        <f t="shared" si="15"/>
        <v>#N/A</v>
      </c>
      <c r="AL13" s="1760" t="e">
        <f t="shared" si="15"/>
        <v>#N/A</v>
      </c>
      <c r="AM13" s="1760" t="e">
        <f t="shared" si="15"/>
        <v>#N/A</v>
      </c>
      <c r="AN13" s="1760" t="e">
        <f t="shared" si="15"/>
        <v>#N/A</v>
      </c>
      <c r="AO13" s="1760" t="e">
        <f t="shared" si="15"/>
        <v>#N/A</v>
      </c>
      <c r="AP13" s="1760" t="e">
        <f t="shared" si="15"/>
        <v>#N/A</v>
      </c>
      <c r="AQ13" s="1760" t="e">
        <f t="shared" si="15"/>
        <v>#N/A</v>
      </c>
      <c r="AR13" s="1760" t="e">
        <f t="shared" si="15"/>
        <v>#N/A</v>
      </c>
      <c r="AS13" s="1760" t="e">
        <f t="shared" si="15"/>
        <v>#N/A</v>
      </c>
      <c r="AT13" s="1760" t="e">
        <f t="shared" si="15"/>
        <v>#N/A</v>
      </c>
      <c r="AU13" s="1760" t="e">
        <f t="shared" si="15"/>
        <v>#N/A</v>
      </c>
      <c r="AV13" s="1760" t="e">
        <f t="shared" si="15"/>
        <v>#N/A</v>
      </c>
      <c r="AW13" s="1760" t="e">
        <f t="shared" si="15"/>
        <v>#N/A</v>
      </c>
      <c r="AX13" s="1760" t="e">
        <f t="shared" si="15"/>
        <v>#N/A</v>
      </c>
      <c r="AY13" s="1760" t="e">
        <f t="shared" si="15"/>
        <v>#N/A</v>
      </c>
    </row>
    <row r="14" spans="1:51">
      <c r="B14" s="433"/>
      <c r="C14" s="433"/>
      <c r="D14" s="433"/>
      <c r="E14" s="433"/>
      <c r="F14" s="433"/>
      <c r="G14" s="433"/>
      <c r="H14" s="433"/>
      <c r="I14" s="433"/>
      <c r="J14" s="433"/>
      <c r="K14" s="433"/>
      <c r="L14" s="433"/>
      <c r="M14" s="433"/>
      <c r="N14" s="433"/>
      <c r="O14" s="433"/>
      <c r="P14" s="433"/>
      <c r="Q14" s="433"/>
      <c r="R14" s="433"/>
      <c r="S14" s="433"/>
      <c r="T14" s="433"/>
      <c r="U14" s="433"/>
      <c r="V14" s="433"/>
      <c r="W14" s="433"/>
      <c r="X14" s="433"/>
      <c r="Y14" s="433"/>
      <c r="Z14" s="433"/>
      <c r="AA14" s="433"/>
      <c r="AB14" s="433"/>
      <c r="AC14" s="433"/>
      <c r="AD14" s="433"/>
      <c r="AE14" s="433"/>
    </row>
    <row r="15" spans="1:51" ht="15.75" thickBot="1">
      <c r="A15" s="437" t="s">
        <v>2937</v>
      </c>
      <c r="B15" s="433"/>
      <c r="C15" s="433"/>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33"/>
      <c r="AE15" s="433"/>
    </row>
    <row r="16" spans="1:51" ht="12.75" thickBot="1">
      <c r="A16" s="438" t="s">
        <v>2932</v>
      </c>
      <c r="B16" s="439">
        <v>1</v>
      </c>
      <c r="C16" s="440">
        <v>2</v>
      </c>
      <c r="D16" s="440">
        <v>3</v>
      </c>
      <c r="E16" s="440">
        <v>4</v>
      </c>
      <c r="F16" s="440">
        <v>5</v>
      </c>
      <c r="G16" s="440">
        <v>6</v>
      </c>
      <c r="H16" s="440">
        <v>7</v>
      </c>
      <c r="I16" s="440">
        <v>8</v>
      </c>
      <c r="J16" s="440">
        <v>9</v>
      </c>
      <c r="K16" s="440">
        <v>10</v>
      </c>
      <c r="L16" s="440">
        <v>11</v>
      </c>
      <c r="M16" s="440">
        <v>12</v>
      </c>
      <c r="N16" s="440">
        <v>13</v>
      </c>
      <c r="O16" s="440">
        <v>14</v>
      </c>
      <c r="P16" s="440">
        <v>15</v>
      </c>
      <c r="Q16" s="440">
        <v>16</v>
      </c>
      <c r="R16" s="440">
        <v>17</v>
      </c>
      <c r="S16" s="440">
        <v>18</v>
      </c>
      <c r="T16" s="440">
        <v>19</v>
      </c>
      <c r="U16" s="440">
        <v>20</v>
      </c>
      <c r="V16" s="440">
        <v>21</v>
      </c>
      <c r="W16" s="440">
        <v>22</v>
      </c>
      <c r="X16" s="440">
        <v>23</v>
      </c>
      <c r="Y16" s="440">
        <v>24</v>
      </c>
      <c r="Z16" s="440">
        <v>25</v>
      </c>
      <c r="AA16" s="440">
        <v>26</v>
      </c>
      <c r="AB16" s="440">
        <v>27</v>
      </c>
      <c r="AC16" s="440">
        <v>28</v>
      </c>
      <c r="AD16" s="440">
        <v>29</v>
      </c>
      <c r="AE16" s="440">
        <v>30</v>
      </c>
      <c r="AF16" s="440">
        <f t="shared" ref="AF16:AY16" si="16">AE16+1</f>
        <v>31</v>
      </c>
      <c r="AG16" s="440">
        <f t="shared" si="16"/>
        <v>32</v>
      </c>
      <c r="AH16" s="440">
        <f t="shared" si="16"/>
        <v>33</v>
      </c>
      <c r="AI16" s="440">
        <f t="shared" si="16"/>
        <v>34</v>
      </c>
      <c r="AJ16" s="440">
        <f t="shared" si="16"/>
        <v>35</v>
      </c>
      <c r="AK16" s="440">
        <f t="shared" si="16"/>
        <v>36</v>
      </c>
      <c r="AL16" s="440">
        <f t="shared" si="16"/>
        <v>37</v>
      </c>
      <c r="AM16" s="440">
        <f t="shared" si="16"/>
        <v>38</v>
      </c>
      <c r="AN16" s="440">
        <f t="shared" si="16"/>
        <v>39</v>
      </c>
      <c r="AO16" s="440">
        <f t="shared" si="16"/>
        <v>40</v>
      </c>
      <c r="AP16" s="440">
        <f t="shared" si="16"/>
        <v>41</v>
      </c>
      <c r="AQ16" s="440">
        <f t="shared" si="16"/>
        <v>42</v>
      </c>
      <c r="AR16" s="440">
        <f t="shared" si="16"/>
        <v>43</v>
      </c>
      <c r="AS16" s="440">
        <f t="shared" si="16"/>
        <v>44</v>
      </c>
      <c r="AT16" s="440">
        <f t="shared" si="16"/>
        <v>45</v>
      </c>
      <c r="AU16" s="440">
        <f t="shared" si="16"/>
        <v>46</v>
      </c>
      <c r="AV16" s="440">
        <f t="shared" si="16"/>
        <v>47</v>
      </c>
      <c r="AW16" s="440">
        <f t="shared" si="16"/>
        <v>48</v>
      </c>
      <c r="AX16" s="440">
        <f t="shared" si="16"/>
        <v>49</v>
      </c>
      <c r="AY16" s="441">
        <f t="shared" si="16"/>
        <v>50</v>
      </c>
    </row>
    <row r="17" spans="1:51">
      <c r="A17" s="442" t="s">
        <v>2955</v>
      </c>
      <c r="B17" s="443" t="e">
        <f t="shared" ref="B17:B24" si="17">B6/(1+$C$3)^(B$16-0.5)</f>
        <v>#N/A</v>
      </c>
      <c r="C17" s="444" t="e">
        <f t="shared" ref="C17:AY22" si="18">(C6/(1+$C$3)^(C$16-0.5)+B17)</f>
        <v>#N/A</v>
      </c>
      <c r="D17" s="444" t="e">
        <f t="shared" si="18"/>
        <v>#N/A</v>
      </c>
      <c r="E17" s="444" t="e">
        <f t="shared" si="18"/>
        <v>#N/A</v>
      </c>
      <c r="F17" s="444" t="e">
        <f t="shared" si="18"/>
        <v>#N/A</v>
      </c>
      <c r="G17" s="444" t="e">
        <f t="shared" si="18"/>
        <v>#N/A</v>
      </c>
      <c r="H17" s="444" t="e">
        <f t="shared" si="18"/>
        <v>#N/A</v>
      </c>
      <c r="I17" s="444" t="e">
        <f t="shared" si="18"/>
        <v>#N/A</v>
      </c>
      <c r="J17" s="444" t="e">
        <f t="shared" si="18"/>
        <v>#N/A</v>
      </c>
      <c r="K17" s="444" t="e">
        <f t="shared" si="18"/>
        <v>#N/A</v>
      </c>
      <c r="L17" s="444" t="e">
        <f t="shared" si="18"/>
        <v>#N/A</v>
      </c>
      <c r="M17" s="444" t="e">
        <f t="shared" si="18"/>
        <v>#N/A</v>
      </c>
      <c r="N17" s="444" t="e">
        <f t="shared" si="18"/>
        <v>#N/A</v>
      </c>
      <c r="O17" s="444" t="e">
        <f t="shared" si="18"/>
        <v>#N/A</v>
      </c>
      <c r="P17" s="444" t="e">
        <f t="shared" si="18"/>
        <v>#N/A</v>
      </c>
      <c r="Q17" s="444" t="e">
        <f t="shared" si="18"/>
        <v>#N/A</v>
      </c>
      <c r="R17" s="444" t="e">
        <f t="shared" si="18"/>
        <v>#N/A</v>
      </c>
      <c r="S17" s="444" t="e">
        <f t="shared" si="18"/>
        <v>#N/A</v>
      </c>
      <c r="T17" s="444" t="e">
        <f t="shared" si="18"/>
        <v>#N/A</v>
      </c>
      <c r="U17" s="444" t="e">
        <f t="shared" si="18"/>
        <v>#N/A</v>
      </c>
      <c r="V17" s="444" t="e">
        <f t="shared" si="18"/>
        <v>#N/A</v>
      </c>
      <c r="W17" s="444" t="e">
        <f t="shared" si="18"/>
        <v>#N/A</v>
      </c>
      <c r="X17" s="444" t="e">
        <f t="shared" si="18"/>
        <v>#N/A</v>
      </c>
      <c r="Y17" s="444" t="e">
        <f t="shared" si="18"/>
        <v>#N/A</v>
      </c>
      <c r="Z17" s="444" t="e">
        <f t="shared" si="18"/>
        <v>#N/A</v>
      </c>
      <c r="AA17" s="444" t="e">
        <f t="shared" si="18"/>
        <v>#N/A</v>
      </c>
      <c r="AB17" s="444" t="e">
        <f t="shared" si="18"/>
        <v>#N/A</v>
      </c>
      <c r="AC17" s="444" t="e">
        <f t="shared" si="18"/>
        <v>#N/A</v>
      </c>
      <c r="AD17" s="444" t="e">
        <f t="shared" si="18"/>
        <v>#N/A</v>
      </c>
      <c r="AE17" s="444" t="e">
        <f t="shared" si="18"/>
        <v>#N/A</v>
      </c>
      <c r="AF17" s="444" t="e">
        <f t="shared" si="18"/>
        <v>#N/A</v>
      </c>
      <c r="AG17" s="444" t="e">
        <f t="shared" si="18"/>
        <v>#N/A</v>
      </c>
      <c r="AH17" s="444" t="e">
        <f t="shared" si="18"/>
        <v>#N/A</v>
      </c>
      <c r="AI17" s="444" t="e">
        <f t="shared" si="18"/>
        <v>#N/A</v>
      </c>
      <c r="AJ17" s="444" t="e">
        <f t="shared" si="18"/>
        <v>#N/A</v>
      </c>
      <c r="AK17" s="444" t="e">
        <f t="shared" si="18"/>
        <v>#N/A</v>
      </c>
      <c r="AL17" s="444" t="e">
        <f t="shared" si="18"/>
        <v>#N/A</v>
      </c>
      <c r="AM17" s="444" t="e">
        <f t="shared" si="18"/>
        <v>#N/A</v>
      </c>
      <c r="AN17" s="444" t="e">
        <f t="shared" si="18"/>
        <v>#N/A</v>
      </c>
      <c r="AO17" s="444" t="e">
        <f t="shared" si="18"/>
        <v>#N/A</v>
      </c>
      <c r="AP17" s="444" t="e">
        <f t="shared" si="18"/>
        <v>#N/A</v>
      </c>
      <c r="AQ17" s="444" t="e">
        <f t="shared" si="18"/>
        <v>#N/A</v>
      </c>
      <c r="AR17" s="444" t="e">
        <f t="shared" si="18"/>
        <v>#N/A</v>
      </c>
      <c r="AS17" s="444" t="e">
        <f t="shared" si="18"/>
        <v>#N/A</v>
      </c>
      <c r="AT17" s="444" t="e">
        <f t="shared" si="18"/>
        <v>#N/A</v>
      </c>
      <c r="AU17" s="444" t="e">
        <f t="shared" si="18"/>
        <v>#N/A</v>
      </c>
      <c r="AV17" s="444" t="e">
        <f t="shared" si="18"/>
        <v>#N/A</v>
      </c>
      <c r="AW17" s="444" t="e">
        <f t="shared" si="18"/>
        <v>#N/A</v>
      </c>
      <c r="AX17" s="444" t="e">
        <f t="shared" si="18"/>
        <v>#N/A</v>
      </c>
      <c r="AY17" s="445" t="e">
        <f t="shared" si="18"/>
        <v>#N/A</v>
      </c>
    </row>
    <row r="18" spans="1:51">
      <c r="A18" s="446" t="s">
        <v>2956</v>
      </c>
      <c r="B18" s="450" t="e">
        <f t="shared" si="17"/>
        <v>#N/A</v>
      </c>
      <c r="C18" s="451" t="e">
        <f t="shared" si="18"/>
        <v>#N/A</v>
      </c>
      <c r="D18" s="451" t="e">
        <f t="shared" si="18"/>
        <v>#N/A</v>
      </c>
      <c r="E18" s="451" t="e">
        <f t="shared" si="18"/>
        <v>#N/A</v>
      </c>
      <c r="F18" s="451" t="e">
        <f t="shared" si="18"/>
        <v>#N/A</v>
      </c>
      <c r="G18" s="451" t="e">
        <f t="shared" si="18"/>
        <v>#N/A</v>
      </c>
      <c r="H18" s="451" t="e">
        <f t="shared" si="18"/>
        <v>#N/A</v>
      </c>
      <c r="I18" s="451" t="e">
        <f t="shared" si="18"/>
        <v>#N/A</v>
      </c>
      <c r="J18" s="451" t="e">
        <f t="shared" si="18"/>
        <v>#N/A</v>
      </c>
      <c r="K18" s="451" t="e">
        <f t="shared" si="18"/>
        <v>#N/A</v>
      </c>
      <c r="L18" s="451" t="e">
        <f t="shared" si="18"/>
        <v>#N/A</v>
      </c>
      <c r="M18" s="451" t="e">
        <f t="shared" si="18"/>
        <v>#N/A</v>
      </c>
      <c r="N18" s="451" t="e">
        <f t="shared" si="18"/>
        <v>#N/A</v>
      </c>
      <c r="O18" s="451" t="e">
        <f t="shared" si="18"/>
        <v>#N/A</v>
      </c>
      <c r="P18" s="451" t="e">
        <f t="shared" si="18"/>
        <v>#N/A</v>
      </c>
      <c r="Q18" s="451" t="e">
        <f t="shared" si="18"/>
        <v>#N/A</v>
      </c>
      <c r="R18" s="451" t="e">
        <f t="shared" si="18"/>
        <v>#N/A</v>
      </c>
      <c r="S18" s="451" t="e">
        <f t="shared" si="18"/>
        <v>#N/A</v>
      </c>
      <c r="T18" s="451" t="e">
        <f t="shared" si="18"/>
        <v>#N/A</v>
      </c>
      <c r="U18" s="451" t="e">
        <f t="shared" si="18"/>
        <v>#N/A</v>
      </c>
      <c r="V18" s="451" t="e">
        <f t="shared" si="18"/>
        <v>#N/A</v>
      </c>
      <c r="W18" s="451" t="e">
        <f t="shared" si="18"/>
        <v>#N/A</v>
      </c>
      <c r="X18" s="451" t="e">
        <f t="shared" si="18"/>
        <v>#N/A</v>
      </c>
      <c r="Y18" s="451" t="e">
        <f t="shared" si="18"/>
        <v>#N/A</v>
      </c>
      <c r="Z18" s="451" t="e">
        <f t="shared" si="18"/>
        <v>#N/A</v>
      </c>
      <c r="AA18" s="451" t="e">
        <f t="shared" si="18"/>
        <v>#N/A</v>
      </c>
      <c r="AB18" s="451" t="e">
        <f t="shared" si="18"/>
        <v>#N/A</v>
      </c>
      <c r="AC18" s="451" t="e">
        <f t="shared" si="18"/>
        <v>#N/A</v>
      </c>
      <c r="AD18" s="451" t="e">
        <f t="shared" si="18"/>
        <v>#N/A</v>
      </c>
      <c r="AE18" s="451" t="e">
        <f t="shared" si="18"/>
        <v>#N/A</v>
      </c>
      <c r="AF18" s="451" t="e">
        <f t="shared" si="18"/>
        <v>#N/A</v>
      </c>
      <c r="AG18" s="451" t="e">
        <f t="shared" si="18"/>
        <v>#N/A</v>
      </c>
      <c r="AH18" s="451" t="e">
        <f t="shared" si="18"/>
        <v>#N/A</v>
      </c>
      <c r="AI18" s="451" t="e">
        <f t="shared" si="18"/>
        <v>#N/A</v>
      </c>
      <c r="AJ18" s="451" t="e">
        <f t="shared" si="18"/>
        <v>#N/A</v>
      </c>
      <c r="AK18" s="451" t="e">
        <f t="shared" si="18"/>
        <v>#N/A</v>
      </c>
      <c r="AL18" s="451" t="e">
        <f t="shared" si="18"/>
        <v>#N/A</v>
      </c>
      <c r="AM18" s="451" t="e">
        <f t="shared" si="18"/>
        <v>#N/A</v>
      </c>
      <c r="AN18" s="451" t="e">
        <f t="shared" si="18"/>
        <v>#N/A</v>
      </c>
      <c r="AO18" s="451" t="e">
        <f t="shared" si="18"/>
        <v>#N/A</v>
      </c>
      <c r="AP18" s="451" t="e">
        <f t="shared" si="18"/>
        <v>#N/A</v>
      </c>
      <c r="AQ18" s="451" t="e">
        <f t="shared" si="18"/>
        <v>#N/A</v>
      </c>
      <c r="AR18" s="451" t="e">
        <f t="shared" si="18"/>
        <v>#N/A</v>
      </c>
      <c r="AS18" s="451" t="e">
        <f t="shared" si="18"/>
        <v>#N/A</v>
      </c>
      <c r="AT18" s="451" t="e">
        <f t="shared" si="18"/>
        <v>#N/A</v>
      </c>
      <c r="AU18" s="451" t="e">
        <f t="shared" si="18"/>
        <v>#N/A</v>
      </c>
      <c r="AV18" s="451" t="e">
        <f t="shared" si="18"/>
        <v>#N/A</v>
      </c>
      <c r="AW18" s="451" t="e">
        <f t="shared" si="18"/>
        <v>#N/A</v>
      </c>
      <c r="AX18" s="451" t="e">
        <f t="shared" si="18"/>
        <v>#N/A</v>
      </c>
      <c r="AY18" s="452" t="e">
        <f t="shared" si="18"/>
        <v>#N/A</v>
      </c>
    </row>
    <row r="19" spans="1:51">
      <c r="A19" s="446" t="s">
        <v>2957</v>
      </c>
      <c r="B19" s="450" t="e">
        <f t="shared" si="17"/>
        <v>#N/A</v>
      </c>
      <c r="C19" s="451" t="e">
        <f t="shared" si="18"/>
        <v>#N/A</v>
      </c>
      <c r="D19" s="451" t="e">
        <f t="shared" si="18"/>
        <v>#N/A</v>
      </c>
      <c r="E19" s="451" t="e">
        <f t="shared" si="18"/>
        <v>#N/A</v>
      </c>
      <c r="F19" s="451" t="e">
        <f t="shared" si="18"/>
        <v>#N/A</v>
      </c>
      <c r="G19" s="451" t="e">
        <f t="shared" si="18"/>
        <v>#N/A</v>
      </c>
      <c r="H19" s="451" t="e">
        <f t="shared" si="18"/>
        <v>#N/A</v>
      </c>
      <c r="I19" s="451" t="e">
        <f t="shared" si="18"/>
        <v>#N/A</v>
      </c>
      <c r="J19" s="451" t="e">
        <f t="shared" si="18"/>
        <v>#N/A</v>
      </c>
      <c r="K19" s="451" t="e">
        <f t="shared" si="18"/>
        <v>#N/A</v>
      </c>
      <c r="L19" s="451" t="e">
        <f t="shared" si="18"/>
        <v>#N/A</v>
      </c>
      <c r="M19" s="451" t="e">
        <f t="shared" si="18"/>
        <v>#N/A</v>
      </c>
      <c r="N19" s="451" t="e">
        <f t="shared" si="18"/>
        <v>#N/A</v>
      </c>
      <c r="O19" s="451" t="e">
        <f t="shared" si="18"/>
        <v>#N/A</v>
      </c>
      <c r="P19" s="451" t="e">
        <f t="shared" si="18"/>
        <v>#N/A</v>
      </c>
      <c r="Q19" s="451" t="e">
        <f t="shared" si="18"/>
        <v>#N/A</v>
      </c>
      <c r="R19" s="451" t="e">
        <f t="shared" si="18"/>
        <v>#N/A</v>
      </c>
      <c r="S19" s="451" t="e">
        <f t="shared" si="18"/>
        <v>#N/A</v>
      </c>
      <c r="T19" s="451" t="e">
        <f t="shared" si="18"/>
        <v>#N/A</v>
      </c>
      <c r="U19" s="451" t="e">
        <f t="shared" si="18"/>
        <v>#N/A</v>
      </c>
      <c r="V19" s="451" t="e">
        <f t="shared" si="18"/>
        <v>#N/A</v>
      </c>
      <c r="W19" s="451" t="e">
        <f t="shared" si="18"/>
        <v>#N/A</v>
      </c>
      <c r="X19" s="451" t="e">
        <f t="shared" si="18"/>
        <v>#N/A</v>
      </c>
      <c r="Y19" s="451" t="e">
        <f t="shared" si="18"/>
        <v>#N/A</v>
      </c>
      <c r="Z19" s="451" t="e">
        <f t="shared" si="18"/>
        <v>#N/A</v>
      </c>
      <c r="AA19" s="451" t="e">
        <f t="shared" si="18"/>
        <v>#N/A</v>
      </c>
      <c r="AB19" s="451" t="e">
        <f t="shared" si="18"/>
        <v>#N/A</v>
      </c>
      <c r="AC19" s="451" t="e">
        <f t="shared" si="18"/>
        <v>#N/A</v>
      </c>
      <c r="AD19" s="451" t="e">
        <f t="shared" si="18"/>
        <v>#N/A</v>
      </c>
      <c r="AE19" s="451" t="e">
        <f t="shared" si="18"/>
        <v>#N/A</v>
      </c>
      <c r="AF19" s="451" t="e">
        <f t="shared" si="18"/>
        <v>#N/A</v>
      </c>
      <c r="AG19" s="451" t="e">
        <f t="shared" si="18"/>
        <v>#N/A</v>
      </c>
      <c r="AH19" s="451" t="e">
        <f t="shared" si="18"/>
        <v>#N/A</v>
      </c>
      <c r="AI19" s="451" t="e">
        <f t="shared" si="18"/>
        <v>#N/A</v>
      </c>
      <c r="AJ19" s="451" t="e">
        <f t="shared" si="18"/>
        <v>#N/A</v>
      </c>
      <c r="AK19" s="451" t="e">
        <f t="shared" si="18"/>
        <v>#N/A</v>
      </c>
      <c r="AL19" s="451" t="e">
        <f t="shared" si="18"/>
        <v>#N/A</v>
      </c>
      <c r="AM19" s="451" t="e">
        <f t="shared" si="18"/>
        <v>#N/A</v>
      </c>
      <c r="AN19" s="451" t="e">
        <f t="shared" si="18"/>
        <v>#N/A</v>
      </c>
      <c r="AO19" s="451" t="e">
        <f t="shared" si="18"/>
        <v>#N/A</v>
      </c>
      <c r="AP19" s="451" t="e">
        <f t="shared" si="18"/>
        <v>#N/A</v>
      </c>
      <c r="AQ19" s="451" t="e">
        <f t="shared" si="18"/>
        <v>#N/A</v>
      </c>
      <c r="AR19" s="451" t="e">
        <f t="shared" si="18"/>
        <v>#N/A</v>
      </c>
      <c r="AS19" s="451" t="e">
        <f t="shared" si="18"/>
        <v>#N/A</v>
      </c>
      <c r="AT19" s="451" t="e">
        <f t="shared" si="18"/>
        <v>#N/A</v>
      </c>
      <c r="AU19" s="451" t="e">
        <f t="shared" si="18"/>
        <v>#N/A</v>
      </c>
      <c r="AV19" s="451" t="e">
        <f t="shared" si="18"/>
        <v>#N/A</v>
      </c>
      <c r="AW19" s="451" t="e">
        <f t="shared" si="18"/>
        <v>#N/A</v>
      </c>
      <c r="AX19" s="451" t="e">
        <f t="shared" si="18"/>
        <v>#N/A</v>
      </c>
      <c r="AY19" s="452" t="e">
        <f t="shared" si="18"/>
        <v>#N/A</v>
      </c>
    </row>
    <row r="20" spans="1:51">
      <c r="A20" s="446" t="s">
        <v>2958</v>
      </c>
      <c r="B20" s="450" t="e">
        <f t="shared" si="17"/>
        <v>#N/A</v>
      </c>
      <c r="C20" s="451" t="e">
        <f t="shared" si="18"/>
        <v>#N/A</v>
      </c>
      <c r="D20" s="451" t="e">
        <f t="shared" si="18"/>
        <v>#N/A</v>
      </c>
      <c r="E20" s="451" t="e">
        <f t="shared" si="18"/>
        <v>#N/A</v>
      </c>
      <c r="F20" s="451" t="e">
        <f t="shared" si="18"/>
        <v>#N/A</v>
      </c>
      <c r="G20" s="451" t="e">
        <f t="shared" si="18"/>
        <v>#N/A</v>
      </c>
      <c r="H20" s="451" t="e">
        <f t="shared" si="18"/>
        <v>#N/A</v>
      </c>
      <c r="I20" s="451" t="e">
        <f t="shared" si="18"/>
        <v>#N/A</v>
      </c>
      <c r="J20" s="451" t="e">
        <f t="shared" si="18"/>
        <v>#N/A</v>
      </c>
      <c r="K20" s="451" t="e">
        <f t="shared" si="18"/>
        <v>#N/A</v>
      </c>
      <c r="L20" s="451" t="e">
        <f t="shared" si="18"/>
        <v>#N/A</v>
      </c>
      <c r="M20" s="451" t="e">
        <f t="shared" si="18"/>
        <v>#N/A</v>
      </c>
      <c r="N20" s="451" t="e">
        <f t="shared" si="18"/>
        <v>#N/A</v>
      </c>
      <c r="O20" s="451" t="e">
        <f t="shared" si="18"/>
        <v>#N/A</v>
      </c>
      <c r="P20" s="451" t="e">
        <f t="shared" si="18"/>
        <v>#N/A</v>
      </c>
      <c r="Q20" s="451" t="e">
        <f t="shared" si="18"/>
        <v>#N/A</v>
      </c>
      <c r="R20" s="451" t="e">
        <f t="shared" si="18"/>
        <v>#N/A</v>
      </c>
      <c r="S20" s="451" t="e">
        <f t="shared" si="18"/>
        <v>#N/A</v>
      </c>
      <c r="T20" s="451" t="e">
        <f t="shared" si="18"/>
        <v>#N/A</v>
      </c>
      <c r="U20" s="451" t="e">
        <f t="shared" si="18"/>
        <v>#N/A</v>
      </c>
      <c r="V20" s="451" t="e">
        <f t="shared" si="18"/>
        <v>#N/A</v>
      </c>
      <c r="W20" s="451" t="e">
        <f t="shared" si="18"/>
        <v>#N/A</v>
      </c>
      <c r="X20" s="451" t="e">
        <f t="shared" si="18"/>
        <v>#N/A</v>
      </c>
      <c r="Y20" s="451" t="e">
        <f t="shared" si="18"/>
        <v>#N/A</v>
      </c>
      <c r="Z20" s="451" t="e">
        <f t="shared" si="18"/>
        <v>#N/A</v>
      </c>
      <c r="AA20" s="451" t="e">
        <f t="shared" si="18"/>
        <v>#N/A</v>
      </c>
      <c r="AB20" s="451" t="e">
        <f t="shared" si="18"/>
        <v>#N/A</v>
      </c>
      <c r="AC20" s="451" t="e">
        <f t="shared" si="18"/>
        <v>#N/A</v>
      </c>
      <c r="AD20" s="451" t="e">
        <f t="shared" si="18"/>
        <v>#N/A</v>
      </c>
      <c r="AE20" s="451" t="e">
        <f t="shared" si="18"/>
        <v>#N/A</v>
      </c>
      <c r="AF20" s="451" t="e">
        <f t="shared" si="18"/>
        <v>#N/A</v>
      </c>
      <c r="AG20" s="451" t="e">
        <f t="shared" si="18"/>
        <v>#N/A</v>
      </c>
      <c r="AH20" s="451" t="e">
        <f t="shared" si="18"/>
        <v>#N/A</v>
      </c>
      <c r="AI20" s="451" t="e">
        <f t="shared" si="18"/>
        <v>#N/A</v>
      </c>
      <c r="AJ20" s="451" t="e">
        <f t="shared" si="18"/>
        <v>#N/A</v>
      </c>
      <c r="AK20" s="451" t="e">
        <f t="shared" si="18"/>
        <v>#N/A</v>
      </c>
      <c r="AL20" s="451" t="e">
        <f t="shared" si="18"/>
        <v>#N/A</v>
      </c>
      <c r="AM20" s="451" t="e">
        <f t="shared" si="18"/>
        <v>#N/A</v>
      </c>
      <c r="AN20" s="451" t="e">
        <f t="shared" si="18"/>
        <v>#N/A</v>
      </c>
      <c r="AO20" s="451" t="e">
        <f t="shared" si="18"/>
        <v>#N/A</v>
      </c>
      <c r="AP20" s="451" t="e">
        <f t="shared" si="18"/>
        <v>#N/A</v>
      </c>
      <c r="AQ20" s="451" t="e">
        <f t="shared" si="18"/>
        <v>#N/A</v>
      </c>
      <c r="AR20" s="451" t="e">
        <f t="shared" si="18"/>
        <v>#N/A</v>
      </c>
      <c r="AS20" s="451" t="e">
        <f t="shared" si="18"/>
        <v>#N/A</v>
      </c>
      <c r="AT20" s="451" t="e">
        <f t="shared" si="18"/>
        <v>#N/A</v>
      </c>
      <c r="AU20" s="451" t="e">
        <f t="shared" si="18"/>
        <v>#N/A</v>
      </c>
      <c r="AV20" s="451" t="e">
        <f t="shared" si="18"/>
        <v>#N/A</v>
      </c>
      <c r="AW20" s="451" t="e">
        <f t="shared" si="18"/>
        <v>#N/A</v>
      </c>
      <c r="AX20" s="451" t="e">
        <f t="shared" si="18"/>
        <v>#N/A</v>
      </c>
      <c r="AY20" s="452" t="e">
        <f t="shared" si="18"/>
        <v>#N/A</v>
      </c>
    </row>
    <row r="21" spans="1:51">
      <c r="A21" s="446" t="s">
        <v>2959</v>
      </c>
      <c r="B21" s="450" t="e">
        <f t="shared" si="17"/>
        <v>#N/A</v>
      </c>
      <c r="C21" s="451" t="e">
        <f t="shared" si="18"/>
        <v>#N/A</v>
      </c>
      <c r="D21" s="451" t="e">
        <f t="shared" si="18"/>
        <v>#N/A</v>
      </c>
      <c r="E21" s="451" t="e">
        <f t="shared" si="18"/>
        <v>#N/A</v>
      </c>
      <c r="F21" s="451" t="e">
        <f t="shared" si="18"/>
        <v>#N/A</v>
      </c>
      <c r="G21" s="451" t="e">
        <f t="shared" si="18"/>
        <v>#N/A</v>
      </c>
      <c r="H21" s="451" t="e">
        <f t="shared" si="18"/>
        <v>#N/A</v>
      </c>
      <c r="I21" s="451" t="e">
        <f t="shared" si="18"/>
        <v>#N/A</v>
      </c>
      <c r="J21" s="451" t="e">
        <f t="shared" si="18"/>
        <v>#N/A</v>
      </c>
      <c r="K21" s="451" t="e">
        <f t="shared" si="18"/>
        <v>#N/A</v>
      </c>
      <c r="L21" s="451" t="e">
        <f t="shared" si="18"/>
        <v>#N/A</v>
      </c>
      <c r="M21" s="451" t="e">
        <f t="shared" si="18"/>
        <v>#N/A</v>
      </c>
      <c r="N21" s="451" t="e">
        <f t="shared" si="18"/>
        <v>#N/A</v>
      </c>
      <c r="O21" s="451" t="e">
        <f t="shared" si="18"/>
        <v>#N/A</v>
      </c>
      <c r="P21" s="451" t="e">
        <f t="shared" si="18"/>
        <v>#N/A</v>
      </c>
      <c r="Q21" s="451" t="e">
        <f t="shared" si="18"/>
        <v>#N/A</v>
      </c>
      <c r="R21" s="451" t="e">
        <f t="shared" si="18"/>
        <v>#N/A</v>
      </c>
      <c r="S21" s="451" t="e">
        <f t="shared" si="18"/>
        <v>#N/A</v>
      </c>
      <c r="T21" s="451" t="e">
        <f t="shared" si="18"/>
        <v>#N/A</v>
      </c>
      <c r="U21" s="451" t="e">
        <f t="shared" si="18"/>
        <v>#N/A</v>
      </c>
      <c r="V21" s="451" t="e">
        <f t="shared" si="18"/>
        <v>#N/A</v>
      </c>
      <c r="W21" s="451" t="e">
        <f t="shared" si="18"/>
        <v>#N/A</v>
      </c>
      <c r="X21" s="451" t="e">
        <f t="shared" si="18"/>
        <v>#N/A</v>
      </c>
      <c r="Y21" s="451" t="e">
        <f t="shared" si="18"/>
        <v>#N/A</v>
      </c>
      <c r="Z21" s="451" t="e">
        <f t="shared" si="18"/>
        <v>#N/A</v>
      </c>
      <c r="AA21" s="451" t="e">
        <f t="shared" si="18"/>
        <v>#N/A</v>
      </c>
      <c r="AB21" s="451" t="e">
        <f t="shared" si="18"/>
        <v>#N/A</v>
      </c>
      <c r="AC21" s="451" t="e">
        <f t="shared" si="18"/>
        <v>#N/A</v>
      </c>
      <c r="AD21" s="451" t="e">
        <f t="shared" si="18"/>
        <v>#N/A</v>
      </c>
      <c r="AE21" s="451" t="e">
        <f t="shared" si="18"/>
        <v>#N/A</v>
      </c>
      <c r="AF21" s="451" t="e">
        <f t="shared" si="18"/>
        <v>#N/A</v>
      </c>
      <c r="AG21" s="451" t="e">
        <f t="shared" si="18"/>
        <v>#N/A</v>
      </c>
      <c r="AH21" s="451" t="e">
        <f t="shared" si="18"/>
        <v>#N/A</v>
      </c>
      <c r="AI21" s="451" t="e">
        <f t="shared" si="18"/>
        <v>#N/A</v>
      </c>
      <c r="AJ21" s="451" t="e">
        <f t="shared" si="18"/>
        <v>#N/A</v>
      </c>
      <c r="AK21" s="451" t="e">
        <f t="shared" si="18"/>
        <v>#N/A</v>
      </c>
      <c r="AL21" s="451" t="e">
        <f t="shared" si="18"/>
        <v>#N/A</v>
      </c>
      <c r="AM21" s="451" t="e">
        <f t="shared" si="18"/>
        <v>#N/A</v>
      </c>
      <c r="AN21" s="451" t="e">
        <f t="shared" si="18"/>
        <v>#N/A</v>
      </c>
      <c r="AO21" s="451" t="e">
        <f t="shared" si="18"/>
        <v>#N/A</v>
      </c>
      <c r="AP21" s="451" t="e">
        <f t="shared" si="18"/>
        <v>#N/A</v>
      </c>
      <c r="AQ21" s="451" t="e">
        <f t="shared" si="18"/>
        <v>#N/A</v>
      </c>
      <c r="AR21" s="451" t="e">
        <f t="shared" si="18"/>
        <v>#N/A</v>
      </c>
      <c r="AS21" s="451" t="e">
        <f t="shared" si="18"/>
        <v>#N/A</v>
      </c>
      <c r="AT21" s="451" t="e">
        <f t="shared" si="18"/>
        <v>#N/A</v>
      </c>
      <c r="AU21" s="451" t="e">
        <f t="shared" si="18"/>
        <v>#N/A</v>
      </c>
      <c r="AV21" s="451" t="e">
        <f t="shared" si="18"/>
        <v>#N/A</v>
      </c>
      <c r="AW21" s="451" t="e">
        <f t="shared" si="18"/>
        <v>#N/A</v>
      </c>
      <c r="AX21" s="451" t="e">
        <f t="shared" si="18"/>
        <v>#N/A</v>
      </c>
      <c r="AY21" s="452" t="e">
        <f t="shared" si="18"/>
        <v>#N/A</v>
      </c>
    </row>
    <row r="22" spans="1:51">
      <c r="A22" s="446" t="s">
        <v>2938</v>
      </c>
      <c r="B22" s="447" t="e">
        <f t="shared" si="17"/>
        <v>#N/A</v>
      </c>
      <c r="C22" s="448" t="e">
        <f t="shared" si="18"/>
        <v>#N/A</v>
      </c>
      <c r="D22" s="448" t="e">
        <f t="shared" si="18"/>
        <v>#N/A</v>
      </c>
      <c r="E22" s="448" t="e">
        <f t="shared" si="18"/>
        <v>#N/A</v>
      </c>
      <c r="F22" s="448" t="e">
        <f t="shared" si="18"/>
        <v>#N/A</v>
      </c>
      <c r="G22" s="448" t="e">
        <f t="shared" si="18"/>
        <v>#N/A</v>
      </c>
      <c r="H22" s="448" t="e">
        <f t="shared" si="18"/>
        <v>#N/A</v>
      </c>
      <c r="I22" s="448" t="e">
        <f t="shared" si="18"/>
        <v>#N/A</v>
      </c>
      <c r="J22" s="448" t="e">
        <f t="shared" si="18"/>
        <v>#N/A</v>
      </c>
      <c r="K22" s="448" t="e">
        <f t="shared" si="18"/>
        <v>#N/A</v>
      </c>
      <c r="L22" s="448" t="e">
        <f t="shared" si="18"/>
        <v>#N/A</v>
      </c>
      <c r="M22" s="448" t="e">
        <f t="shared" ref="M22:AY22" si="19">(M11/(1+$C$3)^(M$16-0.5)+L22)</f>
        <v>#N/A</v>
      </c>
      <c r="N22" s="448" t="e">
        <f t="shared" si="19"/>
        <v>#N/A</v>
      </c>
      <c r="O22" s="448" t="e">
        <f t="shared" si="19"/>
        <v>#N/A</v>
      </c>
      <c r="P22" s="448" t="e">
        <f t="shared" si="19"/>
        <v>#N/A</v>
      </c>
      <c r="Q22" s="448" t="e">
        <f t="shared" si="19"/>
        <v>#N/A</v>
      </c>
      <c r="R22" s="448" t="e">
        <f t="shared" si="19"/>
        <v>#N/A</v>
      </c>
      <c r="S22" s="448" t="e">
        <f t="shared" si="19"/>
        <v>#N/A</v>
      </c>
      <c r="T22" s="448" t="e">
        <f t="shared" si="19"/>
        <v>#N/A</v>
      </c>
      <c r="U22" s="448" t="e">
        <f t="shared" si="19"/>
        <v>#N/A</v>
      </c>
      <c r="V22" s="448" t="e">
        <f t="shared" si="19"/>
        <v>#N/A</v>
      </c>
      <c r="W22" s="448" t="e">
        <f t="shared" si="19"/>
        <v>#N/A</v>
      </c>
      <c r="X22" s="448" t="e">
        <f t="shared" si="19"/>
        <v>#N/A</v>
      </c>
      <c r="Y22" s="448" t="e">
        <f t="shared" si="19"/>
        <v>#N/A</v>
      </c>
      <c r="Z22" s="448" t="e">
        <f t="shared" si="19"/>
        <v>#N/A</v>
      </c>
      <c r="AA22" s="448" t="e">
        <f t="shared" si="19"/>
        <v>#N/A</v>
      </c>
      <c r="AB22" s="448" t="e">
        <f t="shared" si="19"/>
        <v>#N/A</v>
      </c>
      <c r="AC22" s="448" t="e">
        <f t="shared" si="19"/>
        <v>#N/A</v>
      </c>
      <c r="AD22" s="448" t="e">
        <f t="shared" si="19"/>
        <v>#N/A</v>
      </c>
      <c r="AE22" s="448" t="e">
        <f t="shared" si="19"/>
        <v>#N/A</v>
      </c>
      <c r="AF22" s="448" t="e">
        <f t="shared" si="19"/>
        <v>#N/A</v>
      </c>
      <c r="AG22" s="448" t="e">
        <f t="shared" si="19"/>
        <v>#N/A</v>
      </c>
      <c r="AH22" s="448" t="e">
        <f t="shared" si="19"/>
        <v>#N/A</v>
      </c>
      <c r="AI22" s="448" t="e">
        <f t="shared" si="19"/>
        <v>#N/A</v>
      </c>
      <c r="AJ22" s="448" t="e">
        <f t="shared" si="19"/>
        <v>#N/A</v>
      </c>
      <c r="AK22" s="448" t="e">
        <f t="shared" si="19"/>
        <v>#N/A</v>
      </c>
      <c r="AL22" s="448" t="e">
        <f t="shared" si="19"/>
        <v>#N/A</v>
      </c>
      <c r="AM22" s="448" t="e">
        <f t="shared" si="19"/>
        <v>#N/A</v>
      </c>
      <c r="AN22" s="448" t="e">
        <f t="shared" si="19"/>
        <v>#N/A</v>
      </c>
      <c r="AO22" s="448" t="e">
        <f t="shared" si="19"/>
        <v>#N/A</v>
      </c>
      <c r="AP22" s="448" t="e">
        <f t="shared" si="19"/>
        <v>#N/A</v>
      </c>
      <c r="AQ22" s="448" t="e">
        <f t="shared" si="19"/>
        <v>#N/A</v>
      </c>
      <c r="AR22" s="448" t="e">
        <f t="shared" si="19"/>
        <v>#N/A</v>
      </c>
      <c r="AS22" s="448" t="e">
        <f t="shared" si="19"/>
        <v>#N/A</v>
      </c>
      <c r="AT22" s="448" t="e">
        <f t="shared" si="19"/>
        <v>#N/A</v>
      </c>
      <c r="AU22" s="448" t="e">
        <f t="shared" si="19"/>
        <v>#N/A</v>
      </c>
      <c r="AV22" s="448" t="e">
        <f t="shared" si="19"/>
        <v>#N/A</v>
      </c>
      <c r="AW22" s="448" t="e">
        <f t="shared" si="19"/>
        <v>#N/A</v>
      </c>
      <c r="AX22" s="448" t="e">
        <f t="shared" si="19"/>
        <v>#N/A</v>
      </c>
      <c r="AY22" s="449" t="e">
        <f t="shared" si="19"/>
        <v>#N/A</v>
      </c>
    </row>
    <row r="23" spans="1:51">
      <c r="A23" s="446" t="s">
        <v>2939</v>
      </c>
      <c r="B23" s="450" t="e">
        <f t="shared" si="17"/>
        <v>#N/A</v>
      </c>
      <c r="C23" s="451" t="e">
        <f t="shared" ref="C23:L23" si="20">(C12/(1+$C$3)^(C$16-0.5)+B23)</f>
        <v>#N/A</v>
      </c>
      <c r="D23" s="451" t="e">
        <f t="shared" si="20"/>
        <v>#N/A</v>
      </c>
      <c r="E23" s="451" t="e">
        <f t="shared" si="20"/>
        <v>#N/A</v>
      </c>
      <c r="F23" s="451" t="e">
        <f t="shared" si="20"/>
        <v>#N/A</v>
      </c>
      <c r="G23" s="451" t="e">
        <f t="shared" si="20"/>
        <v>#N/A</v>
      </c>
      <c r="H23" s="451" t="e">
        <f t="shared" si="20"/>
        <v>#N/A</v>
      </c>
      <c r="I23" s="451" t="e">
        <f t="shared" si="20"/>
        <v>#N/A</v>
      </c>
      <c r="J23" s="451" t="e">
        <f t="shared" si="20"/>
        <v>#N/A</v>
      </c>
      <c r="K23" s="451" t="e">
        <f t="shared" si="20"/>
        <v>#N/A</v>
      </c>
      <c r="L23" s="451" t="e">
        <f t="shared" si="20"/>
        <v>#N/A</v>
      </c>
      <c r="M23" s="451" t="e">
        <f t="shared" ref="M23:AY23" si="21">(M12/(1+$C$3)^(M$16-0.5)+L23)</f>
        <v>#N/A</v>
      </c>
      <c r="N23" s="451" t="e">
        <f t="shared" si="21"/>
        <v>#N/A</v>
      </c>
      <c r="O23" s="451" t="e">
        <f t="shared" si="21"/>
        <v>#N/A</v>
      </c>
      <c r="P23" s="451" t="e">
        <f t="shared" si="21"/>
        <v>#N/A</v>
      </c>
      <c r="Q23" s="451" t="e">
        <f t="shared" si="21"/>
        <v>#N/A</v>
      </c>
      <c r="R23" s="451" t="e">
        <f t="shared" si="21"/>
        <v>#N/A</v>
      </c>
      <c r="S23" s="451" t="e">
        <f t="shared" si="21"/>
        <v>#N/A</v>
      </c>
      <c r="T23" s="451" t="e">
        <f t="shared" si="21"/>
        <v>#N/A</v>
      </c>
      <c r="U23" s="451" t="e">
        <f t="shared" si="21"/>
        <v>#N/A</v>
      </c>
      <c r="V23" s="451" t="e">
        <f t="shared" si="21"/>
        <v>#N/A</v>
      </c>
      <c r="W23" s="451" t="e">
        <f t="shared" si="21"/>
        <v>#N/A</v>
      </c>
      <c r="X23" s="451" t="e">
        <f t="shared" si="21"/>
        <v>#N/A</v>
      </c>
      <c r="Y23" s="451" t="e">
        <f t="shared" si="21"/>
        <v>#N/A</v>
      </c>
      <c r="Z23" s="451" t="e">
        <f t="shared" si="21"/>
        <v>#N/A</v>
      </c>
      <c r="AA23" s="451" t="e">
        <f t="shared" si="21"/>
        <v>#N/A</v>
      </c>
      <c r="AB23" s="451" t="e">
        <f t="shared" si="21"/>
        <v>#N/A</v>
      </c>
      <c r="AC23" s="451" t="e">
        <f t="shared" si="21"/>
        <v>#N/A</v>
      </c>
      <c r="AD23" s="451" t="e">
        <f t="shared" si="21"/>
        <v>#N/A</v>
      </c>
      <c r="AE23" s="451" t="e">
        <f t="shared" si="21"/>
        <v>#N/A</v>
      </c>
      <c r="AF23" s="451" t="e">
        <f t="shared" si="21"/>
        <v>#N/A</v>
      </c>
      <c r="AG23" s="451" t="e">
        <f t="shared" si="21"/>
        <v>#N/A</v>
      </c>
      <c r="AH23" s="451" t="e">
        <f t="shared" si="21"/>
        <v>#N/A</v>
      </c>
      <c r="AI23" s="451" t="e">
        <f t="shared" si="21"/>
        <v>#N/A</v>
      </c>
      <c r="AJ23" s="451" t="e">
        <f t="shared" si="21"/>
        <v>#N/A</v>
      </c>
      <c r="AK23" s="451" t="e">
        <f t="shared" si="21"/>
        <v>#N/A</v>
      </c>
      <c r="AL23" s="451" t="e">
        <f t="shared" si="21"/>
        <v>#N/A</v>
      </c>
      <c r="AM23" s="451" t="e">
        <f t="shared" si="21"/>
        <v>#N/A</v>
      </c>
      <c r="AN23" s="451" t="e">
        <f t="shared" si="21"/>
        <v>#N/A</v>
      </c>
      <c r="AO23" s="451" t="e">
        <f t="shared" si="21"/>
        <v>#N/A</v>
      </c>
      <c r="AP23" s="451" t="e">
        <f t="shared" si="21"/>
        <v>#N/A</v>
      </c>
      <c r="AQ23" s="451" t="e">
        <f t="shared" si="21"/>
        <v>#N/A</v>
      </c>
      <c r="AR23" s="451" t="e">
        <f t="shared" si="21"/>
        <v>#N/A</v>
      </c>
      <c r="AS23" s="451" t="e">
        <f t="shared" si="21"/>
        <v>#N/A</v>
      </c>
      <c r="AT23" s="451" t="e">
        <f t="shared" si="21"/>
        <v>#N/A</v>
      </c>
      <c r="AU23" s="451" t="e">
        <f t="shared" si="21"/>
        <v>#N/A</v>
      </c>
      <c r="AV23" s="451" t="e">
        <f t="shared" si="21"/>
        <v>#N/A</v>
      </c>
      <c r="AW23" s="451" t="e">
        <f t="shared" si="21"/>
        <v>#N/A</v>
      </c>
      <c r="AX23" s="451" t="e">
        <f t="shared" si="21"/>
        <v>#N/A</v>
      </c>
      <c r="AY23" s="452" t="e">
        <f t="shared" si="21"/>
        <v>#N/A</v>
      </c>
    </row>
    <row r="24" spans="1:51" ht="12.75" thickBot="1">
      <c r="A24" s="453" t="s">
        <v>2940</v>
      </c>
      <c r="B24" s="454" t="e">
        <f t="shared" si="17"/>
        <v>#N/A</v>
      </c>
      <c r="C24" s="455" t="e">
        <f t="shared" ref="C24:L24" si="22">(C13/(1+$C$3)^(C$16-0.5)+B24)</f>
        <v>#N/A</v>
      </c>
      <c r="D24" s="455" t="e">
        <f t="shared" si="22"/>
        <v>#N/A</v>
      </c>
      <c r="E24" s="455" t="e">
        <f t="shared" si="22"/>
        <v>#N/A</v>
      </c>
      <c r="F24" s="455" t="e">
        <f t="shared" si="22"/>
        <v>#N/A</v>
      </c>
      <c r="G24" s="455" t="e">
        <f t="shared" si="22"/>
        <v>#N/A</v>
      </c>
      <c r="H24" s="455" t="e">
        <f t="shared" si="22"/>
        <v>#N/A</v>
      </c>
      <c r="I24" s="455" t="e">
        <f t="shared" si="22"/>
        <v>#N/A</v>
      </c>
      <c r="J24" s="455" t="e">
        <f t="shared" si="22"/>
        <v>#N/A</v>
      </c>
      <c r="K24" s="455" t="e">
        <f t="shared" si="22"/>
        <v>#N/A</v>
      </c>
      <c r="L24" s="455" t="e">
        <f t="shared" si="22"/>
        <v>#N/A</v>
      </c>
      <c r="M24" s="455" t="e">
        <f t="shared" ref="M24:AY24" si="23">(M13/(1+$C$3)^(M$16-0.5)+L24)</f>
        <v>#N/A</v>
      </c>
      <c r="N24" s="455" t="e">
        <f t="shared" si="23"/>
        <v>#N/A</v>
      </c>
      <c r="O24" s="455" t="e">
        <f t="shared" si="23"/>
        <v>#N/A</v>
      </c>
      <c r="P24" s="455" t="e">
        <f t="shared" si="23"/>
        <v>#N/A</v>
      </c>
      <c r="Q24" s="455" t="e">
        <f t="shared" si="23"/>
        <v>#N/A</v>
      </c>
      <c r="R24" s="455" t="e">
        <f t="shared" si="23"/>
        <v>#N/A</v>
      </c>
      <c r="S24" s="455" t="e">
        <f t="shared" si="23"/>
        <v>#N/A</v>
      </c>
      <c r="T24" s="455" t="e">
        <f t="shared" si="23"/>
        <v>#N/A</v>
      </c>
      <c r="U24" s="455" t="e">
        <f t="shared" si="23"/>
        <v>#N/A</v>
      </c>
      <c r="V24" s="455" t="e">
        <f t="shared" si="23"/>
        <v>#N/A</v>
      </c>
      <c r="W24" s="455" t="e">
        <f t="shared" si="23"/>
        <v>#N/A</v>
      </c>
      <c r="X24" s="455" t="e">
        <f t="shared" si="23"/>
        <v>#N/A</v>
      </c>
      <c r="Y24" s="455" t="e">
        <f t="shared" si="23"/>
        <v>#N/A</v>
      </c>
      <c r="Z24" s="455" t="e">
        <f t="shared" si="23"/>
        <v>#N/A</v>
      </c>
      <c r="AA24" s="455" t="e">
        <f t="shared" si="23"/>
        <v>#N/A</v>
      </c>
      <c r="AB24" s="455" t="e">
        <f t="shared" si="23"/>
        <v>#N/A</v>
      </c>
      <c r="AC24" s="455" t="e">
        <f t="shared" si="23"/>
        <v>#N/A</v>
      </c>
      <c r="AD24" s="455" t="e">
        <f t="shared" si="23"/>
        <v>#N/A</v>
      </c>
      <c r="AE24" s="455" t="e">
        <f t="shared" si="23"/>
        <v>#N/A</v>
      </c>
      <c r="AF24" s="455" t="e">
        <f t="shared" si="23"/>
        <v>#N/A</v>
      </c>
      <c r="AG24" s="455" t="e">
        <f t="shared" si="23"/>
        <v>#N/A</v>
      </c>
      <c r="AH24" s="455" t="e">
        <f t="shared" si="23"/>
        <v>#N/A</v>
      </c>
      <c r="AI24" s="455" t="e">
        <f t="shared" si="23"/>
        <v>#N/A</v>
      </c>
      <c r="AJ24" s="455" t="e">
        <f t="shared" si="23"/>
        <v>#N/A</v>
      </c>
      <c r="AK24" s="455" t="e">
        <f t="shared" si="23"/>
        <v>#N/A</v>
      </c>
      <c r="AL24" s="455" t="e">
        <f t="shared" si="23"/>
        <v>#N/A</v>
      </c>
      <c r="AM24" s="455" t="e">
        <f t="shared" si="23"/>
        <v>#N/A</v>
      </c>
      <c r="AN24" s="455" t="e">
        <f t="shared" si="23"/>
        <v>#N/A</v>
      </c>
      <c r="AO24" s="455" t="e">
        <f t="shared" si="23"/>
        <v>#N/A</v>
      </c>
      <c r="AP24" s="455" t="e">
        <f t="shared" si="23"/>
        <v>#N/A</v>
      </c>
      <c r="AQ24" s="455" t="e">
        <f t="shared" si="23"/>
        <v>#N/A</v>
      </c>
      <c r="AR24" s="455" t="e">
        <f t="shared" si="23"/>
        <v>#N/A</v>
      </c>
      <c r="AS24" s="455" t="e">
        <f t="shared" si="23"/>
        <v>#N/A</v>
      </c>
      <c r="AT24" s="455" t="e">
        <f t="shared" si="23"/>
        <v>#N/A</v>
      </c>
      <c r="AU24" s="455" t="e">
        <f t="shared" si="23"/>
        <v>#N/A</v>
      </c>
      <c r="AV24" s="455" t="e">
        <f t="shared" si="23"/>
        <v>#N/A</v>
      </c>
      <c r="AW24" s="455" t="e">
        <f t="shared" si="23"/>
        <v>#N/A</v>
      </c>
      <c r="AX24" s="455" t="e">
        <f t="shared" si="23"/>
        <v>#N/A</v>
      </c>
      <c r="AY24" s="456" t="e">
        <f t="shared" si="23"/>
        <v>#N/A</v>
      </c>
    </row>
    <row r="26" spans="1:51" ht="15.75">
      <c r="A26" s="458" t="s">
        <v>2942</v>
      </c>
      <c r="B26" s="457"/>
      <c r="C26" s="457"/>
      <c r="D26" s="457"/>
      <c r="E26" s="457"/>
      <c r="F26" s="457"/>
      <c r="G26" s="457"/>
      <c r="H26" s="457"/>
      <c r="I26" s="457"/>
      <c r="J26" s="457"/>
      <c r="K26" s="457"/>
      <c r="L26" s="457"/>
      <c r="M26" s="457"/>
      <c r="N26" s="457"/>
      <c r="O26" s="457"/>
      <c r="P26" s="457"/>
      <c r="Q26" s="457"/>
      <c r="R26" s="457"/>
      <c r="S26" s="457"/>
      <c r="T26" s="457"/>
      <c r="U26" s="457"/>
      <c r="V26" s="457"/>
      <c r="W26" s="457"/>
      <c r="X26" s="457"/>
      <c r="Y26" s="457"/>
      <c r="Z26" s="457"/>
      <c r="AA26" s="457"/>
      <c r="AB26" s="457"/>
      <c r="AC26" s="457"/>
      <c r="AD26" s="457"/>
      <c r="AE26" s="457"/>
      <c r="AF26" s="457"/>
      <c r="AG26" s="457"/>
      <c r="AH26" s="457"/>
      <c r="AI26" s="457"/>
      <c r="AJ26" s="457"/>
      <c r="AK26" s="457"/>
      <c r="AL26" s="457"/>
      <c r="AM26" s="457"/>
      <c r="AN26" s="457"/>
      <c r="AO26" s="457"/>
      <c r="AP26" s="457"/>
      <c r="AQ26" s="457"/>
      <c r="AR26" s="457"/>
      <c r="AS26" s="457"/>
      <c r="AT26" s="457"/>
      <c r="AU26" s="457"/>
      <c r="AV26" s="457"/>
      <c r="AW26" s="457"/>
      <c r="AX26" s="457"/>
      <c r="AY26" s="457"/>
    </row>
    <row r="27" spans="1:51" ht="15.75" thickBot="1">
      <c r="A27" s="437" t="s">
        <v>2931</v>
      </c>
    </row>
    <row r="28" spans="1:51" ht="12.75" thickBot="1">
      <c r="A28" s="438" t="s">
        <v>2932</v>
      </c>
      <c r="B28" s="439">
        <v>2010</v>
      </c>
      <c r="C28" s="440">
        <v>2011</v>
      </c>
      <c r="D28" s="440">
        <v>2012</v>
      </c>
      <c r="E28" s="440">
        <v>2013</v>
      </c>
      <c r="F28" s="440">
        <v>2014</v>
      </c>
      <c r="G28" s="440">
        <v>2015</v>
      </c>
      <c r="H28" s="440">
        <v>2016</v>
      </c>
      <c r="I28" s="440">
        <v>2017</v>
      </c>
      <c r="J28" s="440">
        <v>2018</v>
      </c>
      <c r="K28" s="440">
        <v>2019</v>
      </c>
      <c r="L28" s="440">
        <v>2020</v>
      </c>
      <c r="M28" s="440">
        <v>2021</v>
      </c>
      <c r="N28" s="440">
        <v>2022</v>
      </c>
      <c r="O28" s="440">
        <v>2023</v>
      </c>
      <c r="P28" s="440">
        <v>2024</v>
      </c>
      <c r="Q28" s="440">
        <v>2025</v>
      </c>
      <c r="R28" s="440">
        <v>2026</v>
      </c>
      <c r="S28" s="440">
        <v>2027</v>
      </c>
      <c r="T28" s="440">
        <v>2028</v>
      </c>
      <c r="U28" s="440">
        <v>2029</v>
      </c>
      <c r="V28" s="440">
        <v>2030</v>
      </c>
      <c r="W28" s="440">
        <v>2031</v>
      </c>
      <c r="X28" s="440">
        <v>2032</v>
      </c>
      <c r="Y28" s="440">
        <v>2033</v>
      </c>
      <c r="Z28" s="440">
        <v>2034</v>
      </c>
      <c r="AA28" s="440">
        <v>2035</v>
      </c>
      <c r="AB28" s="440">
        <v>2036</v>
      </c>
      <c r="AC28" s="440">
        <v>2037</v>
      </c>
      <c r="AD28" s="440">
        <v>2038</v>
      </c>
      <c r="AE28" s="440">
        <v>2039</v>
      </c>
      <c r="AF28" s="440">
        <v>2040</v>
      </c>
      <c r="AG28" s="440">
        <v>2041</v>
      </c>
      <c r="AH28" s="440">
        <v>2042</v>
      </c>
      <c r="AI28" s="440">
        <v>2043</v>
      </c>
      <c r="AJ28" s="440">
        <v>2044</v>
      </c>
      <c r="AK28" s="440">
        <v>2045</v>
      </c>
      <c r="AL28" s="440">
        <v>2046</v>
      </c>
      <c r="AM28" s="440">
        <v>2047</v>
      </c>
      <c r="AN28" s="440">
        <v>2048</v>
      </c>
      <c r="AO28" s="440">
        <v>2049</v>
      </c>
      <c r="AP28" s="440">
        <v>2050</v>
      </c>
      <c r="AQ28" s="440">
        <v>2051</v>
      </c>
      <c r="AR28" s="440">
        <v>2052</v>
      </c>
      <c r="AS28" s="440">
        <v>2053</v>
      </c>
      <c r="AT28" s="440">
        <v>2054</v>
      </c>
      <c r="AU28" s="440">
        <v>2055</v>
      </c>
      <c r="AV28" s="440">
        <v>2056</v>
      </c>
      <c r="AW28" s="440">
        <v>2057</v>
      </c>
      <c r="AX28" s="440">
        <v>2058</v>
      </c>
      <c r="AY28" s="441">
        <v>2059</v>
      </c>
    </row>
    <row r="29" spans="1:51">
      <c r="A29" s="442" t="s">
        <v>2943</v>
      </c>
      <c r="B29" s="1754">
        <v>8.5398706896551727E-2</v>
      </c>
      <c r="C29" s="1755">
        <v>8.4051724137931036E-2</v>
      </c>
      <c r="D29" s="1755">
        <v>8.2737068965517233E-2</v>
      </c>
      <c r="E29" s="1755">
        <v>8.2090517241379321E-2</v>
      </c>
      <c r="F29" s="1755">
        <v>8.1454741379310344E-2</v>
      </c>
      <c r="G29" s="1755">
        <v>8.0818965517241367E-2</v>
      </c>
      <c r="H29" s="1755">
        <v>8.1023706896551709E-2</v>
      </c>
      <c r="I29" s="1755">
        <v>8.1217672413793102E-2</v>
      </c>
      <c r="J29" s="1755">
        <v>8.1422413793103443E-2</v>
      </c>
      <c r="K29" s="1755">
        <v>8.1616379310344822E-2</v>
      </c>
      <c r="L29" s="1755">
        <v>8.1821120689655177E-2</v>
      </c>
      <c r="M29" s="1755">
        <v>8.2015086206896542E-2</v>
      </c>
      <c r="N29" s="1755">
        <v>8.2219827586206884E-2</v>
      </c>
      <c r="O29" s="1755">
        <v>8.2424568965517225E-2</v>
      </c>
      <c r="P29" s="1755">
        <v>8.2629310344827595E-2</v>
      </c>
      <c r="Q29" s="1755">
        <v>8.2629310344827595E-2</v>
      </c>
      <c r="R29" s="1755">
        <v>8.2629310344827595E-2</v>
      </c>
      <c r="S29" s="1755">
        <v>8.2629310344827595E-2</v>
      </c>
      <c r="T29" s="1755">
        <v>8.2629310344827595E-2</v>
      </c>
      <c r="U29" s="1755">
        <v>8.2629310344827595E-2</v>
      </c>
      <c r="V29" s="1755">
        <v>8.2629310344827595E-2</v>
      </c>
      <c r="W29" s="1755">
        <v>8.2629310344827595E-2</v>
      </c>
      <c r="X29" s="1755">
        <v>8.2629310344827595E-2</v>
      </c>
      <c r="Y29" s="1755">
        <v>8.2629310344827595E-2</v>
      </c>
      <c r="Z29" s="1755">
        <v>8.2629310344827595E-2</v>
      </c>
      <c r="AA29" s="1755">
        <v>8.2629310344827595E-2</v>
      </c>
      <c r="AB29" s="1755">
        <v>8.2629310344827595E-2</v>
      </c>
      <c r="AC29" s="1755">
        <v>8.2629310344827595E-2</v>
      </c>
      <c r="AD29" s="1755">
        <v>8.2629310344827595E-2</v>
      </c>
      <c r="AE29" s="1755">
        <v>8.2629310344827595E-2</v>
      </c>
      <c r="AF29" s="1755">
        <v>8.2629310344827595E-2</v>
      </c>
      <c r="AG29" s="1755">
        <v>8.2629310344827595E-2</v>
      </c>
      <c r="AH29" s="1755">
        <v>8.2629310344827595E-2</v>
      </c>
      <c r="AI29" s="1755">
        <v>8.2629310344827595E-2</v>
      </c>
      <c r="AJ29" s="1755">
        <v>8.2629310344827595E-2</v>
      </c>
      <c r="AK29" s="1755">
        <v>8.2629310344827595E-2</v>
      </c>
      <c r="AL29" s="1755">
        <v>8.2629310344827595E-2</v>
      </c>
      <c r="AM29" s="1755">
        <v>8.2629310344827595E-2</v>
      </c>
      <c r="AN29" s="1755">
        <v>8.2629310344827595E-2</v>
      </c>
      <c r="AO29" s="1755">
        <v>8.2629310344827595E-2</v>
      </c>
      <c r="AP29" s="1755">
        <v>8.2629310344827595E-2</v>
      </c>
      <c r="AQ29" s="1755">
        <v>8.2629310344827595E-2</v>
      </c>
      <c r="AR29" s="1755">
        <v>8.2629310344827595E-2</v>
      </c>
      <c r="AS29" s="1755">
        <v>8.2629310344827595E-2</v>
      </c>
      <c r="AT29" s="1755">
        <v>8.2629310344827595E-2</v>
      </c>
      <c r="AU29" s="1755">
        <v>8.2629310344827595E-2</v>
      </c>
      <c r="AV29" s="1755">
        <v>8.2629310344827595E-2</v>
      </c>
      <c r="AW29" s="1755">
        <v>8.2629310344827595E-2</v>
      </c>
      <c r="AX29" s="1755">
        <v>8.2629310344827595E-2</v>
      </c>
      <c r="AY29" s="1756">
        <v>8.2629310344827595E-2</v>
      </c>
    </row>
    <row r="30" spans="1:51">
      <c r="A30" s="446" t="s">
        <v>2944</v>
      </c>
      <c r="B30" s="471">
        <v>85.398706896551715</v>
      </c>
      <c r="C30" s="472">
        <v>92.53232758620689</v>
      </c>
      <c r="D30" s="472">
        <v>99.234913793103431</v>
      </c>
      <c r="E30" s="472">
        <v>105.54956896551724</v>
      </c>
      <c r="F30" s="472">
        <v>111.48706896551724</v>
      </c>
      <c r="G30" s="472">
        <v>117.06896551724137</v>
      </c>
      <c r="H30" s="472">
        <v>122.32758620689654</v>
      </c>
      <c r="I30" s="472">
        <v>127.26293103448276</v>
      </c>
      <c r="J30" s="472">
        <v>131.90732758620689</v>
      </c>
      <c r="K30" s="472">
        <v>136.27155172413794</v>
      </c>
      <c r="L30" s="472">
        <v>140.36637931034483</v>
      </c>
      <c r="M30" s="472">
        <v>144.21336206896549</v>
      </c>
      <c r="N30" s="472">
        <v>144.21336206896549</v>
      </c>
      <c r="O30" s="472">
        <v>144.21336206896549</v>
      </c>
      <c r="P30" s="472">
        <v>144.21336206896549</v>
      </c>
      <c r="Q30" s="472">
        <v>144.21336206896549</v>
      </c>
      <c r="R30" s="472">
        <v>144.21336206896501</v>
      </c>
      <c r="S30" s="472">
        <v>144.21336206896501</v>
      </c>
      <c r="T30" s="472">
        <v>144.21336206896501</v>
      </c>
      <c r="U30" s="472">
        <v>144.21336206896501</v>
      </c>
      <c r="V30" s="472">
        <v>144.21336206896501</v>
      </c>
      <c r="W30" s="472">
        <v>144.21336206896501</v>
      </c>
      <c r="X30" s="472">
        <v>144.21336206896501</v>
      </c>
      <c r="Y30" s="472">
        <v>144.21336206896501</v>
      </c>
      <c r="Z30" s="472">
        <v>144.21336206896501</v>
      </c>
      <c r="AA30" s="472">
        <v>144.21336206896501</v>
      </c>
      <c r="AB30" s="472">
        <v>144.21336206896501</v>
      </c>
      <c r="AC30" s="472">
        <v>144.21336206896501</v>
      </c>
      <c r="AD30" s="472">
        <v>144.21336206896501</v>
      </c>
      <c r="AE30" s="472">
        <v>144.21336206896501</v>
      </c>
      <c r="AF30" s="472">
        <v>144.21336206896501</v>
      </c>
      <c r="AG30" s="472">
        <v>144.21336206896501</v>
      </c>
      <c r="AH30" s="472">
        <v>144.21336206896501</v>
      </c>
      <c r="AI30" s="472">
        <v>144.21336206896501</v>
      </c>
      <c r="AJ30" s="472">
        <v>144.21336206896501</v>
      </c>
      <c r="AK30" s="472">
        <v>144.21336206896501</v>
      </c>
      <c r="AL30" s="472">
        <v>144.21336206896501</v>
      </c>
      <c r="AM30" s="472">
        <v>144.21336206896501</v>
      </c>
      <c r="AN30" s="472">
        <v>144.21336206896501</v>
      </c>
      <c r="AO30" s="472">
        <v>144.21336206896501</v>
      </c>
      <c r="AP30" s="472">
        <v>144.21336206896501</v>
      </c>
      <c r="AQ30" s="472">
        <v>144.21336206896501</v>
      </c>
      <c r="AR30" s="472">
        <v>144.21336206896501</v>
      </c>
      <c r="AS30" s="472">
        <v>144.21336206896501</v>
      </c>
      <c r="AT30" s="472">
        <v>144.21336206896501</v>
      </c>
      <c r="AU30" s="472">
        <v>144.21336206896501</v>
      </c>
      <c r="AV30" s="472">
        <v>144.21336206896501</v>
      </c>
      <c r="AW30" s="472">
        <v>144.21336206896501</v>
      </c>
      <c r="AX30" s="472">
        <v>144.21336206896501</v>
      </c>
      <c r="AY30" s="473">
        <v>144.21336206896501</v>
      </c>
    </row>
    <row r="31" spans="1:51">
      <c r="A31" s="446" t="s">
        <v>2945</v>
      </c>
      <c r="B31" s="471">
        <v>10.24</v>
      </c>
      <c r="C31" s="472">
        <v>10.01</v>
      </c>
      <c r="D31" s="472">
        <v>9.7899999999999991</v>
      </c>
      <c r="E31" s="472">
        <v>9.7899999999999991</v>
      </c>
      <c r="F31" s="472">
        <v>9.7899999999999991</v>
      </c>
      <c r="G31" s="472">
        <v>9.7899999999999991</v>
      </c>
      <c r="H31" s="472">
        <v>9.8699999999999992</v>
      </c>
      <c r="I31" s="472">
        <v>9.94</v>
      </c>
      <c r="J31" s="472">
        <v>10.02</v>
      </c>
      <c r="K31" s="472">
        <v>10.02</v>
      </c>
      <c r="L31" s="472">
        <v>10.02</v>
      </c>
      <c r="M31" s="472">
        <v>10.02</v>
      </c>
      <c r="N31" s="472">
        <v>10.02</v>
      </c>
      <c r="O31" s="472">
        <v>10.02</v>
      </c>
      <c r="P31" s="472">
        <v>10.02</v>
      </c>
      <c r="Q31" s="472">
        <v>10.02</v>
      </c>
      <c r="R31" s="472">
        <v>10.02</v>
      </c>
      <c r="S31" s="472">
        <v>10.02</v>
      </c>
      <c r="T31" s="472">
        <v>10.02</v>
      </c>
      <c r="U31" s="472">
        <v>10.02</v>
      </c>
      <c r="V31" s="472">
        <v>10.02</v>
      </c>
      <c r="W31" s="472">
        <v>10.02</v>
      </c>
      <c r="X31" s="472">
        <v>10.02</v>
      </c>
      <c r="Y31" s="472">
        <v>10.02</v>
      </c>
      <c r="Z31" s="472">
        <v>10.02</v>
      </c>
      <c r="AA31" s="472">
        <v>10.02</v>
      </c>
      <c r="AB31" s="472">
        <v>10.02</v>
      </c>
      <c r="AC31" s="472">
        <v>10.02</v>
      </c>
      <c r="AD31" s="472">
        <v>10.02</v>
      </c>
      <c r="AE31" s="472">
        <v>10.02</v>
      </c>
      <c r="AF31" s="472">
        <v>10.02</v>
      </c>
      <c r="AG31" s="472">
        <v>10.02</v>
      </c>
      <c r="AH31" s="472">
        <v>10.02</v>
      </c>
      <c r="AI31" s="472">
        <v>10.02</v>
      </c>
      <c r="AJ31" s="472">
        <v>10.02</v>
      </c>
      <c r="AK31" s="472">
        <v>10.02</v>
      </c>
      <c r="AL31" s="472">
        <v>10.02</v>
      </c>
      <c r="AM31" s="472">
        <v>10.02</v>
      </c>
      <c r="AN31" s="472">
        <v>10.02</v>
      </c>
      <c r="AO31" s="472">
        <v>10.02</v>
      </c>
      <c r="AP31" s="472">
        <v>10.02</v>
      </c>
      <c r="AQ31" s="472">
        <v>10.02</v>
      </c>
      <c r="AR31" s="472">
        <v>10.02</v>
      </c>
      <c r="AS31" s="472">
        <v>10.02</v>
      </c>
      <c r="AT31" s="472">
        <v>10.02</v>
      </c>
      <c r="AU31" s="472">
        <v>10.02</v>
      </c>
      <c r="AV31" s="472">
        <v>10.02</v>
      </c>
      <c r="AW31" s="472">
        <v>10.02</v>
      </c>
      <c r="AX31" s="472">
        <v>10.02</v>
      </c>
      <c r="AY31" s="473">
        <v>10.02</v>
      </c>
    </row>
    <row r="32" spans="1:51">
      <c r="A32" s="446" t="s">
        <v>2946</v>
      </c>
      <c r="B32" s="471">
        <v>9.4525000000000006</v>
      </c>
      <c r="C32" s="472">
        <v>9.2341666666666669</v>
      </c>
      <c r="D32" s="472">
        <v>9.02</v>
      </c>
      <c r="E32" s="472">
        <v>9.02</v>
      </c>
      <c r="F32" s="472">
        <v>9.02</v>
      </c>
      <c r="G32" s="472">
        <v>9.02</v>
      </c>
      <c r="H32" s="472">
        <v>9.0941666666666663</v>
      </c>
      <c r="I32" s="472">
        <v>9.2441666666666666</v>
      </c>
      <c r="J32" s="472">
        <v>9.2441666666666666</v>
      </c>
      <c r="K32" s="472">
        <v>9.2441666666666666</v>
      </c>
      <c r="L32" s="472">
        <v>9.2441666666666666</v>
      </c>
      <c r="M32" s="472">
        <v>9.2441666666666666</v>
      </c>
      <c r="N32" s="472">
        <v>9.2441666666666666</v>
      </c>
      <c r="O32" s="472">
        <v>9.2441666666666666</v>
      </c>
      <c r="P32" s="472">
        <v>9.2441666666666666</v>
      </c>
      <c r="Q32" s="472">
        <v>9.2441666666666666</v>
      </c>
      <c r="R32" s="472">
        <v>9.2441666666666666</v>
      </c>
      <c r="S32" s="472">
        <v>9.2441666666666666</v>
      </c>
      <c r="T32" s="472">
        <v>9.2441666666666666</v>
      </c>
      <c r="U32" s="472">
        <v>9.2441666666666666</v>
      </c>
      <c r="V32" s="472">
        <v>9.2441666666666666</v>
      </c>
      <c r="W32" s="472">
        <v>9.2441666666666666</v>
      </c>
      <c r="X32" s="472">
        <v>9.2441666666666666</v>
      </c>
      <c r="Y32" s="472">
        <v>9.2441666666666666</v>
      </c>
      <c r="Z32" s="472">
        <v>9.2441666666666666</v>
      </c>
      <c r="AA32" s="472">
        <v>9.2441666666666666</v>
      </c>
      <c r="AB32" s="472">
        <v>9.2441666666666666</v>
      </c>
      <c r="AC32" s="472">
        <v>9.2441666666666666</v>
      </c>
      <c r="AD32" s="472">
        <v>9.2441666666666666</v>
      </c>
      <c r="AE32" s="472">
        <v>9.2441666666666666</v>
      </c>
      <c r="AF32" s="472">
        <v>9.2441666666666666</v>
      </c>
      <c r="AG32" s="472">
        <v>9.2441666666666666</v>
      </c>
      <c r="AH32" s="472">
        <v>9.2441666666666666</v>
      </c>
      <c r="AI32" s="472">
        <v>9.2441666666666666</v>
      </c>
      <c r="AJ32" s="472">
        <v>9.2441666666666666</v>
      </c>
      <c r="AK32" s="472">
        <v>9.2441666666666666</v>
      </c>
      <c r="AL32" s="472">
        <v>9.2441666666666666</v>
      </c>
      <c r="AM32" s="472">
        <v>9.2441666666666666</v>
      </c>
      <c r="AN32" s="472">
        <v>9.2441666666666666</v>
      </c>
      <c r="AO32" s="472">
        <v>9.2441666666666666</v>
      </c>
      <c r="AP32" s="472">
        <v>9.2441666666666666</v>
      </c>
      <c r="AQ32" s="472">
        <v>9.2441666666666666</v>
      </c>
      <c r="AR32" s="472">
        <v>9.2441666666666666</v>
      </c>
      <c r="AS32" s="472">
        <v>9.2441666666666666</v>
      </c>
      <c r="AT32" s="472">
        <v>9.2441666666666666</v>
      </c>
      <c r="AU32" s="472">
        <v>9.2441666666666666</v>
      </c>
      <c r="AV32" s="472">
        <v>9.2441666666666666</v>
      </c>
      <c r="AW32" s="472">
        <v>9.2441666666666666</v>
      </c>
      <c r="AX32" s="472">
        <v>9.2441666666666702</v>
      </c>
      <c r="AY32" s="473">
        <v>9.2441666666666702</v>
      </c>
    </row>
    <row r="33" spans="1:51">
      <c r="A33" s="446" t="s">
        <v>2933</v>
      </c>
      <c r="B33" s="471">
        <v>7.2607266726146298</v>
      </c>
      <c r="C33" s="472">
        <v>7.9112857970161548</v>
      </c>
      <c r="D33" s="472">
        <v>8.1995068031839171</v>
      </c>
      <c r="E33" s="472">
        <v>8.4073776927334265</v>
      </c>
      <c r="F33" s="472">
        <v>8.5736326363918245</v>
      </c>
      <c r="G33" s="472">
        <v>8.7208261649062617</v>
      </c>
      <c r="H33" s="472">
        <v>8.8285181377174773</v>
      </c>
      <c r="I33" s="472">
        <v>8.8829506598476691</v>
      </c>
      <c r="J33" s="472">
        <v>9.0100552678251411</v>
      </c>
      <c r="K33" s="472">
        <v>9.0500408716374903</v>
      </c>
      <c r="L33" s="472">
        <v>9.1558646250250764</v>
      </c>
      <c r="M33" s="472">
        <v>9.244954159045637</v>
      </c>
      <c r="N33" s="472">
        <v>9.2425044625563437</v>
      </c>
      <c r="O33" s="472">
        <v>9.3135366023628183</v>
      </c>
      <c r="P33" s="472">
        <v>9.3834258849192018</v>
      </c>
      <c r="Q33" s="472">
        <v>9.4457625151136106</v>
      </c>
      <c r="R33" s="472">
        <v>9.4294343454096037</v>
      </c>
      <c r="S33" s="472">
        <v>9.4065940080935402</v>
      </c>
      <c r="T33" s="472">
        <v>9.3718934835830296</v>
      </c>
      <c r="U33" s="472">
        <v>9.3718934835830296</v>
      </c>
      <c r="V33" s="472">
        <v>9.3718934835830296</v>
      </c>
      <c r="W33" s="472">
        <v>9.3718934835830296</v>
      </c>
      <c r="X33" s="472">
        <v>9.3718934835830296</v>
      </c>
      <c r="Y33" s="472">
        <v>9.3718934835830296</v>
      </c>
      <c r="Z33" s="472">
        <v>9.3718934835830296</v>
      </c>
      <c r="AA33" s="472">
        <v>9.3718934835830296</v>
      </c>
      <c r="AB33" s="472">
        <v>9.3718934835830296</v>
      </c>
      <c r="AC33" s="472">
        <v>9.3718934835830296</v>
      </c>
      <c r="AD33" s="472">
        <v>9.3718934835830296</v>
      </c>
      <c r="AE33" s="472">
        <v>9.3718934835830296</v>
      </c>
      <c r="AF33" s="472">
        <v>9.3718934835830296</v>
      </c>
      <c r="AG33" s="472">
        <v>9.3718934835830296</v>
      </c>
      <c r="AH33" s="472">
        <v>9.3718934835830296</v>
      </c>
      <c r="AI33" s="472">
        <v>9.3718934835830296</v>
      </c>
      <c r="AJ33" s="472">
        <v>9.3718934835830296</v>
      </c>
      <c r="AK33" s="472">
        <v>9.3718934835830296</v>
      </c>
      <c r="AL33" s="472">
        <v>9.3718934835830296</v>
      </c>
      <c r="AM33" s="472">
        <v>9.3718934835830296</v>
      </c>
      <c r="AN33" s="472">
        <v>9.3718934835830296</v>
      </c>
      <c r="AO33" s="472">
        <v>9.3718934835830296</v>
      </c>
      <c r="AP33" s="472">
        <v>9.3718934835830296</v>
      </c>
      <c r="AQ33" s="472">
        <v>9.3718934835830296</v>
      </c>
      <c r="AR33" s="472">
        <v>9.3718934835830296</v>
      </c>
      <c r="AS33" s="472">
        <v>9.3718934835830296</v>
      </c>
      <c r="AT33" s="472">
        <v>9.3718934835830296</v>
      </c>
      <c r="AU33" s="472">
        <v>9.3718934835830296</v>
      </c>
      <c r="AV33" s="472">
        <v>9.3718934835830296</v>
      </c>
      <c r="AW33" s="472">
        <v>9.3718934835830296</v>
      </c>
      <c r="AX33" s="472">
        <v>9.3718934835830296</v>
      </c>
      <c r="AY33" s="473">
        <v>9.3718934835830296</v>
      </c>
    </row>
    <row r="34" spans="1:51">
      <c r="A34" s="446" t="s">
        <v>2934</v>
      </c>
      <c r="B34" s="447">
        <v>6.28E-3</v>
      </c>
      <c r="C34" s="448">
        <v>6.1999999999999998E-3</v>
      </c>
      <c r="D34" s="448">
        <v>6.1200000000000004E-3</v>
      </c>
      <c r="E34" s="448">
        <v>6.0000000000000001E-3</v>
      </c>
      <c r="F34" s="448">
        <v>5.8799999999999998E-3</v>
      </c>
      <c r="G34" s="448">
        <v>5.77E-3</v>
      </c>
      <c r="H34" s="448">
        <v>5.77E-3</v>
      </c>
      <c r="I34" s="448">
        <v>5.7599999999999995E-3</v>
      </c>
      <c r="J34" s="448">
        <v>5.7599999999999995E-3</v>
      </c>
      <c r="K34" s="448">
        <v>5.7499999999999999E-3</v>
      </c>
      <c r="L34" s="448">
        <v>5.7499999999999999E-3</v>
      </c>
      <c r="M34" s="448">
        <v>5.7499999999999999E-3</v>
      </c>
      <c r="N34" s="448">
        <v>5.7400000000000003E-3</v>
      </c>
      <c r="O34" s="448">
        <v>5.7400000000000003E-3</v>
      </c>
      <c r="P34" s="448">
        <v>5.7300000000000007E-3</v>
      </c>
      <c r="Q34" s="448">
        <v>5.7300000000000007E-3</v>
      </c>
      <c r="R34" s="448">
        <v>5.7300000000000007E-3</v>
      </c>
      <c r="S34" s="448">
        <v>5.7300000000000007E-3</v>
      </c>
      <c r="T34" s="448">
        <v>5.7300000000000007E-3</v>
      </c>
      <c r="U34" s="448">
        <v>5.7300000000000007E-3</v>
      </c>
      <c r="V34" s="448">
        <v>5.7300000000000007E-3</v>
      </c>
      <c r="W34" s="448">
        <v>5.7300000000000007E-3</v>
      </c>
      <c r="X34" s="448">
        <v>5.7300000000000007E-3</v>
      </c>
      <c r="Y34" s="448">
        <v>5.7300000000000007E-3</v>
      </c>
      <c r="Z34" s="448">
        <v>5.7300000000000007E-3</v>
      </c>
      <c r="AA34" s="448">
        <v>5.7300000000000007E-3</v>
      </c>
      <c r="AB34" s="448">
        <v>5.7300000000000007E-3</v>
      </c>
      <c r="AC34" s="448">
        <v>5.7300000000000007E-3</v>
      </c>
      <c r="AD34" s="448">
        <v>5.7300000000000007E-3</v>
      </c>
      <c r="AE34" s="448">
        <v>5.7300000000000007E-3</v>
      </c>
      <c r="AF34" s="448">
        <v>5.7300000000000007E-3</v>
      </c>
      <c r="AG34" s="448">
        <v>5.7300000000000007E-3</v>
      </c>
      <c r="AH34" s="448">
        <v>5.7300000000000007E-3</v>
      </c>
      <c r="AI34" s="448">
        <v>5.7300000000000007E-3</v>
      </c>
      <c r="AJ34" s="448">
        <v>5.7300000000000007E-3</v>
      </c>
      <c r="AK34" s="448">
        <v>5.7300000000000007E-3</v>
      </c>
      <c r="AL34" s="448">
        <v>5.7300000000000007E-3</v>
      </c>
      <c r="AM34" s="448">
        <v>5.7300000000000007E-3</v>
      </c>
      <c r="AN34" s="448">
        <v>5.7300000000000007E-3</v>
      </c>
      <c r="AO34" s="448">
        <v>5.7300000000000007E-3</v>
      </c>
      <c r="AP34" s="448">
        <v>5.7300000000000007E-3</v>
      </c>
      <c r="AQ34" s="448">
        <v>5.7300000000000007E-3</v>
      </c>
      <c r="AR34" s="448">
        <v>5.7300000000000007E-3</v>
      </c>
      <c r="AS34" s="448">
        <v>5.7300000000000007E-3</v>
      </c>
      <c r="AT34" s="448">
        <v>5.7300000000000007E-3</v>
      </c>
      <c r="AU34" s="448">
        <v>5.7300000000000007E-3</v>
      </c>
      <c r="AV34" s="448">
        <v>5.7300000000000007E-3</v>
      </c>
      <c r="AW34" s="448">
        <v>5.7300000000000007E-3</v>
      </c>
      <c r="AX34" s="448">
        <v>5.7300000000000007E-3</v>
      </c>
      <c r="AY34" s="449">
        <v>5.7300000000000007E-3</v>
      </c>
    </row>
    <row r="35" spans="1:51">
      <c r="A35" s="446" t="s">
        <v>2935</v>
      </c>
      <c r="B35" s="450">
        <f>(58.5/1000)*15</f>
        <v>0.87750000000000006</v>
      </c>
      <c r="C35" s="451">
        <f t="shared" ref="C35:AD36" si="24">(58.5/1000)*15</f>
        <v>0.87750000000000006</v>
      </c>
      <c r="D35" s="451">
        <f t="shared" si="24"/>
        <v>0.87750000000000006</v>
      </c>
      <c r="E35" s="451">
        <f t="shared" si="24"/>
        <v>0.87750000000000006</v>
      </c>
      <c r="F35" s="451">
        <f t="shared" si="24"/>
        <v>0.87750000000000006</v>
      </c>
      <c r="G35" s="451">
        <f t="shared" si="24"/>
        <v>0.87750000000000006</v>
      </c>
      <c r="H35" s="451">
        <f t="shared" si="24"/>
        <v>0.87750000000000006</v>
      </c>
      <c r="I35" s="451">
        <f t="shared" si="24"/>
        <v>0.87750000000000006</v>
      </c>
      <c r="J35" s="451">
        <f t="shared" si="24"/>
        <v>0.87750000000000006</v>
      </c>
      <c r="K35" s="451">
        <f t="shared" si="24"/>
        <v>0.87750000000000006</v>
      </c>
      <c r="L35" s="451">
        <f t="shared" si="24"/>
        <v>0.87750000000000006</v>
      </c>
      <c r="M35" s="451">
        <f t="shared" si="24"/>
        <v>0.87750000000000006</v>
      </c>
      <c r="N35" s="451">
        <f t="shared" si="24"/>
        <v>0.87750000000000006</v>
      </c>
      <c r="O35" s="451">
        <f t="shared" si="24"/>
        <v>0.87750000000000006</v>
      </c>
      <c r="P35" s="451">
        <f t="shared" si="24"/>
        <v>0.87750000000000006</v>
      </c>
      <c r="Q35" s="451">
        <f t="shared" si="24"/>
        <v>0.87750000000000006</v>
      </c>
      <c r="R35" s="451">
        <f t="shared" si="24"/>
        <v>0.87750000000000006</v>
      </c>
      <c r="S35" s="451">
        <f t="shared" si="24"/>
        <v>0.87750000000000006</v>
      </c>
      <c r="T35" s="451">
        <f t="shared" si="24"/>
        <v>0.87750000000000006</v>
      </c>
      <c r="U35" s="451">
        <f t="shared" si="24"/>
        <v>0.87750000000000006</v>
      </c>
      <c r="V35" s="451">
        <f t="shared" si="24"/>
        <v>0.87750000000000006</v>
      </c>
      <c r="W35" s="451">
        <f t="shared" si="24"/>
        <v>0.87750000000000006</v>
      </c>
      <c r="X35" s="451">
        <f t="shared" si="24"/>
        <v>0.87750000000000006</v>
      </c>
      <c r="Y35" s="451">
        <f t="shared" si="24"/>
        <v>0.87750000000000006</v>
      </c>
      <c r="Z35" s="451">
        <f t="shared" si="24"/>
        <v>0.87750000000000006</v>
      </c>
      <c r="AA35" s="451">
        <f t="shared" si="24"/>
        <v>0.87750000000000006</v>
      </c>
      <c r="AB35" s="451">
        <f t="shared" si="24"/>
        <v>0.87750000000000006</v>
      </c>
      <c r="AC35" s="451">
        <f t="shared" si="24"/>
        <v>0.87750000000000006</v>
      </c>
      <c r="AD35" s="451">
        <f t="shared" si="24"/>
        <v>0.87750000000000006</v>
      </c>
      <c r="AE35" s="451">
        <f>(58.5/1000)*15</f>
        <v>0.87750000000000006</v>
      </c>
      <c r="AF35" s="451">
        <f t="shared" ref="AF35:AY36" si="25">(58.5/1000)*15</f>
        <v>0.87750000000000006</v>
      </c>
      <c r="AG35" s="451">
        <f t="shared" si="25"/>
        <v>0.87750000000000006</v>
      </c>
      <c r="AH35" s="451">
        <f t="shared" si="25"/>
        <v>0.87750000000000006</v>
      </c>
      <c r="AI35" s="451">
        <f t="shared" si="25"/>
        <v>0.87750000000000006</v>
      </c>
      <c r="AJ35" s="451">
        <f t="shared" si="25"/>
        <v>0.87750000000000006</v>
      </c>
      <c r="AK35" s="451">
        <f t="shared" si="25"/>
        <v>0.87750000000000006</v>
      </c>
      <c r="AL35" s="451">
        <f t="shared" si="25"/>
        <v>0.87750000000000006</v>
      </c>
      <c r="AM35" s="451">
        <f t="shared" si="25"/>
        <v>0.87750000000000006</v>
      </c>
      <c r="AN35" s="451">
        <f t="shared" si="25"/>
        <v>0.87750000000000006</v>
      </c>
      <c r="AO35" s="451">
        <f t="shared" si="25"/>
        <v>0.87750000000000006</v>
      </c>
      <c r="AP35" s="451">
        <f t="shared" si="25"/>
        <v>0.87750000000000006</v>
      </c>
      <c r="AQ35" s="451">
        <f t="shared" si="25"/>
        <v>0.87750000000000006</v>
      </c>
      <c r="AR35" s="451">
        <f t="shared" si="25"/>
        <v>0.87750000000000006</v>
      </c>
      <c r="AS35" s="451">
        <f t="shared" si="25"/>
        <v>0.87750000000000006</v>
      </c>
      <c r="AT35" s="451">
        <f t="shared" si="25"/>
        <v>0.87750000000000006</v>
      </c>
      <c r="AU35" s="451">
        <f t="shared" si="25"/>
        <v>0.87750000000000006</v>
      </c>
      <c r="AV35" s="451">
        <f t="shared" si="25"/>
        <v>0.87750000000000006</v>
      </c>
      <c r="AW35" s="451">
        <f t="shared" si="25"/>
        <v>0.87750000000000006</v>
      </c>
      <c r="AX35" s="451">
        <f t="shared" si="25"/>
        <v>0.87750000000000006</v>
      </c>
      <c r="AY35" s="452">
        <f t="shared" si="25"/>
        <v>0.87750000000000006</v>
      </c>
    </row>
    <row r="36" spans="1:51" ht="12.75" thickBot="1">
      <c r="A36" s="453" t="s">
        <v>2936</v>
      </c>
      <c r="B36" s="454">
        <f>(58.5/1000)*15</f>
        <v>0.87750000000000006</v>
      </c>
      <c r="C36" s="455">
        <f t="shared" si="24"/>
        <v>0.87750000000000006</v>
      </c>
      <c r="D36" s="455">
        <f t="shared" si="24"/>
        <v>0.87750000000000006</v>
      </c>
      <c r="E36" s="455">
        <f t="shared" si="24"/>
        <v>0.87750000000000006</v>
      </c>
      <c r="F36" s="455">
        <f t="shared" si="24"/>
        <v>0.87750000000000006</v>
      </c>
      <c r="G36" s="455">
        <f t="shared" si="24"/>
        <v>0.87750000000000006</v>
      </c>
      <c r="H36" s="455">
        <f t="shared" si="24"/>
        <v>0.87750000000000006</v>
      </c>
      <c r="I36" s="455">
        <f t="shared" si="24"/>
        <v>0.87750000000000006</v>
      </c>
      <c r="J36" s="455">
        <f t="shared" si="24"/>
        <v>0.87750000000000006</v>
      </c>
      <c r="K36" s="455">
        <f t="shared" si="24"/>
        <v>0.87750000000000006</v>
      </c>
      <c r="L36" s="455">
        <f t="shared" si="24"/>
        <v>0.87750000000000006</v>
      </c>
      <c r="M36" s="455">
        <f t="shared" si="24"/>
        <v>0.87750000000000006</v>
      </c>
      <c r="N36" s="455">
        <f t="shared" si="24"/>
        <v>0.87750000000000006</v>
      </c>
      <c r="O36" s="455">
        <f t="shared" si="24"/>
        <v>0.87750000000000006</v>
      </c>
      <c r="P36" s="455">
        <f t="shared" si="24"/>
        <v>0.87750000000000006</v>
      </c>
      <c r="Q36" s="455">
        <f t="shared" si="24"/>
        <v>0.87750000000000006</v>
      </c>
      <c r="R36" s="455">
        <f t="shared" si="24"/>
        <v>0.87750000000000006</v>
      </c>
      <c r="S36" s="455">
        <f t="shared" si="24"/>
        <v>0.87750000000000006</v>
      </c>
      <c r="T36" s="455">
        <f t="shared" si="24"/>
        <v>0.87750000000000006</v>
      </c>
      <c r="U36" s="455">
        <f t="shared" si="24"/>
        <v>0.87750000000000006</v>
      </c>
      <c r="V36" s="455">
        <f t="shared" si="24"/>
        <v>0.87750000000000006</v>
      </c>
      <c r="W36" s="455">
        <f t="shared" si="24"/>
        <v>0.87750000000000006</v>
      </c>
      <c r="X36" s="455">
        <f t="shared" si="24"/>
        <v>0.87750000000000006</v>
      </c>
      <c r="Y36" s="455">
        <f t="shared" si="24"/>
        <v>0.87750000000000006</v>
      </c>
      <c r="Z36" s="455">
        <f t="shared" si="24"/>
        <v>0.87750000000000006</v>
      </c>
      <c r="AA36" s="455">
        <f t="shared" si="24"/>
        <v>0.87750000000000006</v>
      </c>
      <c r="AB36" s="455">
        <f t="shared" si="24"/>
        <v>0.87750000000000006</v>
      </c>
      <c r="AC36" s="455">
        <f t="shared" si="24"/>
        <v>0.87750000000000006</v>
      </c>
      <c r="AD36" s="455">
        <f t="shared" si="24"/>
        <v>0.87750000000000006</v>
      </c>
      <c r="AE36" s="455">
        <f>(58.5/1000)*15</f>
        <v>0.87750000000000006</v>
      </c>
      <c r="AF36" s="455">
        <f t="shared" si="25"/>
        <v>0.87750000000000006</v>
      </c>
      <c r="AG36" s="455">
        <f t="shared" si="25"/>
        <v>0.87750000000000006</v>
      </c>
      <c r="AH36" s="455">
        <f t="shared" si="25"/>
        <v>0.87750000000000006</v>
      </c>
      <c r="AI36" s="455">
        <f t="shared" si="25"/>
        <v>0.87750000000000006</v>
      </c>
      <c r="AJ36" s="455">
        <f t="shared" si="25"/>
        <v>0.87750000000000006</v>
      </c>
      <c r="AK36" s="455">
        <f t="shared" si="25"/>
        <v>0.87750000000000006</v>
      </c>
      <c r="AL36" s="455">
        <f t="shared" si="25"/>
        <v>0.87750000000000006</v>
      </c>
      <c r="AM36" s="455">
        <f t="shared" si="25"/>
        <v>0.87750000000000006</v>
      </c>
      <c r="AN36" s="455">
        <f t="shared" si="25"/>
        <v>0.87750000000000006</v>
      </c>
      <c r="AO36" s="455">
        <f t="shared" si="25"/>
        <v>0.87750000000000006</v>
      </c>
      <c r="AP36" s="455">
        <f t="shared" si="25"/>
        <v>0.87750000000000006</v>
      </c>
      <c r="AQ36" s="455">
        <f t="shared" si="25"/>
        <v>0.87750000000000006</v>
      </c>
      <c r="AR36" s="455">
        <f t="shared" si="25"/>
        <v>0.87750000000000006</v>
      </c>
      <c r="AS36" s="455">
        <f t="shared" si="25"/>
        <v>0.87750000000000006</v>
      </c>
      <c r="AT36" s="455">
        <f t="shared" si="25"/>
        <v>0.87750000000000006</v>
      </c>
      <c r="AU36" s="455">
        <f t="shared" si="25"/>
        <v>0.87750000000000006</v>
      </c>
      <c r="AV36" s="455">
        <f t="shared" si="25"/>
        <v>0.87750000000000006</v>
      </c>
      <c r="AW36" s="455">
        <f t="shared" si="25"/>
        <v>0.87750000000000006</v>
      </c>
      <c r="AX36" s="455">
        <f t="shared" si="25"/>
        <v>0.87750000000000006</v>
      </c>
      <c r="AY36" s="456">
        <f t="shared" si="25"/>
        <v>0.87750000000000006</v>
      </c>
    </row>
    <row r="37" spans="1:51">
      <c r="B37" s="433"/>
      <c r="C37" s="433"/>
      <c r="D37" s="433"/>
      <c r="E37" s="433"/>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row>
    <row r="38" spans="1:51" ht="15.75" thickBot="1">
      <c r="A38" s="437" t="s">
        <v>2937</v>
      </c>
      <c r="B38" s="433"/>
      <c r="C38" s="433"/>
      <c r="D38" s="433"/>
      <c r="E38" s="433"/>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row>
    <row r="39" spans="1:51" ht="12.75" thickBot="1">
      <c r="A39" s="438" t="s">
        <v>2932</v>
      </c>
      <c r="B39" s="439">
        <v>1</v>
      </c>
      <c r="C39" s="440">
        <v>2</v>
      </c>
      <c r="D39" s="440">
        <v>3</v>
      </c>
      <c r="E39" s="440">
        <v>4</v>
      </c>
      <c r="F39" s="440">
        <v>5</v>
      </c>
      <c r="G39" s="440">
        <v>6</v>
      </c>
      <c r="H39" s="440">
        <v>7</v>
      </c>
      <c r="I39" s="440">
        <v>8</v>
      </c>
      <c r="J39" s="440">
        <v>9</v>
      </c>
      <c r="K39" s="440">
        <v>10</v>
      </c>
      <c r="L39" s="440">
        <v>11</v>
      </c>
      <c r="M39" s="440">
        <v>12</v>
      </c>
      <c r="N39" s="440">
        <v>13</v>
      </c>
      <c r="O39" s="440">
        <v>14</v>
      </c>
      <c r="P39" s="440">
        <v>15</v>
      </c>
      <c r="Q39" s="440">
        <v>16</v>
      </c>
      <c r="R39" s="440">
        <v>17</v>
      </c>
      <c r="S39" s="440">
        <v>18</v>
      </c>
      <c r="T39" s="440">
        <v>19</v>
      </c>
      <c r="U39" s="440">
        <v>20</v>
      </c>
      <c r="V39" s="440">
        <v>21</v>
      </c>
      <c r="W39" s="440">
        <v>22</v>
      </c>
      <c r="X39" s="440">
        <v>23</v>
      </c>
      <c r="Y39" s="440">
        <v>24</v>
      </c>
      <c r="Z39" s="440">
        <v>25</v>
      </c>
      <c r="AA39" s="440">
        <v>26</v>
      </c>
      <c r="AB39" s="440">
        <v>27</v>
      </c>
      <c r="AC39" s="440">
        <v>28</v>
      </c>
      <c r="AD39" s="440">
        <v>29</v>
      </c>
      <c r="AE39" s="440">
        <v>30</v>
      </c>
      <c r="AF39" s="440">
        <f t="shared" ref="AF39:AY39" si="26">AE39+1</f>
        <v>31</v>
      </c>
      <c r="AG39" s="440">
        <f t="shared" si="26"/>
        <v>32</v>
      </c>
      <c r="AH39" s="440">
        <f t="shared" si="26"/>
        <v>33</v>
      </c>
      <c r="AI39" s="440">
        <f t="shared" si="26"/>
        <v>34</v>
      </c>
      <c r="AJ39" s="440">
        <f t="shared" si="26"/>
        <v>35</v>
      </c>
      <c r="AK39" s="440">
        <f t="shared" si="26"/>
        <v>36</v>
      </c>
      <c r="AL39" s="440">
        <f t="shared" si="26"/>
        <v>37</v>
      </c>
      <c r="AM39" s="440">
        <f t="shared" si="26"/>
        <v>38</v>
      </c>
      <c r="AN39" s="440">
        <f t="shared" si="26"/>
        <v>39</v>
      </c>
      <c r="AO39" s="440">
        <f t="shared" si="26"/>
        <v>40</v>
      </c>
      <c r="AP39" s="440">
        <f t="shared" si="26"/>
        <v>41</v>
      </c>
      <c r="AQ39" s="440">
        <f t="shared" si="26"/>
        <v>42</v>
      </c>
      <c r="AR39" s="440">
        <f t="shared" si="26"/>
        <v>43</v>
      </c>
      <c r="AS39" s="440">
        <f t="shared" si="26"/>
        <v>44</v>
      </c>
      <c r="AT39" s="440">
        <f t="shared" si="26"/>
        <v>45</v>
      </c>
      <c r="AU39" s="440">
        <f t="shared" si="26"/>
        <v>46</v>
      </c>
      <c r="AV39" s="440">
        <f t="shared" si="26"/>
        <v>47</v>
      </c>
      <c r="AW39" s="440">
        <f t="shared" si="26"/>
        <v>48</v>
      </c>
      <c r="AX39" s="440">
        <f t="shared" si="26"/>
        <v>49</v>
      </c>
      <c r="AY39" s="441">
        <f t="shared" si="26"/>
        <v>50</v>
      </c>
    </row>
    <row r="40" spans="1:51">
      <c r="A40" s="442" t="s">
        <v>2955</v>
      </c>
      <c r="B40" s="443">
        <f t="shared" ref="B40:B47" si="27">B29/(1+$C$3)^(B$16-0.5)</f>
        <v>8.3142880157899599E-2</v>
      </c>
      <c r="C40" s="444">
        <f t="shared" ref="C40:AY45" si="28">(C29/(1+$C$3)^(C$16-0.5)+B40)</f>
        <v>0.16070826239739211</v>
      </c>
      <c r="D40" s="444">
        <f t="shared" si="28"/>
        <v>0.23307999709599747</v>
      </c>
      <c r="E40" s="444">
        <f t="shared" si="28"/>
        <v>0.30114273002703768</v>
      </c>
      <c r="F40" s="444">
        <f t="shared" si="28"/>
        <v>0.36515751643659311</v>
      </c>
      <c r="G40" s="444">
        <f t="shared" si="28"/>
        <v>0.42536143494077922</v>
      </c>
      <c r="H40" s="444">
        <f t="shared" si="28"/>
        <v>0.48257132602867497</v>
      </c>
      <c r="I40" s="444">
        <f t="shared" si="28"/>
        <v>0.536928527800549</v>
      </c>
      <c r="J40" s="444">
        <f t="shared" si="28"/>
        <v>0.58858182701740214</v>
      </c>
      <c r="K40" s="444">
        <f t="shared" si="28"/>
        <v>0.63765893447520172</v>
      </c>
      <c r="L40" s="444">
        <f t="shared" si="28"/>
        <v>0.68429421542850943</v>
      </c>
      <c r="M40" s="444">
        <f t="shared" si="28"/>
        <v>0.72860306354262117</v>
      </c>
      <c r="N40" s="444">
        <f t="shared" si="28"/>
        <v>0.77070681722797341</v>
      </c>
      <c r="O40" s="444">
        <f t="shared" si="28"/>
        <v>0.81071496813382138</v>
      </c>
      <c r="P40" s="444">
        <f t="shared" si="28"/>
        <v>0.84873158476506239</v>
      </c>
      <c r="Q40" s="444">
        <f t="shared" si="28"/>
        <v>0.8847662924723998</v>
      </c>
      <c r="R40" s="444">
        <f t="shared" si="28"/>
        <v>0.91892241352200876</v>
      </c>
      <c r="S40" s="444">
        <f t="shared" si="28"/>
        <v>0.95129788371121149</v>
      </c>
      <c r="T40" s="444">
        <f t="shared" si="28"/>
        <v>0.98198553317965009</v>
      </c>
      <c r="U40" s="444">
        <f t="shared" si="28"/>
        <v>1.0110733525810138</v>
      </c>
      <c r="V40" s="444">
        <f t="shared" si="28"/>
        <v>1.038644745378515</v>
      </c>
      <c r="W40" s="444">
        <f t="shared" si="28"/>
        <v>1.0647787669875208</v>
      </c>
      <c r="X40" s="444">
        <f t="shared" si="28"/>
        <v>1.0895503514510334</v>
      </c>
      <c r="Y40" s="444">
        <f t="shared" si="28"/>
        <v>1.1130305262979647</v>
      </c>
      <c r="Z40" s="444">
        <f t="shared" si="28"/>
        <v>1.1352866162002693</v>
      </c>
      <c r="AA40" s="444">
        <f t="shared" si="28"/>
        <v>1.1563824360128803</v>
      </c>
      <c r="AB40" s="444">
        <f t="shared" si="28"/>
        <v>1.1763784737499523</v>
      </c>
      <c r="AC40" s="444">
        <f t="shared" si="28"/>
        <v>1.1953320640220586</v>
      </c>
      <c r="AD40" s="444">
        <f t="shared" si="28"/>
        <v>1.2132975524316381</v>
      </c>
      <c r="AE40" s="444">
        <f t="shared" si="28"/>
        <v>1.2303264513980641</v>
      </c>
      <c r="AF40" s="444">
        <f t="shared" si="28"/>
        <v>1.2464675878591314</v>
      </c>
      <c r="AG40" s="444">
        <f t="shared" si="28"/>
        <v>1.2617672432724651</v>
      </c>
      <c r="AH40" s="444">
        <f t="shared" si="28"/>
        <v>1.2762692863182792</v>
      </c>
      <c r="AI40" s="444">
        <f t="shared" si="28"/>
        <v>1.2900152986839797</v>
      </c>
      <c r="AJ40" s="444">
        <f t="shared" si="28"/>
        <v>1.3030446942912788</v>
      </c>
      <c r="AK40" s="444">
        <f t="shared" si="28"/>
        <v>1.3153948323076761</v>
      </c>
      <c r="AL40" s="444">
        <f t="shared" si="28"/>
        <v>1.3271011242663464</v>
      </c>
      <c r="AM40" s="444">
        <f t="shared" si="28"/>
        <v>1.3381971356015789</v>
      </c>
      <c r="AN40" s="444">
        <f t="shared" si="28"/>
        <v>1.3487146818908988</v>
      </c>
      <c r="AO40" s="444">
        <f t="shared" si="28"/>
        <v>1.3586839200798277</v>
      </c>
      <c r="AP40" s="444">
        <f t="shared" si="28"/>
        <v>1.3681334349508505</v>
      </c>
      <c r="AQ40" s="444">
        <f t="shared" si="28"/>
        <v>1.3770903210845213</v>
      </c>
      <c r="AR40" s="444">
        <f t="shared" si="28"/>
        <v>1.3855802605477163</v>
      </c>
      <c r="AS40" s="444">
        <f t="shared" si="28"/>
        <v>1.3936275965317875</v>
      </c>
      <c r="AT40" s="444">
        <f t="shared" si="28"/>
        <v>1.4012554031517601</v>
      </c>
      <c r="AU40" s="444">
        <f t="shared" si="28"/>
        <v>1.4084855516067105</v>
      </c>
      <c r="AV40" s="444">
        <f t="shared" si="28"/>
        <v>1.4153387728910236</v>
      </c>
      <c r="AW40" s="444">
        <f t="shared" si="28"/>
        <v>1.4218347172363441</v>
      </c>
      <c r="AX40" s="444">
        <f t="shared" si="28"/>
        <v>1.4279920104546575</v>
      </c>
      <c r="AY40" s="445">
        <f t="shared" si="28"/>
        <v>1.4338283073440541</v>
      </c>
    </row>
    <row r="41" spans="1:51">
      <c r="A41" s="446" t="s">
        <v>2956</v>
      </c>
      <c r="B41" s="450">
        <f t="shared" si="27"/>
        <v>83.142880157899583</v>
      </c>
      <c r="C41" s="451">
        <f t="shared" si="28"/>
        <v>168.53441057976141</v>
      </c>
      <c r="D41" s="451">
        <f t="shared" si="28"/>
        <v>255.33713327310039</v>
      </c>
      <c r="E41" s="451">
        <f t="shared" si="28"/>
        <v>342.85019038251738</v>
      </c>
      <c r="F41" s="451">
        <f t="shared" si="28"/>
        <v>430.46720059461694</v>
      </c>
      <c r="G41" s="451">
        <f t="shared" si="28"/>
        <v>517.67458334521405</v>
      </c>
      <c r="H41" s="451">
        <f t="shared" si="28"/>
        <v>604.04866016790231</v>
      </c>
      <c r="I41" s="451">
        <f t="shared" si="28"/>
        <v>689.22294077369145</v>
      </c>
      <c r="J41" s="451">
        <f t="shared" si="28"/>
        <v>772.90319960289992</v>
      </c>
      <c r="K41" s="451">
        <f t="shared" si="28"/>
        <v>854.84525147923114</v>
      </c>
      <c r="L41" s="451">
        <f t="shared" si="28"/>
        <v>934.84935653622915</v>
      </c>
      <c r="M41" s="451">
        <f t="shared" si="28"/>
        <v>1012.7609731846534</v>
      </c>
      <c r="N41" s="451">
        <f t="shared" si="28"/>
        <v>1086.6108467850554</v>
      </c>
      <c r="O41" s="451">
        <f t="shared" si="28"/>
        <v>1156.61072697501</v>
      </c>
      <c r="P41" s="451">
        <f t="shared" si="28"/>
        <v>1222.96132431146</v>
      </c>
      <c r="Q41" s="451">
        <f t="shared" si="28"/>
        <v>1285.8528857678107</v>
      </c>
      <c r="R41" s="451">
        <f t="shared" si="28"/>
        <v>1345.4657402288062</v>
      </c>
      <c r="S41" s="451">
        <f t="shared" si="28"/>
        <v>1401.9708155472856</v>
      </c>
      <c r="T41" s="451">
        <f t="shared" si="28"/>
        <v>1455.5301286453703</v>
      </c>
      <c r="U41" s="451">
        <f t="shared" si="28"/>
        <v>1506.2972500653557</v>
      </c>
      <c r="V41" s="451">
        <f t="shared" si="28"/>
        <v>1554.4177443023086</v>
      </c>
      <c r="W41" s="451">
        <f t="shared" si="28"/>
        <v>1600.0295871809371</v>
      </c>
      <c r="X41" s="451">
        <f t="shared" si="28"/>
        <v>1643.2635614734759</v>
      </c>
      <c r="Y41" s="451">
        <f t="shared" si="28"/>
        <v>1684.243631892944</v>
      </c>
      <c r="Z41" s="451">
        <f t="shared" si="28"/>
        <v>1723.0873005369897</v>
      </c>
      <c r="AA41" s="451">
        <f t="shared" si="28"/>
        <v>1759.9059438014879</v>
      </c>
      <c r="AB41" s="451">
        <f t="shared" si="28"/>
        <v>1794.8051317299221</v>
      </c>
      <c r="AC41" s="451">
        <f t="shared" si="28"/>
        <v>1827.88493071422</v>
      </c>
      <c r="AD41" s="451">
        <f t="shared" si="28"/>
        <v>1859.2401904149763</v>
      </c>
      <c r="AE41" s="451">
        <f t="shared" si="28"/>
        <v>1888.9608157237501</v>
      </c>
      <c r="AF41" s="451">
        <f t="shared" si="28"/>
        <v>1917.1320245472323</v>
      </c>
      <c r="AG41" s="451">
        <f t="shared" si="28"/>
        <v>1943.8345921524287</v>
      </c>
      <c r="AH41" s="451">
        <f t="shared" si="28"/>
        <v>1969.1450827734679</v>
      </c>
      <c r="AI41" s="451">
        <f t="shared" si="28"/>
        <v>1993.1360691441214</v>
      </c>
      <c r="AJ41" s="451">
        <f t="shared" si="28"/>
        <v>2015.8763405854991</v>
      </c>
      <c r="AK41" s="451">
        <f t="shared" si="28"/>
        <v>2037.4311002455727</v>
      </c>
      <c r="AL41" s="451">
        <f t="shared" si="28"/>
        <v>2057.8621520560691</v>
      </c>
      <c r="AM41" s="451">
        <f t="shared" si="28"/>
        <v>2077.2280779427956</v>
      </c>
      <c r="AN41" s="451">
        <f t="shared" si="28"/>
        <v>2095.5844057975123</v>
      </c>
      <c r="AO41" s="451">
        <f t="shared" si="28"/>
        <v>2112.9837686929786</v>
      </c>
      <c r="AP41" s="451">
        <f t="shared" si="28"/>
        <v>2129.4760557976861</v>
      </c>
      <c r="AQ41" s="451">
        <f t="shared" si="28"/>
        <v>2145.1085554230012</v>
      </c>
      <c r="AR41" s="451">
        <f t="shared" si="28"/>
        <v>2159.9260906128734</v>
      </c>
      <c r="AS41" s="451">
        <f t="shared" si="28"/>
        <v>2173.9711476648849</v>
      </c>
      <c r="AT41" s="451">
        <f t="shared" si="28"/>
        <v>2187.2839979511518</v>
      </c>
      <c r="AU41" s="451">
        <f t="shared" si="28"/>
        <v>2199.9028133883717</v>
      </c>
      <c r="AV41" s="451">
        <f t="shared" si="28"/>
        <v>2211.8637758881059</v>
      </c>
      <c r="AW41" s="451">
        <f t="shared" si="28"/>
        <v>2223.2011811011243</v>
      </c>
      <c r="AX41" s="451">
        <f t="shared" si="28"/>
        <v>2233.9475367532746</v>
      </c>
      <c r="AY41" s="452">
        <f t="shared" si="28"/>
        <v>2244.1336558548387</v>
      </c>
    </row>
    <row r="42" spans="1:51">
      <c r="A42" s="446" t="s">
        <v>2957</v>
      </c>
      <c r="B42" s="450">
        <f t="shared" si="27"/>
        <v>9.9695080143101027</v>
      </c>
      <c r="C42" s="451">
        <f t="shared" si="28"/>
        <v>19.207027936485396</v>
      </c>
      <c r="D42" s="451">
        <f t="shared" si="28"/>
        <v>27.770532681796588</v>
      </c>
      <c r="E42" s="451">
        <f t="shared" si="28"/>
        <v>35.887598791096295</v>
      </c>
      <c r="F42" s="451">
        <f t="shared" si="28"/>
        <v>43.581500316498861</v>
      </c>
      <c r="G42" s="451">
        <f t="shared" si="28"/>
        <v>50.874297970908877</v>
      </c>
      <c r="H42" s="451">
        <f t="shared" si="28"/>
        <v>57.843389446302268</v>
      </c>
      <c r="I42" s="451">
        <f t="shared" si="28"/>
        <v>64.496012816984674</v>
      </c>
      <c r="J42" s="451">
        <f t="shared" si="28"/>
        <v>70.852567898586869</v>
      </c>
      <c r="K42" s="451">
        <f t="shared" si="28"/>
        <v>76.877738592048672</v>
      </c>
      <c r="L42" s="451">
        <f t="shared" si="28"/>
        <v>82.588800860732846</v>
      </c>
      <c r="M42" s="451">
        <f t="shared" si="28"/>
        <v>88.002130025362391</v>
      </c>
      <c r="N42" s="451">
        <f t="shared" si="28"/>
        <v>93.133247716954372</v>
      </c>
      <c r="O42" s="451">
        <f t="shared" si="28"/>
        <v>97.996866381970477</v>
      </c>
      <c r="P42" s="451">
        <f t="shared" si="28"/>
        <v>102.60693146729379</v>
      </c>
      <c r="Q42" s="451">
        <f t="shared" si="28"/>
        <v>106.97666140598888</v>
      </c>
      <c r="R42" s="451">
        <f t="shared" si="28"/>
        <v>111.11858551849608</v>
      </c>
      <c r="S42" s="451">
        <f t="shared" si="28"/>
        <v>115.04457993793417</v>
      </c>
      <c r="T42" s="451">
        <f t="shared" si="28"/>
        <v>118.76590166252005</v>
      </c>
      <c r="U42" s="451">
        <f t="shared" si="28"/>
        <v>122.29322083274363</v>
      </c>
      <c r="V42" s="451">
        <f t="shared" si="28"/>
        <v>125.63665132584654</v>
      </c>
      <c r="W42" s="451">
        <f t="shared" si="28"/>
        <v>128.80577975532799</v>
      </c>
      <c r="X42" s="451">
        <f t="shared" si="28"/>
        <v>131.80969295862792</v>
      </c>
      <c r="Y42" s="451">
        <f t="shared" si="28"/>
        <v>134.65700405180323</v>
      </c>
      <c r="Z42" s="451">
        <f t="shared" si="28"/>
        <v>137.35587712590305</v>
      </c>
      <c r="AA42" s="451">
        <f t="shared" si="28"/>
        <v>139.91405065585548</v>
      </c>
      <c r="AB42" s="451">
        <f t="shared" si="28"/>
        <v>142.33885968898574</v>
      </c>
      <c r="AC42" s="451">
        <f t="shared" si="28"/>
        <v>144.63725687678692</v>
      </c>
      <c r="AD42" s="451">
        <f t="shared" si="28"/>
        <v>146.81583241024776</v>
      </c>
      <c r="AE42" s="451">
        <f t="shared" si="28"/>
        <v>148.88083291589786</v>
      </c>
      <c r="AF42" s="451">
        <f t="shared" si="28"/>
        <v>150.83817936675104</v>
      </c>
      <c r="AG42" s="451">
        <f t="shared" si="28"/>
        <v>152.69348405950285</v>
      </c>
      <c r="AH42" s="451">
        <f t="shared" si="28"/>
        <v>154.45206670666099</v>
      </c>
      <c r="AI42" s="451">
        <f t="shared" si="28"/>
        <v>156.11896968974926</v>
      </c>
      <c r="AJ42" s="451">
        <f t="shared" si="28"/>
        <v>157.6989725173211</v>
      </c>
      <c r="AK42" s="451">
        <f t="shared" si="28"/>
        <v>159.1966055292375</v>
      </c>
      <c r="AL42" s="451">
        <f t="shared" si="28"/>
        <v>160.61616288650424</v>
      </c>
      <c r="AM42" s="451">
        <f t="shared" si="28"/>
        <v>161.96171488391349</v>
      </c>
      <c r="AN42" s="451">
        <f t="shared" si="28"/>
        <v>163.23711962079429</v>
      </c>
      <c r="AO42" s="451">
        <f t="shared" si="28"/>
        <v>164.44603406333533</v>
      </c>
      <c r="AP42" s="451">
        <f t="shared" si="28"/>
        <v>165.59192453019887</v>
      </c>
      <c r="AQ42" s="451">
        <f t="shared" si="28"/>
        <v>166.67807663149134</v>
      </c>
      <c r="AR42" s="451">
        <f t="shared" si="28"/>
        <v>167.70760468958846</v>
      </c>
      <c r="AS42" s="451">
        <f t="shared" si="28"/>
        <v>168.68346066882745</v>
      </c>
      <c r="AT42" s="451">
        <f t="shared" si="28"/>
        <v>169.60844263967007</v>
      </c>
      <c r="AU42" s="451">
        <f t="shared" si="28"/>
        <v>170.48520280160622</v>
      </c>
      <c r="AV42" s="451">
        <f t="shared" si="28"/>
        <v>171.31625508780161</v>
      </c>
      <c r="AW42" s="451">
        <f t="shared" si="28"/>
        <v>172.10398237329488</v>
      </c>
      <c r="AX42" s="451">
        <f t="shared" si="28"/>
        <v>172.85064330741173</v>
      </c>
      <c r="AY42" s="452">
        <f t="shared" si="28"/>
        <v>173.55837878998693</v>
      </c>
    </row>
    <row r="43" spans="1:51">
      <c r="A43" s="446" t="s">
        <v>2958</v>
      </c>
      <c r="B43" s="450">
        <f t="shared" si="27"/>
        <v>9.2028100102799062</v>
      </c>
      <c r="C43" s="451">
        <f t="shared" si="28"/>
        <v>17.724368306785436</v>
      </c>
      <c r="D43" s="451">
        <f t="shared" si="28"/>
        <v>25.614338971004738</v>
      </c>
      <c r="E43" s="451">
        <f t="shared" si="28"/>
        <v>33.092984150359527</v>
      </c>
      <c r="F43" s="451">
        <f t="shared" si="28"/>
        <v>40.181747353539421</v>
      </c>
      <c r="G43" s="451">
        <f t="shared" si="28"/>
        <v>46.900954181198088</v>
      </c>
      <c r="H43" s="451">
        <f t="shared" si="28"/>
        <v>53.322238820759729</v>
      </c>
      <c r="I43" s="451">
        <f t="shared" si="28"/>
        <v>59.509156246227533</v>
      </c>
      <c r="J43" s="451">
        <f t="shared" si="28"/>
        <v>65.373532952832093</v>
      </c>
      <c r="K43" s="451">
        <f t="shared" si="28"/>
        <v>70.932183859566265</v>
      </c>
      <c r="L43" s="451">
        <f t="shared" si="28"/>
        <v>76.201047278271645</v>
      </c>
      <c r="M43" s="451">
        <f t="shared" si="28"/>
        <v>81.195230613537404</v>
      </c>
      <c r="N43" s="451">
        <f t="shared" si="28"/>
        <v>85.929053680140029</v>
      </c>
      <c r="O43" s="451">
        <f t="shared" si="28"/>
        <v>90.416089762227827</v>
      </c>
      <c r="P43" s="451">
        <f t="shared" si="28"/>
        <v>94.66920453197929</v>
      </c>
      <c r="Q43" s="451">
        <f t="shared" si="28"/>
        <v>98.70059293932664</v>
      </c>
      <c r="R43" s="451">
        <f t="shared" si="28"/>
        <v>102.52181417851845</v>
      </c>
      <c r="S43" s="451">
        <f t="shared" si="28"/>
        <v>106.14382483178083</v>
      </c>
      <c r="T43" s="451">
        <f t="shared" si="28"/>
        <v>109.57701028511011</v>
      </c>
      <c r="U43" s="451">
        <f t="shared" si="28"/>
        <v>112.83121450627529</v>
      </c>
      <c r="V43" s="451">
        <f t="shared" si="28"/>
        <v>115.9157682704129</v>
      </c>
      <c r="W43" s="451">
        <f t="shared" si="28"/>
        <v>118.83951591414524</v>
      </c>
      <c r="X43" s="451">
        <f t="shared" si="28"/>
        <v>121.61084069493418</v>
      </c>
      <c r="Y43" s="451">
        <f t="shared" si="28"/>
        <v>124.23768882838341</v>
      </c>
      <c r="Z43" s="451">
        <f t="shared" si="28"/>
        <v>126.72759227241113</v>
      </c>
      <c r="AA43" s="451">
        <f t="shared" si="28"/>
        <v>129.08769032362224</v>
      </c>
      <c r="AB43" s="451">
        <f t="shared" si="28"/>
        <v>131.32475008780338</v>
      </c>
      <c r="AC43" s="451">
        <f t="shared" si="28"/>
        <v>133.44518588323575</v>
      </c>
      <c r="AD43" s="451">
        <f t="shared" si="28"/>
        <v>135.45507763246073</v>
      </c>
      <c r="AE43" s="451">
        <f t="shared" si="28"/>
        <v>137.36018829523323</v>
      </c>
      <c r="AF43" s="451">
        <f t="shared" si="28"/>
        <v>139.16598039264792</v>
      </c>
      <c r="AG43" s="451">
        <f t="shared" si="28"/>
        <v>140.87763166981824</v>
      </c>
      <c r="AH43" s="451">
        <f t="shared" si="28"/>
        <v>142.5000499420176</v>
      </c>
      <c r="AI43" s="451">
        <f t="shared" si="28"/>
        <v>144.03788716685111</v>
      </c>
      <c r="AJ43" s="451">
        <f t="shared" si="28"/>
        <v>145.49555278280704</v>
      </c>
      <c r="AK43" s="451">
        <f t="shared" si="28"/>
        <v>146.87722635243352</v>
      </c>
      <c r="AL43" s="451">
        <f t="shared" si="28"/>
        <v>148.18686954639227</v>
      </c>
      <c r="AM43" s="451">
        <f t="shared" si="28"/>
        <v>149.42823750275127</v>
      </c>
      <c r="AN43" s="451">
        <f t="shared" si="28"/>
        <v>150.60488959408681</v>
      </c>
      <c r="AO43" s="451">
        <f t="shared" si="28"/>
        <v>151.72019963326744</v>
      </c>
      <c r="AP43" s="451">
        <f t="shared" si="28"/>
        <v>152.77736554718271</v>
      </c>
      <c r="AQ43" s="451">
        <f t="shared" si="28"/>
        <v>153.77941854615455</v>
      </c>
      <c r="AR43" s="451">
        <f t="shared" si="28"/>
        <v>154.72923181532215</v>
      </c>
      <c r="AS43" s="451">
        <f t="shared" si="28"/>
        <v>155.62952875292177</v>
      </c>
      <c r="AT43" s="451">
        <f t="shared" si="28"/>
        <v>156.48289077908257</v>
      </c>
      <c r="AU43" s="451">
        <f t="shared" si="28"/>
        <v>157.29176473752881</v>
      </c>
      <c r="AV43" s="451">
        <f t="shared" si="28"/>
        <v>158.05846991141149</v>
      </c>
      <c r="AW43" s="451">
        <f t="shared" si="28"/>
        <v>158.78520467338561</v>
      </c>
      <c r="AX43" s="451">
        <f t="shared" si="28"/>
        <v>159.47405278900089</v>
      </c>
      <c r="AY43" s="452">
        <f t="shared" si="28"/>
        <v>160.12698939147984</v>
      </c>
    </row>
    <row r="44" spans="1:51">
      <c r="A44" s="446" t="s">
        <v>2959</v>
      </c>
      <c r="B44" s="450">
        <f t="shared" si="27"/>
        <v>7.0689328859713552</v>
      </c>
      <c r="C44" s="451">
        <f t="shared" si="28"/>
        <v>14.369698136716529</v>
      </c>
      <c r="D44" s="451">
        <f t="shared" si="28"/>
        <v>21.541967331637562</v>
      </c>
      <c r="E44" s="451">
        <f t="shared" si="28"/>
        <v>28.51267627318699</v>
      </c>
      <c r="F44" s="451">
        <f t="shared" si="28"/>
        <v>35.250642077004798</v>
      </c>
      <c r="G44" s="451">
        <f t="shared" si="28"/>
        <v>41.746987388541662</v>
      </c>
      <c r="H44" s="451">
        <f t="shared" si="28"/>
        <v>47.980700711127561</v>
      </c>
      <c r="I44" s="451">
        <f t="shared" si="28"/>
        <v>53.925864208141782</v>
      </c>
      <c r="J44" s="451">
        <f t="shared" si="28"/>
        <v>59.641723748881354</v>
      </c>
      <c r="K44" s="451">
        <f t="shared" si="28"/>
        <v>65.083644011797688</v>
      </c>
      <c r="L44" s="451">
        <f t="shared" si="28"/>
        <v>70.302178243051259</v>
      </c>
      <c r="M44" s="451">
        <f t="shared" si="28"/>
        <v>75.296787022973902</v>
      </c>
      <c r="N44" s="451">
        <f t="shared" si="28"/>
        <v>80.02975889547298</v>
      </c>
      <c r="O44" s="451">
        <f t="shared" si="28"/>
        <v>84.55046652586843</v>
      </c>
      <c r="P44" s="451">
        <f t="shared" si="28"/>
        <v>88.867652559080511</v>
      </c>
      <c r="Q44" s="451">
        <f t="shared" si="28"/>
        <v>92.986957075656932</v>
      </c>
      <c r="R44" s="451">
        <f t="shared" si="28"/>
        <v>96.884761614834133</v>
      </c>
      <c r="S44" s="451">
        <f t="shared" si="28"/>
        <v>100.57041386849632</v>
      </c>
      <c r="T44" s="451">
        <f t="shared" si="28"/>
        <v>104.05103570691571</v>
      </c>
      <c r="U44" s="451">
        <f t="shared" si="28"/>
        <v>107.35020332627059</v>
      </c>
      <c r="V44" s="451">
        <f t="shared" si="28"/>
        <v>110.47737642518516</v>
      </c>
      <c r="W44" s="451">
        <f t="shared" si="28"/>
        <v>113.44152154263973</v>
      </c>
      <c r="X44" s="451">
        <f t="shared" si="28"/>
        <v>116.25113776771516</v>
      </c>
      <c r="Y44" s="451">
        <f t="shared" si="28"/>
        <v>118.91428110901889</v>
      </c>
      <c r="Z44" s="451">
        <f t="shared" si="28"/>
        <v>121.43858759366697</v>
      </c>
      <c r="AA44" s="451">
        <f t="shared" si="28"/>
        <v>123.83129516205376</v>
      </c>
      <c r="AB44" s="451">
        <f t="shared" si="28"/>
        <v>126.09926442118817</v>
      </c>
      <c r="AC44" s="451">
        <f t="shared" si="28"/>
        <v>128.2489983161023</v>
      </c>
      <c r="AD44" s="451">
        <f t="shared" si="28"/>
        <v>130.28666077573655</v>
      </c>
      <c r="AE44" s="451">
        <f t="shared" si="28"/>
        <v>132.21809438676428</v>
      </c>
      <c r="AF44" s="451">
        <f t="shared" si="28"/>
        <v>134.04883714603227</v>
      </c>
      <c r="AG44" s="451">
        <f t="shared" si="28"/>
        <v>135.78413833965121</v>
      </c>
      <c r="AH44" s="451">
        <f t="shared" si="28"/>
        <v>137.42897359426632</v>
      </c>
      <c r="AI44" s="451">
        <f t="shared" si="28"/>
        <v>138.98805914366454</v>
      </c>
      <c r="AJ44" s="451">
        <f t="shared" si="28"/>
        <v>140.46586535162493</v>
      </c>
      <c r="AK44" s="451">
        <f t="shared" si="28"/>
        <v>141.86662952978642</v>
      </c>
      <c r="AL44" s="451">
        <f t="shared" si="28"/>
        <v>143.19436808728548</v>
      </c>
      <c r="AM44" s="451">
        <f t="shared" si="28"/>
        <v>144.45288804700024</v>
      </c>
      <c r="AN44" s="451">
        <f t="shared" si="28"/>
        <v>145.64579796142181</v>
      </c>
      <c r="AO44" s="451">
        <f t="shared" si="28"/>
        <v>146.77651825945173</v>
      </c>
      <c r="AP44" s="451">
        <f t="shared" si="28"/>
        <v>147.84829105379288</v>
      </c>
      <c r="AQ44" s="451">
        <f t="shared" si="28"/>
        <v>148.86418943705462</v>
      </c>
      <c r="AR44" s="451">
        <f t="shared" si="28"/>
        <v>149.82712629322691</v>
      </c>
      <c r="AS44" s="451">
        <f t="shared" si="28"/>
        <v>150.73986264978831</v>
      </c>
      <c r="AT44" s="451">
        <f t="shared" si="28"/>
        <v>151.60501559439626</v>
      </c>
      <c r="AU44" s="451">
        <f t="shared" si="28"/>
        <v>152.42506577885879</v>
      </c>
      <c r="AV44" s="451">
        <f t="shared" si="28"/>
        <v>153.20236453190384</v>
      </c>
      <c r="AW44" s="451">
        <f t="shared" si="28"/>
        <v>153.93914060114085</v>
      </c>
      <c r="AX44" s="451">
        <f t="shared" si="28"/>
        <v>154.63750654354561</v>
      </c>
      <c r="AY44" s="452">
        <f t="shared" si="28"/>
        <v>155.29946478279183</v>
      </c>
    </row>
    <row r="45" spans="1:51">
      <c r="A45" s="446" t="s">
        <v>2938</v>
      </c>
      <c r="B45" s="447">
        <f t="shared" si="27"/>
        <v>6.1141123369011178E-3</v>
      </c>
      <c r="C45" s="448">
        <f t="shared" si="28"/>
        <v>1.1835653147838862E-2</v>
      </c>
      <c r="D45" s="448">
        <f t="shared" si="28"/>
        <v>1.718893701314065E-2</v>
      </c>
      <c r="E45" s="448">
        <f t="shared" si="28"/>
        <v>2.2163645558166009E-2</v>
      </c>
      <c r="F45" s="448">
        <f t="shared" si="28"/>
        <v>2.6784701836957338E-2</v>
      </c>
      <c r="G45" s="448">
        <f t="shared" si="28"/>
        <v>3.1082908421834338E-2</v>
      </c>
      <c r="H45" s="448">
        <f t="shared" si="28"/>
        <v>3.5157037886172721E-2</v>
      </c>
      <c r="I45" s="448">
        <f t="shared" si="28"/>
        <v>3.9012079195542004E-2</v>
      </c>
      <c r="J45" s="448">
        <f t="shared" si="28"/>
        <v>4.2666146787361234E-2</v>
      </c>
      <c r="K45" s="448">
        <f t="shared" si="28"/>
        <v>4.6123704820036415E-2</v>
      </c>
      <c r="L45" s="448">
        <f t="shared" si="28"/>
        <v>4.9401011012145592E-2</v>
      </c>
      <c r="M45" s="448">
        <f t="shared" ref="M45:AY47" si="29">(M34/(1+$C$3)^(M$16-0.5)+L45)</f>
        <v>5.2507462379073722E-2</v>
      </c>
      <c r="N45" s="448">
        <f t="shared" si="29"/>
        <v>5.5446845168468734E-2</v>
      </c>
      <c r="O45" s="448">
        <f t="shared" si="29"/>
        <v>5.8232989992539834E-2</v>
      </c>
      <c r="P45" s="448">
        <f t="shared" si="29"/>
        <v>6.0869284697021131E-2</v>
      </c>
      <c r="Q45" s="448">
        <f t="shared" si="29"/>
        <v>6.3368142236813835E-2</v>
      </c>
      <c r="R45" s="448">
        <f t="shared" si="29"/>
        <v>6.5736727582588902E-2</v>
      </c>
      <c r="S45" s="448">
        <f t="shared" si="29"/>
        <v>6.7981832175740636E-2</v>
      </c>
      <c r="T45" s="448">
        <f t="shared" si="29"/>
        <v>7.0109893401476872E-2</v>
      </c>
      <c r="U45" s="448">
        <f t="shared" si="29"/>
        <v>7.2127013046724489E-2</v>
      </c>
      <c r="V45" s="448">
        <f t="shared" si="29"/>
        <v>7.4038974795774357E-2</v>
      </c>
      <c r="W45" s="448">
        <f t="shared" si="29"/>
        <v>7.5851260813831103E-2</v>
      </c>
      <c r="X45" s="448">
        <f t="shared" si="29"/>
        <v>7.7569067466017591E-2</v>
      </c>
      <c r="Y45" s="448">
        <f t="shared" si="29"/>
        <v>7.9197320216905259E-2</v>
      </c>
      <c r="Z45" s="448">
        <f t="shared" si="29"/>
        <v>8.0740687753291684E-2</v>
      </c>
      <c r="AA45" s="448">
        <f t="shared" si="29"/>
        <v>8.220359537071957E-2</v>
      </c>
      <c r="AB45" s="448">
        <f t="shared" si="29"/>
        <v>8.3590237662120412E-2</v>
      </c>
      <c r="AC45" s="448">
        <f t="shared" si="29"/>
        <v>8.4904590544964811E-2</v>
      </c>
      <c r="AD45" s="448">
        <f t="shared" si="29"/>
        <v>8.6150422661405004E-2</v>
      </c>
      <c r="AE45" s="448">
        <f t="shared" si="29"/>
        <v>8.7331306184097124E-2</v>
      </c>
      <c r="AF45" s="448">
        <f t="shared" si="29"/>
        <v>8.8450627058686809E-2</v>
      </c>
      <c r="AG45" s="448">
        <f t="shared" si="29"/>
        <v>8.9511594712326323E-2</v>
      </c>
      <c r="AH45" s="448">
        <f t="shared" si="29"/>
        <v>9.0517251256060458E-2</v>
      </c>
      <c r="AI45" s="448">
        <f t="shared" si="29"/>
        <v>9.1470480207467217E-2</v>
      </c>
      <c r="AJ45" s="448">
        <f t="shared" si="29"/>
        <v>9.2374014758563674E-2</v>
      </c>
      <c r="AK45" s="448">
        <f t="shared" si="29"/>
        <v>9.3230445612683538E-2</v>
      </c>
      <c r="AL45" s="448">
        <f t="shared" si="29"/>
        <v>9.4042228412797163E-2</v>
      </c>
      <c r="AM45" s="448">
        <f t="shared" si="29"/>
        <v>9.4811690782573108E-2</v>
      </c>
      <c r="AN45" s="448">
        <f t="shared" si="29"/>
        <v>9.5541039000370212E-2</v>
      </c>
      <c r="AO45" s="448">
        <f t="shared" si="29"/>
        <v>9.6232364325296374E-2</v>
      </c>
      <c r="AP45" s="448">
        <f t="shared" si="29"/>
        <v>9.6887648993472825E-2</v>
      </c>
      <c r="AQ45" s="448">
        <f t="shared" si="29"/>
        <v>9.7508771901696961E-2</v>
      </c>
      <c r="AR45" s="448">
        <f t="shared" si="29"/>
        <v>9.8097513994800406E-2</v>
      </c>
      <c r="AS45" s="448">
        <f t="shared" si="29"/>
        <v>9.8655563372149632E-2</v>
      </c>
      <c r="AT45" s="448">
        <f t="shared" si="29"/>
        <v>9.91845201279309E-2</v>
      </c>
      <c r="AU45" s="448">
        <f t="shared" si="29"/>
        <v>9.9685900939097974E-2</v>
      </c>
      <c r="AV45" s="448">
        <f t="shared" si="29"/>
        <v>0.10016114341413786</v>
      </c>
      <c r="AW45" s="448">
        <f t="shared" si="29"/>
        <v>0.10061161021512352</v>
      </c>
      <c r="AX45" s="448">
        <f t="shared" si="29"/>
        <v>0.10103859296487297</v>
      </c>
      <c r="AY45" s="449">
        <f t="shared" si="29"/>
        <v>0.10144331595041747</v>
      </c>
    </row>
    <row r="46" spans="1:51">
      <c r="A46" s="446" t="s">
        <v>2939</v>
      </c>
      <c r="B46" s="450">
        <f t="shared" si="27"/>
        <v>0.85432063306221828</v>
      </c>
      <c r="C46" s="451">
        <f t="shared" ref="C46:L47" si="30">(C35/(1+$C$3)^(C$16-0.5)+B46)</f>
        <v>1.6641032236425202</v>
      </c>
      <c r="D46" s="451">
        <f t="shared" si="30"/>
        <v>2.4316696602115266</v>
      </c>
      <c r="E46" s="451">
        <f t="shared" si="30"/>
        <v>3.1592207849214855</v>
      </c>
      <c r="F46" s="451">
        <f t="shared" si="30"/>
        <v>3.8488427040778443</v>
      </c>
      <c r="G46" s="451">
        <f t="shared" si="30"/>
        <v>4.502512769628896</v>
      </c>
      <c r="H46" s="451">
        <f t="shared" si="30"/>
        <v>5.1221052488242051</v>
      </c>
      <c r="I46" s="451">
        <f t="shared" si="30"/>
        <v>5.7093966982984323</v>
      </c>
      <c r="J46" s="451">
        <f t="shared" si="30"/>
        <v>6.2660710579896426</v>
      </c>
      <c r="K46" s="451">
        <f t="shared" si="30"/>
        <v>6.7937244794978984</v>
      </c>
      <c r="L46" s="451">
        <f t="shared" si="30"/>
        <v>7.2938699027284732</v>
      </c>
      <c r="M46" s="451">
        <f t="shared" si="29"/>
        <v>7.7679413939422881</v>
      </c>
      <c r="N46" s="451">
        <f t="shared" si="29"/>
        <v>8.2172982576520646</v>
      </c>
      <c r="O46" s="451">
        <f t="shared" si="29"/>
        <v>8.643228934154223</v>
      </c>
      <c r="P46" s="451">
        <f t="shared" si="29"/>
        <v>9.0469546938719088</v>
      </c>
      <c r="Q46" s="451">
        <f t="shared" si="29"/>
        <v>9.4296331391019432</v>
      </c>
      <c r="R46" s="451">
        <f t="shared" si="29"/>
        <v>9.7923615232062406</v>
      </c>
      <c r="S46" s="451">
        <f t="shared" si="29"/>
        <v>10.136179896764817</v>
      </c>
      <c r="T46" s="451">
        <f t="shared" si="29"/>
        <v>10.462074089711335</v>
      </c>
      <c r="U46" s="451">
        <f t="shared" si="29"/>
        <v>10.770978538001872</v>
      </c>
      <c r="V46" s="451">
        <f t="shared" si="29"/>
        <v>11.063778962921813</v>
      </c>
      <c r="W46" s="451">
        <f t="shared" si="29"/>
        <v>11.341314910713226</v>
      </c>
      <c r="X46" s="451">
        <f t="shared" si="29"/>
        <v>11.604382159804613</v>
      </c>
      <c r="Y46" s="451">
        <f t="shared" si="29"/>
        <v>11.853735002545264</v>
      </c>
      <c r="Z46" s="451">
        <f t="shared" si="29"/>
        <v>12.09008840798664</v>
      </c>
      <c r="AA46" s="451">
        <f t="shared" si="29"/>
        <v>12.314120071912114</v>
      </c>
      <c r="AB46" s="451">
        <f t="shared" si="29"/>
        <v>12.526472359993132</v>
      </c>
      <c r="AC46" s="451">
        <f t="shared" si="29"/>
        <v>12.727754149643387</v>
      </c>
      <c r="AD46" s="451">
        <f t="shared" si="29"/>
        <v>12.918542575852159</v>
      </c>
      <c r="AE46" s="451">
        <f t="shared" si="29"/>
        <v>13.099384686002654</v>
      </c>
      <c r="AF46" s="451">
        <f t="shared" si="29"/>
        <v>13.270799008420186</v>
      </c>
      <c r="AG46" s="451">
        <f t="shared" si="29"/>
        <v>13.433277039147702</v>
      </c>
      <c r="AH46" s="451">
        <f t="shared" si="29"/>
        <v>13.5872846512117</v>
      </c>
      <c r="AI46" s="451">
        <f t="shared" si="29"/>
        <v>13.73326343041928</v>
      </c>
      <c r="AJ46" s="451">
        <f t="shared" si="29"/>
        <v>13.871631941516512</v>
      </c>
      <c r="AK46" s="451">
        <f t="shared" si="29"/>
        <v>14.002786928338534</v>
      </c>
      <c r="AL46" s="451">
        <f t="shared" si="29"/>
        <v>14.127104451392583</v>
      </c>
      <c r="AM46" s="451">
        <f t="shared" si="29"/>
        <v>14.244940966135758</v>
      </c>
      <c r="AN46" s="451">
        <f t="shared" si="29"/>
        <v>14.356634345039241</v>
      </c>
      <c r="AO46" s="451">
        <f t="shared" si="29"/>
        <v>14.462504846369557</v>
      </c>
      <c r="AP46" s="451">
        <f t="shared" si="29"/>
        <v>14.562856032464643</v>
      </c>
      <c r="AQ46" s="451">
        <f t="shared" si="29"/>
        <v>14.65797564013771</v>
      </c>
      <c r="AR46" s="451">
        <f t="shared" si="29"/>
        <v>14.748136405704599</v>
      </c>
      <c r="AS46" s="451">
        <f t="shared" si="29"/>
        <v>14.833596847000228</v>
      </c>
      <c r="AT46" s="451">
        <f t="shared" si="29"/>
        <v>14.914602004626417</v>
      </c>
      <c r="AU46" s="451">
        <f t="shared" si="29"/>
        <v>14.991384144556454</v>
      </c>
      <c r="AV46" s="451">
        <f t="shared" si="29"/>
        <v>15.064163424110991</v>
      </c>
      <c r="AW46" s="451">
        <f t="shared" si="29"/>
        <v>15.133148523214818</v>
      </c>
      <c r="AX46" s="451">
        <f t="shared" si="29"/>
        <v>15.198537242744511</v>
      </c>
      <c r="AY46" s="452">
        <f t="shared" si="29"/>
        <v>15.260517071682608</v>
      </c>
    </row>
    <row r="47" spans="1:51" ht="12.75" thickBot="1">
      <c r="A47" s="453" t="s">
        <v>2940</v>
      </c>
      <c r="B47" s="454">
        <f t="shared" si="27"/>
        <v>0.85432063306221828</v>
      </c>
      <c r="C47" s="455">
        <f t="shared" si="30"/>
        <v>1.6641032236425202</v>
      </c>
      <c r="D47" s="455">
        <f t="shared" si="30"/>
        <v>2.4316696602115266</v>
      </c>
      <c r="E47" s="455">
        <f t="shared" si="30"/>
        <v>3.1592207849214855</v>
      </c>
      <c r="F47" s="455">
        <f t="shared" si="30"/>
        <v>3.8488427040778443</v>
      </c>
      <c r="G47" s="455">
        <f t="shared" si="30"/>
        <v>4.502512769628896</v>
      </c>
      <c r="H47" s="455">
        <f t="shared" si="30"/>
        <v>5.1221052488242051</v>
      </c>
      <c r="I47" s="455">
        <f t="shared" si="30"/>
        <v>5.7093966982984323</v>
      </c>
      <c r="J47" s="455">
        <f t="shared" si="30"/>
        <v>6.2660710579896426</v>
      </c>
      <c r="K47" s="455">
        <f t="shared" si="30"/>
        <v>6.7937244794978984</v>
      </c>
      <c r="L47" s="455">
        <f t="shared" si="30"/>
        <v>7.2938699027284732</v>
      </c>
      <c r="M47" s="455">
        <f t="shared" si="29"/>
        <v>7.7679413939422881</v>
      </c>
      <c r="N47" s="455">
        <f t="shared" si="29"/>
        <v>8.2172982576520646</v>
      </c>
      <c r="O47" s="455">
        <f t="shared" si="29"/>
        <v>8.643228934154223</v>
      </c>
      <c r="P47" s="455">
        <f t="shared" si="29"/>
        <v>9.0469546938719088</v>
      </c>
      <c r="Q47" s="455">
        <f t="shared" si="29"/>
        <v>9.4296331391019432</v>
      </c>
      <c r="R47" s="455">
        <f t="shared" si="29"/>
        <v>9.7923615232062406</v>
      </c>
      <c r="S47" s="455">
        <f t="shared" si="29"/>
        <v>10.136179896764817</v>
      </c>
      <c r="T47" s="455">
        <f t="shared" si="29"/>
        <v>10.462074089711335</v>
      </c>
      <c r="U47" s="455">
        <f t="shared" si="29"/>
        <v>10.770978538001872</v>
      </c>
      <c r="V47" s="455">
        <f t="shared" si="29"/>
        <v>11.063778962921813</v>
      </c>
      <c r="W47" s="455">
        <f t="shared" si="29"/>
        <v>11.341314910713226</v>
      </c>
      <c r="X47" s="455">
        <f t="shared" si="29"/>
        <v>11.604382159804613</v>
      </c>
      <c r="Y47" s="455">
        <f t="shared" si="29"/>
        <v>11.853735002545264</v>
      </c>
      <c r="Z47" s="455">
        <f t="shared" si="29"/>
        <v>12.09008840798664</v>
      </c>
      <c r="AA47" s="455">
        <f t="shared" si="29"/>
        <v>12.314120071912114</v>
      </c>
      <c r="AB47" s="455">
        <f t="shared" si="29"/>
        <v>12.526472359993132</v>
      </c>
      <c r="AC47" s="455">
        <f t="shared" si="29"/>
        <v>12.727754149643387</v>
      </c>
      <c r="AD47" s="455">
        <f t="shared" si="29"/>
        <v>12.918542575852159</v>
      </c>
      <c r="AE47" s="455">
        <f t="shared" si="29"/>
        <v>13.099384686002654</v>
      </c>
      <c r="AF47" s="455">
        <f t="shared" si="29"/>
        <v>13.270799008420186</v>
      </c>
      <c r="AG47" s="455">
        <f t="shared" si="29"/>
        <v>13.433277039147702</v>
      </c>
      <c r="AH47" s="455">
        <f t="shared" si="29"/>
        <v>13.5872846512117</v>
      </c>
      <c r="AI47" s="455">
        <f t="shared" si="29"/>
        <v>13.73326343041928</v>
      </c>
      <c r="AJ47" s="455">
        <f t="shared" si="29"/>
        <v>13.871631941516512</v>
      </c>
      <c r="AK47" s="455">
        <f t="shared" si="29"/>
        <v>14.002786928338534</v>
      </c>
      <c r="AL47" s="455">
        <f t="shared" si="29"/>
        <v>14.127104451392583</v>
      </c>
      <c r="AM47" s="455">
        <f t="shared" si="29"/>
        <v>14.244940966135758</v>
      </c>
      <c r="AN47" s="455">
        <f t="shared" si="29"/>
        <v>14.356634345039241</v>
      </c>
      <c r="AO47" s="455">
        <f t="shared" si="29"/>
        <v>14.462504846369557</v>
      </c>
      <c r="AP47" s="455">
        <f t="shared" si="29"/>
        <v>14.562856032464643</v>
      </c>
      <c r="AQ47" s="455">
        <f t="shared" si="29"/>
        <v>14.65797564013771</v>
      </c>
      <c r="AR47" s="455">
        <f t="shared" si="29"/>
        <v>14.748136405704599</v>
      </c>
      <c r="AS47" s="455">
        <f t="shared" si="29"/>
        <v>14.833596847000228</v>
      </c>
      <c r="AT47" s="455">
        <f t="shared" si="29"/>
        <v>14.914602004626417</v>
      </c>
      <c r="AU47" s="455">
        <f t="shared" si="29"/>
        <v>14.991384144556454</v>
      </c>
      <c r="AV47" s="455">
        <f t="shared" si="29"/>
        <v>15.064163424110991</v>
      </c>
      <c r="AW47" s="455">
        <f t="shared" si="29"/>
        <v>15.133148523214818</v>
      </c>
      <c r="AX47" s="455">
        <f t="shared" si="29"/>
        <v>15.198537242744511</v>
      </c>
      <c r="AY47" s="456">
        <f t="shared" si="29"/>
        <v>15.260517071682608</v>
      </c>
    </row>
    <row r="49" spans="1:51" ht="15.75">
      <c r="A49" s="458" t="s">
        <v>2949</v>
      </c>
      <c r="B49" s="457"/>
      <c r="C49" s="457"/>
      <c r="D49" s="457"/>
      <c r="E49" s="457"/>
      <c r="F49" s="457"/>
      <c r="G49" s="457"/>
      <c r="H49" s="457"/>
      <c r="I49" s="457"/>
      <c r="J49" s="457"/>
      <c r="K49" s="457"/>
      <c r="L49" s="457"/>
      <c r="M49" s="457"/>
      <c r="N49" s="457"/>
      <c r="O49" s="457"/>
      <c r="P49" s="457"/>
      <c r="Q49" s="457"/>
      <c r="R49" s="457"/>
      <c r="S49" s="457"/>
      <c r="T49" s="457"/>
      <c r="U49" s="457"/>
      <c r="V49" s="457"/>
      <c r="W49" s="457"/>
      <c r="X49" s="457"/>
      <c r="Y49" s="457"/>
      <c r="Z49" s="457"/>
      <c r="AA49" s="457"/>
      <c r="AB49" s="457"/>
      <c r="AC49" s="457"/>
      <c r="AD49" s="457"/>
      <c r="AE49" s="457"/>
      <c r="AF49" s="457"/>
      <c r="AG49" s="457"/>
      <c r="AH49" s="457"/>
      <c r="AI49" s="457"/>
      <c r="AJ49" s="457"/>
      <c r="AK49" s="457"/>
      <c r="AL49" s="457"/>
      <c r="AM49" s="457"/>
      <c r="AN49" s="457"/>
      <c r="AO49" s="457"/>
      <c r="AP49" s="457"/>
      <c r="AQ49" s="457"/>
      <c r="AR49" s="457"/>
      <c r="AS49" s="457"/>
      <c r="AT49" s="457"/>
      <c r="AU49" s="457"/>
      <c r="AV49" s="457"/>
      <c r="AW49" s="457"/>
      <c r="AX49" s="457"/>
      <c r="AY49" s="457"/>
    </row>
    <row r="50" spans="1:51" ht="15.75" thickBot="1">
      <c r="A50" s="437" t="s">
        <v>2931</v>
      </c>
    </row>
    <row r="51" spans="1:51" ht="12.75" thickBot="1">
      <c r="A51" s="438" t="s">
        <v>2932</v>
      </c>
      <c r="B51" s="439">
        <v>2010</v>
      </c>
      <c r="C51" s="440">
        <v>2011</v>
      </c>
      <c r="D51" s="440">
        <v>2012</v>
      </c>
      <c r="E51" s="440">
        <v>2013</v>
      </c>
      <c r="F51" s="440">
        <v>2014</v>
      </c>
      <c r="G51" s="440">
        <v>2015</v>
      </c>
      <c r="H51" s="440">
        <v>2016</v>
      </c>
      <c r="I51" s="440">
        <v>2017</v>
      </c>
      <c r="J51" s="440">
        <v>2018</v>
      </c>
      <c r="K51" s="440">
        <v>2019</v>
      </c>
      <c r="L51" s="440">
        <v>2020</v>
      </c>
      <c r="M51" s="440">
        <v>2021</v>
      </c>
      <c r="N51" s="440">
        <v>2022</v>
      </c>
      <c r="O51" s="440">
        <v>2023</v>
      </c>
      <c r="P51" s="440">
        <v>2024</v>
      </c>
      <c r="Q51" s="440">
        <v>2025</v>
      </c>
      <c r="R51" s="440">
        <v>2026</v>
      </c>
      <c r="S51" s="440">
        <v>2027</v>
      </c>
      <c r="T51" s="440">
        <v>2028</v>
      </c>
      <c r="U51" s="440">
        <v>2029</v>
      </c>
      <c r="V51" s="440">
        <v>2030</v>
      </c>
      <c r="W51" s="440">
        <v>2031</v>
      </c>
      <c r="X51" s="440">
        <v>2032</v>
      </c>
      <c r="Y51" s="440">
        <v>2033</v>
      </c>
      <c r="Z51" s="440">
        <v>2034</v>
      </c>
      <c r="AA51" s="440">
        <v>2035</v>
      </c>
      <c r="AB51" s="440">
        <v>2036</v>
      </c>
      <c r="AC51" s="440">
        <v>2037</v>
      </c>
      <c r="AD51" s="440">
        <v>2038</v>
      </c>
      <c r="AE51" s="440">
        <v>2039</v>
      </c>
      <c r="AF51" s="440">
        <v>2040</v>
      </c>
      <c r="AG51" s="440">
        <v>2041</v>
      </c>
      <c r="AH51" s="440">
        <v>2042</v>
      </c>
      <c r="AI51" s="440">
        <v>2043</v>
      </c>
      <c r="AJ51" s="440">
        <v>2044</v>
      </c>
      <c r="AK51" s="440">
        <v>2045</v>
      </c>
      <c r="AL51" s="440">
        <v>2046</v>
      </c>
      <c r="AM51" s="440">
        <v>2047</v>
      </c>
      <c r="AN51" s="440">
        <v>2048</v>
      </c>
      <c r="AO51" s="440">
        <v>2049</v>
      </c>
      <c r="AP51" s="440">
        <v>2050</v>
      </c>
      <c r="AQ51" s="440">
        <v>2051</v>
      </c>
      <c r="AR51" s="440">
        <v>2052</v>
      </c>
      <c r="AS51" s="440">
        <v>2053</v>
      </c>
      <c r="AT51" s="440">
        <v>2054</v>
      </c>
      <c r="AU51" s="440">
        <v>2055</v>
      </c>
      <c r="AV51" s="440">
        <v>2056</v>
      </c>
      <c r="AW51" s="440">
        <v>2057</v>
      </c>
      <c r="AX51" s="440">
        <v>2058</v>
      </c>
      <c r="AY51" s="441">
        <v>2059</v>
      </c>
    </row>
    <row r="52" spans="1:51">
      <c r="A52" s="442" t="s">
        <v>2943</v>
      </c>
      <c r="B52" s="1754">
        <v>8.5398706896551727E-2</v>
      </c>
      <c r="C52" s="1755">
        <v>8.4051724137931036E-2</v>
      </c>
      <c r="D52" s="1755">
        <v>8.2737068965517233E-2</v>
      </c>
      <c r="E52" s="1755">
        <v>8.2090517241379321E-2</v>
      </c>
      <c r="F52" s="1755">
        <v>8.1454741379310344E-2</v>
      </c>
      <c r="G52" s="1755">
        <v>8.0818965517241367E-2</v>
      </c>
      <c r="H52" s="1755">
        <v>8.1023706896551709E-2</v>
      </c>
      <c r="I52" s="1755">
        <v>8.1217672413793102E-2</v>
      </c>
      <c r="J52" s="1755">
        <v>8.1422413793103443E-2</v>
      </c>
      <c r="K52" s="1755">
        <v>8.1616379310344822E-2</v>
      </c>
      <c r="L52" s="1755">
        <v>8.1821120689655177E-2</v>
      </c>
      <c r="M52" s="1755">
        <v>8.2015086206896542E-2</v>
      </c>
      <c r="N52" s="1755">
        <v>8.2219827586206884E-2</v>
      </c>
      <c r="O52" s="1755">
        <v>8.2424568965517225E-2</v>
      </c>
      <c r="P52" s="1755">
        <v>8.2629310344827595E-2</v>
      </c>
      <c r="Q52" s="1755">
        <v>8.2629310344827595E-2</v>
      </c>
      <c r="R52" s="1755">
        <v>8.2629310344827595E-2</v>
      </c>
      <c r="S52" s="1755">
        <v>8.2629310344827595E-2</v>
      </c>
      <c r="T52" s="1755">
        <v>8.2629310344827595E-2</v>
      </c>
      <c r="U52" s="1755">
        <v>8.2629310344827595E-2</v>
      </c>
      <c r="V52" s="1755">
        <v>8.2629310344827595E-2</v>
      </c>
      <c r="W52" s="1755">
        <v>8.2629310344827595E-2</v>
      </c>
      <c r="X52" s="1755">
        <v>8.2629310344827595E-2</v>
      </c>
      <c r="Y52" s="1755">
        <v>8.2629310344827595E-2</v>
      </c>
      <c r="Z52" s="1755">
        <v>8.2629310344827595E-2</v>
      </c>
      <c r="AA52" s="1755">
        <v>8.2629310344827595E-2</v>
      </c>
      <c r="AB52" s="1755">
        <v>8.2629310344827595E-2</v>
      </c>
      <c r="AC52" s="1755">
        <v>8.2629310344827595E-2</v>
      </c>
      <c r="AD52" s="1755">
        <v>8.2629310344827595E-2</v>
      </c>
      <c r="AE52" s="1755">
        <v>8.2629310344827595E-2</v>
      </c>
      <c r="AF52" s="1755">
        <v>8.2629310344827595E-2</v>
      </c>
      <c r="AG52" s="1755">
        <v>8.2629310344827595E-2</v>
      </c>
      <c r="AH52" s="1755">
        <v>8.2629310344827595E-2</v>
      </c>
      <c r="AI52" s="1755">
        <v>8.2629310344827595E-2</v>
      </c>
      <c r="AJ52" s="1755">
        <v>8.2629310344827595E-2</v>
      </c>
      <c r="AK52" s="1755">
        <v>8.2629310344827595E-2</v>
      </c>
      <c r="AL52" s="1755">
        <v>8.2629310344827595E-2</v>
      </c>
      <c r="AM52" s="1755">
        <v>8.2629310344827595E-2</v>
      </c>
      <c r="AN52" s="1755">
        <v>8.2629310344827595E-2</v>
      </c>
      <c r="AO52" s="1755">
        <v>8.2629310344827595E-2</v>
      </c>
      <c r="AP52" s="1755">
        <v>8.2629310344827595E-2</v>
      </c>
      <c r="AQ52" s="1755">
        <v>8.2629310344827595E-2</v>
      </c>
      <c r="AR52" s="1755">
        <v>8.2629310344827595E-2</v>
      </c>
      <c r="AS52" s="1755">
        <v>8.2629310344827595E-2</v>
      </c>
      <c r="AT52" s="1755">
        <v>8.2629310344827595E-2</v>
      </c>
      <c r="AU52" s="1755">
        <v>8.2629310344827595E-2</v>
      </c>
      <c r="AV52" s="1755">
        <v>8.2629310344827595E-2</v>
      </c>
      <c r="AW52" s="1755">
        <v>8.2629310344827595E-2</v>
      </c>
      <c r="AX52" s="1755">
        <v>8.2629310344827595E-2</v>
      </c>
      <c r="AY52" s="1756">
        <v>8.2629310344827595E-2</v>
      </c>
    </row>
    <row r="53" spans="1:51">
      <c r="A53" s="446" t="s">
        <v>2944</v>
      </c>
      <c r="B53" s="471">
        <v>85.398706896551715</v>
      </c>
      <c r="C53" s="472">
        <v>92.53232758620689</v>
      </c>
      <c r="D53" s="472">
        <v>99.234913793103431</v>
      </c>
      <c r="E53" s="472">
        <v>105.54956896551724</v>
      </c>
      <c r="F53" s="472">
        <v>111.48706896551724</v>
      </c>
      <c r="G53" s="472">
        <v>117.06896551724137</v>
      </c>
      <c r="H53" s="472">
        <v>122.32758620689654</v>
      </c>
      <c r="I53" s="472">
        <v>127.26293103448276</v>
      </c>
      <c r="J53" s="472">
        <v>131.90732758620689</v>
      </c>
      <c r="K53" s="472">
        <v>136.27155172413794</v>
      </c>
      <c r="L53" s="472">
        <v>140.36637931034483</v>
      </c>
      <c r="M53" s="472">
        <v>144.21336206896549</v>
      </c>
      <c r="N53" s="472">
        <v>144.21336206896549</v>
      </c>
      <c r="O53" s="472">
        <v>144.21336206896549</v>
      </c>
      <c r="P53" s="472">
        <v>144.21336206896549</v>
      </c>
      <c r="Q53" s="472">
        <v>144.21336206896549</v>
      </c>
      <c r="R53" s="472">
        <v>144.21336206896501</v>
      </c>
      <c r="S53" s="472">
        <v>144.21336206896501</v>
      </c>
      <c r="T53" s="472">
        <v>144.21336206896501</v>
      </c>
      <c r="U53" s="472">
        <v>144.21336206896501</v>
      </c>
      <c r="V53" s="472">
        <v>144.21336206896501</v>
      </c>
      <c r="W53" s="472">
        <v>144.21336206896501</v>
      </c>
      <c r="X53" s="472">
        <v>144.21336206896501</v>
      </c>
      <c r="Y53" s="472">
        <v>144.21336206896501</v>
      </c>
      <c r="Z53" s="472">
        <v>144.21336206896501</v>
      </c>
      <c r="AA53" s="472">
        <v>144.21336206896501</v>
      </c>
      <c r="AB53" s="472">
        <v>144.21336206896501</v>
      </c>
      <c r="AC53" s="472">
        <v>144.21336206896501</v>
      </c>
      <c r="AD53" s="472">
        <v>144.21336206896501</v>
      </c>
      <c r="AE53" s="472">
        <v>144.21336206896501</v>
      </c>
      <c r="AF53" s="472">
        <v>144.21336206896501</v>
      </c>
      <c r="AG53" s="472">
        <v>144.21336206896501</v>
      </c>
      <c r="AH53" s="472">
        <v>144.21336206896501</v>
      </c>
      <c r="AI53" s="472">
        <v>144.21336206896501</v>
      </c>
      <c r="AJ53" s="472">
        <v>144.21336206896501</v>
      </c>
      <c r="AK53" s="472">
        <v>144.21336206896501</v>
      </c>
      <c r="AL53" s="472">
        <v>144.21336206896501</v>
      </c>
      <c r="AM53" s="472">
        <v>144.21336206896501</v>
      </c>
      <c r="AN53" s="472">
        <v>144.21336206896501</v>
      </c>
      <c r="AO53" s="472">
        <v>144.21336206896501</v>
      </c>
      <c r="AP53" s="472">
        <v>144.21336206896501</v>
      </c>
      <c r="AQ53" s="472">
        <v>144.21336206896501</v>
      </c>
      <c r="AR53" s="472">
        <v>144.21336206896501</v>
      </c>
      <c r="AS53" s="472">
        <v>144.21336206896501</v>
      </c>
      <c r="AT53" s="472">
        <v>144.21336206896501</v>
      </c>
      <c r="AU53" s="472">
        <v>144.21336206896501</v>
      </c>
      <c r="AV53" s="472">
        <v>144.21336206896501</v>
      </c>
      <c r="AW53" s="472">
        <v>144.21336206896501</v>
      </c>
      <c r="AX53" s="472">
        <v>144.21336206896501</v>
      </c>
      <c r="AY53" s="473">
        <v>144.21336206896501</v>
      </c>
    </row>
    <row r="54" spans="1:51">
      <c r="A54" s="446" t="s">
        <v>2945</v>
      </c>
      <c r="B54" s="471">
        <v>13.64</v>
      </c>
      <c r="C54" s="472">
        <v>13.41</v>
      </c>
      <c r="D54" s="472">
        <v>13.19</v>
      </c>
      <c r="E54" s="472">
        <v>13.19</v>
      </c>
      <c r="F54" s="472">
        <v>13.19</v>
      </c>
      <c r="G54" s="472">
        <v>13.19</v>
      </c>
      <c r="H54" s="472">
        <v>13.27</v>
      </c>
      <c r="I54" s="472">
        <v>13.34</v>
      </c>
      <c r="J54" s="472">
        <v>13.42</v>
      </c>
      <c r="K54" s="472">
        <v>13.42</v>
      </c>
      <c r="L54" s="472">
        <v>13.42</v>
      </c>
      <c r="M54" s="472">
        <v>13.42</v>
      </c>
      <c r="N54" s="472">
        <v>13.42</v>
      </c>
      <c r="O54" s="472">
        <v>13.42</v>
      </c>
      <c r="P54" s="472">
        <v>13.42</v>
      </c>
      <c r="Q54" s="472">
        <v>13.42</v>
      </c>
      <c r="R54" s="472">
        <v>13.42</v>
      </c>
      <c r="S54" s="472">
        <v>13.42</v>
      </c>
      <c r="T54" s="472">
        <v>13.42</v>
      </c>
      <c r="U54" s="472">
        <v>13.42</v>
      </c>
      <c r="V54" s="472">
        <v>13.42</v>
      </c>
      <c r="W54" s="472">
        <v>13.42</v>
      </c>
      <c r="X54" s="472">
        <v>13.42</v>
      </c>
      <c r="Y54" s="472">
        <v>13.42</v>
      </c>
      <c r="Z54" s="472">
        <v>13.42</v>
      </c>
      <c r="AA54" s="472">
        <v>13.42</v>
      </c>
      <c r="AB54" s="472">
        <v>13.42</v>
      </c>
      <c r="AC54" s="472">
        <v>13.42</v>
      </c>
      <c r="AD54" s="472">
        <v>13.42</v>
      </c>
      <c r="AE54" s="472">
        <v>13.42</v>
      </c>
      <c r="AF54" s="472">
        <v>13.42</v>
      </c>
      <c r="AG54" s="472">
        <v>13.42</v>
      </c>
      <c r="AH54" s="472">
        <v>13.42</v>
      </c>
      <c r="AI54" s="472">
        <v>13.42</v>
      </c>
      <c r="AJ54" s="472">
        <v>13.42</v>
      </c>
      <c r="AK54" s="472">
        <v>13.42</v>
      </c>
      <c r="AL54" s="472">
        <v>13.42</v>
      </c>
      <c r="AM54" s="472">
        <v>13.42</v>
      </c>
      <c r="AN54" s="472">
        <v>13.42</v>
      </c>
      <c r="AO54" s="472">
        <v>13.42</v>
      </c>
      <c r="AP54" s="472">
        <v>13.42</v>
      </c>
      <c r="AQ54" s="472">
        <v>13.42</v>
      </c>
      <c r="AR54" s="472">
        <v>13.42</v>
      </c>
      <c r="AS54" s="472">
        <v>13.42</v>
      </c>
      <c r="AT54" s="472">
        <v>13.42</v>
      </c>
      <c r="AU54" s="472">
        <v>13.42</v>
      </c>
      <c r="AV54" s="472">
        <v>13.42</v>
      </c>
      <c r="AW54" s="472">
        <v>13.42</v>
      </c>
      <c r="AX54" s="472">
        <v>13.42</v>
      </c>
      <c r="AY54" s="473">
        <v>13.42</v>
      </c>
    </row>
    <row r="55" spans="1:51">
      <c r="A55" s="446" t="s">
        <v>2946</v>
      </c>
      <c r="B55" s="471">
        <v>12.012499999999999</v>
      </c>
      <c r="C55" s="472">
        <v>11.794166666666667</v>
      </c>
      <c r="D55" s="472">
        <v>11.585833333333333</v>
      </c>
      <c r="E55" s="472">
        <v>11.585833333333333</v>
      </c>
      <c r="F55" s="472">
        <v>11.585833333333333</v>
      </c>
      <c r="G55" s="472">
        <v>11.585833333333333</v>
      </c>
      <c r="H55" s="472">
        <v>11.66</v>
      </c>
      <c r="I55" s="472">
        <v>11.73</v>
      </c>
      <c r="J55" s="472">
        <v>11.804166666666667</v>
      </c>
      <c r="K55" s="472">
        <v>11.804166666666667</v>
      </c>
      <c r="L55" s="472">
        <v>11.804166666666667</v>
      </c>
      <c r="M55" s="472">
        <v>11.804166666666667</v>
      </c>
      <c r="N55" s="472">
        <v>11.804166666666667</v>
      </c>
      <c r="O55" s="472">
        <v>11.804166666666667</v>
      </c>
      <c r="P55" s="472">
        <v>11.804166666666667</v>
      </c>
      <c r="Q55" s="472">
        <v>11.804166666666667</v>
      </c>
      <c r="R55" s="472">
        <v>11.804166666666667</v>
      </c>
      <c r="S55" s="472">
        <v>11.804166666666667</v>
      </c>
      <c r="T55" s="472">
        <v>11.804166666666667</v>
      </c>
      <c r="U55" s="472">
        <v>11.804166666666667</v>
      </c>
      <c r="V55" s="472">
        <v>11.804166666666667</v>
      </c>
      <c r="W55" s="472">
        <v>11.804166666666667</v>
      </c>
      <c r="X55" s="472">
        <v>11.804166666666667</v>
      </c>
      <c r="Y55" s="472">
        <v>11.804166666666667</v>
      </c>
      <c r="Z55" s="472">
        <v>11.804166666666667</v>
      </c>
      <c r="AA55" s="472">
        <v>11.804166666666667</v>
      </c>
      <c r="AB55" s="472">
        <v>11.804166666666667</v>
      </c>
      <c r="AC55" s="472">
        <v>11.804166666666667</v>
      </c>
      <c r="AD55" s="472">
        <v>11.804166666666667</v>
      </c>
      <c r="AE55" s="472">
        <v>11.804166666666667</v>
      </c>
      <c r="AF55" s="472">
        <v>11.804166666666667</v>
      </c>
      <c r="AG55" s="472">
        <v>11.804166666666667</v>
      </c>
      <c r="AH55" s="472">
        <v>11.804166666666667</v>
      </c>
      <c r="AI55" s="472">
        <v>11.804166666666667</v>
      </c>
      <c r="AJ55" s="472">
        <v>11.804166666666667</v>
      </c>
      <c r="AK55" s="472">
        <v>11.804166666666667</v>
      </c>
      <c r="AL55" s="472">
        <v>11.804166666666667</v>
      </c>
      <c r="AM55" s="472">
        <v>11.804166666666667</v>
      </c>
      <c r="AN55" s="472">
        <v>11.804166666666667</v>
      </c>
      <c r="AO55" s="472">
        <v>11.804166666666667</v>
      </c>
      <c r="AP55" s="472">
        <v>11.804166666666667</v>
      </c>
      <c r="AQ55" s="472">
        <v>11.804166666666667</v>
      </c>
      <c r="AR55" s="472">
        <v>11.804166666666667</v>
      </c>
      <c r="AS55" s="472">
        <v>11.804166666666667</v>
      </c>
      <c r="AT55" s="472">
        <v>11.804166666666667</v>
      </c>
      <c r="AU55" s="472">
        <v>11.804166666666667</v>
      </c>
      <c r="AV55" s="472">
        <v>11.804166666666667</v>
      </c>
      <c r="AW55" s="472">
        <v>11.804166666666667</v>
      </c>
      <c r="AX55" s="472">
        <v>11.804166666666699</v>
      </c>
      <c r="AY55" s="473">
        <v>11.804166666666699</v>
      </c>
    </row>
    <row r="56" spans="1:51">
      <c r="A56" s="446" t="s">
        <v>2933</v>
      </c>
      <c r="B56" s="471">
        <v>7.2607266726146298</v>
      </c>
      <c r="C56" s="472">
        <v>7.9112857970161548</v>
      </c>
      <c r="D56" s="472">
        <v>8.1995068031839171</v>
      </c>
      <c r="E56" s="472">
        <v>8.4073776927334265</v>
      </c>
      <c r="F56" s="472">
        <v>8.5736326363918245</v>
      </c>
      <c r="G56" s="472">
        <v>8.7208261649062617</v>
      </c>
      <c r="H56" s="472">
        <v>8.8285181377174773</v>
      </c>
      <c r="I56" s="472">
        <v>8.8829506598476691</v>
      </c>
      <c r="J56" s="472">
        <v>9.0100552678251411</v>
      </c>
      <c r="K56" s="472">
        <v>9.0500408716374903</v>
      </c>
      <c r="L56" s="472">
        <v>9.1558646250250764</v>
      </c>
      <c r="M56" s="472">
        <v>9.244954159045637</v>
      </c>
      <c r="N56" s="472">
        <v>9.2425044625563437</v>
      </c>
      <c r="O56" s="472">
        <v>9.3135366023628183</v>
      </c>
      <c r="P56" s="472">
        <v>9.3834258849192018</v>
      </c>
      <c r="Q56" s="472">
        <v>9.4457625151136106</v>
      </c>
      <c r="R56" s="472">
        <v>9.4294343454096037</v>
      </c>
      <c r="S56" s="472">
        <v>9.4065940080935402</v>
      </c>
      <c r="T56" s="472">
        <v>9.3718934835830296</v>
      </c>
      <c r="U56" s="472">
        <v>9.3718934835830296</v>
      </c>
      <c r="V56" s="472">
        <v>9.3718934835830296</v>
      </c>
      <c r="W56" s="472">
        <v>9.3718934835830296</v>
      </c>
      <c r="X56" s="472">
        <v>9.3718934835830296</v>
      </c>
      <c r="Y56" s="472">
        <v>9.3718934835830296</v>
      </c>
      <c r="Z56" s="472">
        <v>9.3718934835830296</v>
      </c>
      <c r="AA56" s="472">
        <v>9.3718934835830296</v>
      </c>
      <c r="AB56" s="472">
        <v>9.3718934835830296</v>
      </c>
      <c r="AC56" s="472">
        <v>9.3718934835830296</v>
      </c>
      <c r="AD56" s="472">
        <v>9.3718934835830296</v>
      </c>
      <c r="AE56" s="472">
        <v>9.3718934835830296</v>
      </c>
      <c r="AF56" s="472">
        <v>9.3718934835830296</v>
      </c>
      <c r="AG56" s="472">
        <v>9.3718934835830296</v>
      </c>
      <c r="AH56" s="472">
        <v>9.3718934835830296</v>
      </c>
      <c r="AI56" s="472">
        <v>9.3718934835830296</v>
      </c>
      <c r="AJ56" s="472">
        <v>9.3718934835830296</v>
      </c>
      <c r="AK56" s="472">
        <v>9.3718934835830296</v>
      </c>
      <c r="AL56" s="472">
        <v>9.3718934835830296</v>
      </c>
      <c r="AM56" s="472">
        <v>9.3718934835830296</v>
      </c>
      <c r="AN56" s="472">
        <v>9.3718934835830296</v>
      </c>
      <c r="AO56" s="472">
        <v>9.3718934835830296</v>
      </c>
      <c r="AP56" s="472">
        <v>9.3718934835830296</v>
      </c>
      <c r="AQ56" s="472">
        <v>9.3718934835830296</v>
      </c>
      <c r="AR56" s="472">
        <v>9.3718934835830296</v>
      </c>
      <c r="AS56" s="472">
        <v>9.3718934835830296</v>
      </c>
      <c r="AT56" s="472">
        <v>9.3718934835830296</v>
      </c>
      <c r="AU56" s="472">
        <v>9.3718934835830296</v>
      </c>
      <c r="AV56" s="472">
        <v>9.3718934835830296</v>
      </c>
      <c r="AW56" s="472">
        <v>9.3718934835830296</v>
      </c>
      <c r="AX56" s="472">
        <v>9.3718934835830296</v>
      </c>
      <c r="AY56" s="473">
        <v>9.3718934835830296</v>
      </c>
    </row>
    <row r="57" spans="1:51">
      <c r="A57" s="446" t="s">
        <v>2934</v>
      </c>
      <c r="B57" s="447">
        <v>6.28E-3</v>
      </c>
      <c r="C57" s="448">
        <v>6.1999999999999998E-3</v>
      </c>
      <c r="D57" s="448">
        <v>6.1200000000000004E-3</v>
      </c>
      <c r="E57" s="448">
        <v>6.0000000000000001E-3</v>
      </c>
      <c r="F57" s="448">
        <v>5.8799999999999998E-3</v>
      </c>
      <c r="G57" s="448">
        <v>5.77E-3</v>
      </c>
      <c r="H57" s="448">
        <v>5.77E-3</v>
      </c>
      <c r="I57" s="448">
        <v>5.7599999999999995E-3</v>
      </c>
      <c r="J57" s="448">
        <v>5.7599999999999995E-3</v>
      </c>
      <c r="K57" s="448">
        <v>5.7499999999999999E-3</v>
      </c>
      <c r="L57" s="448">
        <v>5.7499999999999999E-3</v>
      </c>
      <c r="M57" s="448">
        <v>5.7499999999999999E-3</v>
      </c>
      <c r="N57" s="448">
        <v>5.7400000000000003E-3</v>
      </c>
      <c r="O57" s="448">
        <v>5.7400000000000003E-3</v>
      </c>
      <c r="P57" s="448">
        <v>5.7300000000000007E-3</v>
      </c>
      <c r="Q57" s="448">
        <v>5.7300000000000007E-3</v>
      </c>
      <c r="R57" s="448">
        <v>5.7300000000000007E-3</v>
      </c>
      <c r="S57" s="448">
        <v>5.7300000000000007E-3</v>
      </c>
      <c r="T57" s="448">
        <v>5.7300000000000007E-3</v>
      </c>
      <c r="U57" s="448">
        <v>5.7300000000000007E-3</v>
      </c>
      <c r="V57" s="448">
        <v>5.7300000000000007E-3</v>
      </c>
      <c r="W57" s="448">
        <v>5.7300000000000007E-3</v>
      </c>
      <c r="X57" s="448">
        <v>5.7300000000000007E-3</v>
      </c>
      <c r="Y57" s="448">
        <v>5.7300000000000007E-3</v>
      </c>
      <c r="Z57" s="448">
        <v>5.7300000000000007E-3</v>
      </c>
      <c r="AA57" s="448">
        <v>5.7300000000000007E-3</v>
      </c>
      <c r="AB57" s="448">
        <v>5.7300000000000007E-3</v>
      </c>
      <c r="AC57" s="448">
        <v>5.7300000000000007E-3</v>
      </c>
      <c r="AD57" s="448">
        <v>5.7300000000000007E-3</v>
      </c>
      <c r="AE57" s="448">
        <v>5.7300000000000007E-3</v>
      </c>
      <c r="AF57" s="448">
        <v>5.7300000000000007E-3</v>
      </c>
      <c r="AG57" s="448">
        <v>5.7300000000000007E-3</v>
      </c>
      <c r="AH57" s="448">
        <v>5.7300000000000007E-3</v>
      </c>
      <c r="AI57" s="448">
        <v>5.7300000000000007E-3</v>
      </c>
      <c r="AJ57" s="448">
        <v>5.7300000000000007E-3</v>
      </c>
      <c r="AK57" s="448">
        <v>5.7300000000000007E-3</v>
      </c>
      <c r="AL57" s="448">
        <v>5.7300000000000007E-3</v>
      </c>
      <c r="AM57" s="448">
        <v>5.7300000000000007E-3</v>
      </c>
      <c r="AN57" s="448">
        <v>5.7300000000000007E-3</v>
      </c>
      <c r="AO57" s="448">
        <v>5.7300000000000007E-3</v>
      </c>
      <c r="AP57" s="448">
        <v>5.7300000000000007E-3</v>
      </c>
      <c r="AQ57" s="448">
        <v>5.7300000000000007E-3</v>
      </c>
      <c r="AR57" s="448">
        <v>5.7300000000000007E-3</v>
      </c>
      <c r="AS57" s="448">
        <v>5.7300000000000007E-3</v>
      </c>
      <c r="AT57" s="448">
        <v>5.7300000000000007E-3</v>
      </c>
      <c r="AU57" s="448">
        <v>5.7300000000000007E-3</v>
      </c>
      <c r="AV57" s="448">
        <v>5.7300000000000007E-3</v>
      </c>
      <c r="AW57" s="448">
        <v>5.7300000000000007E-3</v>
      </c>
      <c r="AX57" s="448">
        <v>5.7300000000000007E-3</v>
      </c>
      <c r="AY57" s="449">
        <v>5.7300000000000007E-3</v>
      </c>
    </row>
    <row r="58" spans="1:51">
      <c r="A58" s="446" t="s">
        <v>2935</v>
      </c>
      <c r="B58" s="450">
        <f>(58.5/1000)*15</f>
        <v>0.87750000000000006</v>
      </c>
      <c r="C58" s="451">
        <f t="shared" ref="C58:AD59" si="31">(58.5/1000)*15</f>
        <v>0.87750000000000006</v>
      </c>
      <c r="D58" s="451">
        <f t="shared" si="31"/>
        <v>0.87750000000000006</v>
      </c>
      <c r="E58" s="451">
        <f t="shared" si="31"/>
        <v>0.87750000000000006</v>
      </c>
      <c r="F58" s="451">
        <f t="shared" si="31"/>
        <v>0.87750000000000006</v>
      </c>
      <c r="G58" s="451">
        <f t="shared" si="31"/>
        <v>0.87750000000000006</v>
      </c>
      <c r="H58" s="451">
        <f t="shared" si="31"/>
        <v>0.87750000000000006</v>
      </c>
      <c r="I58" s="451">
        <f t="shared" si="31"/>
        <v>0.87750000000000006</v>
      </c>
      <c r="J58" s="451">
        <f t="shared" si="31"/>
        <v>0.87750000000000006</v>
      </c>
      <c r="K58" s="451">
        <f t="shared" si="31"/>
        <v>0.87750000000000006</v>
      </c>
      <c r="L58" s="451">
        <f t="shared" si="31"/>
        <v>0.87750000000000006</v>
      </c>
      <c r="M58" s="451">
        <f t="shared" si="31"/>
        <v>0.87750000000000006</v>
      </c>
      <c r="N58" s="451">
        <f t="shared" si="31"/>
        <v>0.87750000000000006</v>
      </c>
      <c r="O58" s="451">
        <f t="shared" si="31"/>
        <v>0.87750000000000006</v>
      </c>
      <c r="P58" s="451">
        <f t="shared" si="31"/>
        <v>0.87750000000000006</v>
      </c>
      <c r="Q58" s="451">
        <f t="shared" si="31"/>
        <v>0.87750000000000006</v>
      </c>
      <c r="R58" s="451">
        <f t="shared" si="31"/>
        <v>0.87750000000000006</v>
      </c>
      <c r="S58" s="451">
        <f t="shared" si="31"/>
        <v>0.87750000000000006</v>
      </c>
      <c r="T58" s="451">
        <f t="shared" si="31"/>
        <v>0.87750000000000006</v>
      </c>
      <c r="U58" s="451">
        <f t="shared" si="31"/>
        <v>0.87750000000000006</v>
      </c>
      <c r="V58" s="451">
        <f t="shared" si="31"/>
        <v>0.87750000000000006</v>
      </c>
      <c r="W58" s="451">
        <f t="shared" si="31"/>
        <v>0.87750000000000006</v>
      </c>
      <c r="X58" s="451">
        <f t="shared" si="31"/>
        <v>0.87750000000000006</v>
      </c>
      <c r="Y58" s="451">
        <f t="shared" si="31"/>
        <v>0.87750000000000006</v>
      </c>
      <c r="Z58" s="451">
        <f t="shared" si="31"/>
        <v>0.87750000000000006</v>
      </c>
      <c r="AA58" s="451">
        <f t="shared" si="31"/>
        <v>0.87750000000000006</v>
      </c>
      <c r="AB58" s="451">
        <f t="shared" si="31"/>
        <v>0.87750000000000006</v>
      </c>
      <c r="AC58" s="451">
        <f t="shared" si="31"/>
        <v>0.87750000000000006</v>
      </c>
      <c r="AD58" s="451">
        <f t="shared" si="31"/>
        <v>0.87750000000000006</v>
      </c>
      <c r="AE58" s="451">
        <f>(58.5/1000)*15</f>
        <v>0.87750000000000006</v>
      </c>
      <c r="AF58" s="451">
        <f t="shared" ref="AF58:AY59" si="32">(58.5/1000)*15</f>
        <v>0.87750000000000006</v>
      </c>
      <c r="AG58" s="451">
        <f t="shared" si="32"/>
        <v>0.87750000000000006</v>
      </c>
      <c r="AH58" s="451">
        <f t="shared" si="32"/>
        <v>0.87750000000000006</v>
      </c>
      <c r="AI58" s="451">
        <f t="shared" si="32"/>
        <v>0.87750000000000006</v>
      </c>
      <c r="AJ58" s="451">
        <f t="shared" si="32"/>
        <v>0.87750000000000006</v>
      </c>
      <c r="AK58" s="451">
        <f t="shared" si="32"/>
        <v>0.87750000000000006</v>
      </c>
      <c r="AL58" s="451">
        <f t="shared" si="32"/>
        <v>0.87750000000000006</v>
      </c>
      <c r="AM58" s="451">
        <f t="shared" si="32"/>
        <v>0.87750000000000006</v>
      </c>
      <c r="AN58" s="451">
        <f t="shared" si="32"/>
        <v>0.87750000000000006</v>
      </c>
      <c r="AO58" s="451">
        <f t="shared" si="32"/>
        <v>0.87750000000000006</v>
      </c>
      <c r="AP58" s="451">
        <f t="shared" si="32"/>
        <v>0.87750000000000006</v>
      </c>
      <c r="AQ58" s="451">
        <f t="shared" si="32"/>
        <v>0.87750000000000006</v>
      </c>
      <c r="AR58" s="451">
        <f t="shared" si="32"/>
        <v>0.87750000000000006</v>
      </c>
      <c r="AS58" s="451">
        <f t="shared" si="32"/>
        <v>0.87750000000000006</v>
      </c>
      <c r="AT58" s="451">
        <f t="shared" si="32"/>
        <v>0.87750000000000006</v>
      </c>
      <c r="AU58" s="451">
        <f t="shared" si="32"/>
        <v>0.87750000000000006</v>
      </c>
      <c r="AV58" s="451">
        <f t="shared" si="32"/>
        <v>0.87750000000000006</v>
      </c>
      <c r="AW58" s="451">
        <f t="shared" si="32"/>
        <v>0.87750000000000006</v>
      </c>
      <c r="AX58" s="451">
        <f t="shared" si="32"/>
        <v>0.87750000000000006</v>
      </c>
      <c r="AY58" s="452">
        <f t="shared" si="32"/>
        <v>0.87750000000000006</v>
      </c>
    </row>
    <row r="59" spans="1:51" ht="12.75" thickBot="1">
      <c r="A59" s="453" t="s">
        <v>2936</v>
      </c>
      <c r="B59" s="454">
        <f>(58.5/1000)*15</f>
        <v>0.87750000000000006</v>
      </c>
      <c r="C59" s="455">
        <f t="shared" si="31"/>
        <v>0.87750000000000006</v>
      </c>
      <c r="D59" s="455">
        <f t="shared" si="31"/>
        <v>0.87750000000000006</v>
      </c>
      <c r="E59" s="455">
        <f t="shared" si="31"/>
        <v>0.87750000000000006</v>
      </c>
      <c r="F59" s="455">
        <f t="shared" si="31"/>
        <v>0.87750000000000006</v>
      </c>
      <c r="G59" s="455">
        <f t="shared" si="31"/>
        <v>0.87750000000000006</v>
      </c>
      <c r="H59" s="455">
        <f t="shared" si="31"/>
        <v>0.87750000000000006</v>
      </c>
      <c r="I59" s="455">
        <f t="shared" si="31"/>
        <v>0.87750000000000006</v>
      </c>
      <c r="J59" s="455">
        <f t="shared" si="31"/>
        <v>0.87750000000000006</v>
      </c>
      <c r="K59" s="455">
        <f t="shared" si="31"/>
        <v>0.87750000000000006</v>
      </c>
      <c r="L59" s="455">
        <f t="shared" si="31"/>
        <v>0.87750000000000006</v>
      </c>
      <c r="M59" s="455">
        <f t="shared" si="31"/>
        <v>0.87750000000000006</v>
      </c>
      <c r="N59" s="455">
        <f t="shared" si="31"/>
        <v>0.87750000000000006</v>
      </c>
      <c r="O59" s="455">
        <f t="shared" si="31"/>
        <v>0.87750000000000006</v>
      </c>
      <c r="P59" s="455">
        <f t="shared" si="31"/>
        <v>0.87750000000000006</v>
      </c>
      <c r="Q59" s="455">
        <f t="shared" si="31"/>
        <v>0.87750000000000006</v>
      </c>
      <c r="R59" s="455">
        <f t="shared" si="31"/>
        <v>0.87750000000000006</v>
      </c>
      <c r="S59" s="455">
        <f t="shared" si="31"/>
        <v>0.87750000000000006</v>
      </c>
      <c r="T59" s="455">
        <f t="shared" si="31"/>
        <v>0.87750000000000006</v>
      </c>
      <c r="U59" s="455">
        <f t="shared" si="31"/>
        <v>0.87750000000000006</v>
      </c>
      <c r="V59" s="455">
        <f t="shared" si="31"/>
        <v>0.87750000000000006</v>
      </c>
      <c r="W59" s="455">
        <f t="shared" si="31"/>
        <v>0.87750000000000006</v>
      </c>
      <c r="X59" s="455">
        <f t="shared" si="31"/>
        <v>0.87750000000000006</v>
      </c>
      <c r="Y59" s="455">
        <f t="shared" si="31"/>
        <v>0.87750000000000006</v>
      </c>
      <c r="Z59" s="455">
        <f t="shared" si="31"/>
        <v>0.87750000000000006</v>
      </c>
      <c r="AA59" s="455">
        <f t="shared" si="31"/>
        <v>0.87750000000000006</v>
      </c>
      <c r="AB59" s="455">
        <f t="shared" si="31"/>
        <v>0.87750000000000006</v>
      </c>
      <c r="AC59" s="455">
        <f t="shared" si="31"/>
        <v>0.87750000000000006</v>
      </c>
      <c r="AD59" s="455">
        <f t="shared" si="31"/>
        <v>0.87750000000000006</v>
      </c>
      <c r="AE59" s="455">
        <f>(58.5/1000)*15</f>
        <v>0.87750000000000006</v>
      </c>
      <c r="AF59" s="455">
        <f t="shared" si="32"/>
        <v>0.87750000000000006</v>
      </c>
      <c r="AG59" s="455">
        <f t="shared" si="32"/>
        <v>0.87750000000000006</v>
      </c>
      <c r="AH59" s="455">
        <f t="shared" si="32"/>
        <v>0.87750000000000006</v>
      </c>
      <c r="AI59" s="455">
        <f t="shared" si="32"/>
        <v>0.87750000000000006</v>
      </c>
      <c r="AJ59" s="455">
        <f t="shared" si="32"/>
        <v>0.87750000000000006</v>
      </c>
      <c r="AK59" s="455">
        <f t="shared" si="32"/>
        <v>0.87750000000000006</v>
      </c>
      <c r="AL59" s="455">
        <f t="shared" si="32"/>
        <v>0.87750000000000006</v>
      </c>
      <c r="AM59" s="455">
        <f t="shared" si="32"/>
        <v>0.87750000000000006</v>
      </c>
      <c r="AN59" s="455">
        <f t="shared" si="32"/>
        <v>0.87750000000000006</v>
      </c>
      <c r="AO59" s="455">
        <f t="shared" si="32"/>
        <v>0.87750000000000006</v>
      </c>
      <c r="AP59" s="455">
        <f t="shared" si="32"/>
        <v>0.87750000000000006</v>
      </c>
      <c r="AQ59" s="455">
        <f t="shared" si="32"/>
        <v>0.87750000000000006</v>
      </c>
      <c r="AR59" s="455">
        <f t="shared" si="32"/>
        <v>0.87750000000000006</v>
      </c>
      <c r="AS59" s="455">
        <f t="shared" si="32"/>
        <v>0.87750000000000006</v>
      </c>
      <c r="AT59" s="455">
        <f t="shared" si="32"/>
        <v>0.87750000000000006</v>
      </c>
      <c r="AU59" s="455">
        <f t="shared" si="32"/>
        <v>0.87750000000000006</v>
      </c>
      <c r="AV59" s="455">
        <f t="shared" si="32"/>
        <v>0.87750000000000006</v>
      </c>
      <c r="AW59" s="455">
        <f t="shared" si="32"/>
        <v>0.87750000000000006</v>
      </c>
      <c r="AX59" s="455">
        <f t="shared" si="32"/>
        <v>0.87750000000000006</v>
      </c>
      <c r="AY59" s="456">
        <f t="shared" si="32"/>
        <v>0.87750000000000006</v>
      </c>
    </row>
    <row r="60" spans="1:51">
      <c r="B60" s="433"/>
      <c r="C60" s="433"/>
      <c r="D60" s="433"/>
      <c r="E60" s="433"/>
      <c r="F60" s="433"/>
      <c r="G60" s="433"/>
      <c r="H60" s="433"/>
      <c r="I60" s="433"/>
      <c r="J60" s="433"/>
      <c r="K60" s="433"/>
      <c r="L60" s="433"/>
      <c r="M60" s="433"/>
      <c r="N60" s="433"/>
      <c r="O60" s="433"/>
      <c r="P60" s="433"/>
      <c r="Q60" s="433"/>
      <c r="R60" s="433"/>
      <c r="S60" s="433"/>
      <c r="T60" s="433"/>
      <c r="U60" s="433"/>
      <c r="V60" s="433"/>
      <c r="W60" s="433"/>
      <c r="X60" s="433"/>
      <c r="Y60" s="433"/>
      <c r="Z60" s="433"/>
      <c r="AA60" s="433"/>
      <c r="AB60" s="433"/>
      <c r="AC60" s="433"/>
      <c r="AD60" s="433"/>
      <c r="AE60" s="433"/>
    </row>
    <row r="61" spans="1:51" ht="15.75" thickBot="1">
      <c r="A61" s="437" t="s">
        <v>2937</v>
      </c>
      <c r="B61" s="433"/>
      <c r="C61" s="433"/>
      <c r="D61" s="433"/>
      <c r="E61" s="433"/>
      <c r="F61" s="433"/>
      <c r="G61" s="433"/>
      <c r="H61" s="433"/>
      <c r="I61" s="433"/>
      <c r="J61" s="433"/>
      <c r="K61" s="433"/>
      <c r="L61" s="433"/>
      <c r="M61" s="433"/>
      <c r="N61" s="433"/>
      <c r="O61" s="433"/>
      <c r="P61" s="433"/>
      <c r="Q61" s="433"/>
      <c r="R61" s="433"/>
      <c r="S61" s="433"/>
      <c r="T61" s="433"/>
      <c r="U61" s="433"/>
      <c r="V61" s="433"/>
      <c r="W61" s="433"/>
      <c r="X61" s="433"/>
      <c r="Y61" s="433"/>
      <c r="Z61" s="433"/>
      <c r="AA61" s="433"/>
      <c r="AB61" s="433"/>
      <c r="AC61" s="433"/>
      <c r="AD61" s="433"/>
      <c r="AE61" s="433"/>
    </row>
    <row r="62" spans="1:51" ht="12.75" thickBot="1">
      <c r="A62" s="438" t="s">
        <v>2932</v>
      </c>
      <c r="B62" s="439">
        <v>1</v>
      </c>
      <c r="C62" s="440">
        <v>2</v>
      </c>
      <c r="D62" s="440">
        <v>3</v>
      </c>
      <c r="E62" s="440">
        <v>4</v>
      </c>
      <c r="F62" s="440">
        <v>5</v>
      </c>
      <c r="G62" s="440">
        <v>6</v>
      </c>
      <c r="H62" s="440">
        <v>7</v>
      </c>
      <c r="I62" s="440">
        <v>8</v>
      </c>
      <c r="J62" s="440">
        <v>9</v>
      </c>
      <c r="K62" s="440">
        <v>10</v>
      </c>
      <c r="L62" s="440">
        <v>11</v>
      </c>
      <c r="M62" s="440">
        <v>12</v>
      </c>
      <c r="N62" s="440">
        <v>13</v>
      </c>
      <c r="O62" s="440">
        <v>14</v>
      </c>
      <c r="P62" s="440">
        <v>15</v>
      </c>
      <c r="Q62" s="440">
        <v>16</v>
      </c>
      <c r="R62" s="440">
        <v>17</v>
      </c>
      <c r="S62" s="440">
        <v>18</v>
      </c>
      <c r="T62" s="440">
        <v>19</v>
      </c>
      <c r="U62" s="440">
        <v>20</v>
      </c>
      <c r="V62" s="440">
        <v>21</v>
      </c>
      <c r="W62" s="440">
        <v>22</v>
      </c>
      <c r="X62" s="440">
        <v>23</v>
      </c>
      <c r="Y62" s="440">
        <v>24</v>
      </c>
      <c r="Z62" s="440">
        <v>25</v>
      </c>
      <c r="AA62" s="440">
        <v>26</v>
      </c>
      <c r="AB62" s="440">
        <v>27</v>
      </c>
      <c r="AC62" s="440">
        <v>28</v>
      </c>
      <c r="AD62" s="440">
        <v>29</v>
      </c>
      <c r="AE62" s="440">
        <v>30</v>
      </c>
      <c r="AF62" s="440">
        <f t="shared" ref="AF62:AY62" si="33">AE62+1</f>
        <v>31</v>
      </c>
      <c r="AG62" s="440">
        <f t="shared" si="33"/>
        <v>32</v>
      </c>
      <c r="AH62" s="440">
        <f t="shared" si="33"/>
        <v>33</v>
      </c>
      <c r="AI62" s="440">
        <f t="shared" si="33"/>
        <v>34</v>
      </c>
      <c r="AJ62" s="440">
        <f t="shared" si="33"/>
        <v>35</v>
      </c>
      <c r="AK62" s="440">
        <f t="shared" si="33"/>
        <v>36</v>
      </c>
      <c r="AL62" s="440">
        <f t="shared" si="33"/>
        <v>37</v>
      </c>
      <c r="AM62" s="440">
        <f t="shared" si="33"/>
        <v>38</v>
      </c>
      <c r="AN62" s="440">
        <f t="shared" si="33"/>
        <v>39</v>
      </c>
      <c r="AO62" s="440">
        <f t="shared" si="33"/>
        <v>40</v>
      </c>
      <c r="AP62" s="440">
        <f t="shared" si="33"/>
        <v>41</v>
      </c>
      <c r="AQ62" s="440">
        <f t="shared" si="33"/>
        <v>42</v>
      </c>
      <c r="AR62" s="440">
        <f t="shared" si="33"/>
        <v>43</v>
      </c>
      <c r="AS62" s="440">
        <f t="shared" si="33"/>
        <v>44</v>
      </c>
      <c r="AT62" s="440">
        <f t="shared" si="33"/>
        <v>45</v>
      </c>
      <c r="AU62" s="440">
        <f t="shared" si="33"/>
        <v>46</v>
      </c>
      <c r="AV62" s="440">
        <f t="shared" si="33"/>
        <v>47</v>
      </c>
      <c r="AW62" s="440">
        <f t="shared" si="33"/>
        <v>48</v>
      </c>
      <c r="AX62" s="440">
        <f t="shared" si="33"/>
        <v>49</v>
      </c>
      <c r="AY62" s="441">
        <f t="shared" si="33"/>
        <v>50</v>
      </c>
    </row>
    <row r="63" spans="1:51">
      <c r="A63" s="442" t="s">
        <v>2955</v>
      </c>
      <c r="B63" s="443">
        <f t="shared" ref="B63:B70" si="34">B52/(1+$C$3)^(B$16-0.5)</f>
        <v>8.3142880157899599E-2</v>
      </c>
      <c r="C63" s="444">
        <f t="shared" ref="C63:AY68" si="35">(C52/(1+$C$3)^(C$16-0.5)+B63)</f>
        <v>0.16070826239739211</v>
      </c>
      <c r="D63" s="444">
        <f t="shared" si="35"/>
        <v>0.23307999709599747</v>
      </c>
      <c r="E63" s="444">
        <f t="shared" si="35"/>
        <v>0.30114273002703768</v>
      </c>
      <c r="F63" s="444">
        <f t="shared" si="35"/>
        <v>0.36515751643659311</v>
      </c>
      <c r="G63" s="444">
        <f t="shared" si="35"/>
        <v>0.42536143494077922</v>
      </c>
      <c r="H63" s="444">
        <f t="shared" si="35"/>
        <v>0.48257132602867497</v>
      </c>
      <c r="I63" s="444">
        <f t="shared" si="35"/>
        <v>0.536928527800549</v>
      </c>
      <c r="J63" s="444">
        <f t="shared" si="35"/>
        <v>0.58858182701740214</v>
      </c>
      <c r="K63" s="444">
        <f t="shared" si="35"/>
        <v>0.63765893447520172</v>
      </c>
      <c r="L63" s="444">
        <f t="shared" si="35"/>
        <v>0.68429421542850943</v>
      </c>
      <c r="M63" s="444">
        <f t="shared" si="35"/>
        <v>0.72860306354262117</v>
      </c>
      <c r="N63" s="444">
        <f t="shared" si="35"/>
        <v>0.77070681722797341</v>
      </c>
      <c r="O63" s="444">
        <f t="shared" si="35"/>
        <v>0.81071496813382138</v>
      </c>
      <c r="P63" s="444">
        <f t="shared" si="35"/>
        <v>0.84873158476506239</v>
      </c>
      <c r="Q63" s="444">
        <f t="shared" si="35"/>
        <v>0.8847662924723998</v>
      </c>
      <c r="R63" s="444">
        <f t="shared" si="35"/>
        <v>0.91892241352200876</v>
      </c>
      <c r="S63" s="444">
        <f t="shared" si="35"/>
        <v>0.95129788371121149</v>
      </c>
      <c r="T63" s="444">
        <f t="shared" si="35"/>
        <v>0.98198553317965009</v>
      </c>
      <c r="U63" s="444">
        <f t="shared" si="35"/>
        <v>1.0110733525810138</v>
      </c>
      <c r="V63" s="444">
        <f t="shared" si="35"/>
        <v>1.038644745378515</v>
      </c>
      <c r="W63" s="444">
        <f t="shared" si="35"/>
        <v>1.0647787669875208</v>
      </c>
      <c r="X63" s="444">
        <f t="shared" si="35"/>
        <v>1.0895503514510334</v>
      </c>
      <c r="Y63" s="444">
        <f t="shared" si="35"/>
        <v>1.1130305262979647</v>
      </c>
      <c r="Z63" s="444">
        <f t="shared" si="35"/>
        <v>1.1352866162002693</v>
      </c>
      <c r="AA63" s="444">
        <f t="shared" si="35"/>
        <v>1.1563824360128803</v>
      </c>
      <c r="AB63" s="444">
        <f t="shared" si="35"/>
        <v>1.1763784737499523</v>
      </c>
      <c r="AC63" s="444">
        <f t="shared" si="35"/>
        <v>1.1953320640220586</v>
      </c>
      <c r="AD63" s="444">
        <f t="shared" si="35"/>
        <v>1.2132975524316381</v>
      </c>
      <c r="AE63" s="444">
        <f t="shared" si="35"/>
        <v>1.2303264513980641</v>
      </c>
      <c r="AF63" s="444">
        <f t="shared" si="35"/>
        <v>1.2464675878591314</v>
      </c>
      <c r="AG63" s="444">
        <f t="shared" si="35"/>
        <v>1.2617672432724651</v>
      </c>
      <c r="AH63" s="444">
        <f t="shared" si="35"/>
        <v>1.2762692863182792</v>
      </c>
      <c r="AI63" s="444">
        <f t="shared" si="35"/>
        <v>1.2900152986839797</v>
      </c>
      <c r="AJ63" s="444">
        <f t="shared" si="35"/>
        <v>1.3030446942912788</v>
      </c>
      <c r="AK63" s="444">
        <f t="shared" si="35"/>
        <v>1.3153948323076761</v>
      </c>
      <c r="AL63" s="444">
        <f t="shared" si="35"/>
        <v>1.3271011242663464</v>
      </c>
      <c r="AM63" s="444">
        <f t="shared" si="35"/>
        <v>1.3381971356015789</v>
      </c>
      <c r="AN63" s="444">
        <f t="shared" si="35"/>
        <v>1.3487146818908988</v>
      </c>
      <c r="AO63" s="444">
        <f t="shared" si="35"/>
        <v>1.3586839200798277</v>
      </c>
      <c r="AP63" s="444">
        <f t="shared" si="35"/>
        <v>1.3681334349508505</v>
      </c>
      <c r="AQ63" s="444">
        <f t="shared" si="35"/>
        <v>1.3770903210845213</v>
      </c>
      <c r="AR63" s="444">
        <f t="shared" si="35"/>
        <v>1.3855802605477163</v>
      </c>
      <c r="AS63" s="444">
        <f t="shared" si="35"/>
        <v>1.3936275965317875</v>
      </c>
      <c r="AT63" s="444">
        <f t="shared" si="35"/>
        <v>1.4012554031517601</v>
      </c>
      <c r="AU63" s="444">
        <f t="shared" si="35"/>
        <v>1.4084855516067105</v>
      </c>
      <c r="AV63" s="444">
        <f t="shared" si="35"/>
        <v>1.4153387728910236</v>
      </c>
      <c r="AW63" s="444">
        <f t="shared" si="35"/>
        <v>1.4218347172363441</v>
      </c>
      <c r="AX63" s="444">
        <f t="shared" si="35"/>
        <v>1.4279920104546575</v>
      </c>
      <c r="AY63" s="445">
        <f t="shared" si="35"/>
        <v>1.4338283073440541</v>
      </c>
    </row>
    <row r="64" spans="1:51">
      <c r="A64" s="446" t="s">
        <v>2956</v>
      </c>
      <c r="B64" s="450">
        <f t="shared" si="34"/>
        <v>83.142880157899583</v>
      </c>
      <c r="C64" s="451">
        <f t="shared" si="35"/>
        <v>168.53441057976141</v>
      </c>
      <c r="D64" s="451">
        <f t="shared" si="35"/>
        <v>255.33713327310039</v>
      </c>
      <c r="E64" s="451">
        <f t="shared" si="35"/>
        <v>342.85019038251738</v>
      </c>
      <c r="F64" s="451">
        <f t="shared" si="35"/>
        <v>430.46720059461694</v>
      </c>
      <c r="G64" s="451">
        <f t="shared" si="35"/>
        <v>517.67458334521405</v>
      </c>
      <c r="H64" s="451">
        <f t="shared" si="35"/>
        <v>604.04866016790231</v>
      </c>
      <c r="I64" s="451">
        <f t="shared" si="35"/>
        <v>689.22294077369145</v>
      </c>
      <c r="J64" s="451">
        <f t="shared" si="35"/>
        <v>772.90319960289992</v>
      </c>
      <c r="K64" s="451">
        <f t="shared" si="35"/>
        <v>854.84525147923114</v>
      </c>
      <c r="L64" s="451">
        <f t="shared" si="35"/>
        <v>934.84935653622915</v>
      </c>
      <c r="M64" s="451">
        <f t="shared" si="35"/>
        <v>1012.7609731846534</v>
      </c>
      <c r="N64" s="451">
        <f t="shared" si="35"/>
        <v>1086.6108467850554</v>
      </c>
      <c r="O64" s="451">
        <f t="shared" si="35"/>
        <v>1156.61072697501</v>
      </c>
      <c r="P64" s="451">
        <f t="shared" si="35"/>
        <v>1222.96132431146</v>
      </c>
      <c r="Q64" s="451">
        <f t="shared" si="35"/>
        <v>1285.8528857678107</v>
      </c>
      <c r="R64" s="451">
        <f t="shared" si="35"/>
        <v>1345.4657402288062</v>
      </c>
      <c r="S64" s="451">
        <f t="shared" si="35"/>
        <v>1401.9708155472856</v>
      </c>
      <c r="T64" s="451">
        <f t="shared" si="35"/>
        <v>1455.5301286453703</v>
      </c>
      <c r="U64" s="451">
        <f t="shared" si="35"/>
        <v>1506.2972500653557</v>
      </c>
      <c r="V64" s="451">
        <f t="shared" si="35"/>
        <v>1554.4177443023086</v>
      </c>
      <c r="W64" s="451">
        <f t="shared" si="35"/>
        <v>1600.0295871809371</v>
      </c>
      <c r="X64" s="451">
        <f t="shared" si="35"/>
        <v>1643.2635614734759</v>
      </c>
      <c r="Y64" s="451">
        <f t="shared" si="35"/>
        <v>1684.243631892944</v>
      </c>
      <c r="Z64" s="451">
        <f t="shared" si="35"/>
        <v>1723.0873005369897</v>
      </c>
      <c r="AA64" s="451">
        <f t="shared" si="35"/>
        <v>1759.9059438014879</v>
      </c>
      <c r="AB64" s="451">
        <f t="shared" si="35"/>
        <v>1794.8051317299221</v>
      </c>
      <c r="AC64" s="451">
        <f t="shared" si="35"/>
        <v>1827.88493071422</v>
      </c>
      <c r="AD64" s="451">
        <f t="shared" si="35"/>
        <v>1859.2401904149763</v>
      </c>
      <c r="AE64" s="451">
        <f t="shared" si="35"/>
        <v>1888.9608157237501</v>
      </c>
      <c r="AF64" s="451">
        <f t="shared" si="35"/>
        <v>1917.1320245472323</v>
      </c>
      <c r="AG64" s="451">
        <f t="shared" si="35"/>
        <v>1943.8345921524287</v>
      </c>
      <c r="AH64" s="451">
        <f t="shared" si="35"/>
        <v>1969.1450827734679</v>
      </c>
      <c r="AI64" s="451">
        <f t="shared" si="35"/>
        <v>1993.1360691441214</v>
      </c>
      <c r="AJ64" s="451">
        <f t="shared" si="35"/>
        <v>2015.8763405854991</v>
      </c>
      <c r="AK64" s="451">
        <f t="shared" si="35"/>
        <v>2037.4311002455727</v>
      </c>
      <c r="AL64" s="451">
        <f t="shared" si="35"/>
        <v>2057.8621520560691</v>
      </c>
      <c r="AM64" s="451">
        <f t="shared" si="35"/>
        <v>2077.2280779427956</v>
      </c>
      <c r="AN64" s="451">
        <f t="shared" si="35"/>
        <v>2095.5844057975123</v>
      </c>
      <c r="AO64" s="451">
        <f t="shared" si="35"/>
        <v>2112.9837686929786</v>
      </c>
      <c r="AP64" s="451">
        <f t="shared" si="35"/>
        <v>2129.4760557976861</v>
      </c>
      <c r="AQ64" s="451">
        <f t="shared" si="35"/>
        <v>2145.1085554230012</v>
      </c>
      <c r="AR64" s="451">
        <f t="shared" si="35"/>
        <v>2159.9260906128734</v>
      </c>
      <c r="AS64" s="451">
        <f t="shared" si="35"/>
        <v>2173.9711476648849</v>
      </c>
      <c r="AT64" s="451">
        <f t="shared" si="35"/>
        <v>2187.2839979511518</v>
      </c>
      <c r="AU64" s="451">
        <f t="shared" si="35"/>
        <v>2199.9028133883717</v>
      </c>
      <c r="AV64" s="451">
        <f t="shared" si="35"/>
        <v>2211.8637758881059</v>
      </c>
      <c r="AW64" s="451">
        <f t="shared" si="35"/>
        <v>2223.2011811011243</v>
      </c>
      <c r="AX64" s="451">
        <f t="shared" si="35"/>
        <v>2233.9475367532746</v>
      </c>
      <c r="AY64" s="452">
        <f t="shared" si="35"/>
        <v>2244.1336558548387</v>
      </c>
    </row>
    <row r="65" spans="1:51">
      <c r="A65" s="446" t="s">
        <v>2957</v>
      </c>
      <c r="B65" s="450">
        <f t="shared" si="34"/>
        <v>13.279696222186503</v>
      </c>
      <c r="C65" s="451">
        <f t="shared" si="35"/>
        <v>25.654835298747013</v>
      </c>
      <c r="D65" s="451">
        <f t="shared" si="35"/>
        <v>37.192386635892532</v>
      </c>
      <c r="E65" s="451">
        <f t="shared" si="35"/>
        <v>48.128454254039944</v>
      </c>
      <c r="F65" s="451">
        <f t="shared" si="35"/>
        <v>58.494395124321855</v>
      </c>
      <c r="G65" s="451">
        <f t="shared" si="35"/>
        <v>68.319931494257318</v>
      </c>
      <c r="H65" s="451">
        <f t="shared" si="35"/>
        <v>77.689723173940223</v>
      </c>
      <c r="I65" s="451">
        <f t="shared" si="35"/>
        <v>86.617891761958674</v>
      </c>
      <c r="J65" s="451">
        <f t="shared" si="35"/>
        <v>95.131361741509721</v>
      </c>
      <c r="K65" s="451">
        <f t="shared" si="35"/>
        <v>103.20100153255336</v>
      </c>
      <c r="L65" s="451">
        <f t="shared" si="35"/>
        <v>110.84994920178904</v>
      </c>
      <c r="M65" s="451">
        <f t="shared" si="35"/>
        <v>118.10013656599348</v>
      </c>
      <c r="N65" s="451">
        <f t="shared" si="35"/>
        <v>124.97235207708773</v>
      </c>
      <c r="O65" s="451">
        <f t="shared" si="35"/>
        <v>131.48630042883585</v>
      </c>
      <c r="P65" s="451">
        <f t="shared" si="35"/>
        <v>137.66065905608525</v>
      </c>
      <c r="Q65" s="451">
        <f t="shared" si="35"/>
        <v>143.51313168854912</v>
      </c>
      <c r="R65" s="451">
        <f t="shared" si="35"/>
        <v>149.06049911268551</v>
      </c>
      <c r="S65" s="451">
        <f t="shared" si="35"/>
        <v>154.31866728722235</v>
      </c>
      <c r="T65" s="451">
        <f t="shared" si="35"/>
        <v>159.30271295029047</v>
      </c>
      <c r="U65" s="451">
        <f t="shared" si="35"/>
        <v>164.02692684893321</v>
      </c>
      <c r="V65" s="451">
        <f t="shared" si="35"/>
        <v>168.50485471494531</v>
      </c>
      <c r="W65" s="451">
        <f t="shared" si="35"/>
        <v>172.74933610453024</v>
      </c>
      <c r="X65" s="451">
        <f t="shared" si="35"/>
        <v>176.77254121314155</v>
      </c>
      <c r="Y65" s="451">
        <f t="shared" si="35"/>
        <v>180.58600577106697</v>
      </c>
      <c r="Z65" s="451">
        <f t="shared" si="35"/>
        <v>184.20066411981142</v>
      </c>
      <c r="AA65" s="451">
        <f t="shared" si="35"/>
        <v>187.62688056411898</v>
      </c>
      <c r="AB65" s="451">
        <f t="shared" si="35"/>
        <v>190.87447908952896</v>
      </c>
      <c r="AC65" s="451">
        <f t="shared" si="35"/>
        <v>193.95277153067588</v>
      </c>
      <c r="AD65" s="451">
        <f t="shared" si="35"/>
        <v>196.87058427109949</v>
      </c>
      <c r="AE65" s="451">
        <f t="shared" si="35"/>
        <v>199.63628355112186</v>
      </c>
      <c r="AF65" s="451">
        <f t="shared" si="35"/>
        <v>202.25779945635634</v>
      </c>
      <c r="AG65" s="451">
        <f t="shared" si="35"/>
        <v>204.74264865563075</v>
      </c>
      <c r="AH65" s="451">
        <f t="shared" si="35"/>
        <v>207.09795595352116</v>
      </c>
      <c r="AI65" s="451">
        <f t="shared" si="35"/>
        <v>209.33047471929407</v>
      </c>
      <c r="AJ65" s="451">
        <f t="shared" si="35"/>
        <v>211.44660625083239</v>
      </c>
      <c r="AK65" s="451">
        <f t="shared" si="35"/>
        <v>213.45241812906775</v>
      </c>
      <c r="AL65" s="451">
        <f t="shared" si="35"/>
        <v>215.35366161554677</v>
      </c>
      <c r="AM65" s="451">
        <f t="shared" si="35"/>
        <v>217.15578814301503</v>
      </c>
      <c r="AN65" s="451">
        <f t="shared" si="35"/>
        <v>218.86396494630247</v>
      </c>
      <c r="AO65" s="451">
        <f t="shared" si="35"/>
        <v>220.48308987832849</v>
      </c>
      <c r="AP65" s="451">
        <f t="shared" si="35"/>
        <v>222.0178054537086</v>
      </c>
      <c r="AQ65" s="451">
        <f t="shared" si="35"/>
        <v>223.47251216023005</v>
      </c>
      <c r="AR65" s="451">
        <f t="shared" si="35"/>
        <v>224.85138107636411</v>
      </c>
      <c r="AS65" s="451">
        <f t="shared" si="35"/>
        <v>226.15836583099355</v>
      </c>
      <c r="AT65" s="451">
        <f t="shared" si="35"/>
        <v>227.39721393964706</v>
      </c>
      <c r="AU65" s="451">
        <f t="shared" si="35"/>
        <v>228.57147754974517</v>
      </c>
      <c r="AV65" s="451">
        <f t="shared" si="35"/>
        <v>229.68452362566754</v>
      </c>
      <c r="AW65" s="451">
        <f t="shared" si="35"/>
        <v>230.73954360284515</v>
      </c>
      <c r="AX65" s="451">
        <f t="shared" si="35"/>
        <v>231.73956253855852</v>
      </c>
      <c r="AY65" s="452">
        <f t="shared" si="35"/>
        <v>232.68744778568021</v>
      </c>
    </row>
    <row r="66" spans="1:51">
      <c r="A66" s="446" t="s">
        <v>2958</v>
      </c>
      <c r="B66" s="450">
        <f t="shared" si="34"/>
        <v>11.695187013857431</v>
      </c>
      <c r="C66" s="451">
        <f t="shared" si="35"/>
        <v>22.579187967782417</v>
      </c>
      <c r="D66" s="451">
        <f t="shared" si="35"/>
        <v>32.713543302653164</v>
      </c>
      <c r="E66" s="451">
        <f t="shared" si="35"/>
        <v>42.31956731674866</v>
      </c>
      <c r="F66" s="451">
        <f t="shared" si="35"/>
        <v>51.424803349066664</v>
      </c>
      <c r="G66" s="451">
        <f t="shared" si="35"/>
        <v>60.055358829936814</v>
      </c>
      <c r="H66" s="451">
        <f t="shared" si="35"/>
        <v>68.288348354059096</v>
      </c>
      <c r="I66" s="451">
        <f t="shared" si="35"/>
        <v>76.138979353868422</v>
      </c>
      <c r="J66" s="451">
        <f t="shared" si="35"/>
        <v>83.627386101281516</v>
      </c>
      <c r="K66" s="451">
        <f t="shared" si="35"/>
        <v>90.725401975606729</v>
      </c>
      <c r="L66" s="451">
        <f t="shared" si="35"/>
        <v>97.453379107668539</v>
      </c>
      <c r="M66" s="451">
        <f t="shared" si="35"/>
        <v>103.83060861673187</v>
      </c>
      <c r="N66" s="451">
        <f t="shared" si="35"/>
        <v>109.8753759239009</v>
      </c>
      <c r="O66" s="451">
        <f t="shared" si="35"/>
        <v>115.60501318188103</v>
      </c>
      <c r="P66" s="451">
        <f t="shared" si="35"/>
        <v>121.03594897143566</v>
      </c>
      <c r="Q66" s="451">
        <f t="shared" si="35"/>
        <v>126.18375540703246</v>
      </c>
      <c r="R66" s="451">
        <f t="shared" si="35"/>
        <v>131.06319278674508</v>
      </c>
      <c r="S66" s="451">
        <f t="shared" si="35"/>
        <v>135.68825191443474</v>
      </c>
      <c r="T66" s="451">
        <f t="shared" si="35"/>
        <v>140.0721942155624</v>
      </c>
      <c r="U66" s="451">
        <f t="shared" si="35"/>
        <v>144.22758976165497</v>
      </c>
      <c r="V66" s="451">
        <f t="shared" si="35"/>
        <v>148.16635331245359</v>
      </c>
      <c r="W66" s="451">
        <f t="shared" si="35"/>
        <v>151.89977847908739</v>
      </c>
      <c r="X66" s="451">
        <f t="shared" si="35"/>
        <v>155.43857010622841</v>
      </c>
      <c r="Y66" s="451">
        <f t="shared" si="35"/>
        <v>158.79287496607773</v>
      </c>
      <c r="Z66" s="451">
        <f t="shared" si="35"/>
        <v>161.97231085219082</v>
      </c>
      <c r="AA66" s="451">
        <f t="shared" si="35"/>
        <v>164.98599415656341</v>
      </c>
      <c r="AB66" s="451">
        <f t="shared" si="35"/>
        <v>167.84256600904928</v>
      </c>
      <c r="AC66" s="451">
        <f t="shared" si="35"/>
        <v>170.5502170540596</v>
      </c>
      <c r="AD66" s="451">
        <f t="shared" si="35"/>
        <v>173.11671093558596</v>
      </c>
      <c r="AE66" s="451">
        <f t="shared" si="35"/>
        <v>175.54940655788582</v>
      </c>
      <c r="AF66" s="451">
        <f t="shared" si="35"/>
        <v>177.85527918565819</v>
      </c>
      <c r="AG66" s="451">
        <f t="shared" si="35"/>
        <v>180.04094044421021</v>
      </c>
      <c r="AH66" s="451">
        <f t="shared" si="35"/>
        <v>182.11265727696093</v>
      </c>
      <c r="AI66" s="451">
        <f t="shared" si="35"/>
        <v>184.07636991463934</v>
      </c>
      <c r="AJ66" s="451">
        <f t="shared" si="35"/>
        <v>185.93770890769946</v>
      </c>
      <c r="AK66" s="451">
        <f t="shared" si="35"/>
        <v>187.70201127078963</v>
      </c>
      <c r="AL66" s="451">
        <f t="shared" si="35"/>
        <v>189.37433578556704</v>
      </c>
      <c r="AM66" s="451">
        <f t="shared" si="35"/>
        <v>190.95947750573518</v>
      </c>
      <c r="AN66" s="451">
        <f t="shared" si="35"/>
        <v>192.46198150589456</v>
      </c>
      <c r="AO66" s="451">
        <f t="shared" si="35"/>
        <v>193.88615591362858</v>
      </c>
      <c r="AP66" s="451">
        <f t="shared" si="35"/>
        <v>195.23608426219164</v>
      </c>
      <c r="AQ66" s="451">
        <f t="shared" si="35"/>
        <v>196.51563719921822</v>
      </c>
      <c r="AR66" s="451">
        <f t="shared" si="35"/>
        <v>197.7284835850254</v>
      </c>
      <c r="AS66" s="451">
        <f t="shared" si="35"/>
        <v>198.8781010123308</v>
      </c>
      <c r="AT66" s="451">
        <f t="shared" si="35"/>
        <v>199.96778577754918</v>
      </c>
      <c r="AU66" s="451">
        <f t="shared" si="35"/>
        <v>201.00066233225854</v>
      </c>
      <c r="AV66" s="451">
        <f t="shared" si="35"/>
        <v>201.97969224193568</v>
      </c>
      <c r="AW66" s="451">
        <f t="shared" si="35"/>
        <v>202.90768267764861</v>
      </c>
      <c r="AX66" s="451">
        <f t="shared" si="35"/>
        <v>203.78729446505423</v>
      </c>
      <c r="AY66" s="452">
        <f t="shared" si="35"/>
        <v>204.62104971377994</v>
      </c>
    </row>
    <row r="67" spans="1:51">
      <c r="A67" s="446" t="s">
        <v>2959</v>
      </c>
      <c r="B67" s="450">
        <f t="shared" si="34"/>
        <v>7.0689328859713552</v>
      </c>
      <c r="C67" s="451">
        <f t="shared" si="35"/>
        <v>14.369698136716529</v>
      </c>
      <c r="D67" s="451">
        <f t="shared" si="35"/>
        <v>21.541967331637562</v>
      </c>
      <c r="E67" s="451">
        <f t="shared" si="35"/>
        <v>28.51267627318699</v>
      </c>
      <c r="F67" s="451">
        <f t="shared" si="35"/>
        <v>35.250642077004798</v>
      </c>
      <c r="G67" s="451">
        <f t="shared" si="35"/>
        <v>41.746987388541662</v>
      </c>
      <c r="H67" s="451">
        <f t="shared" si="35"/>
        <v>47.980700711127561</v>
      </c>
      <c r="I67" s="451">
        <f t="shared" si="35"/>
        <v>53.925864208141782</v>
      </c>
      <c r="J67" s="451">
        <f t="shared" si="35"/>
        <v>59.641723748881354</v>
      </c>
      <c r="K67" s="451">
        <f t="shared" si="35"/>
        <v>65.083644011797688</v>
      </c>
      <c r="L67" s="451">
        <f t="shared" si="35"/>
        <v>70.302178243051259</v>
      </c>
      <c r="M67" s="451">
        <f t="shared" si="35"/>
        <v>75.296787022973902</v>
      </c>
      <c r="N67" s="451">
        <f t="shared" si="35"/>
        <v>80.02975889547298</v>
      </c>
      <c r="O67" s="451">
        <f t="shared" si="35"/>
        <v>84.55046652586843</v>
      </c>
      <c r="P67" s="451">
        <f t="shared" si="35"/>
        <v>88.867652559080511</v>
      </c>
      <c r="Q67" s="451">
        <f t="shared" si="35"/>
        <v>92.986957075656932</v>
      </c>
      <c r="R67" s="451">
        <f t="shared" si="35"/>
        <v>96.884761614834133</v>
      </c>
      <c r="S67" s="451">
        <f t="shared" si="35"/>
        <v>100.57041386849632</v>
      </c>
      <c r="T67" s="451">
        <f t="shared" si="35"/>
        <v>104.05103570691571</v>
      </c>
      <c r="U67" s="451">
        <f t="shared" si="35"/>
        <v>107.35020332627059</v>
      </c>
      <c r="V67" s="451">
        <f t="shared" si="35"/>
        <v>110.47737642518516</v>
      </c>
      <c r="W67" s="451">
        <f t="shared" si="35"/>
        <v>113.44152154263973</v>
      </c>
      <c r="X67" s="451">
        <f t="shared" si="35"/>
        <v>116.25113776771516</v>
      </c>
      <c r="Y67" s="451">
        <f t="shared" si="35"/>
        <v>118.91428110901889</v>
      </c>
      <c r="Z67" s="451">
        <f t="shared" si="35"/>
        <v>121.43858759366697</v>
      </c>
      <c r="AA67" s="451">
        <f t="shared" si="35"/>
        <v>123.83129516205376</v>
      </c>
      <c r="AB67" s="451">
        <f t="shared" si="35"/>
        <v>126.09926442118817</v>
      </c>
      <c r="AC67" s="451">
        <f t="shared" si="35"/>
        <v>128.2489983161023</v>
      </c>
      <c r="AD67" s="451">
        <f t="shared" si="35"/>
        <v>130.28666077573655</v>
      </c>
      <c r="AE67" s="451">
        <f t="shared" si="35"/>
        <v>132.21809438676428</v>
      </c>
      <c r="AF67" s="451">
        <f t="shared" si="35"/>
        <v>134.04883714603227</v>
      </c>
      <c r="AG67" s="451">
        <f t="shared" si="35"/>
        <v>135.78413833965121</v>
      </c>
      <c r="AH67" s="451">
        <f t="shared" si="35"/>
        <v>137.42897359426632</v>
      </c>
      <c r="AI67" s="451">
        <f t="shared" si="35"/>
        <v>138.98805914366454</v>
      </c>
      <c r="AJ67" s="451">
        <f t="shared" si="35"/>
        <v>140.46586535162493</v>
      </c>
      <c r="AK67" s="451">
        <f t="shared" si="35"/>
        <v>141.86662952978642</v>
      </c>
      <c r="AL67" s="451">
        <f t="shared" si="35"/>
        <v>143.19436808728548</v>
      </c>
      <c r="AM67" s="451">
        <f t="shared" si="35"/>
        <v>144.45288804700024</v>
      </c>
      <c r="AN67" s="451">
        <f t="shared" si="35"/>
        <v>145.64579796142181</v>
      </c>
      <c r="AO67" s="451">
        <f t="shared" si="35"/>
        <v>146.77651825945173</v>
      </c>
      <c r="AP67" s="451">
        <f t="shared" si="35"/>
        <v>147.84829105379288</v>
      </c>
      <c r="AQ67" s="451">
        <f t="shared" si="35"/>
        <v>148.86418943705462</v>
      </c>
      <c r="AR67" s="451">
        <f t="shared" si="35"/>
        <v>149.82712629322691</v>
      </c>
      <c r="AS67" s="451">
        <f t="shared" si="35"/>
        <v>150.73986264978831</v>
      </c>
      <c r="AT67" s="451">
        <f t="shared" si="35"/>
        <v>151.60501559439626</v>
      </c>
      <c r="AU67" s="451">
        <f t="shared" si="35"/>
        <v>152.42506577885879</v>
      </c>
      <c r="AV67" s="451">
        <f t="shared" si="35"/>
        <v>153.20236453190384</v>
      </c>
      <c r="AW67" s="451">
        <f t="shared" si="35"/>
        <v>153.93914060114085</v>
      </c>
      <c r="AX67" s="451">
        <f t="shared" si="35"/>
        <v>154.63750654354561</v>
      </c>
      <c r="AY67" s="452">
        <f t="shared" si="35"/>
        <v>155.29946478279183</v>
      </c>
    </row>
    <row r="68" spans="1:51">
      <c r="A68" s="446" t="s">
        <v>2938</v>
      </c>
      <c r="B68" s="447">
        <f t="shared" si="34"/>
        <v>6.1141123369011178E-3</v>
      </c>
      <c r="C68" s="448">
        <f t="shared" si="35"/>
        <v>1.1835653147838862E-2</v>
      </c>
      <c r="D68" s="448">
        <f t="shared" si="35"/>
        <v>1.718893701314065E-2</v>
      </c>
      <c r="E68" s="448">
        <f t="shared" si="35"/>
        <v>2.2163645558166009E-2</v>
      </c>
      <c r="F68" s="448">
        <f t="shared" si="35"/>
        <v>2.6784701836957338E-2</v>
      </c>
      <c r="G68" s="448">
        <f t="shared" si="35"/>
        <v>3.1082908421834338E-2</v>
      </c>
      <c r="H68" s="448">
        <f t="shared" si="35"/>
        <v>3.5157037886172721E-2</v>
      </c>
      <c r="I68" s="448">
        <f t="shared" si="35"/>
        <v>3.9012079195542004E-2</v>
      </c>
      <c r="J68" s="448">
        <f t="shared" si="35"/>
        <v>4.2666146787361234E-2</v>
      </c>
      <c r="K68" s="448">
        <f t="shared" si="35"/>
        <v>4.6123704820036415E-2</v>
      </c>
      <c r="L68" s="448">
        <f t="shared" si="35"/>
        <v>4.9401011012145592E-2</v>
      </c>
      <c r="M68" s="448">
        <f t="shared" ref="M68:AY70" si="36">(M57/(1+$C$3)^(M$16-0.5)+L68)</f>
        <v>5.2507462379073722E-2</v>
      </c>
      <c r="N68" s="448">
        <f t="shared" si="36"/>
        <v>5.5446845168468734E-2</v>
      </c>
      <c r="O68" s="448">
        <f t="shared" si="36"/>
        <v>5.8232989992539834E-2</v>
      </c>
      <c r="P68" s="448">
        <f t="shared" si="36"/>
        <v>6.0869284697021131E-2</v>
      </c>
      <c r="Q68" s="448">
        <f t="shared" si="36"/>
        <v>6.3368142236813835E-2</v>
      </c>
      <c r="R68" s="448">
        <f t="shared" si="36"/>
        <v>6.5736727582588902E-2</v>
      </c>
      <c r="S68" s="448">
        <f t="shared" si="36"/>
        <v>6.7981832175740636E-2</v>
      </c>
      <c r="T68" s="448">
        <f t="shared" si="36"/>
        <v>7.0109893401476872E-2</v>
      </c>
      <c r="U68" s="448">
        <f t="shared" si="36"/>
        <v>7.2127013046724489E-2</v>
      </c>
      <c r="V68" s="448">
        <f t="shared" si="36"/>
        <v>7.4038974795774357E-2</v>
      </c>
      <c r="W68" s="448">
        <f t="shared" si="36"/>
        <v>7.5851260813831103E-2</v>
      </c>
      <c r="X68" s="448">
        <f t="shared" si="36"/>
        <v>7.7569067466017591E-2</v>
      </c>
      <c r="Y68" s="448">
        <f t="shared" si="36"/>
        <v>7.9197320216905259E-2</v>
      </c>
      <c r="Z68" s="448">
        <f t="shared" si="36"/>
        <v>8.0740687753291684E-2</v>
      </c>
      <c r="AA68" s="448">
        <f t="shared" si="36"/>
        <v>8.220359537071957E-2</v>
      </c>
      <c r="AB68" s="448">
        <f t="shared" si="36"/>
        <v>8.3590237662120412E-2</v>
      </c>
      <c r="AC68" s="448">
        <f t="shared" si="36"/>
        <v>8.4904590544964811E-2</v>
      </c>
      <c r="AD68" s="448">
        <f t="shared" si="36"/>
        <v>8.6150422661405004E-2</v>
      </c>
      <c r="AE68" s="448">
        <f t="shared" si="36"/>
        <v>8.7331306184097124E-2</v>
      </c>
      <c r="AF68" s="448">
        <f t="shared" si="36"/>
        <v>8.8450627058686809E-2</v>
      </c>
      <c r="AG68" s="448">
        <f t="shared" si="36"/>
        <v>8.9511594712326323E-2</v>
      </c>
      <c r="AH68" s="448">
        <f t="shared" si="36"/>
        <v>9.0517251256060458E-2</v>
      </c>
      <c r="AI68" s="448">
        <f t="shared" si="36"/>
        <v>9.1470480207467217E-2</v>
      </c>
      <c r="AJ68" s="448">
        <f t="shared" si="36"/>
        <v>9.2374014758563674E-2</v>
      </c>
      <c r="AK68" s="448">
        <f t="shared" si="36"/>
        <v>9.3230445612683538E-2</v>
      </c>
      <c r="AL68" s="448">
        <f t="shared" si="36"/>
        <v>9.4042228412797163E-2</v>
      </c>
      <c r="AM68" s="448">
        <f t="shared" si="36"/>
        <v>9.4811690782573108E-2</v>
      </c>
      <c r="AN68" s="448">
        <f t="shared" si="36"/>
        <v>9.5541039000370212E-2</v>
      </c>
      <c r="AO68" s="448">
        <f t="shared" si="36"/>
        <v>9.6232364325296374E-2</v>
      </c>
      <c r="AP68" s="448">
        <f t="shared" si="36"/>
        <v>9.6887648993472825E-2</v>
      </c>
      <c r="AQ68" s="448">
        <f t="shared" si="36"/>
        <v>9.7508771901696961E-2</v>
      </c>
      <c r="AR68" s="448">
        <f t="shared" si="36"/>
        <v>9.8097513994800406E-2</v>
      </c>
      <c r="AS68" s="448">
        <f t="shared" si="36"/>
        <v>9.8655563372149632E-2</v>
      </c>
      <c r="AT68" s="448">
        <f t="shared" si="36"/>
        <v>9.91845201279309E-2</v>
      </c>
      <c r="AU68" s="448">
        <f t="shared" si="36"/>
        <v>9.9685900939097974E-2</v>
      </c>
      <c r="AV68" s="448">
        <f t="shared" si="36"/>
        <v>0.10016114341413786</v>
      </c>
      <c r="AW68" s="448">
        <f t="shared" si="36"/>
        <v>0.10061161021512352</v>
      </c>
      <c r="AX68" s="448">
        <f t="shared" si="36"/>
        <v>0.10103859296487297</v>
      </c>
      <c r="AY68" s="449">
        <f t="shared" si="36"/>
        <v>0.10144331595041747</v>
      </c>
    </row>
    <row r="69" spans="1:51">
      <c r="A69" s="446" t="s">
        <v>2939</v>
      </c>
      <c r="B69" s="450">
        <f t="shared" si="34"/>
        <v>0.85432063306221828</v>
      </c>
      <c r="C69" s="451">
        <f t="shared" ref="C69:AH70" si="37">(C58/(1+$C$3)^(C$16-0.5)+B69)</f>
        <v>1.6641032236425202</v>
      </c>
      <c r="D69" s="451">
        <f t="shared" si="37"/>
        <v>2.4316696602115266</v>
      </c>
      <c r="E69" s="451">
        <f t="shared" si="37"/>
        <v>3.1592207849214855</v>
      </c>
      <c r="F69" s="451">
        <f t="shared" si="37"/>
        <v>3.8488427040778443</v>
      </c>
      <c r="G69" s="451">
        <f t="shared" si="37"/>
        <v>4.502512769628896</v>
      </c>
      <c r="H69" s="451">
        <f t="shared" si="37"/>
        <v>5.1221052488242051</v>
      </c>
      <c r="I69" s="451">
        <f t="shared" si="37"/>
        <v>5.7093966982984323</v>
      </c>
      <c r="J69" s="451">
        <f t="shared" si="37"/>
        <v>6.2660710579896426</v>
      </c>
      <c r="K69" s="451">
        <f t="shared" si="37"/>
        <v>6.7937244794978984</v>
      </c>
      <c r="L69" s="451">
        <f t="shared" si="37"/>
        <v>7.2938699027284732</v>
      </c>
      <c r="M69" s="451">
        <f t="shared" si="37"/>
        <v>7.7679413939422881</v>
      </c>
      <c r="N69" s="451">
        <f t="shared" si="37"/>
        <v>8.2172982576520646</v>
      </c>
      <c r="O69" s="451">
        <f t="shared" si="37"/>
        <v>8.643228934154223</v>
      </c>
      <c r="P69" s="451">
        <f t="shared" si="37"/>
        <v>9.0469546938719088</v>
      </c>
      <c r="Q69" s="451">
        <f t="shared" si="37"/>
        <v>9.4296331391019432</v>
      </c>
      <c r="R69" s="451">
        <f t="shared" si="37"/>
        <v>9.7923615232062406</v>
      </c>
      <c r="S69" s="451">
        <f t="shared" si="37"/>
        <v>10.136179896764817</v>
      </c>
      <c r="T69" s="451">
        <f t="shared" si="37"/>
        <v>10.462074089711335</v>
      </c>
      <c r="U69" s="451">
        <f t="shared" si="37"/>
        <v>10.770978538001872</v>
      </c>
      <c r="V69" s="451">
        <f t="shared" si="37"/>
        <v>11.063778962921813</v>
      </c>
      <c r="W69" s="451">
        <f t="shared" si="37"/>
        <v>11.341314910713226</v>
      </c>
      <c r="X69" s="451">
        <f t="shared" si="37"/>
        <v>11.604382159804613</v>
      </c>
      <c r="Y69" s="451">
        <f t="shared" si="37"/>
        <v>11.853735002545264</v>
      </c>
      <c r="Z69" s="451">
        <f t="shared" si="37"/>
        <v>12.09008840798664</v>
      </c>
      <c r="AA69" s="451">
        <f t="shared" si="37"/>
        <v>12.314120071912114</v>
      </c>
      <c r="AB69" s="451">
        <f t="shared" si="37"/>
        <v>12.526472359993132</v>
      </c>
      <c r="AC69" s="451">
        <f t="shared" si="37"/>
        <v>12.727754149643387</v>
      </c>
      <c r="AD69" s="451">
        <f t="shared" si="37"/>
        <v>12.918542575852159</v>
      </c>
      <c r="AE69" s="451">
        <f t="shared" si="37"/>
        <v>13.099384686002654</v>
      </c>
      <c r="AF69" s="451">
        <f t="shared" si="37"/>
        <v>13.270799008420186</v>
      </c>
      <c r="AG69" s="451">
        <f t="shared" si="37"/>
        <v>13.433277039147702</v>
      </c>
      <c r="AH69" s="451">
        <f t="shared" si="37"/>
        <v>13.5872846512117</v>
      </c>
      <c r="AI69" s="451">
        <f t="shared" si="36"/>
        <v>13.73326343041928</v>
      </c>
      <c r="AJ69" s="451">
        <f t="shared" si="36"/>
        <v>13.871631941516512</v>
      </c>
      <c r="AK69" s="451">
        <f t="shared" si="36"/>
        <v>14.002786928338534</v>
      </c>
      <c r="AL69" s="451">
        <f t="shared" si="36"/>
        <v>14.127104451392583</v>
      </c>
      <c r="AM69" s="451">
        <f t="shared" si="36"/>
        <v>14.244940966135758</v>
      </c>
      <c r="AN69" s="451">
        <f t="shared" si="36"/>
        <v>14.356634345039241</v>
      </c>
      <c r="AO69" s="451">
        <f t="shared" si="36"/>
        <v>14.462504846369557</v>
      </c>
      <c r="AP69" s="451">
        <f t="shared" si="36"/>
        <v>14.562856032464643</v>
      </c>
      <c r="AQ69" s="451">
        <f t="shared" si="36"/>
        <v>14.65797564013771</v>
      </c>
      <c r="AR69" s="451">
        <f t="shared" si="36"/>
        <v>14.748136405704599</v>
      </c>
      <c r="AS69" s="451">
        <f t="shared" si="36"/>
        <v>14.833596847000228</v>
      </c>
      <c r="AT69" s="451">
        <f t="shared" si="36"/>
        <v>14.914602004626417</v>
      </c>
      <c r="AU69" s="451">
        <f t="shared" si="36"/>
        <v>14.991384144556454</v>
      </c>
      <c r="AV69" s="451">
        <f t="shared" si="36"/>
        <v>15.064163424110991</v>
      </c>
      <c r="AW69" s="451">
        <f t="shared" si="36"/>
        <v>15.133148523214818</v>
      </c>
      <c r="AX69" s="451">
        <f t="shared" si="36"/>
        <v>15.198537242744511</v>
      </c>
      <c r="AY69" s="452">
        <f t="shared" si="36"/>
        <v>15.260517071682608</v>
      </c>
    </row>
    <row r="70" spans="1:51" ht="12.75" thickBot="1">
      <c r="A70" s="453" t="s">
        <v>2940</v>
      </c>
      <c r="B70" s="454">
        <f t="shared" si="34"/>
        <v>0.85432063306221828</v>
      </c>
      <c r="C70" s="455">
        <f t="shared" si="37"/>
        <v>1.6641032236425202</v>
      </c>
      <c r="D70" s="455">
        <f t="shared" si="37"/>
        <v>2.4316696602115266</v>
      </c>
      <c r="E70" s="455">
        <f t="shared" si="37"/>
        <v>3.1592207849214855</v>
      </c>
      <c r="F70" s="455">
        <f t="shared" si="37"/>
        <v>3.8488427040778443</v>
      </c>
      <c r="G70" s="455">
        <f t="shared" si="37"/>
        <v>4.502512769628896</v>
      </c>
      <c r="H70" s="455">
        <f t="shared" si="37"/>
        <v>5.1221052488242051</v>
      </c>
      <c r="I70" s="455">
        <f t="shared" si="37"/>
        <v>5.7093966982984323</v>
      </c>
      <c r="J70" s="455">
        <f t="shared" si="37"/>
        <v>6.2660710579896426</v>
      </c>
      <c r="K70" s="455">
        <f t="shared" si="37"/>
        <v>6.7937244794978984</v>
      </c>
      <c r="L70" s="455">
        <f t="shared" si="37"/>
        <v>7.2938699027284732</v>
      </c>
      <c r="M70" s="455">
        <f t="shared" si="37"/>
        <v>7.7679413939422881</v>
      </c>
      <c r="N70" s="455">
        <f t="shared" si="37"/>
        <v>8.2172982576520646</v>
      </c>
      <c r="O70" s="455">
        <f t="shared" si="37"/>
        <v>8.643228934154223</v>
      </c>
      <c r="P70" s="455">
        <f t="shared" si="37"/>
        <v>9.0469546938719088</v>
      </c>
      <c r="Q70" s="455">
        <f t="shared" si="37"/>
        <v>9.4296331391019432</v>
      </c>
      <c r="R70" s="455">
        <f t="shared" si="37"/>
        <v>9.7923615232062406</v>
      </c>
      <c r="S70" s="455">
        <f t="shared" si="37"/>
        <v>10.136179896764817</v>
      </c>
      <c r="T70" s="455">
        <f t="shared" si="37"/>
        <v>10.462074089711335</v>
      </c>
      <c r="U70" s="455">
        <f t="shared" si="37"/>
        <v>10.770978538001872</v>
      </c>
      <c r="V70" s="455">
        <f t="shared" si="37"/>
        <v>11.063778962921813</v>
      </c>
      <c r="W70" s="455">
        <f t="shared" si="37"/>
        <v>11.341314910713226</v>
      </c>
      <c r="X70" s="455">
        <f t="shared" si="37"/>
        <v>11.604382159804613</v>
      </c>
      <c r="Y70" s="455">
        <f t="shared" si="37"/>
        <v>11.853735002545264</v>
      </c>
      <c r="Z70" s="455">
        <f t="shared" si="37"/>
        <v>12.09008840798664</v>
      </c>
      <c r="AA70" s="455">
        <f t="shared" si="37"/>
        <v>12.314120071912114</v>
      </c>
      <c r="AB70" s="455">
        <f t="shared" si="37"/>
        <v>12.526472359993132</v>
      </c>
      <c r="AC70" s="455">
        <f t="shared" si="37"/>
        <v>12.727754149643387</v>
      </c>
      <c r="AD70" s="455">
        <f t="shared" si="37"/>
        <v>12.918542575852159</v>
      </c>
      <c r="AE70" s="455">
        <f t="shared" si="37"/>
        <v>13.099384686002654</v>
      </c>
      <c r="AF70" s="455">
        <f t="shared" si="37"/>
        <v>13.270799008420186</v>
      </c>
      <c r="AG70" s="455">
        <f t="shared" si="37"/>
        <v>13.433277039147702</v>
      </c>
      <c r="AH70" s="455">
        <f t="shared" si="37"/>
        <v>13.5872846512117</v>
      </c>
      <c r="AI70" s="455">
        <f t="shared" si="36"/>
        <v>13.73326343041928</v>
      </c>
      <c r="AJ70" s="455">
        <f t="shared" si="36"/>
        <v>13.871631941516512</v>
      </c>
      <c r="AK70" s="455">
        <f t="shared" si="36"/>
        <v>14.002786928338534</v>
      </c>
      <c r="AL70" s="455">
        <f t="shared" si="36"/>
        <v>14.127104451392583</v>
      </c>
      <c r="AM70" s="455">
        <f t="shared" si="36"/>
        <v>14.244940966135758</v>
      </c>
      <c r="AN70" s="455">
        <f t="shared" si="36"/>
        <v>14.356634345039241</v>
      </c>
      <c r="AO70" s="455">
        <f t="shared" si="36"/>
        <v>14.462504846369557</v>
      </c>
      <c r="AP70" s="455">
        <f t="shared" si="36"/>
        <v>14.562856032464643</v>
      </c>
      <c r="AQ70" s="455">
        <f t="shared" si="36"/>
        <v>14.65797564013771</v>
      </c>
      <c r="AR70" s="455">
        <f t="shared" si="36"/>
        <v>14.748136405704599</v>
      </c>
      <c r="AS70" s="455">
        <f t="shared" si="36"/>
        <v>14.833596847000228</v>
      </c>
      <c r="AT70" s="455">
        <f t="shared" si="36"/>
        <v>14.914602004626417</v>
      </c>
      <c r="AU70" s="455">
        <f t="shared" si="36"/>
        <v>14.991384144556454</v>
      </c>
      <c r="AV70" s="455">
        <f t="shared" si="36"/>
        <v>15.064163424110991</v>
      </c>
      <c r="AW70" s="455">
        <f t="shared" si="36"/>
        <v>15.133148523214818</v>
      </c>
      <c r="AX70" s="455">
        <f t="shared" si="36"/>
        <v>15.198537242744511</v>
      </c>
      <c r="AY70" s="456">
        <f t="shared" si="36"/>
        <v>15.260517071682608</v>
      </c>
    </row>
    <row r="72" spans="1:51" ht="15.75">
      <c r="A72" s="458" t="s">
        <v>4605</v>
      </c>
      <c r="B72" s="457"/>
      <c r="C72" s="457"/>
      <c r="D72" s="457"/>
      <c r="E72" s="457"/>
      <c r="F72" s="457"/>
      <c r="G72" s="457"/>
      <c r="H72" s="457"/>
      <c r="I72" s="457"/>
      <c r="J72" s="457"/>
      <c r="K72" s="457"/>
      <c r="L72" s="457"/>
      <c r="M72" s="457"/>
      <c r="N72" s="457"/>
      <c r="O72" s="457"/>
      <c r="P72" s="457"/>
      <c r="Q72" s="457"/>
      <c r="R72" s="457"/>
      <c r="S72" s="457"/>
      <c r="T72" s="457"/>
      <c r="U72" s="457"/>
      <c r="V72" s="457"/>
      <c r="W72" s="457"/>
      <c r="X72" s="457"/>
      <c r="Y72" s="457"/>
      <c r="Z72" s="457"/>
      <c r="AA72" s="457"/>
      <c r="AB72" s="457"/>
      <c r="AC72" s="457"/>
      <c r="AD72" s="457"/>
      <c r="AE72" s="457"/>
      <c r="AF72" s="457"/>
      <c r="AG72" s="457"/>
      <c r="AH72" s="457"/>
      <c r="AI72" s="457"/>
      <c r="AJ72" s="457"/>
      <c r="AK72" s="457"/>
      <c r="AL72" s="457"/>
      <c r="AM72" s="457"/>
      <c r="AN72" s="457"/>
      <c r="AO72" s="457"/>
      <c r="AP72" s="457"/>
      <c r="AQ72" s="457"/>
      <c r="AR72" s="457"/>
      <c r="AS72" s="457"/>
      <c r="AT72" s="457"/>
      <c r="AU72" s="457"/>
      <c r="AV72" s="457"/>
      <c r="AW72" s="457"/>
      <c r="AX72" s="457"/>
      <c r="AY72" s="457"/>
    </row>
    <row r="73" spans="1:51" ht="15.75" thickBot="1">
      <c r="A73" s="437" t="s">
        <v>2931</v>
      </c>
    </row>
    <row r="74" spans="1:51" ht="12.75" thickBot="1">
      <c r="A74" s="438" t="s">
        <v>2932</v>
      </c>
      <c r="B74" s="439">
        <v>2010</v>
      </c>
      <c r="C74" s="440">
        <v>2011</v>
      </c>
      <c r="D74" s="440">
        <v>2012</v>
      </c>
      <c r="E74" s="440">
        <v>2013</v>
      </c>
      <c r="F74" s="440">
        <v>2014</v>
      </c>
      <c r="G74" s="440">
        <v>2015</v>
      </c>
      <c r="H74" s="440">
        <v>2016</v>
      </c>
      <c r="I74" s="440">
        <v>2017</v>
      </c>
      <c r="J74" s="440">
        <v>2018</v>
      </c>
      <c r="K74" s="440">
        <v>2019</v>
      </c>
      <c r="L74" s="440">
        <v>2020</v>
      </c>
      <c r="M74" s="440">
        <v>2021</v>
      </c>
      <c r="N74" s="440">
        <v>2022</v>
      </c>
      <c r="O74" s="440">
        <v>2023</v>
      </c>
      <c r="P74" s="440">
        <v>2024</v>
      </c>
      <c r="Q74" s="440">
        <v>2025</v>
      </c>
      <c r="R74" s="440">
        <v>2026</v>
      </c>
      <c r="S74" s="440">
        <v>2027</v>
      </c>
      <c r="T74" s="440">
        <v>2028</v>
      </c>
      <c r="U74" s="440">
        <v>2029</v>
      </c>
      <c r="V74" s="440">
        <v>2030</v>
      </c>
      <c r="W74" s="440">
        <v>2031</v>
      </c>
      <c r="X74" s="440">
        <v>2032</v>
      </c>
      <c r="Y74" s="440">
        <v>2033</v>
      </c>
      <c r="Z74" s="440">
        <v>2034</v>
      </c>
      <c r="AA74" s="440">
        <v>2035</v>
      </c>
      <c r="AB74" s="440">
        <v>2036</v>
      </c>
      <c r="AC74" s="440">
        <v>2037</v>
      </c>
      <c r="AD74" s="440">
        <v>2038</v>
      </c>
      <c r="AE74" s="440">
        <v>2039</v>
      </c>
      <c r="AF74" s="440">
        <v>2040</v>
      </c>
      <c r="AG74" s="440">
        <v>2041</v>
      </c>
      <c r="AH74" s="440">
        <v>2042</v>
      </c>
      <c r="AI74" s="440">
        <v>2043</v>
      </c>
      <c r="AJ74" s="440">
        <v>2044</v>
      </c>
      <c r="AK74" s="440">
        <v>2045</v>
      </c>
      <c r="AL74" s="440">
        <v>2046</v>
      </c>
      <c r="AM74" s="440">
        <v>2047</v>
      </c>
      <c r="AN74" s="440">
        <v>2048</v>
      </c>
      <c r="AO74" s="440">
        <v>2049</v>
      </c>
      <c r="AP74" s="440">
        <v>2050</v>
      </c>
      <c r="AQ74" s="440">
        <v>2051</v>
      </c>
      <c r="AR74" s="440">
        <v>2052</v>
      </c>
      <c r="AS74" s="440">
        <v>2053</v>
      </c>
      <c r="AT74" s="440">
        <v>2054</v>
      </c>
      <c r="AU74" s="440">
        <v>2055</v>
      </c>
      <c r="AV74" s="440">
        <v>2056</v>
      </c>
      <c r="AW74" s="440">
        <v>2057</v>
      </c>
      <c r="AX74" s="440">
        <v>2058</v>
      </c>
      <c r="AY74" s="441">
        <v>2059</v>
      </c>
    </row>
    <row r="75" spans="1:51">
      <c r="A75" s="442" t="s">
        <v>2943</v>
      </c>
      <c r="B75" s="1751">
        <v>6.8310458518556105E-2</v>
      </c>
      <c r="C75" s="1752">
        <v>6.6934254603542631E-2</v>
      </c>
      <c r="D75" s="1752">
        <v>6.5592258751792754E-2</v>
      </c>
      <c r="E75" s="1752">
        <v>6.5435755251657166E-2</v>
      </c>
      <c r="F75" s="1752">
        <v>6.5279251751521564E-2</v>
      </c>
      <c r="G75" s="1752">
        <v>6.5131643636398229E-2</v>
      </c>
      <c r="H75" s="1752">
        <v>6.5288147136533831E-2</v>
      </c>
      <c r="I75" s="1752">
        <v>6.5451665544625004E-2</v>
      </c>
      <c r="J75" s="1752">
        <v>6.560628856770391E-2</v>
      </c>
      <c r="K75" s="1752">
        <v>6.5771687452851779E-2</v>
      </c>
      <c r="L75" s="1752">
        <v>6.5935205860942953E-2</v>
      </c>
      <c r="M75" s="1752">
        <v>6.6091709361078541E-2</v>
      </c>
      <c r="N75" s="1752">
        <v>6.6255227769169728E-2</v>
      </c>
      <c r="O75" s="1752">
        <v>6.642062665431761E-2</v>
      </c>
      <c r="P75" s="1752">
        <v>6.6586025539465465E-2</v>
      </c>
      <c r="Q75" s="1752">
        <v>6.6586025539465465E-2</v>
      </c>
      <c r="R75" s="1752">
        <v>6.6586025539465465E-2</v>
      </c>
      <c r="S75" s="1752">
        <v>6.6586025539465465E-2</v>
      </c>
      <c r="T75" s="1752">
        <v>6.6586025539465465E-2</v>
      </c>
      <c r="U75" s="1752">
        <v>6.6586025539465465E-2</v>
      </c>
      <c r="V75" s="1752">
        <v>6.6586025539465465E-2</v>
      </c>
      <c r="W75" s="1752">
        <v>6.6586025539465465E-2</v>
      </c>
      <c r="X75" s="1752">
        <v>6.6586025539465465E-2</v>
      </c>
      <c r="Y75" s="1752">
        <v>6.6586025539465465E-2</v>
      </c>
      <c r="Z75" s="1752">
        <v>6.6586025539465465E-2</v>
      </c>
      <c r="AA75" s="1752">
        <v>6.6586025539465465E-2</v>
      </c>
      <c r="AB75" s="1752">
        <v>6.6586025539465465E-2</v>
      </c>
      <c r="AC75" s="1752">
        <v>6.6586025539465465E-2</v>
      </c>
      <c r="AD75" s="1752">
        <v>6.6586025539465465E-2</v>
      </c>
      <c r="AE75" s="1752">
        <v>6.6586025539465465E-2</v>
      </c>
      <c r="AF75" s="1752">
        <v>6.6586025539465465E-2</v>
      </c>
      <c r="AG75" s="1752">
        <v>6.6586025539465465E-2</v>
      </c>
      <c r="AH75" s="1752">
        <v>6.6586025539465465E-2</v>
      </c>
      <c r="AI75" s="1752">
        <v>6.6586025539465465E-2</v>
      </c>
      <c r="AJ75" s="1752">
        <v>6.6586025539465465E-2</v>
      </c>
      <c r="AK75" s="1752">
        <v>6.6586025539465465E-2</v>
      </c>
      <c r="AL75" s="1752">
        <v>6.6586025539465465E-2</v>
      </c>
      <c r="AM75" s="1752">
        <v>6.6586025539465465E-2</v>
      </c>
      <c r="AN75" s="1752">
        <v>6.6586025539465465E-2</v>
      </c>
      <c r="AO75" s="1752">
        <v>6.6586025539465465E-2</v>
      </c>
      <c r="AP75" s="1752">
        <v>6.6586025539465465E-2</v>
      </c>
      <c r="AQ75" s="1752">
        <v>6.6586025539465465E-2</v>
      </c>
      <c r="AR75" s="1752">
        <v>6.6586025539465465E-2</v>
      </c>
      <c r="AS75" s="1752">
        <v>6.6586025539465465E-2</v>
      </c>
      <c r="AT75" s="1752">
        <v>6.6586025539465465E-2</v>
      </c>
      <c r="AU75" s="1752">
        <v>6.6586025539465465E-2</v>
      </c>
      <c r="AV75" s="1752">
        <v>6.6586025539465465E-2</v>
      </c>
      <c r="AW75" s="1752">
        <v>6.6586025539465465E-2</v>
      </c>
      <c r="AX75" s="1752">
        <v>6.6586025539465465E-2</v>
      </c>
      <c r="AY75" s="1753">
        <v>6.6586025539465465E-2</v>
      </c>
    </row>
    <row r="76" spans="1:51">
      <c r="A76" s="446" t="s">
        <v>2944</v>
      </c>
      <c r="B76" s="471">
        <v>85.398706896551715</v>
      </c>
      <c r="C76" s="472">
        <v>92.53232758620689</v>
      </c>
      <c r="D76" s="472">
        <v>99.234913793103431</v>
      </c>
      <c r="E76" s="472">
        <v>105.54956896551724</v>
      </c>
      <c r="F76" s="472">
        <v>111.48706896551724</v>
      </c>
      <c r="G76" s="472">
        <v>117.06896551724137</v>
      </c>
      <c r="H76" s="472">
        <v>122.32758620689654</v>
      </c>
      <c r="I76" s="472">
        <v>127.26293103448276</v>
      </c>
      <c r="J76" s="472">
        <v>131.90732758620689</v>
      </c>
      <c r="K76" s="472">
        <v>136.27155172413794</v>
      </c>
      <c r="L76" s="472">
        <v>140.36637931034483</v>
      </c>
      <c r="M76" s="472">
        <v>144.21336206896549</v>
      </c>
      <c r="N76" s="472">
        <v>144.21336206896549</v>
      </c>
      <c r="O76" s="472">
        <v>144.21336206896549</v>
      </c>
      <c r="P76" s="472">
        <v>144.21336206896549</v>
      </c>
      <c r="Q76" s="472">
        <v>144.21336206896549</v>
      </c>
      <c r="R76" s="472">
        <v>144.21336206896501</v>
      </c>
      <c r="S76" s="472">
        <v>144.21336206896501</v>
      </c>
      <c r="T76" s="472">
        <v>144.21336206896501</v>
      </c>
      <c r="U76" s="472">
        <v>144.21336206896501</v>
      </c>
      <c r="V76" s="472">
        <v>144.21336206896501</v>
      </c>
      <c r="W76" s="472">
        <v>144.21336206896501</v>
      </c>
      <c r="X76" s="472">
        <v>144.21336206896501</v>
      </c>
      <c r="Y76" s="472">
        <v>144.21336206896501</v>
      </c>
      <c r="Z76" s="472">
        <v>144.21336206896501</v>
      </c>
      <c r="AA76" s="472">
        <v>144.21336206896501</v>
      </c>
      <c r="AB76" s="472">
        <v>144.21336206896501</v>
      </c>
      <c r="AC76" s="472">
        <v>144.21336206896501</v>
      </c>
      <c r="AD76" s="472">
        <v>144.21336206896501</v>
      </c>
      <c r="AE76" s="472">
        <v>144.21336206896501</v>
      </c>
      <c r="AF76" s="472">
        <v>144.21336206896501</v>
      </c>
      <c r="AG76" s="472">
        <v>144.21336206896501</v>
      </c>
      <c r="AH76" s="472">
        <v>144.21336206896501</v>
      </c>
      <c r="AI76" s="472">
        <v>144.21336206896501</v>
      </c>
      <c r="AJ76" s="472">
        <v>144.21336206896501</v>
      </c>
      <c r="AK76" s="472">
        <v>144.21336206896501</v>
      </c>
      <c r="AL76" s="472">
        <v>144.21336206896501</v>
      </c>
      <c r="AM76" s="472">
        <v>144.21336206896501</v>
      </c>
      <c r="AN76" s="472">
        <v>144.21336206896501</v>
      </c>
      <c r="AO76" s="472">
        <v>144.21336206896501</v>
      </c>
      <c r="AP76" s="472">
        <v>144.21336206896501</v>
      </c>
      <c r="AQ76" s="472">
        <v>144.21336206896501</v>
      </c>
      <c r="AR76" s="472">
        <v>144.21336206896501</v>
      </c>
      <c r="AS76" s="472">
        <v>144.21336206896501</v>
      </c>
      <c r="AT76" s="472">
        <v>144.21336206896501</v>
      </c>
      <c r="AU76" s="472">
        <v>144.21336206896501</v>
      </c>
      <c r="AV76" s="472">
        <v>144.21336206896501</v>
      </c>
      <c r="AW76" s="472">
        <v>144.21336206896501</v>
      </c>
      <c r="AX76" s="472">
        <v>144.21336206896501</v>
      </c>
      <c r="AY76" s="473">
        <v>144.21336206896501</v>
      </c>
    </row>
    <row r="77" spans="1:51">
      <c r="A77" s="446" t="s">
        <v>2945</v>
      </c>
      <c r="B77" s="471">
        <v>10.24</v>
      </c>
      <c r="C77" s="472">
        <v>10.01</v>
      </c>
      <c r="D77" s="472">
        <v>9.7899999999999991</v>
      </c>
      <c r="E77" s="472">
        <v>9.7899999999999991</v>
      </c>
      <c r="F77" s="472">
        <v>9.7899999999999991</v>
      </c>
      <c r="G77" s="472">
        <v>9.7899999999999991</v>
      </c>
      <c r="H77" s="472">
        <v>9.8699999999999992</v>
      </c>
      <c r="I77" s="472">
        <v>9.94</v>
      </c>
      <c r="J77" s="472">
        <v>10.02</v>
      </c>
      <c r="K77" s="472">
        <v>10.02</v>
      </c>
      <c r="L77" s="472">
        <v>10.02</v>
      </c>
      <c r="M77" s="472">
        <v>10.02</v>
      </c>
      <c r="N77" s="472">
        <v>10.02</v>
      </c>
      <c r="O77" s="472">
        <v>10.02</v>
      </c>
      <c r="P77" s="472">
        <v>10.02</v>
      </c>
      <c r="Q77" s="472">
        <v>10.02</v>
      </c>
      <c r="R77" s="472">
        <v>10.02</v>
      </c>
      <c r="S77" s="472">
        <v>10.02</v>
      </c>
      <c r="T77" s="472">
        <v>10.02</v>
      </c>
      <c r="U77" s="472">
        <v>10.02</v>
      </c>
      <c r="V77" s="472">
        <v>10.02</v>
      </c>
      <c r="W77" s="472">
        <v>10.02</v>
      </c>
      <c r="X77" s="472">
        <v>10.02</v>
      </c>
      <c r="Y77" s="472">
        <v>10.02</v>
      </c>
      <c r="Z77" s="472">
        <v>10.02</v>
      </c>
      <c r="AA77" s="472">
        <v>10.02</v>
      </c>
      <c r="AB77" s="472">
        <v>10.02</v>
      </c>
      <c r="AC77" s="472">
        <v>10.02</v>
      </c>
      <c r="AD77" s="472">
        <v>10.02</v>
      </c>
      <c r="AE77" s="472">
        <v>10.02</v>
      </c>
      <c r="AF77" s="472">
        <v>10.02</v>
      </c>
      <c r="AG77" s="472">
        <v>10.02</v>
      </c>
      <c r="AH77" s="472">
        <v>10.02</v>
      </c>
      <c r="AI77" s="472">
        <v>10.02</v>
      </c>
      <c r="AJ77" s="472">
        <v>10.02</v>
      </c>
      <c r="AK77" s="472">
        <v>10.02</v>
      </c>
      <c r="AL77" s="472">
        <v>10.02</v>
      </c>
      <c r="AM77" s="472">
        <v>10.02</v>
      </c>
      <c r="AN77" s="472">
        <v>10.02</v>
      </c>
      <c r="AO77" s="472">
        <v>10.02</v>
      </c>
      <c r="AP77" s="472">
        <v>10.02</v>
      </c>
      <c r="AQ77" s="472">
        <v>10.02</v>
      </c>
      <c r="AR77" s="472">
        <v>10.02</v>
      </c>
      <c r="AS77" s="472">
        <v>10.02</v>
      </c>
      <c r="AT77" s="472">
        <v>10.02</v>
      </c>
      <c r="AU77" s="472">
        <v>10.02</v>
      </c>
      <c r="AV77" s="472">
        <v>10.02</v>
      </c>
      <c r="AW77" s="472">
        <v>10.02</v>
      </c>
      <c r="AX77" s="472">
        <v>10.02</v>
      </c>
      <c r="AY77" s="473">
        <v>10.02</v>
      </c>
    </row>
    <row r="78" spans="1:51">
      <c r="A78" s="446" t="s">
        <v>2946</v>
      </c>
      <c r="B78" s="471">
        <v>9.4525000000000006</v>
      </c>
      <c r="C78" s="472">
        <v>9.2341666666666669</v>
      </c>
      <c r="D78" s="472">
        <v>9.02</v>
      </c>
      <c r="E78" s="472">
        <v>9.02</v>
      </c>
      <c r="F78" s="472">
        <v>9.02</v>
      </c>
      <c r="G78" s="472">
        <v>9.02</v>
      </c>
      <c r="H78" s="472">
        <v>9.0941666666666663</v>
      </c>
      <c r="I78" s="472">
        <v>9.2441666666666666</v>
      </c>
      <c r="J78" s="472">
        <v>9.2441666666666666</v>
      </c>
      <c r="K78" s="472">
        <v>9.2441666666666666</v>
      </c>
      <c r="L78" s="472">
        <v>9.2441666666666666</v>
      </c>
      <c r="M78" s="472">
        <v>9.2441666666666666</v>
      </c>
      <c r="N78" s="472">
        <v>9.2441666666666666</v>
      </c>
      <c r="O78" s="472">
        <v>9.2441666666666666</v>
      </c>
      <c r="P78" s="472">
        <v>9.2441666666666666</v>
      </c>
      <c r="Q78" s="472">
        <v>9.2441666666666666</v>
      </c>
      <c r="R78" s="472">
        <v>9.2441666666666666</v>
      </c>
      <c r="S78" s="472">
        <v>9.2441666666666666</v>
      </c>
      <c r="T78" s="472">
        <v>9.2441666666666666</v>
      </c>
      <c r="U78" s="472">
        <v>9.2441666666666666</v>
      </c>
      <c r="V78" s="472">
        <v>9.2441666666666666</v>
      </c>
      <c r="W78" s="472">
        <v>9.2441666666666666</v>
      </c>
      <c r="X78" s="472">
        <v>9.2441666666666666</v>
      </c>
      <c r="Y78" s="472">
        <v>9.2441666666666666</v>
      </c>
      <c r="Z78" s="472">
        <v>9.2441666666666666</v>
      </c>
      <c r="AA78" s="472">
        <v>9.2441666666666666</v>
      </c>
      <c r="AB78" s="472">
        <v>9.2441666666666666</v>
      </c>
      <c r="AC78" s="472">
        <v>9.2441666666666666</v>
      </c>
      <c r="AD78" s="472">
        <v>9.2441666666666666</v>
      </c>
      <c r="AE78" s="472">
        <v>9.2441666666666666</v>
      </c>
      <c r="AF78" s="472">
        <v>9.2441666666666666</v>
      </c>
      <c r="AG78" s="472">
        <v>9.2441666666666666</v>
      </c>
      <c r="AH78" s="472">
        <v>9.2441666666666666</v>
      </c>
      <c r="AI78" s="472">
        <v>9.2441666666666666</v>
      </c>
      <c r="AJ78" s="472">
        <v>9.2441666666666666</v>
      </c>
      <c r="AK78" s="472">
        <v>9.2441666666666666</v>
      </c>
      <c r="AL78" s="472">
        <v>9.2441666666666666</v>
      </c>
      <c r="AM78" s="472">
        <v>9.2441666666666666</v>
      </c>
      <c r="AN78" s="472">
        <v>9.2441666666666666</v>
      </c>
      <c r="AO78" s="472">
        <v>9.2441666666666666</v>
      </c>
      <c r="AP78" s="472">
        <v>9.2441666666666666</v>
      </c>
      <c r="AQ78" s="472">
        <v>9.2441666666666666</v>
      </c>
      <c r="AR78" s="472">
        <v>9.2441666666666666</v>
      </c>
      <c r="AS78" s="472">
        <v>9.2441666666666666</v>
      </c>
      <c r="AT78" s="472">
        <v>9.2441666666666666</v>
      </c>
      <c r="AU78" s="472">
        <v>9.2441666666666666</v>
      </c>
      <c r="AV78" s="472">
        <v>9.2441666666666666</v>
      </c>
      <c r="AW78" s="472">
        <v>9.2441666666666666</v>
      </c>
      <c r="AX78" s="472">
        <v>9.2441666666666702</v>
      </c>
      <c r="AY78" s="473">
        <v>9.2441666666666702</v>
      </c>
    </row>
    <row r="79" spans="1:51">
      <c r="A79" s="446" t="s">
        <v>2933</v>
      </c>
      <c r="B79" s="471">
        <v>7.2607266726146298</v>
      </c>
      <c r="C79" s="472">
        <v>7.9112857970161548</v>
      </c>
      <c r="D79" s="472">
        <v>8.1995068031839171</v>
      </c>
      <c r="E79" s="472">
        <v>8.4073776927334265</v>
      </c>
      <c r="F79" s="472">
        <v>8.5736326363918245</v>
      </c>
      <c r="G79" s="472">
        <v>8.7208261649062617</v>
      </c>
      <c r="H79" s="472">
        <v>8.8285181377174773</v>
      </c>
      <c r="I79" s="472">
        <v>8.8829506598476691</v>
      </c>
      <c r="J79" s="472">
        <v>9.0100552678251411</v>
      </c>
      <c r="K79" s="472">
        <v>9.0500408716374903</v>
      </c>
      <c r="L79" s="472">
        <v>9.1558646250250764</v>
      </c>
      <c r="M79" s="472">
        <v>9.244954159045637</v>
      </c>
      <c r="N79" s="472">
        <v>9.2425044625563437</v>
      </c>
      <c r="O79" s="472">
        <v>9.3135366023628183</v>
      </c>
      <c r="P79" s="472">
        <v>9.3834258849192018</v>
      </c>
      <c r="Q79" s="472">
        <v>9.4457625151136106</v>
      </c>
      <c r="R79" s="472">
        <v>9.4294343454096037</v>
      </c>
      <c r="S79" s="472">
        <v>9.4065940080935402</v>
      </c>
      <c r="T79" s="472">
        <v>9.3718934835830296</v>
      </c>
      <c r="U79" s="472">
        <v>9.3718934835830296</v>
      </c>
      <c r="V79" s="472">
        <v>9.3718934835830296</v>
      </c>
      <c r="W79" s="472">
        <v>9.3718934835830296</v>
      </c>
      <c r="X79" s="472">
        <v>9.3718934835830296</v>
      </c>
      <c r="Y79" s="472">
        <v>9.3718934835830296</v>
      </c>
      <c r="Z79" s="472">
        <v>9.3718934835830296</v>
      </c>
      <c r="AA79" s="472">
        <v>9.3718934835830296</v>
      </c>
      <c r="AB79" s="472">
        <v>9.3718934835830296</v>
      </c>
      <c r="AC79" s="472">
        <v>9.3718934835830296</v>
      </c>
      <c r="AD79" s="472">
        <v>9.3718934835830296</v>
      </c>
      <c r="AE79" s="472">
        <v>9.3718934835830296</v>
      </c>
      <c r="AF79" s="472">
        <v>9.3718934835830296</v>
      </c>
      <c r="AG79" s="472">
        <v>9.3718934835830296</v>
      </c>
      <c r="AH79" s="472">
        <v>9.3718934835830296</v>
      </c>
      <c r="AI79" s="472">
        <v>9.3718934835830296</v>
      </c>
      <c r="AJ79" s="472">
        <v>9.3718934835830296</v>
      </c>
      <c r="AK79" s="472">
        <v>9.3718934835830296</v>
      </c>
      <c r="AL79" s="472">
        <v>9.3718934835830296</v>
      </c>
      <c r="AM79" s="472">
        <v>9.3718934835830296</v>
      </c>
      <c r="AN79" s="472">
        <v>9.3718934835830296</v>
      </c>
      <c r="AO79" s="472">
        <v>9.3718934835830296</v>
      </c>
      <c r="AP79" s="472">
        <v>9.3718934835830296</v>
      </c>
      <c r="AQ79" s="472">
        <v>9.3718934835830296</v>
      </c>
      <c r="AR79" s="472">
        <v>9.3718934835830296</v>
      </c>
      <c r="AS79" s="472">
        <v>9.3718934835830296</v>
      </c>
      <c r="AT79" s="472">
        <v>9.3718934835830296</v>
      </c>
      <c r="AU79" s="472">
        <v>9.3718934835830296</v>
      </c>
      <c r="AV79" s="472">
        <v>9.3718934835830296</v>
      </c>
      <c r="AW79" s="472">
        <v>9.3718934835830296</v>
      </c>
      <c r="AX79" s="472">
        <v>9.3718934835830296</v>
      </c>
      <c r="AY79" s="473">
        <v>9.3718934835830296</v>
      </c>
    </row>
    <row r="80" spans="1:51">
      <c r="A80" s="446" t="s">
        <v>2934</v>
      </c>
      <c r="B80" s="447">
        <v>6.28E-3</v>
      </c>
      <c r="C80" s="448">
        <v>6.1999999999999998E-3</v>
      </c>
      <c r="D80" s="448">
        <v>6.1200000000000004E-3</v>
      </c>
      <c r="E80" s="448">
        <v>6.0000000000000001E-3</v>
      </c>
      <c r="F80" s="448">
        <v>5.8799999999999998E-3</v>
      </c>
      <c r="G80" s="448">
        <v>5.77E-3</v>
      </c>
      <c r="H80" s="448">
        <v>5.77E-3</v>
      </c>
      <c r="I80" s="448">
        <v>5.7599999999999995E-3</v>
      </c>
      <c r="J80" s="448">
        <v>5.7599999999999995E-3</v>
      </c>
      <c r="K80" s="448">
        <v>5.7499999999999999E-3</v>
      </c>
      <c r="L80" s="448">
        <v>5.7499999999999999E-3</v>
      </c>
      <c r="M80" s="448">
        <v>5.7499999999999999E-3</v>
      </c>
      <c r="N80" s="448">
        <v>5.7400000000000003E-3</v>
      </c>
      <c r="O80" s="448">
        <v>5.7400000000000003E-3</v>
      </c>
      <c r="P80" s="448">
        <v>5.7300000000000007E-3</v>
      </c>
      <c r="Q80" s="448">
        <v>5.7300000000000007E-3</v>
      </c>
      <c r="R80" s="448">
        <v>5.7300000000000007E-3</v>
      </c>
      <c r="S80" s="448">
        <v>5.7300000000000007E-3</v>
      </c>
      <c r="T80" s="448">
        <v>5.7300000000000007E-3</v>
      </c>
      <c r="U80" s="448">
        <v>5.7300000000000007E-3</v>
      </c>
      <c r="V80" s="448">
        <v>5.7300000000000007E-3</v>
      </c>
      <c r="W80" s="448">
        <v>5.7300000000000007E-3</v>
      </c>
      <c r="X80" s="448">
        <v>5.7300000000000007E-3</v>
      </c>
      <c r="Y80" s="448">
        <v>5.7300000000000007E-3</v>
      </c>
      <c r="Z80" s="448">
        <v>5.7300000000000007E-3</v>
      </c>
      <c r="AA80" s="448">
        <v>5.7300000000000007E-3</v>
      </c>
      <c r="AB80" s="448">
        <v>5.7300000000000007E-3</v>
      </c>
      <c r="AC80" s="448">
        <v>5.7300000000000007E-3</v>
      </c>
      <c r="AD80" s="448">
        <v>5.7300000000000007E-3</v>
      </c>
      <c r="AE80" s="448">
        <v>5.7300000000000007E-3</v>
      </c>
      <c r="AF80" s="448">
        <v>5.7300000000000007E-3</v>
      </c>
      <c r="AG80" s="448">
        <v>5.7300000000000007E-3</v>
      </c>
      <c r="AH80" s="448">
        <v>5.7300000000000007E-3</v>
      </c>
      <c r="AI80" s="448">
        <v>5.7300000000000007E-3</v>
      </c>
      <c r="AJ80" s="448">
        <v>5.7300000000000007E-3</v>
      </c>
      <c r="AK80" s="448">
        <v>5.7300000000000007E-3</v>
      </c>
      <c r="AL80" s="448">
        <v>5.7300000000000007E-3</v>
      </c>
      <c r="AM80" s="448">
        <v>5.7300000000000007E-3</v>
      </c>
      <c r="AN80" s="448">
        <v>5.7300000000000007E-3</v>
      </c>
      <c r="AO80" s="448">
        <v>5.7300000000000007E-3</v>
      </c>
      <c r="AP80" s="448">
        <v>5.7300000000000007E-3</v>
      </c>
      <c r="AQ80" s="448">
        <v>5.7300000000000007E-3</v>
      </c>
      <c r="AR80" s="448">
        <v>5.7300000000000007E-3</v>
      </c>
      <c r="AS80" s="448">
        <v>5.7300000000000007E-3</v>
      </c>
      <c r="AT80" s="448">
        <v>5.7300000000000007E-3</v>
      </c>
      <c r="AU80" s="448">
        <v>5.7300000000000007E-3</v>
      </c>
      <c r="AV80" s="448">
        <v>5.7300000000000007E-3</v>
      </c>
      <c r="AW80" s="448">
        <v>5.7300000000000007E-3</v>
      </c>
      <c r="AX80" s="448">
        <v>5.7300000000000007E-3</v>
      </c>
      <c r="AY80" s="449">
        <v>5.7300000000000007E-3</v>
      </c>
    </row>
    <row r="81" spans="1:51">
      <c r="A81" s="446" t="s">
        <v>2935</v>
      </c>
      <c r="B81" s="450">
        <f>(58.5/1000)*15</f>
        <v>0.87750000000000006</v>
      </c>
      <c r="C81" s="451">
        <f t="shared" ref="C81:AD82" si="38">(58.5/1000)*15</f>
        <v>0.87750000000000006</v>
      </c>
      <c r="D81" s="451">
        <f t="shared" si="38"/>
        <v>0.87750000000000006</v>
      </c>
      <c r="E81" s="451">
        <f t="shared" si="38"/>
        <v>0.87750000000000006</v>
      </c>
      <c r="F81" s="451">
        <f t="shared" si="38"/>
        <v>0.87750000000000006</v>
      </c>
      <c r="G81" s="451">
        <f t="shared" si="38"/>
        <v>0.87750000000000006</v>
      </c>
      <c r="H81" s="451">
        <f t="shared" si="38"/>
        <v>0.87750000000000006</v>
      </c>
      <c r="I81" s="451">
        <f t="shared" si="38"/>
        <v>0.87750000000000006</v>
      </c>
      <c r="J81" s="451">
        <f t="shared" si="38"/>
        <v>0.87750000000000006</v>
      </c>
      <c r="K81" s="451">
        <f t="shared" si="38"/>
        <v>0.87750000000000006</v>
      </c>
      <c r="L81" s="451">
        <f t="shared" si="38"/>
        <v>0.87750000000000006</v>
      </c>
      <c r="M81" s="451">
        <f t="shared" si="38"/>
        <v>0.87750000000000006</v>
      </c>
      <c r="N81" s="451">
        <f t="shared" si="38"/>
        <v>0.87750000000000006</v>
      </c>
      <c r="O81" s="451">
        <f t="shared" si="38"/>
        <v>0.87750000000000006</v>
      </c>
      <c r="P81" s="451">
        <f t="shared" si="38"/>
        <v>0.87750000000000006</v>
      </c>
      <c r="Q81" s="451">
        <f t="shared" si="38"/>
        <v>0.87750000000000006</v>
      </c>
      <c r="R81" s="451">
        <f t="shared" si="38"/>
        <v>0.87750000000000006</v>
      </c>
      <c r="S81" s="451">
        <f t="shared" si="38"/>
        <v>0.87750000000000006</v>
      </c>
      <c r="T81" s="451">
        <f t="shared" si="38"/>
        <v>0.87750000000000006</v>
      </c>
      <c r="U81" s="451">
        <f t="shared" si="38"/>
        <v>0.87750000000000006</v>
      </c>
      <c r="V81" s="451">
        <f t="shared" si="38"/>
        <v>0.87750000000000006</v>
      </c>
      <c r="W81" s="451">
        <f t="shared" si="38"/>
        <v>0.87750000000000006</v>
      </c>
      <c r="X81" s="451">
        <f t="shared" si="38"/>
        <v>0.87750000000000006</v>
      </c>
      <c r="Y81" s="451">
        <f t="shared" si="38"/>
        <v>0.87750000000000006</v>
      </c>
      <c r="Z81" s="451">
        <f t="shared" si="38"/>
        <v>0.87750000000000006</v>
      </c>
      <c r="AA81" s="451">
        <f t="shared" si="38"/>
        <v>0.87750000000000006</v>
      </c>
      <c r="AB81" s="451">
        <f t="shared" si="38"/>
        <v>0.87750000000000006</v>
      </c>
      <c r="AC81" s="451">
        <f t="shared" si="38"/>
        <v>0.87750000000000006</v>
      </c>
      <c r="AD81" s="451">
        <f t="shared" si="38"/>
        <v>0.87750000000000006</v>
      </c>
      <c r="AE81" s="451">
        <f>(58.5/1000)*15</f>
        <v>0.87750000000000006</v>
      </c>
      <c r="AF81" s="451">
        <f t="shared" ref="AF81:AY82" si="39">(58.5/1000)*15</f>
        <v>0.87750000000000006</v>
      </c>
      <c r="AG81" s="451">
        <f t="shared" si="39"/>
        <v>0.87750000000000006</v>
      </c>
      <c r="AH81" s="451">
        <f t="shared" si="39"/>
        <v>0.87750000000000006</v>
      </c>
      <c r="AI81" s="451">
        <f t="shared" si="39"/>
        <v>0.87750000000000006</v>
      </c>
      <c r="AJ81" s="451">
        <f t="shared" si="39"/>
        <v>0.87750000000000006</v>
      </c>
      <c r="AK81" s="451">
        <f t="shared" si="39"/>
        <v>0.87750000000000006</v>
      </c>
      <c r="AL81" s="451">
        <f t="shared" si="39"/>
        <v>0.87750000000000006</v>
      </c>
      <c r="AM81" s="451">
        <f t="shared" si="39"/>
        <v>0.87750000000000006</v>
      </c>
      <c r="AN81" s="451">
        <f t="shared" si="39"/>
        <v>0.87750000000000006</v>
      </c>
      <c r="AO81" s="451">
        <f t="shared" si="39"/>
        <v>0.87750000000000006</v>
      </c>
      <c r="AP81" s="451">
        <f t="shared" si="39"/>
        <v>0.87750000000000006</v>
      </c>
      <c r="AQ81" s="451">
        <f t="shared" si="39"/>
        <v>0.87750000000000006</v>
      </c>
      <c r="AR81" s="451">
        <f t="shared" si="39"/>
        <v>0.87750000000000006</v>
      </c>
      <c r="AS81" s="451">
        <f t="shared" si="39"/>
        <v>0.87750000000000006</v>
      </c>
      <c r="AT81" s="451">
        <f t="shared" si="39"/>
        <v>0.87750000000000006</v>
      </c>
      <c r="AU81" s="451">
        <f t="shared" si="39"/>
        <v>0.87750000000000006</v>
      </c>
      <c r="AV81" s="451">
        <f t="shared" si="39"/>
        <v>0.87750000000000006</v>
      </c>
      <c r="AW81" s="451">
        <f t="shared" si="39"/>
        <v>0.87750000000000006</v>
      </c>
      <c r="AX81" s="451">
        <f t="shared" si="39"/>
        <v>0.87750000000000006</v>
      </c>
      <c r="AY81" s="452">
        <f t="shared" si="39"/>
        <v>0.87750000000000006</v>
      </c>
    </row>
    <row r="82" spans="1:51" ht="12.75" thickBot="1">
      <c r="A82" s="453" t="s">
        <v>2936</v>
      </c>
      <c r="B82" s="454">
        <f>(58.5/1000)*15</f>
        <v>0.87750000000000006</v>
      </c>
      <c r="C82" s="455">
        <f t="shared" si="38"/>
        <v>0.87750000000000006</v>
      </c>
      <c r="D82" s="455">
        <f t="shared" si="38"/>
        <v>0.87750000000000006</v>
      </c>
      <c r="E82" s="455">
        <f t="shared" si="38"/>
        <v>0.87750000000000006</v>
      </c>
      <c r="F82" s="455">
        <f t="shared" si="38"/>
        <v>0.87750000000000006</v>
      </c>
      <c r="G82" s="455">
        <f t="shared" si="38"/>
        <v>0.87750000000000006</v>
      </c>
      <c r="H82" s="455">
        <f t="shared" si="38"/>
        <v>0.87750000000000006</v>
      </c>
      <c r="I82" s="455">
        <f t="shared" si="38"/>
        <v>0.87750000000000006</v>
      </c>
      <c r="J82" s="455">
        <f t="shared" si="38"/>
        <v>0.87750000000000006</v>
      </c>
      <c r="K82" s="455">
        <f t="shared" si="38"/>
        <v>0.87750000000000006</v>
      </c>
      <c r="L82" s="455">
        <f t="shared" si="38"/>
        <v>0.87750000000000006</v>
      </c>
      <c r="M82" s="455">
        <f t="shared" si="38"/>
        <v>0.87750000000000006</v>
      </c>
      <c r="N82" s="455">
        <f t="shared" si="38"/>
        <v>0.87750000000000006</v>
      </c>
      <c r="O82" s="455">
        <f t="shared" si="38"/>
        <v>0.87750000000000006</v>
      </c>
      <c r="P82" s="455">
        <f t="shared" si="38"/>
        <v>0.87750000000000006</v>
      </c>
      <c r="Q82" s="455">
        <f t="shared" si="38"/>
        <v>0.87750000000000006</v>
      </c>
      <c r="R82" s="455">
        <f t="shared" si="38"/>
        <v>0.87750000000000006</v>
      </c>
      <c r="S82" s="455">
        <f t="shared" si="38"/>
        <v>0.87750000000000006</v>
      </c>
      <c r="T82" s="455">
        <f t="shared" si="38"/>
        <v>0.87750000000000006</v>
      </c>
      <c r="U82" s="455">
        <f t="shared" si="38"/>
        <v>0.87750000000000006</v>
      </c>
      <c r="V82" s="455">
        <f t="shared" si="38"/>
        <v>0.87750000000000006</v>
      </c>
      <c r="W82" s="455">
        <f t="shared" si="38"/>
        <v>0.87750000000000006</v>
      </c>
      <c r="X82" s="455">
        <f t="shared" si="38"/>
        <v>0.87750000000000006</v>
      </c>
      <c r="Y82" s="455">
        <f t="shared" si="38"/>
        <v>0.87750000000000006</v>
      </c>
      <c r="Z82" s="455">
        <f t="shared" si="38"/>
        <v>0.87750000000000006</v>
      </c>
      <c r="AA82" s="455">
        <f t="shared" si="38"/>
        <v>0.87750000000000006</v>
      </c>
      <c r="AB82" s="455">
        <f t="shared" si="38"/>
        <v>0.87750000000000006</v>
      </c>
      <c r="AC82" s="455">
        <f t="shared" si="38"/>
        <v>0.87750000000000006</v>
      </c>
      <c r="AD82" s="455">
        <f t="shared" si="38"/>
        <v>0.87750000000000006</v>
      </c>
      <c r="AE82" s="455">
        <f>(58.5/1000)*15</f>
        <v>0.87750000000000006</v>
      </c>
      <c r="AF82" s="455">
        <f t="shared" si="39"/>
        <v>0.87750000000000006</v>
      </c>
      <c r="AG82" s="455">
        <f t="shared" si="39"/>
        <v>0.87750000000000006</v>
      </c>
      <c r="AH82" s="455">
        <f t="shared" si="39"/>
        <v>0.87750000000000006</v>
      </c>
      <c r="AI82" s="455">
        <f t="shared" si="39"/>
        <v>0.87750000000000006</v>
      </c>
      <c r="AJ82" s="455">
        <f t="shared" si="39"/>
        <v>0.87750000000000006</v>
      </c>
      <c r="AK82" s="455">
        <f t="shared" si="39"/>
        <v>0.87750000000000006</v>
      </c>
      <c r="AL82" s="455">
        <f t="shared" si="39"/>
        <v>0.87750000000000006</v>
      </c>
      <c r="AM82" s="455">
        <f t="shared" si="39"/>
        <v>0.87750000000000006</v>
      </c>
      <c r="AN82" s="455">
        <f t="shared" si="39"/>
        <v>0.87750000000000006</v>
      </c>
      <c r="AO82" s="455">
        <f t="shared" si="39"/>
        <v>0.87750000000000006</v>
      </c>
      <c r="AP82" s="455">
        <f t="shared" si="39"/>
        <v>0.87750000000000006</v>
      </c>
      <c r="AQ82" s="455">
        <f t="shared" si="39"/>
        <v>0.87750000000000006</v>
      </c>
      <c r="AR82" s="455">
        <f t="shared" si="39"/>
        <v>0.87750000000000006</v>
      </c>
      <c r="AS82" s="455">
        <f t="shared" si="39"/>
        <v>0.87750000000000006</v>
      </c>
      <c r="AT82" s="455">
        <f t="shared" si="39"/>
        <v>0.87750000000000006</v>
      </c>
      <c r="AU82" s="455">
        <f t="shared" si="39"/>
        <v>0.87750000000000006</v>
      </c>
      <c r="AV82" s="455">
        <f t="shared" si="39"/>
        <v>0.87750000000000006</v>
      </c>
      <c r="AW82" s="455">
        <f t="shared" si="39"/>
        <v>0.87750000000000006</v>
      </c>
      <c r="AX82" s="455">
        <f t="shared" si="39"/>
        <v>0.87750000000000006</v>
      </c>
      <c r="AY82" s="456">
        <f t="shared" si="39"/>
        <v>0.87750000000000006</v>
      </c>
    </row>
    <row r="83" spans="1:51">
      <c r="B83" s="433"/>
      <c r="C83" s="433"/>
      <c r="D83" s="433"/>
      <c r="E83" s="433"/>
      <c r="F83" s="433"/>
      <c r="G83" s="433"/>
      <c r="H83" s="433"/>
      <c r="I83" s="433"/>
      <c r="J83" s="433"/>
      <c r="K83" s="433"/>
      <c r="L83" s="433"/>
      <c r="M83" s="433"/>
      <c r="N83" s="433"/>
      <c r="O83" s="433"/>
      <c r="P83" s="433"/>
      <c r="Q83" s="433"/>
      <c r="R83" s="433"/>
      <c r="S83" s="433"/>
      <c r="T83" s="433"/>
      <c r="U83" s="433"/>
      <c r="V83" s="433"/>
      <c r="W83" s="433"/>
      <c r="X83" s="433"/>
      <c r="Y83" s="433"/>
      <c r="Z83" s="433"/>
      <c r="AA83" s="433"/>
      <c r="AB83" s="433"/>
      <c r="AC83" s="433"/>
      <c r="AD83" s="433"/>
      <c r="AE83" s="433"/>
    </row>
    <row r="84" spans="1:51" ht="15.75" thickBot="1">
      <c r="A84" s="437" t="s">
        <v>2937</v>
      </c>
      <c r="B84" s="433"/>
      <c r="C84" s="433"/>
      <c r="D84" s="433"/>
      <c r="E84" s="433"/>
      <c r="F84" s="433"/>
      <c r="G84" s="433"/>
      <c r="H84" s="433"/>
      <c r="I84" s="433"/>
      <c r="J84" s="433"/>
      <c r="K84" s="433"/>
      <c r="L84" s="433"/>
      <c r="M84" s="433"/>
      <c r="N84" s="433"/>
      <c r="O84" s="433"/>
      <c r="P84" s="433"/>
      <c r="Q84" s="433"/>
      <c r="R84" s="433"/>
      <c r="S84" s="433"/>
      <c r="T84" s="433"/>
      <c r="U84" s="433"/>
      <c r="V84" s="433"/>
      <c r="W84" s="433"/>
      <c r="X84" s="433"/>
      <c r="Y84" s="433"/>
      <c r="Z84" s="433"/>
      <c r="AA84" s="433"/>
      <c r="AB84" s="433"/>
      <c r="AC84" s="433"/>
      <c r="AD84" s="433"/>
      <c r="AE84" s="433"/>
    </row>
    <row r="85" spans="1:51" ht="12.75" thickBot="1">
      <c r="A85" s="438" t="s">
        <v>2932</v>
      </c>
      <c r="B85" s="439">
        <v>1</v>
      </c>
      <c r="C85" s="440">
        <v>2</v>
      </c>
      <c r="D85" s="440">
        <v>3</v>
      </c>
      <c r="E85" s="440">
        <v>4</v>
      </c>
      <c r="F85" s="440">
        <v>5</v>
      </c>
      <c r="G85" s="440">
        <v>6</v>
      </c>
      <c r="H85" s="440">
        <v>7</v>
      </c>
      <c r="I85" s="440">
        <v>8</v>
      </c>
      <c r="J85" s="440">
        <v>9</v>
      </c>
      <c r="K85" s="440">
        <v>10</v>
      </c>
      <c r="L85" s="440">
        <v>11</v>
      </c>
      <c r="M85" s="440">
        <v>12</v>
      </c>
      <c r="N85" s="440">
        <v>13</v>
      </c>
      <c r="O85" s="440">
        <v>14</v>
      </c>
      <c r="P85" s="440">
        <v>15</v>
      </c>
      <c r="Q85" s="440">
        <v>16</v>
      </c>
      <c r="R85" s="440">
        <v>17</v>
      </c>
      <c r="S85" s="440">
        <v>18</v>
      </c>
      <c r="T85" s="440">
        <v>19</v>
      </c>
      <c r="U85" s="440">
        <v>20</v>
      </c>
      <c r="V85" s="440">
        <v>21</v>
      </c>
      <c r="W85" s="440">
        <v>22</v>
      </c>
      <c r="X85" s="440">
        <v>23</v>
      </c>
      <c r="Y85" s="440">
        <v>24</v>
      </c>
      <c r="Z85" s="440">
        <v>25</v>
      </c>
      <c r="AA85" s="440">
        <v>26</v>
      </c>
      <c r="AB85" s="440">
        <v>27</v>
      </c>
      <c r="AC85" s="440">
        <v>28</v>
      </c>
      <c r="AD85" s="440">
        <v>29</v>
      </c>
      <c r="AE85" s="440">
        <v>30</v>
      </c>
      <c r="AF85" s="440">
        <f t="shared" ref="AF85:AY85" si="40">AE85+1</f>
        <v>31</v>
      </c>
      <c r="AG85" s="440">
        <f t="shared" si="40"/>
        <v>32</v>
      </c>
      <c r="AH85" s="440">
        <f t="shared" si="40"/>
        <v>33</v>
      </c>
      <c r="AI85" s="440">
        <f t="shared" si="40"/>
        <v>34</v>
      </c>
      <c r="AJ85" s="440">
        <f t="shared" si="40"/>
        <v>35</v>
      </c>
      <c r="AK85" s="440">
        <f t="shared" si="40"/>
        <v>36</v>
      </c>
      <c r="AL85" s="440">
        <f t="shared" si="40"/>
        <v>37</v>
      </c>
      <c r="AM85" s="440">
        <f t="shared" si="40"/>
        <v>38</v>
      </c>
      <c r="AN85" s="440">
        <f t="shared" si="40"/>
        <v>39</v>
      </c>
      <c r="AO85" s="440">
        <f t="shared" si="40"/>
        <v>40</v>
      </c>
      <c r="AP85" s="440">
        <f t="shared" si="40"/>
        <v>41</v>
      </c>
      <c r="AQ85" s="440">
        <f t="shared" si="40"/>
        <v>42</v>
      </c>
      <c r="AR85" s="440">
        <f t="shared" si="40"/>
        <v>43</v>
      </c>
      <c r="AS85" s="440">
        <f t="shared" si="40"/>
        <v>44</v>
      </c>
      <c r="AT85" s="440">
        <f t="shared" si="40"/>
        <v>45</v>
      </c>
      <c r="AU85" s="440">
        <f t="shared" si="40"/>
        <v>46</v>
      </c>
      <c r="AV85" s="440">
        <f t="shared" si="40"/>
        <v>47</v>
      </c>
      <c r="AW85" s="440">
        <f t="shared" si="40"/>
        <v>48</v>
      </c>
      <c r="AX85" s="440">
        <f t="shared" si="40"/>
        <v>49</v>
      </c>
      <c r="AY85" s="441">
        <f t="shared" si="40"/>
        <v>50</v>
      </c>
    </row>
    <row r="86" spans="1:51">
      <c r="A86" s="442" t="s">
        <v>2955</v>
      </c>
      <c r="B86" s="443">
        <f t="shared" ref="B86:B93" si="41">B75/(1+$C$3)^(B$16-0.5)</f>
        <v>6.6506021841986604E-2</v>
      </c>
      <c r="C86" s="444">
        <f t="shared" ref="C86:AY91" si="42">(C75/(1+$C$3)^(C$16-0.5)+B86)</f>
        <v>0.12827490399744898</v>
      </c>
      <c r="D86" s="444">
        <f t="shared" si="42"/>
        <v>0.18564973740670915</v>
      </c>
      <c r="E86" s="444">
        <f t="shared" si="42"/>
        <v>0.23990370587347698</v>
      </c>
      <c r="F86" s="444">
        <f t="shared" si="42"/>
        <v>0.29120627325122672</v>
      </c>
      <c r="G86" s="444">
        <f t="shared" si="42"/>
        <v>0.33972434249937733</v>
      </c>
      <c r="H86" s="444">
        <f t="shared" si="42"/>
        <v>0.38582353901948346</v>
      </c>
      <c r="I86" s="444">
        <f t="shared" si="42"/>
        <v>0.42962889916558616</v>
      </c>
      <c r="J86" s="444">
        <f t="shared" si="42"/>
        <v>0.47124865834523672</v>
      </c>
      <c r="K86" s="444">
        <f t="shared" si="42"/>
        <v>0.51079812378440359</v>
      </c>
      <c r="L86" s="444">
        <f t="shared" si="42"/>
        <v>0.54837896873154479</v>
      </c>
      <c r="M86" s="444">
        <f t="shared" si="42"/>
        <v>0.584085174103256</v>
      </c>
      <c r="N86" s="444">
        <f t="shared" si="42"/>
        <v>0.61801365427958765</v>
      </c>
      <c r="O86" s="444">
        <f t="shared" si="42"/>
        <v>0.65025363427340055</v>
      </c>
      <c r="P86" s="444">
        <f t="shared" si="42"/>
        <v>0.6808889547833743</v>
      </c>
      <c r="Q86" s="444">
        <f t="shared" si="42"/>
        <v>0.70992717327624033</v>
      </c>
      <c r="R86" s="444">
        <f t="shared" si="42"/>
        <v>0.73745155099459681</v>
      </c>
      <c r="S86" s="444">
        <f t="shared" si="42"/>
        <v>0.76354100854754137</v>
      </c>
      <c r="T86" s="444">
        <f t="shared" si="42"/>
        <v>0.78827035219962149</v>
      </c>
      <c r="U86" s="444">
        <f t="shared" si="42"/>
        <v>0.81171048836273063</v>
      </c>
      <c r="V86" s="444">
        <f t="shared" si="42"/>
        <v>0.83392862690596203</v>
      </c>
      <c r="W86" s="444">
        <f t="shared" si="42"/>
        <v>0.85498847386637089</v>
      </c>
      <c r="X86" s="444">
        <f t="shared" si="42"/>
        <v>0.87495041411320396</v>
      </c>
      <c r="Y86" s="444">
        <f t="shared" si="42"/>
        <v>0.89387168448934906</v>
      </c>
      <c r="Z86" s="444">
        <f t="shared" si="42"/>
        <v>0.91180653792645339</v>
      </c>
      <c r="AA86" s="444">
        <f t="shared" si="42"/>
        <v>0.92880639900427742</v>
      </c>
      <c r="AB86" s="444">
        <f t="shared" si="42"/>
        <v>0.94492001140031912</v>
      </c>
      <c r="AC86" s="444">
        <f t="shared" si="42"/>
        <v>0.96019357765249136</v>
      </c>
      <c r="AD86" s="444">
        <f t="shared" si="42"/>
        <v>0.97467089163559306</v>
      </c>
      <c r="AE86" s="444">
        <f t="shared" si="42"/>
        <v>0.98839346413142404</v>
      </c>
      <c r="AF86" s="444">
        <f t="shared" si="42"/>
        <v>1.0014006418525909</v>
      </c>
      <c r="AG86" s="444">
        <f t="shared" si="42"/>
        <v>1.0137297202612798</v>
      </c>
      <c r="AH86" s="444">
        <f t="shared" si="42"/>
        <v>1.0254160505064827</v>
      </c>
      <c r="AI86" s="444">
        <f t="shared" si="42"/>
        <v>1.0364931407862956</v>
      </c>
      <c r="AJ86" s="444">
        <f t="shared" si="42"/>
        <v>1.0469927524259288</v>
      </c>
      <c r="AK86" s="444">
        <f t="shared" si="42"/>
        <v>1.0569449909469082</v>
      </c>
      <c r="AL86" s="444">
        <f t="shared" si="42"/>
        <v>1.0663783923885948</v>
      </c>
      <c r="AM86" s="444">
        <f t="shared" si="42"/>
        <v>1.07532000512953</v>
      </c>
      <c r="AN86" s="444">
        <f t="shared" si="42"/>
        <v>1.0837954674432126</v>
      </c>
      <c r="AO86" s="444">
        <f t="shared" si="42"/>
        <v>1.0918290810106843</v>
      </c>
      <c r="AP86" s="444">
        <f t="shared" si="42"/>
        <v>1.099443880600705</v>
      </c>
      <c r="AQ86" s="444">
        <f t="shared" si="42"/>
        <v>1.106661700117312</v>
      </c>
      <c r="AR86" s="444">
        <f t="shared" si="42"/>
        <v>1.1135032352041434</v>
      </c>
      <c r="AS86" s="444">
        <f t="shared" si="42"/>
        <v>1.1199881025850262</v>
      </c>
      <c r="AT86" s="444">
        <f t="shared" si="42"/>
        <v>1.1261348963109816</v>
      </c>
      <c r="AU86" s="444">
        <f t="shared" si="42"/>
        <v>1.1319612410749202</v>
      </c>
      <c r="AV86" s="444">
        <f t="shared" si="42"/>
        <v>1.1374838427469001</v>
      </c>
      <c r="AW86" s="444">
        <f t="shared" si="42"/>
        <v>1.1427185362748431</v>
      </c>
      <c r="AX86" s="444">
        <f t="shared" si="42"/>
        <v>1.1476803310880592</v>
      </c>
      <c r="AY86" s="445">
        <f t="shared" si="42"/>
        <v>1.1523834541337616</v>
      </c>
    </row>
    <row r="87" spans="1:51">
      <c r="A87" s="446" t="s">
        <v>2956</v>
      </c>
      <c r="B87" s="450">
        <f t="shared" si="41"/>
        <v>83.142880157899583</v>
      </c>
      <c r="C87" s="451">
        <f t="shared" si="42"/>
        <v>168.53441057976141</v>
      </c>
      <c r="D87" s="451">
        <f t="shared" si="42"/>
        <v>255.33713327310039</v>
      </c>
      <c r="E87" s="451">
        <f t="shared" si="42"/>
        <v>342.85019038251738</v>
      </c>
      <c r="F87" s="451">
        <f t="shared" si="42"/>
        <v>430.46720059461694</v>
      </c>
      <c r="G87" s="451">
        <f t="shared" si="42"/>
        <v>517.67458334521405</v>
      </c>
      <c r="H87" s="451">
        <f t="shared" si="42"/>
        <v>604.04866016790231</v>
      </c>
      <c r="I87" s="451">
        <f t="shared" si="42"/>
        <v>689.22294077369145</v>
      </c>
      <c r="J87" s="451">
        <f t="shared" si="42"/>
        <v>772.90319960289992</v>
      </c>
      <c r="K87" s="451">
        <f t="shared" si="42"/>
        <v>854.84525147923114</v>
      </c>
      <c r="L87" s="451">
        <f t="shared" si="42"/>
        <v>934.84935653622915</v>
      </c>
      <c r="M87" s="451">
        <f t="shared" si="42"/>
        <v>1012.7609731846534</v>
      </c>
      <c r="N87" s="451">
        <f t="shared" si="42"/>
        <v>1086.6108467850554</v>
      </c>
      <c r="O87" s="451">
        <f t="shared" si="42"/>
        <v>1156.61072697501</v>
      </c>
      <c r="P87" s="451">
        <f t="shared" si="42"/>
        <v>1222.96132431146</v>
      </c>
      <c r="Q87" s="451">
        <f t="shared" si="42"/>
        <v>1285.8528857678107</v>
      </c>
      <c r="R87" s="451">
        <f t="shared" si="42"/>
        <v>1345.4657402288062</v>
      </c>
      <c r="S87" s="451">
        <f t="shared" si="42"/>
        <v>1401.9708155472856</v>
      </c>
      <c r="T87" s="451">
        <f t="shared" si="42"/>
        <v>1455.5301286453703</v>
      </c>
      <c r="U87" s="451">
        <f t="shared" si="42"/>
        <v>1506.2972500653557</v>
      </c>
      <c r="V87" s="451">
        <f t="shared" si="42"/>
        <v>1554.4177443023086</v>
      </c>
      <c r="W87" s="451">
        <f t="shared" si="42"/>
        <v>1600.0295871809371</v>
      </c>
      <c r="X87" s="451">
        <f t="shared" si="42"/>
        <v>1643.2635614734759</v>
      </c>
      <c r="Y87" s="451">
        <f t="shared" si="42"/>
        <v>1684.243631892944</v>
      </c>
      <c r="Z87" s="451">
        <f t="shared" si="42"/>
        <v>1723.0873005369897</v>
      </c>
      <c r="AA87" s="451">
        <f t="shared" si="42"/>
        <v>1759.9059438014879</v>
      </c>
      <c r="AB87" s="451">
        <f t="shared" si="42"/>
        <v>1794.8051317299221</v>
      </c>
      <c r="AC87" s="451">
        <f t="shared" si="42"/>
        <v>1827.88493071422</v>
      </c>
      <c r="AD87" s="451">
        <f t="shared" si="42"/>
        <v>1859.2401904149763</v>
      </c>
      <c r="AE87" s="451">
        <f t="shared" si="42"/>
        <v>1888.9608157237501</v>
      </c>
      <c r="AF87" s="451">
        <f t="shared" si="42"/>
        <v>1917.1320245472323</v>
      </c>
      <c r="AG87" s="451">
        <f t="shared" si="42"/>
        <v>1943.8345921524287</v>
      </c>
      <c r="AH87" s="451">
        <f t="shared" si="42"/>
        <v>1969.1450827734679</v>
      </c>
      <c r="AI87" s="451">
        <f t="shared" si="42"/>
        <v>1993.1360691441214</v>
      </c>
      <c r="AJ87" s="451">
        <f t="shared" si="42"/>
        <v>2015.8763405854991</v>
      </c>
      <c r="AK87" s="451">
        <f t="shared" si="42"/>
        <v>2037.4311002455727</v>
      </c>
      <c r="AL87" s="451">
        <f t="shared" si="42"/>
        <v>2057.8621520560691</v>
      </c>
      <c r="AM87" s="451">
        <f t="shared" si="42"/>
        <v>2077.2280779427956</v>
      </c>
      <c r="AN87" s="451">
        <f t="shared" si="42"/>
        <v>2095.5844057975123</v>
      </c>
      <c r="AO87" s="451">
        <f t="shared" si="42"/>
        <v>2112.9837686929786</v>
      </c>
      <c r="AP87" s="451">
        <f t="shared" si="42"/>
        <v>2129.4760557976861</v>
      </c>
      <c r="AQ87" s="451">
        <f t="shared" si="42"/>
        <v>2145.1085554230012</v>
      </c>
      <c r="AR87" s="451">
        <f t="shared" si="42"/>
        <v>2159.9260906128734</v>
      </c>
      <c r="AS87" s="451">
        <f t="shared" si="42"/>
        <v>2173.9711476648849</v>
      </c>
      <c r="AT87" s="451">
        <f t="shared" si="42"/>
        <v>2187.2839979511518</v>
      </c>
      <c r="AU87" s="451">
        <f t="shared" si="42"/>
        <v>2199.9028133883717</v>
      </c>
      <c r="AV87" s="451">
        <f t="shared" si="42"/>
        <v>2211.8637758881059</v>
      </c>
      <c r="AW87" s="451">
        <f t="shared" si="42"/>
        <v>2223.2011811011243</v>
      </c>
      <c r="AX87" s="451">
        <f t="shared" si="42"/>
        <v>2233.9475367532746</v>
      </c>
      <c r="AY87" s="452">
        <f t="shared" si="42"/>
        <v>2244.1336558548387</v>
      </c>
    </row>
    <row r="88" spans="1:51">
      <c r="A88" s="446" t="s">
        <v>2957</v>
      </c>
      <c r="B88" s="450">
        <f t="shared" si="41"/>
        <v>9.9695080143101027</v>
      </c>
      <c r="C88" s="451">
        <f t="shared" si="42"/>
        <v>19.207027936485396</v>
      </c>
      <c r="D88" s="451">
        <f t="shared" si="42"/>
        <v>27.770532681796588</v>
      </c>
      <c r="E88" s="451">
        <f t="shared" si="42"/>
        <v>35.887598791096295</v>
      </c>
      <c r="F88" s="451">
        <f t="shared" si="42"/>
        <v>43.581500316498861</v>
      </c>
      <c r="G88" s="451">
        <f t="shared" si="42"/>
        <v>50.874297970908877</v>
      </c>
      <c r="H88" s="451">
        <f t="shared" si="42"/>
        <v>57.843389446302268</v>
      </c>
      <c r="I88" s="451">
        <f t="shared" si="42"/>
        <v>64.496012816984674</v>
      </c>
      <c r="J88" s="451">
        <f t="shared" si="42"/>
        <v>70.852567898586869</v>
      </c>
      <c r="K88" s="451">
        <f t="shared" si="42"/>
        <v>76.877738592048672</v>
      </c>
      <c r="L88" s="451">
        <f t="shared" si="42"/>
        <v>82.588800860732846</v>
      </c>
      <c r="M88" s="451">
        <f t="shared" si="42"/>
        <v>88.002130025362391</v>
      </c>
      <c r="N88" s="451">
        <f t="shared" si="42"/>
        <v>93.133247716954372</v>
      </c>
      <c r="O88" s="451">
        <f t="shared" si="42"/>
        <v>97.996866381970477</v>
      </c>
      <c r="P88" s="451">
        <f t="shared" si="42"/>
        <v>102.60693146729379</v>
      </c>
      <c r="Q88" s="451">
        <f t="shared" si="42"/>
        <v>106.97666140598888</v>
      </c>
      <c r="R88" s="451">
        <f t="shared" si="42"/>
        <v>111.11858551849608</v>
      </c>
      <c r="S88" s="451">
        <f t="shared" si="42"/>
        <v>115.04457993793417</v>
      </c>
      <c r="T88" s="451">
        <f t="shared" si="42"/>
        <v>118.76590166252005</v>
      </c>
      <c r="U88" s="451">
        <f t="shared" si="42"/>
        <v>122.29322083274363</v>
      </c>
      <c r="V88" s="451">
        <f t="shared" si="42"/>
        <v>125.63665132584654</v>
      </c>
      <c r="W88" s="451">
        <f t="shared" si="42"/>
        <v>128.80577975532799</v>
      </c>
      <c r="X88" s="451">
        <f t="shared" si="42"/>
        <v>131.80969295862792</v>
      </c>
      <c r="Y88" s="451">
        <f t="shared" si="42"/>
        <v>134.65700405180323</v>
      </c>
      <c r="Z88" s="451">
        <f t="shared" si="42"/>
        <v>137.35587712590305</v>
      </c>
      <c r="AA88" s="451">
        <f t="shared" si="42"/>
        <v>139.91405065585548</v>
      </c>
      <c r="AB88" s="451">
        <f t="shared" si="42"/>
        <v>142.33885968898574</v>
      </c>
      <c r="AC88" s="451">
        <f t="shared" si="42"/>
        <v>144.63725687678692</v>
      </c>
      <c r="AD88" s="451">
        <f t="shared" si="42"/>
        <v>146.81583241024776</v>
      </c>
      <c r="AE88" s="451">
        <f t="shared" si="42"/>
        <v>148.88083291589786</v>
      </c>
      <c r="AF88" s="451">
        <f t="shared" si="42"/>
        <v>150.83817936675104</v>
      </c>
      <c r="AG88" s="451">
        <f t="shared" si="42"/>
        <v>152.69348405950285</v>
      </c>
      <c r="AH88" s="451">
        <f t="shared" si="42"/>
        <v>154.45206670666099</v>
      </c>
      <c r="AI88" s="451">
        <f t="shared" si="42"/>
        <v>156.11896968974926</v>
      </c>
      <c r="AJ88" s="451">
        <f t="shared" si="42"/>
        <v>157.6989725173211</v>
      </c>
      <c r="AK88" s="451">
        <f t="shared" si="42"/>
        <v>159.1966055292375</v>
      </c>
      <c r="AL88" s="451">
        <f t="shared" si="42"/>
        <v>160.61616288650424</v>
      </c>
      <c r="AM88" s="451">
        <f t="shared" si="42"/>
        <v>161.96171488391349</v>
      </c>
      <c r="AN88" s="451">
        <f t="shared" si="42"/>
        <v>163.23711962079429</v>
      </c>
      <c r="AO88" s="451">
        <f t="shared" si="42"/>
        <v>164.44603406333533</v>
      </c>
      <c r="AP88" s="451">
        <f t="shared" si="42"/>
        <v>165.59192453019887</v>
      </c>
      <c r="AQ88" s="451">
        <f t="shared" si="42"/>
        <v>166.67807663149134</v>
      </c>
      <c r="AR88" s="451">
        <f t="shared" si="42"/>
        <v>167.70760468958846</v>
      </c>
      <c r="AS88" s="451">
        <f t="shared" si="42"/>
        <v>168.68346066882745</v>
      </c>
      <c r="AT88" s="451">
        <f t="shared" si="42"/>
        <v>169.60844263967007</v>
      </c>
      <c r="AU88" s="451">
        <f t="shared" si="42"/>
        <v>170.48520280160622</v>
      </c>
      <c r="AV88" s="451">
        <f t="shared" si="42"/>
        <v>171.31625508780161</v>
      </c>
      <c r="AW88" s="451">
        <f t="shared" si="42"/>
        <v>172.10398237329488</v>
      </c>
      <c r="AX88" s="451">
        <f t="shared" si="42"/>
        <v>172.85064330741173</v>
      </c>
      <c r="AY88" s="452">
        <f t="shared" si="42"/>
        <v>173.55837878998693</v>
      </c>
    </row>
    <row r="89" spans="1:51">
      <c r="A89" s="446" t="s">
        <v>2958</v>
      </c>
      <c r="B89" s="450">
        <f t="shared" si="41"/>
        <v>9.2028100102799062</v>
      </c>
      <c r="C89" s="451">
        <f t="shared" si="42"/>
        <v>17.724368306785436</v>
      </c>
      <c r="D89" s="451">
        <f t="shared" si="42"/>
        <v>25.614338971004738</v>
      </c>
      <c r="E89" s="451">
        <f t="shared" si="42"/>
        <v>33.092984150359527</v>
      </c>
      <c r="F89" s="451">
        <f t="shared" si="42"/>
        <v>40.181747353539421</v>
      </c>
      <c r="G89" s="451">
        <f t="shared" si="42"/>
        <v>46.900954181198088</v>
      </c>
      <c r="H89" s="451">
        <f t="shared" si="42"/>
        <v>53.322238820759729</v>
      </c>
      <c r="I89" s="451">
        <f t="shared" si="42"/>
        <v>59.509156246227533</v>
      </c>
      <c r="J89" s="451">
        <f t="shared" si="42"/>
        <v>65.373532952832093</v>
      </c>
      <c r="K89" s="451">
        <f t="shared" si="42"/>
        <v>70.932183859566265</v>
      </c>
      <c r="L89" s="451">
        <f t="shared" si="42"/>
        <v>76.201047278271645</v>
      </c>
      <c r="M89" s="451">
        <f t="shared" si="42"/>
        <v>81.195230613537404</v>
      </c>
      <c r="N89" s="451">
        <f t="shared" si="42"/>
        <v>85.929053680140029</v>
      </c>
      <c r="O89" s="451">
        <f t="shared" si="42"/>
        <v>90.416089762227827</v>
      </c>
      <c r="P89" s="451">
        <f t="shared" si="42"/>
        <v>94.66920453197929</v>
      </c>
      <c r="Q89" s="451">
        <f t="shared" si="42"/>
        <v>98.70059293932664</v>
      </c>
      <c r="R89" s="451">
        <f t="shared" si="42"/>
        <v>102.52181417851845</v>
      </c>
      <c r="S89" s="451">
        <f t="shared" si="42"/>
        <v>106.14382483178083</v>
      </c>
      <c r="T89" s="451">
        <f t="shared" si="42"/>
        <v>109.57701028511011</v>
      </c>
      <c r="U89" s="451">
        <f t="shared" si="42"/>
        <v>112.83121450627529</v>
      </c>
      <c r="V89" s="451">
        <f t="shared" si="42"/>
        <v>115.9157682704129</v>
      </c>
      <c r="W89" s="451">
        <f t="shared" si="42"/>
        <v>118.83951591414524</v>
      </c>
      <c r="X89" s="451">
        <f t="shared" si="42"/>
        <v>121.61084069493418</v>
      </c>
      <c r="Y89" s="451">
        <f t="shared" si="42"/>
        <v>124.23768882838341</v>
      </c>
      <c r="Z89" s="451">
        <f t="shared" si="42"/>
        <v>126.72759227241113</v>
      </c>
      <c r="AA89" s="451">
        <f t="shared" si="42"/>
        <v>129.08769032362224</v>
      </c>
      <c r="AB89" s="451">
        <f t="shared" si="42"/>
        <v>131.32475008780338</v>
      </c>
      <c r="AC89" s="451">
        <f t="shared" si="42"/>
        <v>133.44518588323575</v>
      </c>
      <c r="AD89" s="451">
        <f t="shared" si="42"/>
        <v>135.45507763246073</v>
      </c>
      <c r="AE89" s="451">
        <f t="shared" si="42"/>
        <v>137.36018829523323</v>
      </c>
      <c r="AF89" s="451">
        <f t="shared" si="42"/>
        <v>139.16598039264792</v>
      </c>
      <c r="AG89" s="451">
        <f t="shared" si="42"/>
        <v>140.87763166981824</v>
      </c>
      <c r="AH89" s="451">
        <f t="shared" si="42"/>
        <v>142.5000499420176</v>
      </c>
      <c r="AI89" s="451">
        <f t="shared" si="42"/>
        <v>144.03788716685111</v>
      </c>
      <c r="AJ89" s="451">
        <f t="shared" si="42"/>
        <v>145.49555278280704</v>
      </c>
      <c r="AK89" s="451">
        <f t="shared" si="42"/>
        <v>146.87722635243352</v>
      </c>
      <c r="AL89" s="451">
        <f t="shared" si="42"/>
        <v>148.18686954639227</v>
      </c>
      <c r="AM89" s="451">
        <f t="shared" si="42"/>
        <v>149.42823750275127</v>
      </c>
      <c r="AN89" s="451">
        <f t="shared" si="42"/>
        <v>150.60488959408681</v>
      </c>
      <c r="AO89" s="451">
        <f t="shared" si="42"/>
        <v>151.72019963326744</v>
      </c>
      <c r="AP89" s="451">
        <f t="shared" si="42"/>
        <v>152.77736554718271</v>
      </c>
      <c r="AQ89" s="451">
        <f t="shared" si="42"/>
        <v>153.77941854615455</v>
      </c>
      <c r="AR89" s="451">
        <f t="shared" si="42"/>
        <v>154.72923181532215</v>
      </c>
      <c r="AS89" s="451">
        <f t="shared" si="42"/>
        <v>155.62952875292177</v>
      </c>
      <c r="AT89" s="451">
        <f t="shared" si="42"/>
        <v>156.48289077908257</v>
      </c>
      <c r="AU89" s="451">
        <f t="shared" si="42"/>
        <v>157.29176473752881</v>
      </c>
      <c r="AV89" s="451">
        <f t="shared" si="42"/>
        <v>158.05846991141149</v>
      </c>
      <c r="AW89" s="451">
        <f t="shared" si="42"/>
        <v>158.78520467338561</v>
      </c>
      <c r="AX89" s="451">
        <f t="shared" si="42"/>
        <v>159.47405278900089</v>
      </c>
      <c r="AY89" s="452">
        <f t="shared" si="42"/>
        <v>160.12698939147984</v>
      </c>
    </row>
    <row r="90" spans="1:51">
      <c r="A90" s="446" t="s">
        <v>2959</v>
      </c>
      <c r="B90" s="450">
        <f t="shared" si="41"/>
        <v>7.0689328859713552</v>
      </c>
      <c r="C90" s="451">
        <f t="shared" si="42"/>
        <v>14.369698136716529</v>
      </c>
      <c r="D90" s="451">
        <f t="shared" si="42"/>
        <v>21.541967331637562</v>
      </c>
      <c r="E90" s="451">
        <f t="shared" si="42"/>
        <v>28.51267627318699</v>
      </c>
      <c r="F90" s="451">
        <f t="shared" si="42"/>
        <v>35.250642077004798</v>
      </c>
      <c r="G90" s="451">
        <f t="shared" si="42"/>
        <v>41.746987388541662</v>
      </c>
      <c r="H90" s="451">
        <f t="shared" si="42"/>
        <v>47.980700711127561</v>
      </c>
      <c r="I90" s="451">
        <f t="shared" si="42"/>
        <v>53.925864208141782</v>
      </c>
      <c r="J90" s="451">
        <f t="shared" si="42"/>
        <v>59.641723748881354</v>
      </c>
      <c r="K90" s="451">
        <f t="shared" si="42"/>
        <v>65.083644011797688</v>
      </c>
      <c r="L90" s="451">
        <f t="shared" si="42"/>
        <v>70.302178243051259</v>
      </c>
      <c r="M90" s="451">
        <f t="shared" si="42"/>
        <v>75.296787022973902</v>
      </c>
      <c r="N90" s="451">
        <f t="shared" si="42"/>
        <v>80.02975889547298</v>
      </c>
      <c r="O90" s="451">
        <f t="shared" si="42"/>
        <v>84.55046652586843</v>
      </c>
      <c r="P90" s="451">
        <f t="shared" si="42"/>
        <v>88.867652559080511</v>
      </c>
      <c r="Q90" s="451">
        <f t="shared" si="42"/>
        <v>92.986957075656932</v>
      </c>
      <c r="R90" s="451">
        <f t="shared" si="42"/>
        <v>96.884761614834133</v>
      </c>
      <c r="S90" s="451">
        <f t="shared" si="42"/>
        <v>100.57041386849632</v>
      </c>
      <c r="T90" s="451">
        <f t="shared" si="42"/>
        <v>104.05103570691571</v>
      </c>
      <c r="U90" s="451">
        <f t="shared" si="42"/>
        <v>107.35020332627059</v>
      </c>
      <c r="V90" s="451">
        <f t="shared" si="42"/>
        <v>110.47737642518516</v>
      </c>
      <c r="W90" s="451">
        <f t="shared" si="42"/>
        <v>113.44152154263973</v>
      </c>
      <c r="X90" s="451">
        <f t="shared" si="42"/>
        <v>116.25113776771516</v>
      </c>
      <c r="Y90" s="451">
        <f t="shared" si="42"/>
        <v>118.91428110901889</v>
      </c>
      <c r="Z90" s="451">
        <f t="shared" si="42"/>
        <v>121.43858759366697</v>
      </c>
      <c r="AA90" s="451">
        <f t="shared" si="42"/>
        <v>123.83129516205376</v>
      </c>
      <c r="AB90" s="451">
        <f t="shared" si="42"/>
        <v>126.09926442118817</v>
      </c>
      <c r="AC90" s="451">
        <f t="shared" si="42"/>
        <v>128.2489983161023</v>
      </c>
      <c r="AD90" s="451">
        <f t="shared" si="42"/>
        <v>130.28666077573655</v>
      </c>
      <c r="AE90" s="451">
        <f t="shared" si="42"/>
        <v>132.21809438676428</v>
      </c>
      <c r="AF90" s="451">
        <f t="shared" si="42"/>
        <v>134.04883714603227</v>
      </c>
      <c r="AG90" s="451">
        <f t="shared" si="42"/>
        <v>135.78413833965121</v>
      </c>
      <c r="AH90" s="451">
        <f t="shared" si="42"/>
        <v>137.42897359426632</v>
      </c>
      <c r="AI90" s="451">
        <f t="shared" si="42"/>
        <v>138.98805914366454</v>
      </c>
      <c r="AJ90" s="451">
        <f t="shared" si="42"/>
        <v>140.46586535162493</v>
      </c>
      <c r="AK90" s="451">
        <f t="shared" si="42"/>
        <v>141.86662952978642</v>
      </c>
      <c r="AL90" s="451">
        <f t="shared" si="42"/>
        <v>143.19436808728548</v>
      </c>
      <c r="AM90" s="451">
        <f t="shared" si="42"/>
        <v>144.45288804700024</v>
      </c>
      <c r="AN90" s="451">
        <f t="shared" si="42"/>
        <v>145.64579796142181</v>
      </c>
      <c r="AO90" s="451">
        <f t="shared" si="42"/>
        <v>146.77651825945173</v>
      </c>
      <c r="AP90" s="451">
        <f t="shared" si="42"/>
        <v>147.84829105379288</v>
      </c>
      <c r="AQ90" s="451">
        <f t="shared" si="42"/>
        <v>148.86418943705462</v>
      </c>
      <c r="AR90" s="451">
        <f t="shared" si="42"/>
        <v>149.82712629322691</v>
      </c>
      <c r="AS90" s="451">
        <f t="shared" si="42"/>
        <v>150.73986264978831</v>
      </c>
      <c r="AT90" s="451">
        <f t="shared" si="42"/>
        <v>151.60501559439626</v>
      </c>
      <c r="AU90" s="451">
        <f t="shared" si="42"/>
        <v>152.42506577885879</v>
      </c>
      <c r="AV90" s="451">
        <f t="shared" si="42"/>
        <v>153.20236453190384</v>
      </c>
      <c r="AW90" s="451">
        <f t="shared" si="42"/>
        <v>153.93914060114085</v>
      </c>
      <c r="AX90" s="451">
        <f t="shared" si="42"/>
        <v>154.63750654354561</v>
      </c>
      <c r="AY90" s="452">
        <f t="shared" si="42"/>
        <v>155.29946478279183</v>
      </c>
    </row>
    <row r="91" spans="1:51">
      <c r="A91" s="446" t="s">
        <v>2938</v>
      </c>
      <c r="B91" s="447">
        <f t="shared" si="41"/>
        <v>6.1141123369011178E-3</v>
      </c>
      <c r="C91" s="448">
        <f t="shared" si="42"/>
        <v>1.1835653147838862E-2</v>
      </c>
      <c r="D91" s="448">
        <f t="shared" si="42"/>
        <v>1.718893701314065E-2</v>
      </c>
      <c r="E91" s="448">
        <f t="shared" si="42"/>
        <v>2.2163645558166009E-2</v>
      </c>
      <c r="F91" s="448">
        <f t="shared" si="42"/>
        <v>2.6784701836957338E-2</v>
      </c>
      <c r="G91" s="448">
        <f t="shared" si="42"/>
        <v>3.1082908421834338E-2</v>
      </c>
      <c r="H91" s="448">
        <f t="shared" si="42"/>
        <v>3.5157037886172721E-2</v>
      </c>
      <c r="I91" s="448">
        <f t="shared" si="42"/>
        <v>3.9012079195542004E-2</v>
      </c>
      <c r="J91" s="448">
        <f t="shared" si="42"/>
        <v>4.2666146787361234E-2</v>
      </c>
      <c r="K91" s="448">
        <f t="shared" si="42"/>
        <v>4.6123704820036415E-2</v>
      </c>
      <c r="L91" s="448">
        <f t="shared" si="42"/>
        <v>4.9401011012145592E-2</v>
      </c>
      <c r="M91" s="448">
        <f t="shared" ref="M91:AY93" si="43">(M80/(1+$C$3)^(M$16-0.5)+L91)</f>
        <v>5.2507462379073722E-2</v>
      </c>
      <c r="N91" s="448">
        <f t="shared" si="43"/>
        <v>5.5446845168468734E-2</v>
      </c>
      <c r="O91" s="448">
        <f t="shared" si="43"/>
        <v>5.8232989992539834E-2</v>
      </c>
      <c r="P91" s="448">
        <f t="shared" si="43"/>
        <v>6.0869284697021131E-2</v>
      </c>
      <c r="Q91" s="448">
        <f t="shared" si="43"/>
        <v>6.3368142236813835E-2</v>
      </c>
      <c r="R91" s="448">
        <f t="shared" si="43"/>
        <v>6.5736727582588902E-2</v>
      </c>
      <c r="S91" s="448">
        <f t="shared" si="43"/>
        <v>6.7981832175740636E-2</v>
      </c>
      <c r="T91" s="448">
        <f t="shared" si="43"/>
        <v>7.0109893401476872E-2</v>
      </c>
      <c r="U91" s="448">
        <f t="shared" si="43"/>
        <v>7.2127013046724489E-2</v>
      </c>
      <c r="V91" s="448">
        <f t="shared" si="43"/>
        <v>7.4038974795774357E-2</v>
      </c>
      <c r="W91" s="448">
        <f t="shared" si="43"/>
        <v>7.5851260813831103E-2</v>
      </c>
      <c r="X91" s="448">
        <f t="shared" si="43"/>
        <v>7.7569067466017591E-2</v>
      </c>
      <c r="Y91" s="448">
        <f t="shared" si="43"/>
        <v>7.9197320216905259E-2</v>
      </c>
      <c r="Z91" s="448">
        <f t="shared" si="43"/>
        <v>8.0740687753291684E-2</v>
      </c>
      <c r="AA91" s="448">
        <f t="shared" si="43"/>
        <v>8.220359537071957E-2</v>
      </c>
      <c r="AB91" s="448">
        <f t="shared" si="43"/>
        <v>8.3590237662120412E-2</v>
      </c>
      <c r="AC91" s="448">
        <f t="shared" si="43"/>
        <v>8.4904590544964811E-2</v>
      </c>
      <c r="AD91" s="448">
        <f t="shared" si="43"/>
        <v>8.6150422661405004E-2</v>
      </c>
      <c r="AE91" s="448">
        <f t="shared" si="43"/>
        <v>8.7331306184097124E-2</v>
      </c>
      <c r="AF91" s="448">
        <f t="shared" si="43"/>
        <v>8.8450627058686809E-2</v>
      </c>
      <c r="AG91" s="448">
        <f t="shared" si="43"/>
        <v>8.9511594712326323E-2</v>
      </c>
      <c r="AH91" s="448">
        <f t="shared" si="43"/>
        <v>9.0517251256060458E-2</v>
      </c>
      <c r="AI91" s="448">
        <f t="shared" si="43"/>
        <v>9.1470480207467217E-2</v>
      </c>
      <c r="AJ91" s="448">
        <f t="shared" si="43"/>
        <v>9.2374014758563674E-2</v>
      </c>
      <c r="AK91" s="448">
        <f t="shared" si="43"/>
        <v>9.3230445612683538E-2</v>
      </c>
      <c r="AL91" s="448">
        <f t="shared" si="43"/>
        <v>9.4042228412797163E-2</v>
      </c>
      <c r="AM91" s="448">
        <f t="shared" si="43"/>
        <v>9.4811690782573108E-2</v>
      </c>
      <c r="AN91" s="448">
        <f t="shared" si="43"/>
        <v>9.5541039000370212E-2</v>
      </c>
      <c r="AO91" s="448">
        <f t="shared" si="43"/>
        <v>9.6232364325296374E-2</v>
      </c>
      <c r="AP91" s="448">
        <f t="shared" si="43"/>
        <v>9.6887648993472825E-2</v>
      </c>
      <c r="AQ91" s="448">
        <f t="shared" si="43"/>
        <v>9.7508771901696961E-2</v>
      </c>
      <c r="AR91" s="448">
        <f t="shared" si="43"/>
        <v>9.8097513994800406E-2</v>
      </c>
      <c r="AS91" s="448">
        <f t="shared" si="43"/>
        <v>9.8655563372149632E-2</v>
      </c>
      <c r="AT91" s="448">
        <f t="shared" si="43"/>
        <v>9.91845201279309E-2</v>
      </c>
      <c r="AU91" s="448">
        <f t="shared" si="43"/>
        <v>9.9685900939097974E-2</v>
      </c>
      <c r="AV91" s="448">
        <f t="shared" si="43"/>
        <v>0.10016114341413786</v>
      </c>
      <c r="AW91" s="448">
        <f t="shared" si="43"/>
        <v>0.10061161021512352</v>
      </c>
      <c r="AX91" s="448">
        <f t="shared" si="43"/>
        <v>0.10103859296487297</v>
      </c>
      <c r="AY91" s="449">
        <f t="shared" si="43"/>
        <v>0.10144331595041747</v>
      </c>
    </row>
    <row r="92" spans="1:51">
      <c r="A92" s="446" t="s">
        <v>2939</v>
      </c>
      <c r="B92" s="450">
        <f t="shared" si="41"/>
        <v>0.85432063306221828</v>
      </c>
      <c r="C92" s="451">
        <f t="shared" ref="C92:AH93" si="44">(C81/(1+$C$3)^(C$16-0.5)+B92)</f>
        <v>1.6641032236425202</v>
      </c>
      <c r="D92" s="451">
        <f t="shared" si="44"/>
        <v>2.4316696602115266</v>
      </c>
      <c r="E92" s="451">
        <f t="shared" si="44"/>
        <v>3.1592207849214855</v>
      </c>
      <c r="F92" s="451">
        <f t="shared" si="44"/>
        <v>3.8488427040778443</v>
      </c>
      <c r="G92" s="451">
        <f t="shared" si="44"/>
        <v>4.502512769628896</v>
      </c>
      <c r="H92" s="451">
        <f t="shared" si="44"/>
        <v>5.1221052488242051</v>
      </c>
      <c r="I92" s="451">
        <f t="shared" si="44"/>
        <v>5.7093966982984323</v>
      </c>
      <c r="J92" s="451">
        <f t="shared" si="44"/>
        <v>6.2660710579896426</v>
      </c>
      <c r="K92" s="451">
        <f t="shared" si="44"/>
        <v>6.7937244794978984</v>
      </c>
      <c r="L92" s="451">
        <f t="shared" si="44"/>
        <v>7.2938699027284732</v>
      </c>
      <c r="M92" s="451">
        <f t="shared" si="44"/>
        <v>7.7679413939422881</v>
      </c>
      <c r="N92" s="451">
        <f t="shared" si="44"/>
        <v>8.2172982576520646</v>
      </c>
      <c r="O92" s="451">
        <f t="shared" si="44"/>
        <v>8.643228934154223</v>
      </c>
      <c r="P92" s="451">
        <f t="shared" si="44"/>
        <v>9.0469546938719088</v>
      </c>
      <c r="Q92" s="451">
        <f t="shared" si="44"/>
        <v>9.4296331391019432</v>
      </c>
      <c r="R92" s="451">
        <f t="shared" si="44"/>
        <v>9.7923615232062406</v>
      </c>
      <c r="S92" s="451">
        <f t="shared" si="44"/>
        <v>10.136179896764817</v>
      </c>
      <c r="T92" s="451">
        <f t="shared" si="44"/>
        <v>10.462074089711335</v>
      </c>
      <c r="U92" s="451">
        <f t="shared" si="44"/>
        <v>10.770978538001872</v>
      </c>
      <c r="V92" s="451">
        <f t="shared" si="44"/>
        <v>11.063778962921813</v>
      </c>
      <c r="W92" s="451">
        <f t="shared" si="44"/>
        <v>11.341314910713226</v>
      </c>
      <c r="X92" s="451">
        <f t="shared" si="44"/>
        <v>11.604382159804613</v>
      </c>
      <c r="Y92" s="451">
        <f t="shared" si="44"/>
        <v>11.853735002545264</v>
      </c>
      <c r="Z92" s="451">
        <f t="shared" si="44"/>
        <v>12.09008840798664</v>
      </c>
      <c r="AA92" s="451">
        <f t="shared" si="44"/>
        <v>12.314120071912114</v>
      </c>
      <c r="AB92" s="451">
        <f t="shared" si="44"/>
        <v>12.526472359993132</v>
      </c>
      <c r="AC92" s="451">
        <f t="shared" si="44"/>
        <v>12.727754149643387</v>
      </c>
      <c r="AD92" s="451">
        <f t="shared" si="44"/>
        <v>12.918542575852159</v>
      </c>
      <c r="AE92" s="451">
        <f t="shared" si="44"/>
        <v>13.099384686002654</v>
      </c>
      <c r="AF92" s="451">
        <f t="shared" si="44"/>
        <v>13.270799008420186</v>
      </c>
      <c r="AG92" s="451">
        <f t="shared" si="44"/>
        <v>13.433277039147702</v>
      </c>
      <c r="AH92" s="451">
        <f t="shared" si="44"/>
        <v>13.5872846512117</v>
      </c>
      <c r="AI92" s="451">
        <f t="shared" si="43"/>
        <v>13.73326343041928</v>
      </c>
      <c r="AJ92" s="451">
        <f t="shared" si="43"/>
        <v>13.871631941516512</v>
      </c>
      <c r="AK92" s="451">
        <f t="shared" si="43"/>
        <v>14.002786928338534</v>
      </c>
      <c r="AL92" s="451">
        <f t="shared" si="43"/>
        <v>14.127104451392583</v>
      </c>
      <c r="AM92" s="451">
        <f t="shared" si="43"/>
        <v>14.244940966135758</v>
      </c>
      <c r="AN92" s="451">
        <f t="shared" si="43"/>
        <v>14.356634345039241</v>
      </c>
      <c r="AO92" s="451">
        <f t="shared" si="43"/>
        <v>14.462504846369557</v>
      </c>
      <c r="AP92" s="451">
        <f t="shared" si="43"/>
        <v>14.562856032464643</v>
      </c>
      <c r="AQ92" s="451">
        <f t="shared" si="43"/>
        <v>14.65797564013771</v>
      </c>
      <c r="AR92" s="451">
        <f t="shared" si="43"/>
        <v>14.748136405704599</v>
      </c>
      <c r="AS92" s="451">
        <f t="shared" si="43"/>
        <v>14.833596847000228</v>
      </c>
      <c r="AT92" s="451">
        <f t="shared" si="43"/>
        <v>14.914602004626417</v>
      </c>
      <c r="AU92" s="451">
        <f t="shared" si="43"/>
        <v>14.991384144556454</v>
      </c>
      <c r="AV92" s="451">
        <f t="shared" si="43"/>
        <v>15.064163424110991</v>
      </c>
      <c r="AW92" s="451">
        <f t="shared" si="43"/>
        <v>15.133148523214818</v>
      </c>
      <c r="AX92" s="451">
        <f t="shared" si="43"/>
        <v>15.198537242744511</v>
      </c>
      <c r="AY92" s="452">
        <f t="shared" si="43"/>
        <v>15.260517071682608</v>
      </c>
    </row>
    <row r="93" spans="1:51" ht="12.75" thickBot="1">
      <c r="A93" s="453" t="s">
        <v>2940</v>
      </c>
      <c r="B93" s="454">
        <f t="shared" si="41"/>
        <v>0.85432063306221828</v>
      </c>
      <c r="C93" s="455">
        <f t="shared" si="44"/>
        <v>1.6641032236425202</v>
      </c>
      <c r="D93" s="455">
        <f t="shared" si="44"/>
        <v>2.4316696602115266</v>
      </c>
      <c r="E93" s="455">
        <f t="shared" si="44"/>
        <v>3.1592207849214855</v>
      </c>
      <c r="F93" s="455">
        <f t="shared" si="44"/>
        <v>3.8488427040778443</v>
      </c>
      <c r="G93" s="455">
        <f t="shared" si="44"/>
        <v>4.502512769628896</v>
      </c>
      <c r="H93" s="455">
        <f t="shared" si="44"/>
        <v>5.1221052488242051</v>
      </c>
      <c r="I93" s="455">
        <f t="shared" si="44"/>
        <v>5.7093966982984323</v>
      </c>
      <c r="J93" s="455">
        <f t="shared" si="44"/>
        <v>6.2660710579896426</v>
      </c>
      <c r="K93" s="455">
        <f t="shared" si="44"/>
        <v>6.7937244794978984</v>
      </c>
      <c r="L93" s="455">
        <f t="shared" si="44"/>
        <v>7.2938699027284732</v>
      </c>
      <c r="M93" s="455">
        <f t="shared" si="44"/>
        <v>7.7679413939422881</v>
      </c>
      <c r="N93" s="455">
        <f t="shared" si="44"/>
        <v>8.2172982576520646</v>
      </c>
      <c r="O93" s="455">
        <f t="shared" si="44"/>
        <v>8.643228934154223</v>
      </c>
      <c r="P93" s="455">
        <f t="shared" si="44"/>
        <v>9.0469546938719088</v>
      </c>
      <c r="Q93" s="455">
        <f t="shared" si="44"/>
        <v>9.4296331391019432</v>
      </c>
      <c r="R93" s="455">
        <f t="shared" si="44"/>
        <v>9.7923615232062406</v>
      </c>
      <c r="S93" s="455">
        <f t="shared" si="44"/>
        <v>10.136179896764817</v>
      </c>
      <c r="T93" s="455">
        <f t="shared" si="44"/>
        <v>10.462074089711335</v>
      </c>
      <c r="U93" s="455">
        <f t="shared" si="44"/>
        <v>10.770978538001872</v>
      </c>
      <c r="V93" s="455">
        <f t="shared" si="44"/>
        <v>11.063778962921813</v>
      </c>
      <c r="W93" s="455">
        <f t="shared" si="44"/>
        <v>11.341314910713226</v>
      </c>
      <c r="X93" s="455">
        <f t="shared" si="44"/>
        <v>11.604382159804613</v>
      </c>
      <c r="Y93" s="455">
        <f t="shared" si="44"/>
        <v>11.853735002545264</v>
      </c>
      <c r="Z93" s="455">
        <f t="shared" si="44"/>
        <v>12.09008840798664</v>
      </c>
      <c r="AA93" s="455">
        <f t="shared" si="44"/>
        <v>12.314120071912114</v>
      </c>
      <c r="AB93" s="455">
        <f t="shared" si="44"/>
        <v>12.526472359993132</v>
      </c>
      <c r="AC93" s="455">
        <f t="shared" si="44"/>
        <v>12.727754149643387</v>
      </c>
      <c r="AD93" s="455">
        <f t="shared" si="44"/>
        <v>12.918542575852159</v>
      </c>
      <c r="AE93" s="455">
        <f t="shared" si="44"/>
        <v>13.099384686002654</v>
      </c>
      <c r="AF93" s="455">
        <f t="shared" si="44"/>
        <v>13.270799008420186</v>
      </c>
      <c r="AG93" s="455">
        <f t="shared" si="44"/>
        <v>13.433277039147702</v>
      </c>
      <c r="AH93" s="455">
        <f t="shared" si="44"/>
        <v>13.5872846512117</v>
      </c>
      <c r="AI93" s="455">
        <f t="shared" si="43"/>
        <v>13.73326343041928</v>
      </c>
      <c r="AJ93" s="455">
        <f t="shared" si="43"/>
        <v>13.871631941516512</v>
      </c>
      <c r="AK93" s="455">
        <f t="shared" si="43"/>
        <v>14.002786928338534</v>
      </c>
      <c r="AL93" s="455">
        <f t="shared" si="43"/>
        <v>14.127104451392583</v>
      </c>
      <c r="AM93" s="455">
        <f t="shared" si="43"/>
        <v>14.244940966135758</v>
      </c>
      <c r="AN93" s="455">
        <f t="shared" si="43"/>
        <v>14.356634345039241</v>
      </c>
      <c r="AO93" s="455">
        <f t="shared" si="43"/>
        <v>14.462504846369557</v>
      </c>
      <c r="AP93" s="455">
        <f t="shared" si="43"/>
        <v>14.562856032464643</v>
      </c>
      <c r="AQ93" s="455">
        <f t="shared" si="43"/>
        <v>14.65797564013771</v>
      </c>
      <c r="AR93" s="455">
        <f t="shared" si="43"/>
        <v>14.748136405704599</v>
      </c>
      <c r="AS93" s="455">
        <f t="shared" si="43"/>
        <v>14.833596847000228</v>
      </c>
      <c r="AT93" s="455">
        <f t="shared" si="43"/>
        <v>14.914602004626417</v>
      </c>
      <c r="AU93" s="455">
        <f t="shared" si="43"/>
        <v>14.991384144556454</v>
      </c>
      <c r="AV93" s="455">
        <f t="shared" si="43"/>
        <v>15.064163424110991</v>
      </c>
      <c r="AW93" s="455">
        <f t="shared" si="43"/>
        <v>15.133148523214818</v>
      </c>
      <c r="AX93" s="455">
        <f t="shared" si="43"/>
        <v>15.198537242744511</v>
      </c>
      <c r="AY93" s="456">
        <f t="shared" si="43"/>
        <v>15.260517071682608</v>
      </c>
    </row>
    <row r="95" spans="1:51" ht="15.75">
      <c r="A95" s="458" t="s">
        <v>2951</v>
      </c>
      <c r="B95" s="457"/>
      <c r="C95" s="457"/>
      <c r="D95" s="457"/>
      <c r="E95" s="457"/>
      <c r="F95" s="457"/>
      <c r="G95" s="457"/>
      <c r="H95" s="457"/>
      <c r="I95" s="457"/>
      <c r="J95" s="457"/>
      <c r="K95" s="457"/>
      <c r="L95" s="457"/>
      <c r="M95" s="457"/>
      <c r="N95" s="457"/>
      <c r="O95" s="457"/>
      <c r="P95" s="457"/>
      <c r="Q95" s="457"/>
      <c r="R95" s="457"/>
      <c r="S95" s="457"/>
      <c r="T95" s="457"/>
      <c r="U95" s="457"/>
      <c r="V95" s="457"/>
      <c r="W95" s="457"/>
      <c r="X95" s="457"/>
      <c r="Y95" s="457"/>
      <c r="Z95" s="457"/>
      <c r="AA95" s="457"/>
      <c r="AB95" s="457"/>
      <c r="AC95" s="457"/>
      <c r="AD95" s="457"/>
      <c r="AE95" s="457"/>
      <c r="AF95" s="457"/>
      <c r="AG95" s="457"/>
      <c r="AH95" s="457"/>
      <c r="AI95" s="457"/>
      <c r="AJ95" s="457"/>
      <c r="AK95" s="457"/>
      <c r="AL95" s="457"/>
      <c r="AM95" s="457"/>
      <c r="AN95" s="457"/>
      <c r="AO95" s="457"/>
      <c r="AP95" s="457"/>
      <c r="AQ95" s="457"/>
      <c r="AR95" s="457"/>
      <c r="AS95" s="457"/>
      <c r="AT95" s="457"/>
      <c r="AU95" s="457"/>
      <c r="AV95" s="457"/>
      <c r="AW95" s="457"/>
      <c r="AX95" s="457"/>
      <c r="AY95" s="457"/>
    </row>
    <row r="96" spans="1:51" ht="15.75" thickBot="1">
      <c r="A96" s="437" t="s">
        <v>2931</v>
      </c>
    </row>
    <row r="97" spans="1:51" ht="12.75" thickBot="1">
      <c r="A97" s="438" t="s">
        <v>2932</v>
      </c>
      <c r="B97" s="439">
        <v>2010</v>
      </c>
      <c r="C97" s="440">
        <v>2011</v>
      </c>
      <c r="D97" s="440">
        <v>2012</v>
      </c>
      <c r="E97" s="440">
        <v>2013</v>
      </c>
      <c r="F97" s="440">
        <v>2014</v>
      </c>
      <c r="G97" s="440">
        <v>2015</v>
      </c>
      <c r="H97" s="440">
        <v>2016</v>
      </c>
      <c r="I97" s="440">
        <v>2017</v>
      </c>
      <c r="J97" s="440">
        <v>2018</v>
      </c>
      <c r="K97" s="440">
        <v>2019</v>
      </c>
      <c r="L97" s="440">
        <v>2020</v>
      </c>
      <c r="M97" s="440">
        <v>2021</v>
      </c>
      <c r="N97" s="440">
        <v>2022</v>
      </c>
      <c r="O97" s="440">
        <v>2023</v>
      </c>
      <c r="P97" s="440">
        <v>2024</v>
      </c>
      <c r="Q97" s="440">
        <v>2025</v>
      </c>
      <c r="R97" s="440">
        <v>2026</v>
      </c>
      <c r="S97" s="440">
        <v>2027</v>
      </c>
      <c r="T97" s="440">
        <v>2028</v>
      </c>
      <c r="U97" s="440">
        <v>2029</v>
      </c>
      <c r="V97" s="440">
        <v>2030</v>
      </c>
      <c r="W97" s="440">
        <v>2031</v>
      </c>
      <c r="X97" s="440">
        <v>2032</v>
      </c>
      <c r="Y97" s="440">
        <v>2033</v>
      </c>
      <c r="Z97" s="440">
        <v>2034</v>
      </c>
      <c r="AA97" s="440">
        <v>2035</v>
      </c>
      <c r="AB97" s="440">
        <v>2036</v>
      </c>
      <c r="AC97" s="440">
        <v>2037</v>
      </c>
      <c r="AD97" s="440">
        <v>2038</v>
      </c>
      <c r="AE97" s="440">
        <v>2039</v>
      </c>
      <c r="AF97" s="440">
        <v>2040</v>
      </c>
      <c r="AG97" s="440">
        <v>2041</v>
      </c>
      <c r="AH97" s="440">
        <v>2042</v>
      </c>
      <c r="AI97" s="440">
        <v>2043</v>
      </c>
      <c r="AJ97" s="440">
        <v>2044</v>
      </c>
      <c r="AK97" s="440">
        <v>2045</v>
      </c>
      <c r="AL97" s="440">
        <v>2046</v>
      </c>
      <c r="AM97" s="440">
        <v>2047</v>
      </c>
      <c r="AN97" s="440">
        <v>2048</v>
      </c>
      <c r="AO97" s="440">
        <v>2049</v>
      </c>
      <c r="AP97" s="440">
        <v>2050</v>
      </c>
      <c r="AQ97" s="440">
        <v>2051</v>
      </c>
      <c r="AR97" s="440">
        <v>2052</v>
      </c>
      <c r="AS97" s="440">
        <v>2053</v>
      </c>
      <c r="AT97" s="440">
        <v>2054</v>
      </c>
      <c r="AU97" s="440">
        <v>2055</v>
      </c>
      <c r="AV97" s="440">
        <v>2056</v>
      </c>
      <c r="AW97" s="440">
        <v>2057</v>
      </c>
      <c r="AX97" s="440">
        <v>2058</v>
      </c>
      <c r="AY97" s="441">
        <v>2059</v>
      </c>
    </row>
    <row r="98" spans="1:51">
      <c r="A98" s="442" t="s">
        <v>2943</v>
      </c>
      <c r="B98" s="1751">
        <v>6.8310458518556105E-2</v>
      </c>
      <c r="C98" s="1752">
        <v>6.6934254603542631E-2</v>
      </c>
      <c r="D98" s="1752">
        <v>6.5592258751792754E-2</v>
      </c>
      <c r="E98" s="1752">
        <v>6.5435755251657166E-2</v>
      </c>
      <c r="F98" s="1752">
        <v>6.5279251751521564E-2</v>
      </c>
      <c r="G98" s="1752">
        <v>6.5131643636398229E-2</v>
      </c>
      <c r="H98" s="1752">
        <v>6.5288147136533831E-2</v>
      </c>
      <c r="I98" s="1752">
        <v>6.5451665544625004E-2</v>
      </c>
      <c r="J98" s="1752">
        <v>6.560628856770391E-2</v>
      </c>
      <c r="K98" s="1752">
        <v>6.5771687452851779E-2</v>
      </c>
      <c r="L98" s="1752">
        <v>6.5935205860942953E-2</v>
      </c>
      <c r="M98" s="1752">
        <v>6.6091709361078541E-2</v>
      </c>
      <c r="N98" s="1752">
        <v>6.6255227769169728E-2</v>
      </c>
      <c r="O98" s="1752">
        <v>6.642062665431761E-2</v>
      </c>
      <c r="P98" s="1752">
        <v>6.6586025539465465E-2</v>
      </c>
      <c r="Q98" s="1752">
        <v>6.6586025539465465E-2</v>
      </c>
      <c r="R98" s="1752">
        <v>6.6586025539465465E-2</v>
      </c>
      <c r="S98" s="1752">
        <v>6.6586025539465465E-2</v>
      </c>
      <c r="T98" s="1752">
        <v>6.6586025539465465E-2</v>
      </c>
      <c r="U98" s="1752">
        <v>6.6586025539465465E-2</v>
      </c>
      <c r="V98" s="1752">
        <v>6.6586025539465465E-2</v>
      </c>
      <c r="W98" s="1752">
        <v>6.6586025539465465E-2</v>
      </c>
      <c r="X98" s="1752">
        <v>6.6586025539465465E-2</v>
      </c>
      <c r="Y98" s="1752">
        <v>6.6586025539465465E-2</v>
      </c>
      <c r="Z98" s="1752">
        <v>6.6586025539465465E-2</v>
      </c>
      <c r="AA98" s="1752">
        <v>6.6586025539465465E-2</v>
      </c>
      <c r="AB98" s="1752">
        <v>6.6586025539465465E-2</v>
      </c>
      <c r="AC98" s="1752">
        <v>6.6586025539465465E-2</v>
      </c>
      <c r="AD98" s="1752">
        <v>6.6586025539465465E-2</v>
      </c>
      <c r="AE98" s="1752">
        <v>6.6586025539465465E-2</v>
      </c>
      <c r="AF98" s="1752">
        <v>6.6586025539465465E-2</v>
      </c>
      <c r="AG98" s="1752">
        <v>6.6586025539465465E-2</v>
      </c>
      <c r="AH98" s="1752">
        <v>6.6586025539465465E-2</v>
      </c>
      <c r="AI98" s="1752">
        <v>6.6586025539465465E-2</v>
      </c>
      <c r="AJ98" s="1752">
        <v>6.6586025539465465E-2</v>
      </c>
      <c r="AK98" s="1752">
        <v>6.6586025539465465E-2</v>
      </c>
      <c r="AL98" s="1752">
        <v>6.6586025539465465E-2</v>
      </c>
      <c r="AM98" s="1752">
        <v>6.6586025539465465E-2</v>
      </c>
      <c r="AN98" s="1752">
        <v>6.6586025539465465E-2</v>
      </c>
      <c r="AO98" s="1752">
        <v>6.6586025539465465E-2</v>
      </c>
      <c r="AP98" s="1752">
        <v>6.6586025539465465E-2</v>
      </c>
      <c r="AQ98" s="1752">
        <v>6.6586025539465465E-2</v>
      </c>
      <c r="AR98" s="1752">
        <v>6.6586025539465465E-2</v>
      </c>
      <c r="AS98" s="1752">
        <v>6.6586025539465465E-2</v>
      </c>
      <c r="AT98" s="1752">
        <v>6.6586025539465465E-2</v>
      </c>
      <c r="AU98" s="1752">
        <v>6.6586025539465465E-2</v>
      </c>
      <c r="AV98" s="1752">
        <v>6.6586025539465465E-2</v>
      </c>
      <c r="AW98" s="1752">
        <v>6.6586025539465465E-2</v>
      </c>
      <c r="AX98" s="1752">
        <v>6.6586025539465465E-2</v>
      </c>
      <c r="AY98" s="1753">
        <v>6.6586025539465465E-2</v>
      </c>
    </row>
    <row r="99" spans="1:51">
      <c r="A99" s="446" t="s">
        <v>2944</v>
      </c>
      <c r="B99" s="471">
        <v>85.398706896551715</v>
      </c>
      <c r="C99" s="472">
        <v>92.53232758620689</v>
      </c>
      <c r="D99" s="472">
        <v>99.234913793103431</v>
      </c>
      <c r="E99" s="472">
        <v>105.54956896551724</v>
      </c>
      <c r="F99" s="472">
        <v>111.48706896551724</v>
      </c>
      <c r="G99" s="472">
        <v>117.06896551724137</v>
      </c>
      <c r="H99" s="472">
        <v>122.32758620689654</v>
      </c>
      <c r="I99" s="472">
        <v>127.26293103448276</v>
      </c>
      <c r="J99" s="472">
        <v>131.90732758620689</v>
      </c>
      <c r="K99" s="472">
        <v>136.27155172413794</v>
      </c>
      <c r="L99" s="472">
        <v>140.36637931034483</v>
      </c>
      <c r="M99" s="472">
        <v>144.21336206896549</v>
      </c>
      <c r="N99" s="472">
        <v>144.21336206896549</v>
      </c>
      <c r="O99" s="472">
        <v>144.21336206896549</v>
      </c>
      <c r="P99" s="472">
        <v>144.21336206896549</v>
      </c>
      <c r="Q99" s="472">
        <v>144.21336206896549</v>
      </c>
      <c r="R99" s="472">
        <v>144.21336206896501</v>
      </c>
      <c r="S99" s="472">
        <v>144.21336206896501</v>
      </c>
      <c r="T99" s="472">
        <v>144.21336206896501</v>
      </c>
      <c r="U99" s="472">
        <v>144.21336206896501</v>
      </c>
      <c r="V99" s="472">
        <v>144.21336206896501</v>
      </c>
      <c r="W99" s="472">
        <v>144.21336206896501</v>
      </c>
      <c r="X99" s="472">
        <v>144.21336206896501</v>
      </c>
      <c r="Y99" s="472">
        <v>144.21336206896501</v>
      </c>
      <c r="Z99" s="472">
        <v>144.21336206896501</v>
      </c>
      <c r="AA99" s="472">
        <v>144.21336206896501</v>
      </c>
      <c r="AB99" s="472">
        <v>144.21336206896501</v>
      </c>
      <c r="AC99" s="472">
        <v>144.21336206896501</v>
      </c>
      <c r="AD99" s="472">
        <v>144.21336206896501</v>
      </c>
      <c r="AE99" s="472">
        <v>144.21336206896501</v>
      </c>
      <c r="AF99" s="472">
        <v>144.21336206896501</v>
      </c>
      <c r="AG99" s="472">
        <v>144.21336206896501</v>
      </c>
      <c r="AH99" s="472">
        <v>144.21336206896501</v>
      </c>
      <c r="AI99" s="472">
        <v>144.21336206896501</v>
      </c>
      <c r="AJ99" s="472">
        <v>144.21336206896501</v>
      </c>
      <c r="AK99" s="472">
        <v>144.21336206896501</v>
      </c>
      <c r="AL99" s="472">
        <v>144.21336206896501</v>
      </c>
      <c r="AM99" s="472">
        <v>144.21336206896501</v>
      </c>
      <c r="AN99" s="472">
        <v>144.21336206896501</v>
      </c>
      <c r="AO99" s="472">
        <v>144.21336206896501</v>
      </c>
      <c r="AP99" s="472">
        <v>144.21336206896501</v>
      </c>
      <c r="AQ99" s="472">
        <v>144.21336206896501</v>
      </c>
      <c r="AR99" s="472">
        <v>144.21336206896501</v>
      </c>
      <c r="AS99" s="472">
        <v>144.21336206896501</v>
      </c>
      <c r="AT99" s="472">
        <v>144.21336206896501</v>
      </c>
      <c r="AU99" s="472">
        <v>144.21336206896501</v>
      </c>
      <c r="AV99" s="472">
        <v>144.21336206896501</v>
      </c>
      <c r="AW99" s="472">
        <v>144.21336206896501</v>
      </c>
      <c r="AX99" s="472">
        <v>144.21336206896501</v>
      </c>
      <c r="AY99" s="473">
        <v>144.21336206896501</v>
      </c>
    </row>
    <row r="100" spans="1:51">
      <c r="A100" s="446" t="s">
        <v>2945</v>
      </c>
      <c r="B100" s="471">
        <v>10.24</v>
      </c>
      <c r="C100" s="472">
        <v>10.01</v>
      </c>
      <c r="D100" s="472">
        <v>9.7899999999999991</v>
      </c>
      <c r="E100" s="472">
        <v>9.7899999999999991</v>
      </c>
      <c r="F100" s="472">
        <v>9.7899999999999991</v>
      </c>
      <c r="G100" s="472">
        <v>9.7899999999999991</v>
      </c>
      <c r="H100" s="472">
        <v>9.8699999999999992</v>
      </c>
      <c r="I100" s="472">
        <v>9.94</v>
      </c>
      <c r="J100" s="472">
        <v>10.02</v>
      </c>
      <c r="K100" s="472">
        <v>10.02</v>
      </c>
      <c r="L100" s="472">
        <v>10.02</v>
      </c>
      <c r="M100" s="472">
        <v>10.02</v>
      </c>
      <c r="N100" s="472">
        <v>10.02</v>
      </c>
      <c r="O100" s="472">
        <v>10.02</v>
      </c>
      <c r="P100" s="472">
        <v>10.02</v>
      </c>
      <c r="Q100" s="472">
        <v>10.02</v>
      </c>
      <c r="R100" s="472">
        <v>10.02</v>
      </c>
      <c r="S100" s="472">
        <v>10.02</v>
      </c>
      <c r="T100" s="472">
        <v>10.02</v>
      </c>
      <c r="U100" s="472">
        <v>10.02</v>
      </c>
      <c r="V100" s="472">
        <v>10.02</v>
      </c>
      <c r="W100" s="472">
        <v>10.02</v>
      </c>
      <c r="X100" s="472">
        <v>10.02</v>
      </c>
      <c r="Y100" s="472">
        <v>10.02</v>
      </c>
      <c r="Z100" s="472">
        <v>10.02</v>
      </c>
      <c r="AA100" s="472">
        <v>10.02</v>
      </c>
      <c r="AB100" s="472">
        <v>10.02</v>
      </c>
      <c r="AC100" s="472">
        <v>10.02</v>
      </c>
      <c r="AD100" s="472">
        <v>10.02</v>
      </c>
      <c r="AE100" s="472">
        <v>10.02</v>
      </c>
      <c r="AF100" s="472">
        <v>10.02</v>
      </c>
      <c r="AG100" s="472">
        <v>10.02</v>
      </c>
      <c r="AH100" s="472">
        <v>10.02</v>
      </c>
      <c r="AI100" s="472">
        <v>10.02</v>
      </c>
      <c r="AJ100" s="472">
        <v>10.02</v>
      </c>
      <c r="AK100" s="472">
        <v>10.02</v>
      </c>
      <c r="AL100" s="472">
        <v>10.02</v>
      </c>
      <c r="AM100" s="472">
        <v>10.02</v>
      </c>
      <c r="AN100" s="472">
        <v>10.02</v>
      </c>
      <c r="AO100" s="472">
        <v>10.02</v>
      </c>
      <c r="AP100" s="472">
        <v>10.02</v>
      </c>
      <c r="AQ100" s="472">
        <v>10.02</v>
      </c>
      <c r="AR100" s="472">
        <v>10.02</v>
      </c>
      <c r="AS100" s="472">
        <v>10.02</v>
      </c>
      <c r="AT100" s="472">
        <v>10.02</v>
      </c>
      <c r="AU100" s="472">
        <v>10.02</v>
      </c>
      <c r="AV100" s="472">
        <v>10.02</v>
      </c>
      <c r="AW100" s="472">
        <v>10.02</v>
      </c>
      <c r="AX100" s="472">
        <v>10.02</v>
      </c>
      <c r="AY100" s="473">
        <v>10.02</v>
      </c>
    </row>
    <row r="101" spans="1:51">
      <c r="A101" s="446" t="s">
        <v>2946</v>
      </c>
      <c r="B101" s="471">
        <v>9.4525000000000006</v>
      </c>
      <c r="C101" s="472">
        <v>9.2341666666666669</v>
      </c>
      <c r="D101" s="472">
        <v>9.02</v>
      </c>
      <c r="E101" s="472">
        <v>9.02</v>
      </c>
      <c r="F101" s="472">
        <v>9.02</v>
      </c>
      <c r="G101" s="472">
        <v>9.02</v>
      </c>
      <c r="H101" s="472">
        <v>9.0941666666666663</v>
      </c>
      <c r="I101" s="472">
        <v>9.2441666666666666</v>
      </c>
      <c r="J101" s="472">
        <v>9.2441666666666666</v>
      </c>
      <c r="K101" s="472">
        <v>9.2441666666666666</v>
      </c>
      <c r="L101" s="472">
        <v>9.2441666666666666</v>
      </c>
      <c r="M101" s="472">
        <v>9.2441666666666666</v>
      </c>
      <c r="N101" s="472">
        <v>9.2441666666666666</v>
      </c>
      <c r="O101" s="472">
        <v>9.2441666666666666</v>
      </c>
      <c r="P101" s="472">
        <v>9.2441666666666666</v>
      </c>
      <c r="Q101" s="472">
        <v>9.2441666666666666</v>
      </c>
      <c r="R101" s="472">
        <v>9.2441666666666666</v>
      </c>
      <c r="S101" s="472">
        <v>9.2441666666666666</v>
      </c>
      <c r="T101" s="472">
        <v>9.2441666666666666</v>
      </c>
      <c r="U101" s="472">
        <v>9.2441666666666666</v>
      </c>
      <c r="V101" s="472">
        <v>9.2441666666666666</v>
      </c>
      <c r="W101" s="472">
        <v>9.2441666666666666</v>
      </c>
      <c r="X101" s="472">
        <v>9.2441666666666666</v>
      </c>
      <c r="Y101" s="472">
        <v>9.2441666666666666</v>
      </c>
      <c r="Z101" s="472">
        <v>9.2441666666666666</v>
      </c>
      <c r="AA101" s="472">
        <v>9.2441666666666666</v>
      </c>
      <c r="AB101" s="472">
        <v>9.2441666666666666</v>
      </c>
      <c r="AC101" s="472">
        <v>9.2441666666666666</v>
      </c>
      <c r="AD101" s="472">
        <v>9.2441666666666666</v>
      </c>
      <c r="AE101" s="472">
        <v>9.2441666666666666</v>
      </c>
      <c r="AF101" s="472">
        <v>9.2441666666666666</v>
      </c>
      <c r="AG101" s="472">
        <v>9.2441666666666666</v>
      </c>
      <c r="AH101" s="472">
        <v>9.2441666666666666</v>
      </c>
      <c r="AI101" s="472">
        <v>9.2441666666666666</v>
      </c>
      <c r="AJ101" s="472">
        <v>9.2441666666666666</v>
      </c>
      <c r="AK101" s="472">
        <v>9.2441666666666666</v>
      </c>
      <c r="AL101" s="472">
        <v>9.2441666666666666</v>
      </c>
      <c r="AM101" s="472">
        <v>9.2441666666666666</v>
      </c>
      <c r="AN101" s="472">
        <v>9.2441666666666666</v>
      </c>
      <c r="AO101" s="472">
        <v>9.2441666666666666</v>
      </c>
      <c r="AP101" s="472">
        <v>9.2441666666666666</v>
      </c>
      <c r="AQ101" s="472">
        <v>9.2441666666666666</v>
      </c>
      <c r="AR101" s="472">
        <v>9.2441666666666666</v>
      </c>
      <c r="AS101" s="472">
        <v>9.2441666666666666</v>
      </c>
      <c r="AT101" s="472">
        <v>9.2441666666666666</v>
      </c>
      <c r="AU101" s="472">
        <v>9.2441666666666666</v>
      </c>
      <c r="AV101" s="472">
        <v>9.2441666666666666</v>
      </c>
      <c r="AW101" s="472">
        <v>9.2441666666666666</v>
      </c>
      <c r="AX101" s="472">
        <v>9.2441666666666702</v>
      </c>
      <c r="AY101" s="473">
        <v>9.2441666666666702</v>
      </c>
    </row>
    <row r="102" spans="1:51">
      <c r="A102" s="446" t="s">
        <v>2933</v>
      </c>
      <c r="B102" s="471">
        <v>7.2607266726146298</v>
      </c>
      <c r="C102" s="472">
        <v>7.9112857970161548</v>
      </c>
      <c r="D102" s="472">
        <v>8.1995068031839171</v>
      </c>
      <c r="E102" s="472">
        <v>8.4073776927334265</v>
      </c>
      <c r="F102" s="472">
        <v>8.5736326363918245</v>
      </c>
      <c r="G102" s="472">
        <v>8.7208261649062617</v>
      </c>
      <c r="H102" s="472">
        <v>8.8285181377174773</v>
      </c>
      <c r="I102" s="472">
        <v>8.8829506598476691</v>
      </c>
      <c r="J102" s="472">
        <v>9.0100552678251411</v>
      </c>
      <c r="K102" s="472">
        <v>9.0500408716374903</v>
      </c>
      <c r="L102" s="472">
        <v>9.1558646250250764</v>
      </c>
      <c r="M102" s="472">
        <v>9.244954159045637</v>
      </c>
      <c r="N102" s="472">
        <v>9.2425044625563437</v>
      </c>
      <c r="O102" s="472">
        <v>9.3135366023628183</v>
      </c>
      <c r="P102" s="472">
        <v>9.3834258849192018</v>
      </c>
      <c r="Q102" s="472">
        <v>9.4457625151136106</v>
      </c>
      <c r="R102" s="472">
        <v>9.4294343454096037</v>
      </c>
      <c r="S102" s="472">
        <v>9.4065940080935402</v>
      </c>
      <c r="T102" s="472">
        <v>9.3718934835830296</v>
      </c>
      <c r="U102" s="472">
        <v>9.3718934835830296</v>
      </c>
      <c r="V102" s="472">
        <v>9.3718934835830296</v>
      </c>
      <c r="W102" s="472">
        <v>9.3718934835830296</v>
      </c>
      <c r="X102" s="472">
        <v>9.3718934835830296</v>
      </c>
      <c r="Y102" s="472">
        <v>9.3718934835830296</v>
      </c>
      <c r="Z102" s="472">
        <v>9.3718934835830296</v>
      </c>
      <c r="AA102" s="472">
        <v>9.3718934835830296</v>
      </c>
      <c r="AB102" s="472">
        <v>9.3718934835830296</v>
      </c>
      <c r="AC102" s="472">
        <v>9.3718934835830296</v>
      </c>
      <c r="AD102" s="472">
        <v>9.3718934835830296</v>
      </c>
      <c r="AE102" s="472">
        <v>9.3718934835830296</v>
      </c>
      <c r="AF102" s="472">
        <v>9.3718934835830296</v>
      </c>
      <c r="AG102" s="472">
        <v>9.3718934835830296</v>
      </c>
      <c r="AH102" s="472">
        <v>9.3718934835830296</v>
      </c>
      <c r="AI102" s="472">
        <v>9.3718934835830296</v>
      </c>
      <c r="AJ102" s="472">
        <v>9.3718934835830296</v>
      </c>
      <c r="AK102" s="472">
        <v>9.3718934835830296</v>
      </c>
      <c r="AL102" s="472">
        <v>9.3718934835830296</v>
      </c>
      <c r="AM102" s="472">
        <v>9.3718934835830296</v>
      </c>
      <c r="AN102" s="472">
        <v>9.3718934835830296</v>
      </c>
      <c r="AO102" s="472">
        <v>9.3718934835830296</v>
      </c>
      <c r="AP102" s="472">
        <v>9.3718934835830296</v>
      </c>
      <c r="AQ102" s="472">
        <v>9.3718934835830296</v>
      </c>
      <c r="AR102" s="472">
        <v>9.3718934835830296</v>
      </c>
      <c r="AS102" s="472">
        <v>9.3718934835830296</v>
      </c>
      <c r="AT102" s="472">
        <v>9.3718934835830296</v>
      </c>
      <c r="AU102" s="472">
        <v>9.3718934835830296</v>
      </c>
      <c r="AV102" s="472">
        <v>9.3718934835830296</v>
      </c>
      <c r="AW102" s="472">
        <v>9.3718934835830296</v>
      </c>
      <c r="AX102" s="472">
        <v>9.3718934835830296</v>
      </c>
      <c r="AY102" s="473">
        <v>9.3718934835830296</v>
      </c>
    </row>
    <row r="103" spans="1:51">
      <c r="A103" s="446" t="s">
        <v>2934</v>
      </c>
      <c r="B103" s="447">
        <v>6.28E-3</v>
      </c>
      <c r="C103" s="448">
        <v>6.1999999999999998E-3</v>
      </c>
      <c r="D103" s="448">
        <v>6.1200000000000004E-3</v>
      </c>
      <c r="E103" s="448">
        <v>6.0000000000000001E-3</v>
      </c>
      <c r="F103" s="448">
        <v>5.8799999999999998E-3</v>
      </c>
      <c r="G103" s="448">
        <v>5.77E-3</v>
      </c>
      <c r="H103" s="448">
        <v>5.77E-3</v>
      </c>
      <c r="I103" s="448">
        <v>5.7599999999999995E-3</v>
      </c>
      <c r="J103" s="448">
        <v>5.7599999999999995E-3</v>
      </c>
      <c r="K103" s="448">
        <v>5.7499999999999999E-3</v>
      </c>
      <c r="L103" s="448">
        <v>5.7499999999999999E-3</v>
      </c>
      <c r="M103" s="448">
        <v>5.7499999999999999E-3</v>
      </c>
      <c r="N103" s="448">
        <v>5.7400000000000003E-3</v>
      </c>
      <c r="O103" s="448">
        <v>5.7400000000000003E-3</v>
      </c>
      <c r="P103" s="448">
        <v>5.7300000000000007E-3</v>
      </c>
      <c r="Q103" s="448">
        <v>5.7300000000000007E-3</v>
      </c>
      <c r="R103" s="448">
        <v>5.7300000000000007E-3</v>
      </c>
      <c r="S103" s="448">
        <v>5.7300000000000007E-3</v>
      </c>
      <c r="T103" s="448">
        <v>5.7300000000000007E-3</v>
      </c>
      <c r="U103" s="448">
        <v>5.7300000000000007E-3</v>
      </c>
      <c r="V103" s="448">
        <v>5.7300000000000007E-3</v>
      </c>
      <c r="W103" s="448">
        <v>5.7300000000000007E-3</v>
      </c>
      <c r="X103" s="448">
        <v>5.7300000000000007E-3</v>
      </c>
      <c r="Y103" s="448">
        <v>5.7300000000000007E-3</v>
      </c>
      <c r="Z103" s="448">
        <v>5.7300000000000007E-3</v>
      </c>
      <c r="AA103" s="448">
        <v>5.7300000000000007E-3</v>
      </c>
      <c r="AB103" s="448">
        <v>5.7300000000000007E-3</v>
      </c>
      <c r="AC103" s="448">
        <v>5.7300000000000007E-3</v>
      </c>
      <c r="AD103" s="448">
        <v>5.7300000000000007E-3</v>
      </c>
      <c r="AE103" s="448">
        <v>5.7300000000000007E-3</v>
      </c>
      <c r="AF103" s="448">
        <v>5.7300000000000007E-3</v>
      </c>
      <c r="AG103" s="448">
        <v>5.7300000000000007E-3</v>
      </c>
      <c r="AH103" s="448">
        <v>5.7300000000000007E-3</v>
      </c>
      <c r="AI103" s="448">
        <v>5.7300000000000007E-3</v>
      </c>
      <c r="AJ103" s="448">
        <v>5.7300000000000007E-3</v>
      </c>
      <c r="AK103" s="448">
        <v>5.7300000000000007E-3</v>
      </c>
      <c r="AL103" s="448">
        <v>5.7300000000000007E-3</v>
      </c>
      <c r="AM103" s="448">
        <v>5.7300000000000007E-3</v>
      </c>
      <c r="AN103" s="448">
        <v>5.7300000000000007E-3</v>
      </c>
      <c r="AO103" s="448">
        <v>5.7300000000000007E-3</v>
      </c>
      <c r="AP103" s="448">
        <v>5.7300000000000007E-3</v>
      </c>
      <c r="AQ103" s="448">
        <v>5.7300000000000007E-3</v>
      </c>
      <c r="AR103" s="448">
        <v>5.7300000000000007E-3</v>
      </c>
      <c r="AS103" s="448">
        <v>5.7300000000000007E-3</v>
      </c>
      <c r="AT103" s="448">
        <v>5.7300000000000007E-3</v>
      </c>
      <c r="AU103" s="448">
        <v>5.7300000000000007E-3</v>
      </c>
      <c r="AV103" s="448">
        <v>5.7300000000000007E-3</v>
      </c>
      <c r="AW103" s="448">
        <v>5.7300000000000007E-3</v>
      </c>
      <c r="AX103" s="448">
        <v>5.7300000000000007E-3</v>
      </c>
      <c r="AY103" s="449">
        <v>5.7300000000000007E-3</v>
      </c>
    </row>
    <row r="104" spans="1:51">
      <c r="A104" s="446" t="s">
        <v>2935</v>
      </c>
      <c r="B104" s="450">
        <f>(58.5/1000)*15</f>
        <v>0.87750000000000006</v>
      </c>
      <c r="C104" s="451">
        <f t="shared" ref="C104:AD105" si="45">(58.5/1000)*15</f>
        <v>0.87750000000000006</v>
      </c>
      <c r="D104" s="451">
        <f t="shared" si="45"/>
        <v>0.87750000000000006</v>
      </c>
      <c r="E104" s="451">
        <f t="shared" si="45"/>
        <v>0.87750000000000006</v>
      </c>
      <c r="F104" s="451">
        <f t="shared" si="45"/>
        <v>0.87750000000000006</v>
      </c>
      <c r="G104" s="451">
        <f t="shared" si="45"/>
        <v>0.87750000000000006</v>
      </c>
      <c r="H104" s="451">
        <f t="shared" si="45"/>
        <v>0.87750000000000006</v>
      </c>
      <c r="I104" s="451">
        <f t="shared" si="45"/>
        <v>0.87750000000000006</v>
      </c>
      <c r="J104" s="451">
        <f t="shared" si="45"/>
        <v>0.87750000000000006</v>
      </c>
      <c r="K104" s="451">
        <f t="shared" si="45"/>
        <v>0.87750000000000006</v>
      </c>
      <c r="L104" s="451">
        <f t="shared" si="45"/>
        <v>0.87750000000000006</v>
      </c>
      <c r="M104" s="451">
        <f t="shared" si="45"/>
        <v>0.87750000000000006</v>
      </c>
      <c r="N104" s="451">
        <f t="shared" si="45"/>
        <v>0.87750000000000006</v>
      </c>
      <c r="O104" s="451">
        <f t="shared" si="45"/>
        <v>0.87750000000000006</v>
      </c>
      <c r="P104" s="451">
        <f t="shared" si="45"/>
        <v>0.87750000000000006</v>
      </c>
      <c r="Q104" s="451">
        <f t="shared" si="45"/>
        <v>0.87750000000000006</v>
      </c>
      <c r="R104" s="451">
        <f t="shared" si="45"/>
        <v>0.87750000000000006</v>
      </c>
      <c r="S104" s="451">
        <f t="shared" si="45"/>
        <v>0.87750000000000006</v>
      </c>
      <c r="T104" s="451">
        <f t="shared" si="45"/>
        <v>0.87750000000000006</v>
      </c>
      <c r="U104" s="451">
        <f t="shared" si="45"/>
        <v>0.87750000000000006</v>
      </c>
      <c r="V104" s="451">
        <f t="shared" si="45"/>
        <v>0.87750000000000006</v>
      </c>
      <c r="W104" s="451">
        <f t="shared" si="45"/>
        <v>0.87750000000000006</v>
      </c>
      <c r="X104" s="451">
        <f t="shared" si="45"/>
        <v>0.87750000000000006</v>
      </c>
      <c r="Y104" s="451">
        <f t="shared" si="45"/>
        <v>0.87750000000000006</v>
      </c>
      <c r="Z104" s="451">
        <f t="shared" si="45"/>
        <v>0.87750000000000006</v>
      </c>
      <c r="AA104" s="451">
        <f t="shared" si="45"/>
        <v>0.87750000000000006</v>
      </c>
      <c r="AB104" s="451">
        <f t="shared" si="45"/>
        <v>0.87750000000000006</v>
      </c>
      <c r="AC104" s="451">
        <f t="shared" si="45"/>
        <v>0.87750000000000006</v>
      </c>
      <c r="AD104" s="451">
        <f t="shared" si="45"/>
        <v>0.87750000000000006</v>
      </c>
      <c r="AE104" s="451">
        <f>(58.5/1000)*15</f>
        <v>0.87750000000000006</v>
      </c>
      <c r="AF104" s="451">
        <f t="shared" ref="AF104:AY105" si="46">(58.5/1000)*15</f>
        <v>0.87750000000000006</v>
      </c>
      <c r="AG104" s="451">
        <f t="shared" si="46"/>
        <v>0.87750000000000006</v>
      </c>
      <c r="AH104" s="451">
        <f t="shared" si="46"/>
        <v>0.87750000000000006</v>
      </c>
      <c r="AI104" s="451">
        <f t="shared" si="46"/>
        <v>0.87750000000000006</v>
      </c>
      <c r="AJ104" s="451">
        <f t="shared" si="46"/>
        <v>0.87750000000000006</v>
      </c>
      <c r="AK104" s="451">
        <f t="shared" si="46"/>
        <v>0.87750000000000006</v>
      </c>
      <c r="AL104" s="451">
        <f t="shared" si="46"/>
        <v>0.87750000000000006</v>
      </c>
      <c r="AM104" s="451">
        <f t="shared" si="46"/>
        <v>0.87750000000000006</v>
      </c>
      <c r="AN104" s="451">
        <f t="shared" si="46"/>
        <v>0.87750000000000006</v>
      </c>
      <c r="AO104" s="451">
        <f t="shared" si="46"/>
        <v>0.87750000000000006</v>
      </c>
      <c r="AP104" s="451">
        <f t="shared" si="46"/>
        <v>0.87750000000000006</v>
      </c>
      <c r="AQ104" s="451">
        <f t="shared" si="46"/>
        <v>0.87750000000000006</v>
      </c>
      <c r="AR104" s="451">
        <f t="shared" si="46"/>
        <v>0.87750000000000006</v>
      </c>
      <c r="AS104" s="451">
        <f t="shared" si="46"/>
        <v>0.87750000000000006</v>
      </c>
      <c r="AT104" s="451">
        <f t="shared" si="46"/>
        <v>0.87750000000000006</v>
      </c>
      <c r="AU104" s="451">
        <f t="shared" si="46"/>
        <v>0.87750000000000006</v>
      </c>
      <c r="AV104" s="451">
        <f t="shared" si="46"/>
        <v>0.87750000000000006</v>
      </c>
      <c r="AW104" s="451">
        <f t="shared" si="46"/>
        <v>0.87750000000000006</v>
      </c>
      <c r="AX104" s="451">
        <f t="shared" si="46"/>
        <v>0.87750000000000006</v>
      </c>
      <c r="AY104" s="452">
        <f t="shared" si="46"/>
        <v>0.87750000000000006</v>
      </c>
    </row>
    <row r="105" spans="1:51" ht="12.75" thickBot="1">
      <c r="A105" s="453" t="s">
        <v>2936</v>
      </c>
      <c r="B105" s="454">
        <f>(58.5/1000)*15</f>
        <v>0.87750000000000006</v>
      </c>
      <c r="C105" s="455">
        <f t="shared" si="45"/>
        <v>0.87750000000000006</v>
      </c>
      <c r="D105" s="455">
        <f t="shared" si="45"/>
        <v>0.87750000000000006</v>
      </c>
      <c r="E105" s="455">
        <f t="shared" si="45"/>
        <v>0.87750000000000006</v>
      </c>
      <c r="F105" s="455">
        <f t="shared" si="45"/>
        <v>0.87750000000000006</v>
      </c>
      <c r="G105" s="455">
        <f t="shared" si="45"/>
        <v>0.87750000000000006</v>
      </c>
      <c r="H105" s="455">
        <f t="shared" si="45"/>
        <v>0.87750000000000006</v>
      </c>
      <c r="I105" s="455">
        <f t="shared" si="45"/>
        <v>0.87750000000000006</v>
      </c>
      <c r="J105" s="455">
        <f t="shared" si="45"/>
        <v>0.87750000000000006</v>
      </c>
      <c r="K105" s="455">
        <f t="shared" si="45"/>
        <v>0.87750000000000006</v>
      </c>
      <c r="L105" s="455">
        <f t="shared" si="45"/>
        <v>0.87750000000000006</v>
      </c>
      <c r="M105" s="455">
        <f t="shared" si="45"/>
        <v>0.87750000000000006</v>
      </c>
      <c r="N105" s="455">
        <f t="shared" si="45"/>
        <v>0.87750000000000006</v>
      </c>
      <c r="O105" s="455">
        <f t="shared" si="45"/>
        <v>0.87750000000000006</v>
      </c>
      <c r="P105" s="455">
        <f t="shared" si="45"/>
        <v>0.87750000000000006</v>
      </c>
      <c r="Q105" s="455">
        <f t="shared" si="45"/>
        <v>0.87750000000000006</v>
      </c>
      <c r="R105" s="455">
        <f t="shared" si="45"/>
        <v>0.87750000000000006</v>
      </c>
      <c r="S105" s="455">
        <f t="shared" si="45"/>
        <v>0.87750000000000006</v>
      </c>
      <c r="T105" s="455">
        <f t="shared" si="45"/>
        <v>0.87750000000000006</v>
      </c>
      <c r="U105" s="455">
        <f t="shared" si="45"/>
        <v>0.87750000000000006</v>
      </c>
      <c r="V105" s="455">
        <f t="shared" si="45"/>
        <v>0.87750000000000006</v>
      </c>
      <c r="W105" s="455">
        <f t="shared" si="45"/>
        <v>0.87750000000000006</v>
      </c>
      <c r="X105" s="455">
        <f t="shared" si="45"/>
        <v>0.87750000000000006</v>
      </c>
      <c r="Y105" s="455">
        <f t="shared" si="45"/>
        <v>0.87750000000000006</v>
      </c>
      <c r="Z105" s="455">
        <f t="shared" si="45"/>
        <v>0.87750000000000006</v>
      </c>
      <c r="AA105" s="455">
        <f t="shared" si="45"/>
        <v>0.87750000000000006</v>
      </c>
      <c r="AB105" s="455">
        <f t="shared" si="45"/>
        <v>0.87750000000000006</v>
      </c>
      <c r="AC105" s="455">
        <f t="shared" si="45"/>
        <v>0.87750000000000006</v>
      </c>
      <c r="AD105" s="455">
        <f t="shared" si="45"/>
        <v>0.87750000000000006</v>
      </c>
      <c r="AE105" s="455">
        <f>(58.5/1000)*15</f>
        <v>0.87750000000000006</v>
      </c>
      <c r="AF105" s="455">
        <f t="shared" si="46"/>
        <v>0.87750000000000006</v>
      </c>
      <c r="AG105" s="455">
        <f t="shared" si="46"/>
        <v>0.87750000000000006</v>
      </c>
      <c r="AH105" s="455">
        <f t="shared" si="46"/>
        <v>0.87750000000000006</v>
      </c>
      <c r="AI105" s="455">
        <f t="shared" si="46"/>
        <v>0.87750000000000006</v>
      </c>
      <c r="AJ105" s="455">
        <f t="shared" si="46"/>
        <v>0.87750000000000006</v>
      </c>
      <c r="AK105" s="455">
        <f t="shared" si="46"/>
        <v>0.87750000000000006</v>
      </c>
      <c r="AL105" s="455">
        <f t="shared" si="46"/>
        <v>0.87750000000000006</v>
      </c>
      <c r="AM105" s="455">
        <f t="shared" si="46"/>
        <v>0.87750000000000006</v>
      </c>
      <c r="AN105" s="455">
        <f t="shared" si="46"/>
        <v>0.87750000000000006</v>
      </c>
      <c r="AO105" s="455">
        <f t="shared" si="46"/>
        <v>0.87750000000000006</v>
      </c>
      <c r="AP105" s="455">
        <f t="shared" si="46"/>
        <v>0.87750000000000006</v>
      </c>
      <c r="AQ105" s="455">
        <f t="shared" si="46"/>
        <v>0.87750000000000006</v>
      </c>
      <c r="AR105" s="455">
        <f t="shared" si="46"/>
        <v>0.87750000000000006</v>
      </c>
      <c r="AS105" s="455">
        <f t="shared" si="46"/>
        <v>0.87750000000000006</v>
      </c>
      <c r="AT105" s="455">
        <f t="shared" si="46"/>
        <v>0.87750000000000006</v>
      </c>
      <c r="AU105" s="455">
        <f t="shared" si="46"/>
        <v>0.87750000000000006</v>
      </c>
      <c r="AV105" s="455">
        <f t="shared" si="46"/>
        <v>0.87750000000000006</v>
      </c>
      <c r="AW105" s="455">
        <f t="shared" si="46"/>
        <v>0.87750000000000006</v>
      </c>
      <c r="AX105" s="455">
        <f t="shared" si="46"/>
        <v>0.87750000000000006</v>
      </c>
      <c r="AY105" s="456">
        <f t="shared" si="46"/>
        <v>0.87750000000000006</v>
      </c>
    </row>
    <row r="106" spans="1:51">
      <c r="B106" s="433"/>
      <c r="C106" s="433"/>
      <c r="D106" s="433"/>
      <c r="E106" s="433"/>
      <c r="F106" s="433"/>
      <c r="G106" s="433"/>
      <c r="H106" s="433"/>
      <c r="I106" s="433"/>
      <c r="J106" s="433"/>
      <c r="K106" s="433"/>
      <c r="L106" s="433"/>
      <c r="M106" s="433"/>
      <c r="N106" s="433"/>
      <c r="O106" s="433"/>
      <c r="P106" s="433"/>
      <c r="Q106" s="433"/>
      <c r="R106" s="433"/>
      <c r="S106" s="433"/>
      <c r="T106" s="433"/>
      <c r="U106" s="433"/>
      <c r="V106" s="433"/>
      <c r="W106" s="433"/>
      <c r="X106" s="433"/>
      <c r="Y106" s="433"/>
      <c r="Z106" s="433"/>
      <c r="AA106" s="433"/>
      <c r="AB106" s="433"/>
      <c r="AC106" s="433"/>
      <c r="AD106" s="433"/>
      <c r="AE106" s="433"/>
    </row>
    <row r="107" spans="1:51" ht="15.75" thickBot="1">
      <c r="A107" s="437" t="s">
        <v>2937</v>
      </c>
      <c r="B107" s="433"/>
      <c r="C107" s="433"/>
      <c r="D107" s="433"/>
      <c r="E107" s="433"/>
      <c r="F107" s="433"/>
      <c r="G107" s="433"/>
      <c r="H107" s="433"/>
      <c r="I107" s="433"/>
      <c r="J107" s="433"/>
      <c r="K107" s="433"/>
      <c r="L107" s="433"/>
      <c r="M107" s="433"/>
      <c r="N107" s="433"/>
      <c r="O107" s="433"/>
      <c r="P107" s="433"/>
      <c r="Q107" s="433"/>
      <c r="R107" s="433"/>
      <c r="S107" s="433"/>
      <c r="T107" s="433"/>
      <c r="U107" s="433"/>
      <c r="V107" s="433"/>
      <c r="W107" s="433"/>
      <c r="X107" s="433"/>
      <c r="Y107" s="433"/>
      <c r="Z107" s="433"/>
      <c r="AA107" s="433"/>
      <c r="AB107" s="433"/>
      <c r="AC107" s="433"/>
      <c r="AD107" s="433"/>
      <c r="AE107" s="433"/>
    </row>
    <row r="108" spans="1:51" ht="12.75" thickBot="1">
      <c r="A108" s="438" t="s">
        <v>2932</v>
      </c>
      <c r="B108" s="439">
        <v>1</v>
      </c>
      <c r="C108" s="440">
        <v>2</v>
      </c>
      <c r="D108" s="440">
        <v>3</v>
      </c>
      <c r="E108" s="440">
        <v>4</v>
      </c>
      <c r="F108" s="440">
        <v>5</v>
      </c>
      <c r="G108" s="440">
        <v>6</v>
      </c>
      <c r="H108" s="440">
        <v>7</v>
      </c>
      <c r="I108" s="440">
        <v>8</v>
      </c>
      <c r="J108" s="440">
        <v>9</v>
      </c>
      <c r="K108" s="440">
        <v>10</v>
      </c>
      <c r="L108" s="440">
        <v>11</v>
      </c>
      <c r="M108" s="440">
        <v>12</v>
      </c>
      <c r="N108" s="440">
        <v>13</v>
      </c>
      <c r="O108" s="440">
        <v>14</v>
      </c>
      <c r="P108" s="440">
        <v>15</v>
      </c>
      <c r="Q108" s="440">
        <v>16</v>
      </c>
      <c r="R108" s="440">
        <v>17</v>
      </c>
      <c r="S108" s="440">
        <v>18</v>
      </c>
      <c r="T108" s="440">
        <v>19</v>
      </c>
      <c r="U108" s="440">
        <v>20</v>
      </c>
      <c r="V108" s="440">
        <v>21</v>
      </c>
      <c r="W108" s="440">
        <v>22</v>
      </c>
      <c r="X108" s="440">
        <v>23</v>
      </c>
      <c r="Y108" s="440">
        <v>24</v>
      </c>
      <c r="Z108" s="440">
        <v>25</v>
      </c>
      <c r="AA108" s="440">
        <v>26</v>
      </c>
      <c r="AB108" s="440">
        <v>27</v>
      </c>
      <c r="AC108" s="440">
        <v>28</v>
      </c>
      <c r="AD108" s="440">
        <v>29</v>
      </c>
      <c r="AE108" s="440">
        <v>30</v>
      </c>
      <c r="AF108" s="440">
        <f t="shared" ref="AF108:AY108" si="47">AE108+1</f>
        <v>31</v>
      </c>
      <c r="AG108" s="440">
        <f t="shared" si="47"/>
        <v>32</v>
      </c>
      <c r="AH108" s="440">
        <f t="shared" si="47"/>
        <v>33</v>
      </c>
      <c r="AI108" s="440">
        <f t="shared" si="47"/>
        <v>34</v>
      </c>
      <c r="AJ108" s="440">
        <f t="shared" si="47"/>
        <v>35</v>
      </c>
      <c r="AK108" s="440">
        <f t="shared" si="47"/>
        <v>36</v>
      </c>
      <c r="AL108" s="440">
        <f t="shared" si="47"/>
        <v>37</v>
      </c>
      <c r="AM108" s="440">
        <f t="shared" si="47"/>
        <v>38</v>
      </c>
      <c r="AN108" s="440">
        <f t="shared" si="47"/>
        <v>39</v>
      </c>
      <c r="AO108" s="440">
        <f t="shared" si="47"/>
        <v>40</v>
      </c>
      <c r="AP108" s="440">
        <f t="shared" si="47"/>
        <v>41</v>
      </c>
      <c r="AQ108" s="440">
        <f t="shared" si="47"/>
        <v>42</v>
      </c>
      <c r="AR108" s="440">
        <f t="shared" si="47"/>
        <v>43</v>
      </c>
      <c r="AS108" s="440">
        <f t="shared" si="47"/>
        <v>44</v>
      </c>
      <c r="AT108" s="440">
        <f t="shared" si="47"/>
        <v>45</v>
      </c>
      <c r="AU108" s="440">
        <f t="shared" si="47"/>
        <v>46</v>
      </c>
      <c r="AV108" s="440">
        <f t="shared" si="47"/>
        <v>47</v>
      </c>
      <c r="AW108" s="440">
        <f t="shared" si="47"/>
        <v>48</v>
      </c>
      <c r="AX108" s="440">
        <f t="shared" si="47"/>
        <v>49</v>
      </c>
      <c r="AY108" s="441">
        <f t="shared" si="47"/>
        <v>50</v>
      </c>
    </row>
    <row r="109" spans="1:51">
      <c r="A109" s="442" t="s">
        <v>2955</v>
      </c>
      <c r="B109" s="443">
        <v>8.5000000000000006E-2</v>
      </c>
      <c r="C109" s="444">
        <f t="shared" ref="C109:AY114" si="48">(C98/(1+$C$3)^(C$16-0.5)+B109)</f>
        <v>0.14676888215546238</v>
      </c>
      <c r="D109" s="444">
        <f t="shared" si="48"/>
        <v>0.20414371556472255</v>
      </c>
      <c r="E109" s="444">
        <f t="shared" si="48"/>
        <v>0.25839768403149038</v>
      </c>
      <c r="F109" s="444">
        <f t="shared" si="48"/>
        <v>0.30970025140924012</v>
      </c>
      <c r="G109" s="444">
        <f t="shared" si="48"/>
        <v>0.35821832065739073</v>
      </c>
      <c r="H109" s="444">
        <f t="shared" si="48"/>
        <v>0.40431751717749687</v>
      </c>
      <c r="I109" s="444">
        <f t="shared" si="48"/>
        <v>0.44812287732359957</v>
      </c>
      <c r="J109" s="444">
        <f t="shared" si="48"/>
        <v>0.48974263650325012</v>
      </c>
      <c r="K109" s="444">
        <f t="shared" si="48"/>
        <v>0.52929210194241694</v>
      </c>
      <c r="L109" s="444">
        <f t="shared" si="48"/>
        <v>0.56687294688955814</v>
      </c>
      <c r="M109" s="444">
        <f t="shared" si="48"/>
        <v>0.60257915226126935</v>
      </c>
      <c r="N109" s="444">
        <f t="shared" si="48"/>
        <v>0.636507632437601</v>
      </c>
      <c r="O109" s="444">
        <f t="shared" si="48"/>
        <v>0.6687476124314139</v>
      </c>
      <c r="P109" s="444">
        <f t="shared" si="48"/>
        <v>0.69938293294138765</v>
      </c>
      <c r="Q109" s="444">
        <f t="shared" si="48"/>
        <v>0.72842115143425368</v>
      </c>
      <c r="R109" s="444">
        <f t="shared" si="48"/>
        <v>0.75594552915261015</v>
      </c>
      <c r="S109" s="444">
        <f t="shared" si="48"/>
        <v>0.78203498670555471</v>
      </c>
      <c r="T109" s="444">
        <f t="shared" si="48"/>
        <v>0.80676433035763484</v>
      </c>
      <c r="U109" s="444">
        <f t="shared" si="48"/>
        <v>0.83020446652074398</v>
      </c>
      <c r="V109" s="444">
        <f t="shared" si="48"/>
        <v>0.85242260506397538</v>
      </c>
      <c r="W109" s="444">
        <f t="shared" si="48"/>
        <v>0.87348245202438424</v>
      </c>
      <c r="X109" s="444">
        <f t="shared" si="48"/>
        <v>0.8934443922712173</v>
      </c>
      <c r="Y109" s="444">
        <f t="shared" si="48"/>
        <v>0.91236566264736241</v>
      </c>
      <c r="Z109" s="444">
        <f t="shared" si="48"/>
        <v>0.93030051608446673</v>
      </c>
      <c r="AA109" s="444">
        <f t="shared" si="48"/>
        <v>0.94730037716229076</v>
      </c>
      <c r="AB109" s="444">
        <f t="shared" si="48"/>
        <v>0.96341398955833246</v>
      </c>
      <c r="AC109" s="444">
        <f t="shared" si="48"/>
        <v>0.97868755581050471</v>
      </c>
      <c r="AD109" s="444">
        <f t="shared" si="48"/>
        <v>0.99316486979360641</v>
      </c>
      <c r="AE109" s="444">
        <f t="shared" si="48"/>
        <v>1.0068874422894374</v>
      </c>
      <c r="AF109" s="444">
        <f t="shared" si="48"/>
        <v>1.0198946200106043</v>
      </c>
      <c r="AG109" s="444">
        <f t="shared" si="48"/>
        <v>1.0322236984192932</v>
      </c>
      <c r="AH109" s="444">
        <f t="shared" si="48"/>
        <v>1.043910028664496</v>
      </c>
      <c r="AI109" s="444">
        <f t="shared" si="48"/>
        <v>1.054987118944309</v>
      </c>
      <c r="AJ109" s="444">
        <f t="shared" si="48"/>
        <v>1.0654867305839422</v>
      </c>
      <c r="AK109" s="444">
        <f t="shared" si="48"/>
        <v>1.0754389691049215</v>
      </c>
      <c r="AL109" s="444">
        <f t="shared" si="48"/>
        <v>1.0848723705466081</v>
      </c>
      <c r="AM109" s="444">
        <f t="shared" si="48"/>
        <v>1.0938139832875433</v>
      </c>
      <c r="AN109" s="444">
        <f t="shared" si="48"/>
        <v>1.102289445601226</v>
      </c>
      <c r="AO109" s="444">
        <f t="shared" si="48"/>
        <v>1.1103230591686977</v>
      </c>
      <c r="AP109" s="444">
        <f t="shared" si="48"/>
        <v>1.1179378587587183</v>
      </c>
      <c r="AQ109" s="444">
        <f t="shared" si="48"/>
        <v>1.1251556782753254</v>
      </c>
      <c r="AR109" s="444">
        <f t="shared" si="48"/>
        <v>1.1319972133621568</v>
      </c>
      <c r="AS109" s="444">
        <f t="shared" si="48"/>
        <v>1.1384820807430396</v>
      </c>
      <c r="AT109" s="444">
        <f t="shared" si="48"/>
        <v>1.144628874468995</v>
      </c>
      <c r="AU109" s="444">
        <f t="shared" si="48"/>
        <v>1.1504552192329336</v>
      </c>
      <c r="AV109" s="444">
        <f t="shared" si="48"/>
        <v>1.1559778209049134</v>
      </c>
      <c r="AW109" s="444">
        <f t="shared" si="48"/>
        <v>1.1612125144328564</v>
      </c>
      <c r="AX109" s="444">
        <f t="shared" si="48"/>
        <v>1.1661743092460726</v>
      </c>
      <c r="AY109" s="445">
        <f t="shared" si="48"/>
        <v>1.170877432291775</v>
      </c>
    </row>
    <row r="110" spans="1:51">
      <c r="A110" s="446" t="s">
        <v>2956</v>
      </c>
      <c r="B110" s="450">
        <f t="shared" ref="B110:B116" si="49">B99/(1+$C$3)^(B$16-0.5)</f>
        <v>83.142880157899583</v>
      </c>
      <c r="C110" s="451">
        <f t="shared" si="48"/>
        <v>168.53441057976141</v>
      </c>
      <c r="D110" s="451">
        <f t="shared" si="48"/>
        <v>255.33713327310039</v>
      </c>
      <c r="E110" s="451">
        <f t="shared" si="48"/>
        <v>342.85019038251738</v>
      </c>
      <c r="F110" s="451">
        <f t="shared" si="48"/>
        <v>430.46720059461694</v>
      </c>
      <c r="G110" s="451">
        <f t="shared" si="48"/>
        <v>517.67458334521405</v>
      </c>
      <c r="H110" s="451">
        <f t="shared" si="48"/>
        <v>604.04866016790231</v>
      </c>
      <c r="I110" s="451">
        <f t="shared" si="48"/>
        <v>689.22294077369145</v>
      </c>
      <c r="J110" s="451">
        <f t="shared" si="48"/>
        <v>772.90319960289992</v>
      </c>
      <c r="K110" s="451">
        <f t="shared" si="48"/>
        <v>854.84525147923114</v>
      </c>
      <c r="L110" s="451">
        <f t="shared" si="48"/>
        <v>934.84935653622915</v>
      </c>
      <c r="M110" s="451">
        <f t="shared" si="48"/>
        <v>1012.7609731846534</v>
      </c>
      <c r="N110" s="451">
        <f t="shared" si="48"/>
        <v>1086.6108467850554</v>
      </c>
      <c r="O110" s="451">
        <f t="shared" si="48"/>
        <v>1156.61072697501</v>
      </c>
      <c r="P110" s="451">
        <f t="shared" si="48"/>
        <v>1222.96132431146</v>
      </c>
      <c r="Q110" s="451">
        <f t="shared" si="48"/>
        <v>1285.8528857678107</v>
      </c>
      <c r="R110" s="451">
        <f t="shared" si="48"/>
        <v>1345.4657402288062</v>
      </c>
      <c r="S110" s="451">
        <f t="shared" si="48"/>
        <v>1401.9708155472856</v>
      </c>
      <c r="T110" s="451">
        <f t="shared" si="48"/>
        <v>1455.5301286453703</v>
      </c>
      <c r="U110" s="451">
        <f t="shared" si="48"/>
        <v>1506.2972500653557</v>
      </c>
      <c r="V110" s="451">
        <f t="shared" si="48"/>
        <v>1554.4177443023086</v>
      </c>
      <c r="W110" s="451">
        <f t="shared" si="48"/>
        <v>1600.0295871809371</v>
      </c>
      <c r="X110" s="451">
        <f t="shared" si="48"/>
        <v>1643.2635614734759</v>
      </c>
      <c r="Y110" s="451">
        <f t="shared" si="48"/>
        <v>1684.243631892944</v>
      </c>
      <c r="Z110" s="451">
        <f t="shared" si="48"/>
        <v>1723.0873005369897</v>
      </c>
      <c r="AA110" s="451">
        <f t="shared" si="48"/>
        <v>1759.9059438014879</v>
      </c>
      <c r="AB110" s="451">
        <f t="shared" si="48"/>
        <v>1794.8051317299221</v>
      </c>
      <c r="AC110" s="451">
        <f t="shared" si="48"/>
        <v>1827.88493071422</v>
      </c>
      <c r="AD110" s="451">
        <f t="shared" si="48"/>
        <v>1859.2401904149763</v>
      </c>
      <c r="AE110" s="451">
        <f t="shared" si="48"/>
        <v>1888.9608157237501</v>
      </c>
      <c r="AF110" s="451">
        <f t="shared" si="48"/>
        <v>1917.1320245472323</v>
      </c>
      <c r="AG110" s="451">
        <f t="shared" si="48"/>
        <v>1943.8345921524287</v>
      </c>
      <c r="AH110" s="451">
        <f t="shared" si="48"/>
        <v>1969.1450827734679</v>
      </c>
      <c r="AI110" s="451">
        <f t="shared" si="48"/>
        <v>1993.1360691441214</v>
      </c>
      <c r="AJ110" s="451">
        <f t="shared" si="48"/>
        <v>2015.8763405854991</v>
      </c>
      <c r="AK110" s="451">
        <f t="shared" si="48"/>
        <v>2037.4311002455727</v>
      </c>
      <c r="AL110" s="451">
        <f t="shared" si="48"/>
        <v>2057.8621520560691</v>
      </c>
      <c r="AM110" s="451">
        <f t="shared" si="48"/>
        <v>2077.2280779427956</v>
      </c>
      <c r="AN110" s="451">
        <f t="shared" si="48"/>
        <v>2095.5844057975123</v>
      </c>
      <c r="AO110" s="451">
        <f t="shared" si="48"/>
        <v>2112.9837686929786</v>
      </c>
      <c r="AP110" s="451">
        <f t="shared" si="48"/>
        <v>2129.4760557976861</v>
      </c>
      <c r="AQ110" s="451">
        <f t="shared" si="48"/>
        <v>2145.1085554230012</v>
      </c>
      <c r="AR110" s="451">
        <f t="shared" si="48"/>
        <v>2159.9260906128734</v>
      </c>
      <c r="AS110" s="451">
        <f t="shared" si="48"/>
        <v>2173.9711476648849</v>
      </c>
      <c r="AT110" s="451">
        <f t="shared" si="48"/>
        <v>2187.2839979511518</v>
      </c>
      <c r="AU110" s="451">
        <f t="shared" si="48"/>
        <v>2199.9028133883717</v>
      </c>
      <c r="AV110" s="451">
        <f t="shared" si="48"/>
        <v>2211.8637758881059</v>
      </c>
      <c r="AW110" s="451">
        <f t="shared" si="48"/>
        <v>2223.2011811011243</v>
      </c>
      <c r="AX110" s="451">
        <f t="shared" si="48"/>
        <v>2233.9475367532746</v>
      </c>
      <c r="AY110" s="452">
        <f t="shared" si="48"/>
        <v>2244.1336558548387</v>
      </c>
    </row>
    <row r="111" spans="1:51">
      <c r="A111" s="446" t="s">
        <v>2957</v>
      </c>
      <c r="B111" s="450">
        <f t="shared" si="49"/>
        <v>9.9695080143101027</v>
      </c>
      <c r="C111" s="451">
        <f t="shared" si="48"/>
        <v>19.207027936485396</v>
      </c>
      <c r="D111" s="451">
        <f t="shared" si="48"/>
        <v>27.770532681796588</v>
      </c>
      <c r="E111" s="451">
        <f t="shared" si="48"/>
        <v>35.887598791096295</v>
      </c>
      <c r="F111" s="451">
        <f t="shared" si="48"/>
        <v>43.581500316498861</v>
      </c>
      <c r="G111" s="451">
        <f t="shared" si="48"/>
        <v>50.874297970908877</v>
      </c>
      <c r="H111" s="451">
        <f t="shared" si="48"/>
        <v>57.843389446302268</v>
      </c>
      <c r="I111" s="451">
        <f t="shared" si="48"/>
        <v>64.496012816984674</v>
      </c>
      <c r="J111" s="451">
        <f t="shared" si="48"/>
        <v>70.852567898586869</v>
      </c>
      <c r="K111" s="451">
        <f t="shared" si="48"/>
        <v>76.877738592048672</v>
      </c>
      <c r="L111" s="451">
        <f t="shared" si="48"/>
        <v>82.588800860732846</v>
      </c>
      <c r="M111" s="451">
        <f t="shared" si="48"/>
        <v>88.002130025362391</v>
      </c>
      <c r="N111" s="451">
        <f t="shared" si="48"/>
        <v>93.133247716954372</v>
      </c>
      <c r="O111" s="451">
        <f t="shared" si="48"/>
        <v>97.996866381970477</v>
      </c>
      <c r="P111" s="451">
        <f t="shared" si="48"/>
        <v>102.60693146729379</v>
      </c>
      <c r="Q111" s="451">
        <f t="shared" si="48"/>
        <v>106.97666140598888</v>
      </c>
      <c r="R111" s="451">
        <f t="shared" si="48"/>
        <v>111.11858551849608</v>
      </c>
      <c r="S111" s="451">
        <f t="shared" si="48"/>
        <v>115.04457993793417</v>
      </c>
      <c r="T111" s="451">
        <f t="shared" si="48"/>
        <v>118.76590166252005</v>
      </c>
      <c r="U111" s="451">
        <f t="shared" si="48"/>
        <v>122.29322083274363</v>
      </c>
      <c r="V111" s="451">
        <f t="shared" si="48"/>
        <v>125.63665132584654</v>
      </c>
      <c r="W111" s="451">
        <f t="shared" si="48"/>
        <v>128.80577975532799</v>
      </c>
      <c r="X111" s="451">
        <f t="shared" si="48"/>
        <v>131.80969295862792</v>
      </c>
      <c r="Y111" s="451">
        <f t="shared" si="48"/>
        <v>134.65700405180323</v>
      </c>
      <c r="Z111" s="451">
        <f t="shared" si="48"/>
        <v>137.35587712590305</v>
      </c>
      <c r="AA111" s="451">
        <f t="shared" si="48"/>
        <v>139.91405065585548</v>
      </c>
      <c r="AB111" s="451">
        <f t="shared" si="48"/>
        <v>142.33885968898574</v>
      </c>
      <c r="AC111" s="451">
        <f t="shared" si="48"/>
        <v>144.63725687678692</v>
      </c>
      <c r="AD111" s="451">
        <f t="shared" si="48"/>
        <v>146.81583241024776</v>
      </c>
      <c r="AE111" s="451">
        <f t="shared" si="48"/>
        <v>148.88083291589786</v>
      </c>
      <c r="AF111" s="451">
        <f t="shared" si="48"/>
        <v>150.83817936675104</v>
      </c>
      <c r="AG111" s="451">
        <f t="shared" si="48"/>
        <v>152.69348405950285</v>
      </c>
      <c r="AH111" s="451">
        <f t="shared" si="48"/>
        <v>154.45206670666099</v>
      </c>
      <c r="AI111" s="451">
        <f t="shared" si="48"/>
        <v>156.11896968974926</v>
      </c>
      <c r="AJ111" s="451">
        <f t="shared" si="48"/>
        <v>157.6989725173211</v>
      </c>
      <c r="AK111" s="451">
        <f t="shared" si="48"/>
        <v>159.1966055292375</v>
      </c>
      <c r="AL111" s="451">
        <f t="shared" si="48"/>
        <v>160.61616288650424</v>
      </c>
      <c r="AM111" s="451">
        <f t="shared" si="48"/>
        <v>161.96171488391349</v>
      </c>
      <c r="AN111" s="451">
        <f t="shared" si="48"/>
        <v>163.23711962079429</v>
      </c>
      <c r="AO111" s="451">
        <f t="shared" si="48"/>
        <v>164.44603406333533</v>
      </c>
      <c r="AP111" s="451">
        <f t="shared" si="48"/>
        <v>165.59192453019887</v>
      </c>
      <c r="AQ111" s="451">
        <f t="shared" si="48"/>
        <v>166.67807663149134</v>
      </c>
      <c r="AR111" s="451">
        <f t="shared" si="48"/>
        <v>167.70760468958846</v>
      </c>
      <c r="AS111" s="451">
        <f t="shared" si="48"/>
        <v>168.68346066882745</v>
      </c>
      <c r="AT111" s="451">
        <f t="shared" si="48"/>
        <v>169.60844263967007</v>
      </c>
      <c r="AU111" s="451">
        <f t="shared" si="48"/>
        <v>170.48520280160622</v>
      </c>
      <c r="AV111" s="451">
        <f t="shared" si="48"/>
        <v>171.31625508780161</v>
      </c>
      <c r="AW111" s="451">
        <f t="shared" si="48"/>
        <v>172.10398237329488</v>
      </c>
      <c r="AX111" s="451">
        <f t="shared" si="48"/>
        <v>172.85064330741173</v>
      </c>
      <c r="AY111" s="452">
        <f t="shared" si="48"/>
        <v>173.55837878998693</v>
      </c>
    </row>
    <row r="112" spans="1:51">
      <c r="A112" s="446" t="s">
        <v>2958</v>
      </c>
      <c r="B112" s="450">
        <f t="shared" si="49"/>
        <v>9.2028100102799062</v>
      </c>
      <c r="C112" s="451">
        <f t="shared" si="48"/>
        <v>17.724368306785436</v>
      </c>
      <c r="D112" s="451">
        <f t="shared" si="48"/>
        <v>25.614338971004738</v>
      </c>
      <c r="E112" s="451">
        <f t="shared" si="48"/>
        <v>33.092984150359527</v>
      </c>
      <c r="F112" s="451">
        <f t="shared" si="48"/>
        <v>40.181747353539421</v>
      </c>
      <c r="G112" s="451">
        <f t="shared" si="48"/>
        <v>46.900954181198088</v>
      </c>
      <c r="H112" s="451">
        <f t="shared" si="48"/>
        <v>53.322238820759729</v>
      </c>
      <c r="I112" s="451">
        <f t="shared" si="48"/>
        <v>59.509156246227533</v>
      </c>
      <c r="J112" s="451">
        <f t="shared" si="48"/>
        <v>65.373532952832093</v>
      </c>
      <c r="K112" s="451">
        <f t="shared" si="48"/>
        <v>70.932183859566265</v>
      </c>
      <c r="L112" s="451">
        <f t="shared" si="48"/>
        <v>76.201047278271645</v>
      </c>
      <c r="M112" s="451">
        <f t="shared" si="48"/>
        <v>81.195230613537404</v>
      </c>
      <c r="N112" s="451">
        <f t="shared" si="48"/>
        <v>85.929053680140029</v>
      </c>
      <c r="O112" s="451">
        <f t="shared" si="48"/>
        <v>90.416089762227827</v>
      </c>
      <c r="P112" s="451">
        <f t="shared" si="48"/>
        <v>94.66920453197929</v>
      </c>
      <c r="Q112" s="451">
        <f t="shared" si="48"/>
        <v>98.70059293932664</v>
      </c>
      <c r="R112" s="451">
        <f t="shared" si="48"/>
        <v>102.52181417851845</v>
      </c>
      <c r="S112" s="451">
        <f t="shared" si="48"/>
        <v>106.14382483178083</v>
      </c>
      <c r="T112" s="451">
        <f t="shared" si="48"/>
        <v>109.57701028511011</v>
      </c>
      <c r="U112" s="451">
        <f t="shared" si="48"/>
        <v>112.83121450627529</v>
      </c>
      <c r="V112" s="451">
        <f t="shared" si="48"/>
        <v>115.9157682704129</v>
      </c>
      <c r="W112" s="451">
        <f t="shared" si="48"/>
        <v>118.83951591414524</v>
      </c>
      <c r="X112" s="451">
        <f t="shared" si="48"/>
        <v>121.61084069493418</v>
      </c>
      <c r="Y112" s="451">
        <f t="shared" si="48"/>
        <v>124.23768882838341</v>
      </c>
      <c r="Z112" s="451">
        <f t="shared" si="48"/>
        <v>126.72759227241113</v>
      </c>
      <c r="AA112" s="451">
        <f t="shared" si="48"/>
        <v>129.08769032362224</v>
      </c>
      <c r="AB112" s="451">
        <f t="shared" si="48"/>
        <v>131.32475008780338</v>
      </c>
      <c r="AC112" s="451">
        <f t="shared" si="48"/>
        <v>133.44518588323575</v>
      </c>
      <c r="AD112" s="451">
        <f t="shared" si="48"/>
        <v>135.45507763246073</v>
      </c>
      <c r="AE112" s="451">
        <f t="shared" si="48"/>
        <v>137.36018829523323</v>
      </c>
      <c r="AF112" s="451">
        <f t="shared" si="48"/>
        <v>139.16598039264792</v>
      </c>
      <c r="AG112" s="451">
        <f t="shared" si="48"/>
        <v>140.87763166981824</v>
      </c>
      <c r="AH112" s="451">
        <f t="shared" si="48"/>
        <v>142.5000499420176</v>
      </c>
      <c r="AI112" s="451">
        <f t="shared" si="48"/>
        <v>144.03788716685111</v>
      </c>
      <c r="AJ112" s="451">
        <f t="shared" si="48"/>
        <v>145.49555278280704</v>
      </c>
      <c r="AK112" s="451">
        <f t="shared" si="48"/>
        <v>146.87722635243352</v>
      </c>
      <c r="AL112" s="451">
        <f t="shared" si="48"/>
        <v>148.18686954639227</v>
      </c>
      <c r="AM112" s="451">
        <f t="shared" si="48"/>
        <v>149.42823750275127</v>
      </c>
      <c r="AN112" s="451">
        <f t="shared" si="48"/>
        <v>150.60488959408681</v>
      </c>
      <c r="AO112" s="451">
        <f t="shared" si="48"/>
        <v>151.72019963326744</v>
      </c>
      <c r="AP112" s="451">
        <f t="shared" si="48"/>
        <v>152.77736554718271</v>
      </c>
      <c r="AQ112" s="451">
        <f t="shared" si="48"/>
        <v>153.77941854615455</v>
      </c>
      <c r="AR112" s="451">
        <f t="shared" si="48"/>
        <v>154.72923181532215</v>
      </c>
      <c r="AS112" s="451">
        <f t="shared" si="48"/>
        <v>155.62952875292177</v>
      </c>
      <c r="AT112" s="451">
        <f t="shared" si="48"/>
        <v>156.48289077908257</v>
      </c>
      <c r="AU112" s="451">
        <f t="shared" si="48"/>
        <v>157.29176473752881</v>
      </c>
      <c r="AV112" s="451">
        <f t="shared" si="48"/>
        <v>158.05846991141149</v>
      </c>
      <c r="AW112" s="451">
        <f t="shared" si="48"/>
        <v>158.78520467338561</v>
      </c>
      <c r="AX112" s="451">
        <f t="shared" si="48"/>
        <v>159.47405278900089</v>
      </c>
      <c r="AY112" s="452">
        <f t="shared" si="48"/>
        <v>160.12698939147984</v>
      </c>
    </row>
    <row r="113" spans="1:51">
      <c r="A113" s="446" t="s">
        <v>2959</v>
      </c>
      <c r="B113" s="450">
        <f t="shared" si="49"/>
        <v>7.0689328859713552</v>
      </c>
      <c r="C113" s="451">
        <f t="shared" si="48"/>
        <v>14.369698136716529</v>
      </c>
      <c r="D113" s="451">
        <f t="shared" si="48"/>
        <v>21.541967331637562</v>
      </c>
      <c r="E113" s="451">
        <f t="shared" si="48"/>
        <v>28.51267627318699</v>
      </c>
      <c r="F113" s="451">
        <f t="shared" si="48"/>
        <v>35.250642077004798</v>
      </c>
      <c r="G113" s="451">
        <f t="shared" si="48"/>
        <v>41.746987388541662</v>
      </c>
      <c r="H113" s="451">
        <f t="shared" si="48"/>
        <v>47.980700711127561</v>
      </c>
      <c r="I113" s="451">
        <f t="shared" si="48"/>
        <v>53.925864208141782</v>
      </c>
      <c r="J113" s="451">
        <f t="shared" si="48"/>
        <v>59.641723748881354</v>
      </c>
      <c r="K113" s="451">
        <f t="shared" si="48"/>
        <v>65.083644011797688</v>
      </c>
      <c r="L113" s="451">
        <f t="shared" si="48"/>
        <v>70.302178243051259</v>
      </c>
      <c r="M113" s="451">
        <f t="shared" si="48"/>
        <v>75.296787022973902</v>
      </c>
      <c r="N113" s="451">
        <f t="shared" si="48"/>
        <v>80.02975889547298</v>
      </c>
      <c r="O113" s="451">
        <f t="shared" si="48"/>
        <v>84.55046652586843</v>
      </c>
      <c r="P113" s="451">
        <f t="shared" si="48"/>
        <v>88.867652559080511</v>
      </c>
      <c r="Q113" s="451">
        <f t="shared" si="48"/>
        <v>92.986957075656932</v>
      </c>
      <c r="R113" s="451">
        <f t="shared" si="48"/>
        <v>96.884761614834133</v>
      </c>
      <c r="S113" s="451">
        <f t="shared" si="48"/>
        <v>100.57041386849632</v>
      </c>
      <c r="T113" s="451">
        <f t="shared" si="48"/>
        <v>104.05103570691571</v>
      </c>
      <c r="U113" s="451">
        <f t="shared" si="48"/>
        <v>107.35020332627059</v>
      </c>
      <c r="V113" s="451">
        <f t="shared" si="48"/>
        <v>110.47737642518516</v>
      </c>
      <c r="W113" s="451">
        <f t="shared" si="48"/>
        <v>113.44152154263973</v>
      </c>
      <c r="X113" s="451">
        <f t="shared" si="48"/>
        <v>116.25113776771516</v>
      </c>
      <c r="Y113" s="451">
        <f t="shared" si="48"/>
        <v>118.91428110901889</v>
      </c>
      <c r="Z113" s="451">
        <f t="shared" si="48"/>
        <v>121.43858759366697</v>
      </c>
      <c r="AA113" s="451">
        <f t="shared" si="48"/>
        <v>123.83129516205376</v>
      </c>
      <c r="AB113" s="451">
        <f t="shared" si="48"/>
        <v>126.09926442118817</v>
      </c>
      <c r="AC113" s="451">
        <f t="shared" si="48"/>
        <v>128.2489983161023</v>
      </c>
      <c r="AD113" s="451">
        <f t="shared" si="48"/>
        <v>130.28666077573655</v>
      </c>
      <c r="AE113" s="451">
        <f t="shared" si="48"/>
        <v>132.21809438676428</v>
      </c>
      <c r="AF113" s="451">
        <f t="shared" si="48"/>
        <v>134.04883714603227</v>
      </c>
      <c r="AG113" s="451">
        <f t="shared" si="48"/>
        <v>135.78413833965121</v>
      </c>
      <c r="AH113" s="451">
        <f t="shared" si="48"/>
        <v>137.42897359426632</v>
      </c>
      <c r="AI113" s="451">
        <f t="shared" si="48"/>
        <v>138.98805914366454</v>
      </c>
      <c r="AJ113" s="451">
        <f t="shared" si="48"/>
        <v>140.46586535162493</v>
      </c>
      <c r="AK113" s="451">
        <f t="shared" si="48"/>
        <v>141.86662952978642</v>
      </c>
      <c r="AL113" s="451">
        <f t="shared" si="48"/>
        <v>143.19436808728548</v>
      </c>
      <c r="AM113" s="451">
        <f t="shared" si="48"/>
        <v>144.45288804700024</v>
      </c>
      <c r="AN113" s="451">
        <f t="shared" si="48"/>
        <v>145.64579796142181</v>
      </c>
      <c r="AO113" s="451">
        <f t="shared" si="48"/>
        <v>146.77651825945173</v>
      </c>
      <c r="AP113" s="451">
        <f t="shared" si="48"/>
        <v>147.84829105379288</v>
      </c>
      <c r="AQ113" s="451">
        <f t="shared" si="48"/>
        <v>148.86418943705462</v>
      </c>
      <c r="AR113" s="451">
        <f t="shared" si="48"/>
        <v>149.82712629322691</v>
      </c>
      <c r="AS113" s="451">
        <f t="shared" si="48"/>
        <v>150.73986264978831</v>
      </c>
      <c r="AT113" s="451">
        <f t="shared" si="48"/>
        <v>151.60501559439626</v>
      </c>
      <c r="AU113" s="451">
        <f t="shared" si="48"/>
        <v>152.42506577885879</v>
      </c>
      <c r="AV113" s="451">
        <f t="shared" si="48"/>
        <v>153.20236453190384</v>
      </c>
      <c r="AW113" s="451">
        <f t="shared" si="48"/>
        <v>153.93914060114085</v>
      </c>
      <c r="AX113" s="451">
        <f t="shared" si="48"/>
        <v>154.63750654354561</v>
      </c>
      <c r="AY113" s="452">
        <f t="shared" si="48"/>
        <v>155.29946478279183</v>
      </c>
    </row>
    <row r="114" spans="1:51">
      <c r="A114" s="446" t="s">
        <v>2938</v>
      </c>
      <c r="B114" s="447">
        <f t="shared" si="49"/>
        <v>6.1141123369011178E-3</v>
      </c>
      <c r="C114" s="448">
        <f t="shared" si="48"/>
        <v>1.1835653147838862E-2</v>
      </c>
      <c r="D114" s="448">
        <f t="shared" si="48"/>
        <v>1.718893701314065E-2</v>
      </c>
      <c r="E114" s="448">
        <f t="shared" si="48"/>
        <v>2.2163645558166009E-2</v>
      </c>
      <c r="F114" s="448">
        <f t="shared" si="48"/>
        <v>2.6784701836957338E-2</v>
      </c>
      <c r="G114" s="448">
        <f t="shared" si="48"/>
        <v>3.1082908421834338E-2</v>
      </c>
      <c r="H114" s="448">
        <f t="shared" si="48"/>
        <v>3.5157037886172721E-2</v>
      </c>
      <c r="I114" s="448">
        <f t="shared" si="48"/>
        <v>3.9012079195542004E-2</v>
      </c>
      <c r="J114" s="448">
        <f t="shared" si="48"/>
        <v>4.2666146787361234E-2</v>
      </c>
      <c r="K114" s="448">
        <f t="shared" si="48"/>
        <v>4.6123704820036415E-2</v>
      </c>
      <c r="L114" s="448">
        <f t="shared" si="48"/>
        <v>4.9401011012145592E-2</v>
      </c>
      <c r="M114" s="448">
        <f t="shared" ref="M114:AY116" si="50">(M103/(1+$C$3)^(M$16-0.5)+L114)</f>
        <v>5.2507462379073722E-2</v>
      </c>
      <c r="N114" s="448">
        <f t="shared" si="50"/>
        <v>5.5446845168468734E-2</v>
      </c>
      <c r="O114" s="448">
        <f t="shared" si="50"/>
        <v>5.8232989992539834E-2</v>
      </c>
      <c r="P114" s="448">
        <f t="shared" si="50"/>
        <v>6.0869284697021131E-2</v>
      </c>
      <c r="Q114" s="448">
        <f t="shared" si="50"/>
        <v>6.3368142236813835E-2</v>
      </c>
      <c r="R114" s="448">
        <f t="shared" si="50"/>
        <v>6.5736727582588902E-2</v>
      </c>
      <c r="S114" s="448">
        <f t="shared" si="50"/>
        <v>6.7981832175740636E-2</v>
      </c>
      <c r="T114" s="448">
        <f t="shared" si="50"/>
        <v>7.0109893401476872E-2</v>
      </c>
      <c r="U114" s="448">
        <f t="shared" si="50"/>
        <v>7.2127013046724489E-2</v>
      </c>
      <c r="V114" s="448">
        <f t="shared" si="50"/>
        <v>7.4038974795774357E-2</v>
      </c>
      <c r="W114" s="448">
        <f t="shared" si="50"/>
        <v>7.5851260813831103E-2</v>
      </c>
      <c r="X114" s="448">
        <f t="shared" si="50"/>
        <v>7.7569067466017591E-2</v>
      </c>
      <c r="Y114" s="448">
        <f t="shared" si="50"/>
        <v>7.9197320216905259E-2</v>
      </c>
      <c r="Z114" s="448">
        <f t="shared" si="50"/>
        <v>8.0740687753291684E-2</v>
      </c>
      <c r="AA114" s="448">
        <f t="shared" si="50"/>
        <v>8.220359537071957E-2</v>
      </c>
      <c r="AB114" s="448">
        <f t="shared" si="50"/>
        <v>8.3590237662120412E-2</v>
      </c>
      <c r="AC114" s="448">
        <f t="shared" si="50"/>
        <v>8.4904590544964811E-2</v>
      </c>
      <c r="AD114" s="448">
        <f t="shared" si="50"/>
        <v>8.6150422661405004E-2</v>
      </c>
      <c r="AE114" s="448">
        <f t="shared" si="50"/>
        <v>8.7331306184097124E-2</v>
      </c>
      <c r="AF114" s="448">
        <f t="shared" si="50"/>
        <v>8.8450627058686809E-2</v>
      </c>
      <c r="AG114" s="448">
        <f t="shared" si="50"/>
        <v>8.9511594712326323E-2</v>
      </c>
      <c r="AH114" s="448">
        <f t="shared" si="50"/>
        <v>9.0517251256060458E-2</v>
      </c>
      <c r="AI114" s="448">
        <f t="shared" si="50"/>
        <v>9.1470480207467217E-2</v>
      </c>
      <c r="AJ114" s="448">
        <f t="shared" si="50"/>
        <v>9.2374014758563674E-2</v>
      </c>
      <c r="AK114" s="448">
        <f t="shared" si="50"/>
        <v>9.3230445612683538E-2</v>
      </c>
      <c r="AL114" s="448">
        <f t="shared" si="50"/>
        <v>9.4042228412797163E-2</v>
      </c>
      <c r="AM114" s="448">
        <f t="shared" si="50"/>
        <v>9.4811690782573108E-2</v>
      </c>
      <c r="AN114" s="448">
        <f t="shared" si="50"/>
        <v>9.5541039000370212E-2</v>
      </c>
      <c r="AO114" s="448">
        <f t="shared" si="50"/>
        <v>9.6232364325296374E-2</v>
      </c>
      <c r="AP114" s="448">
        <f t="shared" si="50"/>
        <v>9.6887648993472825E-2</v>
      </c>
      <c r="AQ114" s="448">
        <f t="shared" si="50"/>
        <v>9.7508771901696961E-2</v>
      </c>
      <c r="AR114" s="448">
        <f t="shared" si="50"/>
        <v>9.8097513994800406E-2</v>
      </c>
      <c r="AS114" s="448">
        <f t="shared" si="50"/>
        <v>9.8655563372149632E-2</v>
      </c>
      <c r="AT114" s="448">
        <f t="shared" si="50"/>
        <v>9.91845201279309E-2</v>
      </c>
      <c r="AU114" s="448">
        <f t="shared" si="50"/>
        <v>9.9685900939097974E-2</v>
      </c>
      <c r="AV114" s="448">
        <f t="shared" si="50"/>
        <v>0.10016114341413786</v>
      </c>
      <c r="AW114" s="448">
        <f t="shared" si="50"/>
        <v>0.10061161021512352</v>
      </c>
      <c r="AX114" s="448">
        <f t="shared" si="50"/>
        <v>0.10103859296487297</v>
      </c>
      <c r="AY114" s="449">
        <f t="shared" si="50"/>
        <v>0.10144331595041747</v>
      </c>
    </row>
    <row r="115" spans="1:51">
      <c r="A115" s="446" t="s">
        <v>2939</v>
      </c>
      <c r="B115" s="450">
        <f t="shared" si="49"/>
        <v>0.85432063306221828</v>
      </c>
      <c r="C115" s="451">
        <f t="shared" ref="C115:AH116" si="51">(C104/(1+$C$3)^(C$16-0.5)+B115)</f>
        <v>1.6641032236425202</v>
      </c>
      <c r="D115" s="451">
        <f t="shared" si="51"/>
        <v>2.4316696602115266</v>
      </c>
      <c r="E115" s="451">
        <f t="shared" si="51"/>
        <v>3.1592207849214855</v>
      </c>
      <c r="F115" s="451">
        <f t="shared" si="51"/>
        <v>3.8488427040778443</v>
      </c>
      <c r="G115" s="451">
        <f t="shared" si="51"/>
        <v>4.502512769628896</v>
      </c>
      <c r="H115" s="451">
        <f t="shared" si="51"/>
        <v>5.1221052488242051</v>
      </c>
      <c r="I115" s="451">
        <f t="shared" si="51"/>
        <v>5.7093966982984323</v>
      </c>
      <c r="J115" s="451">
        <f t="shared" si="51"/>
        <v>6.2660710579896426</v>
      </c>
      <c r="K115" s="451">
        <f t="shared" si="51"/>
        <v>6.7937244794978984</v>
      </c>
      <c r="L115" s="451">
        <f t="shared" si="51"/>
        <v>7.2938699027284732</v>
      </c>
      <c r="M115" s="451">
        <f t="shared" si="51"/>
        <v>7.7679413939422881</v>
      </c>
      <c r="N115" s="451">
        <f t="shared" si="51"/>
        <v>8.2172982576520646</v>
      </c>
      <c r="O115" s="451">
        <f t="shared" si="51"/>
        <v>8.643228934154223</v>
      </c>
      <c r="P115" s="451">
        <f t="shared" si="51"/>
        <v>9.0469546938719088</v>
      </c>
      <c r="Q115" s="451">
        <f t="shared" si="51"/>
        <v>9.4296331391019432</v>
      </c>
      <c r="R115" s="451">
        <f t="shared" si="51"/>
        <v>9.7923615232062406</v>
      </c>
      <c r="S115" s="451">
        <f t="shared" si="51"/>
        <v>10.136179896764817</v>
      </c>
      <c r="T115" s="451">
        <f t="shared" si="51"/>
        <v>10.462074089711335</v>
      </c>
      <c r="U115" s="451">
        <f t="shared" si="51"/>
        <v>10.770978538001872</v>
      </c>
      <c r="V115" s="451">
        <f t="shared" si="51"/>
        <v>11.063778962921813</v>
      </c>
      <c r="W115" s="451">
        <f t="shared" si="51"/>
        <v>11.341314910713226</v>
      </c>
      <c r="X115" s="451">
        <f t="shared" si="51"/>
        <v>11.604382159804613</v>
      </c>
      <c r="Y115" s="451">
        <f t="shared" si="51"/>
        <v>11.853735002545264</v>
      </c>
      <c r="Z115" s="451">
        <f t="shared" si="51"/>
        <v>12.09008840798664</v>
      </c>
      <c r="AA115" s="451">
        <f t="shared" si="51"/>
        <v>12.314120071912114</v>
      </c>
      <c r="AB115" s="451">
        <f t="shared" si="51"/>
        <v>12.526472359993132</v>
      </c>
      <c r="AC115" s="451">
        <f t="shared" si="51"/>
        <v>12.727754149643387</v>
      </c>
      <c r="AD115" s="451">
        <f t="shared" si="51"/>
        <v>12.918542575852159</v>
      </c>
      <c r="AE115" s="451">
        <f t="shared" si="51"/>
        <v>13.099384686002654</v>
      </c>
      <c r="AF115" s="451">
        <f t="shared" si="51"/>
        <v>13.270799008420186</v>
      </c>
      <c r="AG115" s="451">
        <f t="shared" si="51"/>
        <v>13.433277039147702</v>
      </c>
      <c r="AH115" s="451">
        <f t="shared" si="51"/>
        <v>13.5872846512117</v>
      </c>
      <c r="AI115" s="451">
        <f t="shared" si="50"/>
        <v>13.73326343041928</v>
      </c>
      <c r="AJ115" s="451">
        <f t="shared" si="50"/>
        <v>13.871631941516512</v>
      </c>
      <c r="AK115" s="451">
        <f t="shared" si="50"/>
        <v>14.002786928338534</v>
      </c>
      <c r="AL115" s="451">
        <f t="shared" si="50"/>
        <v>14.127104451392583</v>
      </c>
      <c r="AM115" s="451">
        <f t="shared" si="50"/>
        <v>14.244940966135758</v>
      </c>
      <c r="AN115" s="451">
        <f t="shared" si="50"/>
        <v>14.356634345039241</v>
      </c>
      <c r="AO115" s="451">
        <f t="shared" si="50"/>
        <v>14.462504846369557</v>
      </c>
      <c r="AP115" s="451">
        <f t="shared" si="50"/>
        <v>14.562856032464643</v>
      </c>
      <c r="AQ115" s="451">
        <f t="shared" si="50"/>
        <v>14.65797564013771</v>
      </c>
      <c r="AR115" s="451">
        <f t="shared" si="50"/>
        <v>14.748136405704599</v>
      </c>
      <c r="AS115" s="451">
        <f t="shared" si="50"/>
        <v>14.833596847000228</v>
      </c>
      <c r="AT115" s="451">
        <f t="shared" si="50"/>
        <v>14.914602004626417</v>
      </c>
      <c r="AU115" s="451">
        <f t="shared" si="50"/>
        <v>14.991384144556454</v>
      </c>
      <c r="AV115" s="451">
        <f t="shared" si="50"/>
        <v>15.064163424110991</v>
      </c>
      <c r="AW115" s="451">
        <f t="shared" si="50"/>
        <v>15.133148523214818</v>
      </c>
      <c r="AX115" s="451">
        <f t="shared" si="50"/>
        <v>15.198537242744511</v>
      </c>
      <c r="AY115" s="452">
        <f t="shared" si="50"/>
        <v>15.260517071682608</v>
      </c>
    </row>
    <row r="116" spans="1:51" ht="12.75" thickBot="1">
      <c r="A116" s="453" t="s">
        <v>2940</v>
      </c>
      <c r="B116" s="454">
        <f t="shared" si="49"/>
        <v>0.85432063306221828</v>
      </c>
      <c r="C116" s="455">
        <f t="shared" si="51"/>
        <v>1.6641032236425202</v>
      </c>
      <c r="D116" s="455">
        <f t="shared" si="51"/>
        <v>2.4316696602115266</v>
      </c>
      <c r="E116" s="455">
        <f t="shared" si="51"/>
        <v>3.1592207849214855</v>
      </c>
      <c r="F116" s="455">
        <f t="shared" si="51"/>
        <v>3.8488427040778443</v>
      </c>
      <c r="G116" s="455">
        <f t="shared" si="51"/>
        <v>4.502512769628896</v>
      </c>
      <c r="H116" s="455">
        <f t="shared" si="51"/>
        <v>5.1221052488242051</v>
      </c>
      <c r="I116" s="455">
        <f t="shared" si="51"/>
        <v>5.7093966982984323</v>
      </c>
      <c r="J116" s="455">
        <f t="shared" si="51"/>
        <v>6.2660710579896426</v>
      </c>
      <c r="K116" s="455">
        <f t="shared" si="51"/>
        <v>6.7937244794978984</v>
      </c>
      <c r="L116" s="455">
        <f t="shared" si="51"/>
        <v>7.2938699027284732</v>
      </c>
      <c r="M116" s="455">
        <f t="shared" si="51"/>
        <v>7.7679413939422881</v>
      </c>
      <c r="N116" s="455">
        <f t="shared" si="51"/>
        <v>8.2172982576520646</v>
      </c>
      <c r="O116" s="455">
        <f t="shared" si="51"/>
        <v>8.643228934154223</v>
      </c>
      <c r="P116" s="455">
        <f t="shared" si="51"/>
        <v>9.0469546938719088</v>
      </c>
      <c r="Q116" s="455">
        <f t="shared" si="51"/>
        <v>9.4296331391019432</v>
      </c>
      <c r="R116" s="455">
        <f t="shared" si="51"/>
        <v>9.7923615232062406</v>
      </c>
      <c r="S116" s="455">
        <f t="shared" si="51"/>
        <v>10.136179896764817</v>
      </c>
      <c r="T116" s="455">
        <f t="shared" si="51"/>
        <v>10.462074089711335</v>
      </c>
      <c r="U116" s="455">
        <f t="shared" si="51"/>
        <v>10.770978538001872</v>
      </c>
      <c r="V116" s="455">
        <f t="shared" si="51"/>
        <v>11.063778962921813</v>
      </c>
      <c r="W116" s="455">
        <f t="shared" si="51"/>
        <v>11.341314910713226</v>
      </c>
      <c r="X116" s="455">
        <f t="shared" si="51"/>
        <v>11.604382159804613</v>
      </c>
      <c r="Y116" s="455">
        <f t="shared" si="51"/>
        <v>11.853735002545264</v>
      </c>
      <c r="Z116" s="455">
        <f t="shared" si="51"/>
        <v>12.09008840798664</v>
      </c>
      <c r="AA116" s="455">
        <f t="shared" si="51"/>
        <v>12.314120071912114</v>
      </c>
      <c r="AB116" s="455">
        <f t="shared" si="51"/>
        <v>12.526472359993132</v>
      </c>
      <c r="AC116" s="455">
        <f t="shared" si="51"/>
        <v>12.727754149643387</v>
      </c>
      <c r="AD116" s="455">
        <f t="shared" si="51"/>
        <v>12.918542575852159</v>
      </c>
      <c r="AE116" s="455">
        <f t="shared" si="51"/>
        <v>13.099384686002654</v>
      </c>
      <c r="AF116" s="455">
        <f t="shared" si="51"/>
        <v>13.270799008420186</v>
      </c>
      <c r="AG116" s="455">
        <f t="shared" si="51"/>
        <v>13.433277039147702</v>
      </c>
      <c r="AH116" s="455">
        <f t="shared" si="51"/>
        <v>13.5872846512117</v>
      </c>
      <c r="AI116" s="455">
        <f t="shared" si="50"/>
        <v>13.73326343041928</v>
      </c>
      <c r="AJ116" s="455">
        <f t="shared" si="50"/>
        <v>13.871631941516512</v>
      </c>
      <c r="AK116" s="455">
        <f t="shared" si="50"/>
        <v>14.002786928338534</v>
      </c>
      <c r="AL116" s="455">
        <f t="shared" si="50"/>
        <v>14.127104451392583</v>
      </c>
      <c r="AM116" s="455">
        <f t="shared" si="50"/>
        <v>14.244940966135758</v>
      </c>
      <c r="AN116" s="455">
        <f t="shared" si="50"/>
        <v>14.356634345039241</v>
      </c>
      <c r="AO116" s="455">
        <f t="shared" si="50"/>
        <v>14.462504846369557</v>
      </c>
      <c r="AP116" s="455">
        <f t="shared" si="50"/>
        <v>14.562856032464643</v>
      </c>
      <c r="AQ116" s="455">
        <f t="shared" si="50"/>
        <v>14.65797564013771</v>
      </c>
      <c r="AR116" s="455">
        <f t="shared" si="50"/>
        <v>14.748136405704599</v>
      </c>
      <c r="AS116" s="455">
        <f t="shared" si="50"/>
        <v>14.833596847000228</v>
      </c>
      <c r="AT116" s="455">
        <f t="shared" si="50"/>
        <v>14.914602004626417</v>
      </c>
      <c r="AU116" s="455">
        <f t="shared" si="50"/>
        <v>14.991384144556454</v>
      </c>
      <c r="AV116" s="455">
        <f t="shared" si="50"/>
        <v>15.064163424110991</v>
      </c>
      <c r="AW116" s="455">
        <f t="shared" si="50"/>
        <v>15.133148523214818</v>
      </c>
      <c r="AX116" s="455">
        <f t="shared" si="50"/>
        <v>15.198537242744511</v>
      </c>
      <c r="AY116" s="456">
        <f t="shared" si="50"/>
        <v>15.260517071682608</v>
      </c>
    </row>
    <row r="118" spans="1:51" ht="15.75">
      <c r="A118" s="458" t="s">
        <v>2948</v>
      </c>
      <c r="B118" s="457"/>
      <c r="C118" s="457"/>
      <c r="D118" s="457"/>
      <c r="E118" s="457"/>
      <c r="F118" s="457"/>
      <c r="G118" s="457"/>
      <c r="H118" s="457"/>
      <c r="I118" s="457"/>
      <c r="J118" s="457"/>
      <c r="K118" s="457"/>
      <c r="L118" s="457"/>
      <c r="M118" s="457"/>
      <c r="N118" s="457"/>
      <c r="O118" s="457"/>
      <c r="P118" s="457"/>
      <c r="Q118" s="457"/>
      <c r="R118" s="457"/>
      <c r="S118" s="457"/>
      <c r="T118" s="457"/>
      <c r="U118" s="457"/>
      <c r="V118" s="457"/>
      <c r="W118" s="457"/>
      <c r="X118" s="457"/>
      <c r="Y118" s="457"/>
      <c r="Z118" s="457"/>
      <c r="AA118" s="457"/>
      <c r="AB118" s="457"/>
      <c r="AC118" s="457"/>
      <c r="AD118" s="457"/>
      <c r="AE118" s="457"/>
      <c r="AF118" s="457"/>
      <c r="AG118" s="457"/>
      <c r="AH118" s="457"/>
      <c r="AI118" s="457"/>
      <c r="AJ118" s="457"/>
      <c r="AK118" s="457"/>
      <c r="AL118" s="457"/>
      <c r="AM118" s="457"/>
      <c r="AN118" s="457"/>
      <c r="AO118" s="457"/>
      <c r="AP118" s="457"/>
      <c r="AQ118" s="457"/>
      <c r="AR118" s="457"/>
      <c r="AS118" s="457"/>
      <c r="AT118" s="457"/>
      <c r="AU118" s="457"/>
      <c r="AV118" s="457"/>
      <c r="AW118" s="457"/>
      <c r="AX118" s="457"/>
      <c r="AY118" s="457"/>
    </row>
    <row r="119" spans="1:51" ht="15.75" thickBot="1">
      <c r="A119" s="437" t="s">
        <v>2931</v>
      </c>
    </row>
    <row r="120" spans="1:51" ht="12.75" thickBot="1">
      <c r="A120" s="438" t="s">
        <v>2932</v>
      </c>
      <c r="B120" s="439">
        <v>2010</v>
      </c>
      <c r="C120" s="440">
        <v>2011</v>
      </c>
      <c r="D120" s="440">
        <v>2012</v>
      </c>
      <c r="E120" s="440">
        <v>2013</v>
      </c>
      <c r="F120" s="440">
        <v>2014</v>
      </c>
      <c r="G120" s="440">
        <v>2015</v>
      </c>
      <c r="H120" s="440">
        <v>2016</v>
      </c>
      <c r="I120" s="440">
        <v>2017</v>
      </c>
      <c r="J120" s="440">
        <v>2018</v>
      </c>
      <c r="K120" s="440">
        <v>2019</v>
      </c>
      <c r="L120" s="440">
        <v>2020</v>
      </c>
      <c r="M120" s="440">
        <v>2021</v>
      </c>
      <c r="N120" s="440">
        <v>2022</v>
      </c>
      <c r="O120" s="440">
        <v>2023</v>
      </c>
      <c r="P120" s="440">
        <v>2024</v>
      </c>
      <c r="Q120" s="440">
        <v>2025</v>
      </c>
      <c r="R120" s="440">
        <v>2026</v>
      </c>
      <c r="S120" s="440">
        <v>2027</v>
      </c>
      <c r="T120" s="440">
        <v>2028</v>
      </c>
      <c r="U120" s="440">
        <v>2029</v>
      </c>
      <c r="V120" s="440">
        <v>2030</v>
      </c>
      <c r="W120" s="440">
        <v>2031</v>
      </c>
      <c r="X120" s="440">
        <v>2032</v>
      </c>
      <c r="Y120" s="440">
        <v>2033</v>
      </c>
      <c r="Z120" s="440">
        <v>2034</v>
      </c>
      <c r="AA120" s="440">
        <v>2035</v>
      </c>
      <c r="AB120" s="440">
        <v>2036</v>
      </c>
      <c r="AC120" s="440">
        <v>2037</v>
      </c>
      <c r="AD120" s="440">
        <v>2038</v>
      </c>
      <c r="AE120" s="440">
        <v>2039</v>
      </c>
      <c r="AF120" s="440">
        <v>2040</v>
      </c>
      <c r="AG120" s="440">
        <v>2041</v>
      </c>
      <c r="AH120" s="440">
        <v>2042</v>
      </c>
      <c r="AI120" s="440">
        <v>2043</v>
      </c>
      <c r="AJ120" s="440">
        <v>2044</v>
      </c>
      <c r="AK120" s="440">
        <v>2045</v>
      </c>
      <c r="AL120" s="440">
        <v>2046</v>
      </c>
      <c r="AM120" s="440">
        <v>2047</v>
      </c>
      <c r="AN120" s="440">
        <v>2048</v>
      </c>
      <c r="AO120" s="440">
        <v>2049</v>
      </c>
      <c r="AP120" s="440">
        <v>2050</v>
      </c>
      <c r="AQ120" s="440">
        <v>2051</v>
      </c>
      <c r="AR120" s="440">
        <v>2052</v>
      </c>
      <c r="AS120" s="440">
        <v>2053</v>
      </c>
      <c r="AT120" s="440">
        <v>2054</v>
      </c>
      <c r="AU120" s="440">
        <v>2055</v>
      </c>
      <c r="AV120" s="440">
        <v>2056</v>
      </c>
      <c r="AW120" s="440">
        <v>2057</v>
      </c>
      <c r="AX120" s="440">
        <v>2058</v>
      </c>
      <c r="AY120" s="441">
        <v>2059</v>
      </c>
    </row>
    <row r="121" spans="1:51">
      <c r="A121" s="442" t="s">
        <v>2943</v>
      </c>
      <c r="B121" s="1754">
        <v>8.5398706896551727E-2</v>
      </c>
      <c r="C121" s="1755">
        <v>8.4051724137931036E-2</v>
      </c>
      <c r="D121" s="1755">
        <v>8.2737068965517233E-2</v>
      </c>
      <c r="E121" s="1755">
        <v>8.2090517241379321E-2</v>
      </c>
      <c r="F121" s="1755">
        <v>8.1454741379310344E-2</v>
      </c>
      <c r="G121" s="1755">
        <v>8.0818965517241367E-2</v>
      </c>
      <c r="H121" s="1755">
        <v>8.1023706896551709E-2</v>
      </c>
      <c r="I121" s="1755">
        <v>8.1217672413793102E-2</v>
      </c>
      <c r="J121" s="1755">
        <v>8.1422413793103443E-2</v>
      </c>
      <c r="K121" s="1755">
        <v>8.1616379310344822E-2</v>
      </c>
      <c r="L121" s="1755">
        <v>8.1821120689655177E-2</v>
      </c>
      <c r="M121" s="1755">
        <v>8.2015086206896542E-2</v>
      </c>
      <c r="N121" s="1755">
        <v>8.2219827586206884E-2</v>
      </c>
      <c r="O121" s="1755">
        <v>8.2424568965517225E-2</v>
      </c>
      <c r="P121" s="1755">
        <v>8.2629310344827595E-2</v>
      </c>
      <c r="Q121" s="1755">
        <v>8.2629310344827595E-2</v>
      </c>
      <c r="R121" s="1755">
        <v>8.2629310344827595E-2</v>
      </c>
      <c r="S121" s="1755">
        <v>8.2629310344827595E-2</v>
      </c>
      <c r="T121" s="1755">
        <v>8.2629310344827595E-2</v>
      </c>
      <c r="U121" s="1755">
        <v>8.2629310344827595E-2</v>
      </c>
      <c r="V121" s="1755">
        <v>8.2629310344827595E-2</v>
      </c>
      <c r="W121" s="1755">
        <v>8.2629310344827595E-2</v>
      </c>
      <c r="X121" s="1755">
        <v>8.2629310344827595E-2</v>
      </c>
      <c r="Y121" s="1755">
        <v>8.2629310344827595E-2</v>
      </c>
      <c r="Z121" s="1755">
        <v>8.2629310344827595E-2</v>
      </c>
      <c r="AA121" s="1755">
        <v>8.2629310344827595E-2</v>
      </c>
      <c r="AB121" s="1755">
        <v>8.2629310344827595E-2</v>
      </c>
      <c r="AC121" s="1755">
        <v>8.2629310344827595E-2</v>
      </c>
      <c r="AD121" s="1755">
        <v>8.2629310344827595E-2</v>
      </c>
      <c r="AE121" s="1755">
        <v>8.2629310344827595E-2</v>
      </c>
      <c r="AF121" s="1755">
        <v>8.2629310344827595E-2</v>
      </c>
      <c r="AG121" s="1755">
        <v>8.2629310344827595E-2</v>
      </c>
      <c r="AH121" s="1755">
        <v>8.2629310344827595E-2</v>
      </c>
      <c r="AI121" s="1755">
        <v>8.2629310344827595E-2</v>
      </c>
      <c r="AJ121" s="1755">
        <v>8.2629310344827595E-2</v>
      </c>
      <c r="AK121" s="1755">
        <v>8.2629310344827595E-2</v>
      </c>
      <c r="AL121" s="1755">
        <v>8.2629310344827595E-2</v>
      </c>
      <c r="AM121" s="1755">
        <v>8.2629310344827595E-2</v>
      </c>
      <c r="AN121" s="1755">
        <v>8.2629310344827595E-2</v>
      </c>
      <c r="AO121" s="1755">
        <v>8.2629310344827595E-2</v>
      </c>
      <c r="AP121" s="1755">
        <v>8.2629310344827595E-2</v>
      </c>
      <c r="AQ121" s="1755">
        <v>8.2629310344827595E-2</v>
      </c>
      <c r="AR121" s="1755">
        <v>8.2629310344827595E-2</v>
      </c>
      <c r="AS121" s="1755">
        <v>8.2629310344827595E-2</v>
      </c>
      <c r="AT121" s="1755">
        <v>8.2629310344827595E-2</v>
      </c>
      <c r="AU121" s="1755">
        <v>8.2629310344827595E-2</v>
      </c>
      <c r="AV121" s="1755">
        <v>8.2629310344827595E-2</v>
      </c>
      <c r="AW121" s="1755">
        <v>8.2629310344827595E-2</v>
      </c>
      <c r="AX121" s="1755">
        <v>8.2629310344827595E-2</v>
      </c>
      <c r="AY121" s="1756">
        <v>8.2629310344827595E-2</v>
      </c>
    </row>
    <row r="122" spans="1:51">
      <c r="A122" s="446" t="s">
        <v>2944</v>
      </c>
      <c r="B122" s="471">
        <v>85.398706896551715</v>
      </c>
      <c r="C122" s="472">
        <v>92.53232758620689</v>
      </c>
      <c r="D122" s="472">
        <v>99.234913793103431</v>
      </c>
      <c r="E122" s="472">
        <v>105.54956896551724</v>
      </c>
      <c r="F122" s="472">
        <v>111.48706896551724</v>
      </c>
      <c r="G122" s="472">
        <v>117.06896551724137</v>
      </c>
      <c r="H122" s="472">
        <v>122.32758620689654</v>
      </c>
      <c r="I122" s="472">
        <v>127.26293103448276</v>
      </c>
      <c r="J122" s="472">
        <v>131.90732758620689</v>
      </c>
      <c r="K122" s="472">
        <v>136.27155172413794</v>
      </c>
      <c r="L122" s="472">
        <v>140.36637931034483</v>
      </c>
      <c r="M122" s="472">
        <v>144.21336206896549</v>
      </c>
      <c r="N122" s="472">
        <v>144.21336206896549</v>
      </c>
      <c r="O122" s="472">
        <v>144.21336206896549</v>
      </c>
      <c r="P122" s="472">
        <v>144.21336206896549</v>
      </c>
      <c r="Q122" s="472">
        <v>144.21336206896549</v>
      </c>
      <c r="R122" s="472">
        <v>144.21336206896501</v>
      </c>
      <c r="S122" s="472">
        <v>144.21336206896501</v>
      </c>
      <c r="T122" s="472">
        <v>144.21336206896501</v>
      </c>
      <c r="U122" s="472">
        <v>144.21336206896501</v>
      </c>
      <c r="V122" s="472">
        <v>144.21336206896501</v>
      </c>
      <c r="W122" s="472">
        <v>144.21336206896501</v>
      </c>
      <c r="X122" s="472">
        <v>144.21336206896501</v>
      </c>
      <c r="Y122" s="472">
        <v>144.21336206896501</v>
      </c>
      <c r="Z122" s="472">
        <v>144.21336206896501</v>
      </c>
      <c r="AA122" s="472">
        <v>144.21336206896501</v>
      </c>
      <c r="AB122" s="472">
        <v>144.21336206896501</v>
      </c>
      <c r="AC122" s="472">
        <v>144.21336206896501</v>
      </c>
      <c r="AD122" s="472">
        <v>144.21336206896501</v>
      </c>
      <c r="AE122" s="472">
        <v>144.21336206896501</v>
      </c>
      <c r="AF122" s="472">
        <v>144.21336206896501</v>
      </c>
      <c r="AG122" s="472">
        <v>144.21336206896501</v>
      </c>
      <c r="AH122" s="472">
        <v>144.21336206896501</v>
      </c>
      <c r="AI122" s="472">
        <v>144.21336206896501</v>
      </c>
      <c r="AJ122" s="472">
        <v>144.21336206896501</v>
      </c>
      <c r="AK122" s="472">
        <v>144.21336206896501</v>
      </c>
      <c r="AL122" s="472">
        <v>144.21336206896501</v>
      </c>
      <c r="AM122" s="472">
        <v>144.21336206896501</v>
      </c>
      <c r="AN122" s="472">
        <v>144.21336206896501</v>
      </c>
      <c r="AO122" s="472">
        <v>144.21336206896501</v>
      </c>
      <c r="AP122" s="472">
        <v>144.21336206896501</v>
      </c>
      <c r="AQ122" s="472">
        <v>144.21336206896501</v>
      </c>
      <c r="AR122" s="472">
        <v>144.21336206896501</v>
      </c>
      <c r="AS122" s="472">
        <v>144.21336206896501</v>
      </c>
      <c r="AT122" s="472">
        <v>144.21336206896501</v>
      </c>
      <c r="AU122" s="472">
        <v>144.21336206896501</v>
      </c>
      <c r="AV122" s="472">
        <v>144.21336206896501</v>
      </c>
      <c r="AW122" s="472">
        <v>144.21336206896501</v>
      </c>
      <c r="AX122" s="472">
        <v>144.21336206896501</v>
      </c>
      <c r="AY122" s="473">
        <v>144.21336206896501</v>
      </c>
    </row>
    <row r="123" spans="1:51">
      <c r="A123" s="446" t="s">
        <v>2945</v>
      </c>
      <c r="B123" s="471">
        <v>13.64</v>
      </c>
      <c r="C123" s="472">
        <v>13.41</v>
      </c>
      <c r="D123" s="472">
        <v>13.19</v>
      </c>
      <c r="E123" s="472">
        <v>13.19</v>
      </c>
      <c r="F123" s="472">
        <v>13.19</v>
      </c>
      <c r="G123" s="472">
        <v>13.19</v>
      </c>
      <c r="H123" s="472">
        <v>13.27</v>
      </c>
      <c r="I123" s="472">
        <v>13.34</v>
      </c>
      <c r="J123" s="472">
        <v>13.42</v>
      </c>
      <c r="K123" s="472">
        <v>13.42</v>
      </c>
      <c r="L123" s="472">
        <v>13.42</v>
      </c>
      <c r="M123" s="472">
        <v>13.42</v>
      </c>
      <c r="N123" s="472">
        <v>13.42</v>
      </c>
      <c r="O123" s="472">
        <v>13.42</v>
      </c>
      <c r="P123" s="472">
        <v>13.42</v>
      </c>
      <c r="Q123" s="472">
        <v>13.42</v>
      </c>
      <c r="R123" s="472">
        <v>13.42</v>
      </c>
      <c r="S123" s="472">
        <v>13.42</v>
      </c>
      <c r="T123" s="472">
        <v>13.42</v>
      </c>
      <c r="U123" s="472">
        <v>13.42</v>
      </c>
      <c r="V123" s="472">
        <v>13.42</v>
      </c>
      <c r="W123" s="472">
        <v>13.42</v>
      </c>
      <c r="X123" s="472">
        <v>13.42</v>
      </c>
      <c r="Y123" s="472">
        <v>13.42</v>
      </c>
      <c r="Z123" s="472">
        <v>13.42</v>
      </c>
      <c r="AA123" s="472">
        <v>13.42</v>
      </c>
      <c r="AB123" s="472">
        <v>13.42</v>
      </c>
      <c r="AC123" s="472">
        <v>13.42</v>
      </c>
      <c r="AD123" s="472">
        <v>13.42</v>
      </c>
      <c r="AE123" s="472">
        <v>13.42</v>
      </c>
      <c r="AF123" s="472">
        <v>13.42</v>
      </c>
      <c r="AG123" s="472">
        <v>13.42</v>
      </c>
      <c r="AH123" s="472">
        <v>13.42</v>
      </c>
      <c r="AI123" s="472">
        <v>13.42</v>
      </c>
      <c r="AJ123" s="472">
        <v>13.42</v>
      </c>
      <c r="AK123" s="472">
        <v>13.42</v>
      </c>
      <c r="AL123" s="472">
        <v>13.42</v>
      </c>
      <c r="AM123" s="472">
        <v>13.42</v>
      </c>
      <c r="AN123" s="472">
        <v>13.42</v>
      </c>
      <c r="AO123" s="472">
        <v>13.42</v>
      </c>
      <c r="AP123" s="472">
        <v>13.42</v>
      </c>
      <c r="AQ123" s="472">
        <v>13.42</v>
      </c>
      <c r="AR123" s="472">
        <v>13.42</v>
      </c>
      <c r="AS123" s="472">
        <v>13.42</v>
      </c>
      <c r="AT123" s="472">
        <v>13.42</v>
      </c>
      <c r="AU123" s="472">
        <v>13.42</v>
      </c>
      <c r="AV123" s="472">
        <v>13.42</v>
      </c>
      <c r="AW123" s="472">
        <v>13.42</v>
      </c>
      <c r="AX123" s="472">
        <v>13.42</v>
      </c>
      <c r="AY123" s="473">
        <v>13.42</v>
      </c>
    </row>
    <row r="124" spans="1:51">
      <c r="A124" s="446" t="s">
        <v>2946</v>
      </c>
      <c r="B124" s="471">
        <v>12.012499999999999</v>
      </c>
      <c r="C124" s="472">
        <v>11.794166666666667</v>
      </c>
      <c r="D124" s="472">
        <v>11.585833333333333</v>
      </c>
      <c r="E124" s="472">
        <v>11.585833333333333</v>
      </c>
      <c r="F124" s="472">
        <v>11.585833333333333</v>
      </c>
      <c r="G124" s="472">
        <v>11.585833333333333</v>
      </c>
      <c r="H124" s="472">
        <v>11.66</v>
      </c>
      <c r="I124" s="472">
        <v>11.73</v>
      </c>
      <c r="J124" s="472">
        <v>11.804166666666667</v>
      </c>
      <c r="K124" s="472">
        <v>11.804166666666667</v>
      </c>
      <c r="L124" s="472">
        <v>11.804166666666667</v>
      </c>
      <c r="M124" s="472">
        <v>11.804166666666667</v>
      </c>
      <c r="N124" s="472">
        <v>11.804166666666667</v>
      </c>
      <c r="O124" s="472">
        <v>11.804166666666667</v>
      </c>
      <c r="P124" s="472">
        <v>11.804166666666667</v>
      </c>
      <c r="Q124" s="472">
        <v>11.804166666666667</v>
      </c>
      <c r="R124" s="472">
        <v>11.804166666666667</v>
      </c>
      <c r="S124" s="472">
        <v>11.804166666666667</v>
      </c>
      <c r="T124" s="472">
        <v>11.804166666666667</v>
      </c>
      <c r="U124" s="472">
        <v>11.804166666666667</v>
      </c>
      <c r="V124" s="472">
        <v>11.804166666666667</v>
      </c>
      <c r="W124" s="472">
        <v>11.804166666666667</v>
      </c>
      <c r="X124" s="472">
        <v>11.804166666666667</v>
      </c>
      <c r="Y124" s="472">
        <v>11.804166666666667</v>
      </c>
      <c r="Z124" s="472">
        <v>11.804166666666667</v>
      </c>
      <c r="AA124" s="472">
        <v>11.804166666666667</v>
      </c>
      <c r="AB124" s="472">
        <v>11.804166666666667</v>
      </c>
      <c r="AC124" s="472">
        <v>11.804166666666667</v>
      </c>
      <c r="AD124" s="472">
        <v>11.804166666666667</v>
      </c>
      <c r="AE124" s="472">
        <v>11.804166666666667</v>
      </c>
      <c r="AF124" s="472">
        <v>11.804166666666667</v>
      </c>
      <c r="AG124" s="472">
        <v>11.804166666666667</v>
      </c>
      <c r="AH124" s="472">
        <v>11.804166666666667</v>
      </c>
      <c r="AI124" s="472">
        <v>11.804166666666667</v>
      </c>
      <c r="AJ124" s="472">
        <v>11.804166666666667</v>
      </c>
      <c r="AK124" s="472">
        <v>11.804166666666667</v>
      </c>
      <c r="AL124" s="472">
        <v>11.804166666666667</v>
      </c>
      <c r="AM124" s="472">
        <v>11.804166666666667</v>
      </c>
      <c r="AN124" s="472">
        <v>11.804166666666667</v>
      </c>
      <c r="AO124" s="472">
        <v>11.804166666666667</v>
      </c>
      <c r="AP124" s="472">
        <v>11.804166666666667</v>
      </c>
      <c r="AQ124" s="472">
        <v>11.804166666666667</v>
      </c>
      <c r="AR124" s="472">
        <v>11.804166666666667</v>
      </c>
      <c r="AS124" s="472">
        <v>11.804166666666667</v>
      </c>
      <c r="AT124" s="472">
        <v>11.804166666666667</v>
      </c>
      <c r="AU124" s="472">
        <v>11.804166666666667</v>
      </c>
      <c r="AV124" s="472">
        <v>11.804166666666667</v>
      </c>
      <c r="AW124" s="472">
        <v>11.804166666666667</v>
      </c>
      <c r="AX124" s="472">
        <v>11.804166666666699</v>
      </c>
      <c r="AY124" s="473">
        <v>11.804166666666699</v>
      </c>
    </row>
    <row r="125" spans="1:51">
      <c r="A125" s="446" t="s">
        <v>2933</v>
      </c>
      <c r="B125" s="471">
        <v>7.2607266726146298</v>
      </c>
      <c r="C125" s="472">
        <v>7.9112857970161548</v>
      </c>
      <c r="D125" s="472">
        <v>8.1995068031839171</v>
      </c>
      <c r="E125" s="472">
        <v>8.4073776927334265</v>
      </c>
      <c r="F125" s="472">
        <v>8.5736326363918245</v>
      </c>
      <c r="G125" s="472">
        <v>8.7208261649062617</v>
      </c>
      <c r="H125" s="472">
        <v>8.8285181377174773</v>
      </c>
      <c r="I125" s="472">
        <v>8.8829506598476691</v>
      </c>
      <c r="J125" s="472">
        <v>9.0100552678251411</v>
      </c>
      <c r="K125" s="472">
        <v>9.0500408716374903</v>
      </c>
      <c r="L125" s="472">
        <v>9.1558646250250764</v>
      </c>
      <c r="M125" s="472">
        <v>9.244954159045637</v>
      </c>
      <c r="N125" s="472">
        <v>9.2425044625563437</v>
      </c>
      <c r="O125" s="472">
        <v>9.3135366023628183</v>
      </c>
      <c r="P125" s="472">
        <v>9.3834258849192018</v>
      </c>
      <c r="Q125" s="472">
        <v>9.4457625151136106</v>
      </c>
      <c r="R125" s="472">
        <v>9.4294343454096037</v>
      </c>
      <c r="S125" s="472">
        <v>9.4065940080935402</v>
      </c>
      <c r="T125" s="472">
        <v>9.3718934835830296</v>
      </c>
      <c r="U125" s="472">
        <v>9.3718934835830296</v>
      </c>
      <c r="V125" s="472">
        <v>9.3718934835830296</v>
      </c>
      <c r="W125" s="472">
        <v>9.3718934835830296</v>
      </c>
      <c r="X125" s="472">
        <v>9.3718934835830296</v>
      </c>
      <c r="Y125" s="472">
        <v>9.3718934835830296</v>
      </c>
      <c r="Z125" s="472">
        <v>9.3718934835830296</v>
      </c>
      <c r="AA125" s="472">
        <v>9.3718934835830296</v>
      </c>
      <c r="AB125" s="472">
        <v>9.3718934835830296</v>
      </c>
      <c r="AC125" s="472">
        <v>9.3718934835830296</v>
      </c>
      <c r="AD125" s="472">
        <v>9.3718934835830296</v>
      </c>
      <c r="AE125" s="472">
        <v>9.3718934835830296</v>
      </c>
      <c r="AF125" s="472">
        <v>9.3718934835830296</v>
      </c>
      <c r="AG125" s="472">
        <v>9.3718934835830296</v>
      </c>
      <c r="AH125" s="472">
        <v>9.3718934835830296</v>
      </c>
      <c r="AI125" s="472">
        <v>9.3718934835830296</v>
      </c>
      <c r="AJ125" s="472">
        <v>9.3718934835830296</v>
      </c>
      <c r="AK125" s="472">
        <v>9.3718934835830296</v>
      </c>
      <c r="AL125" s="472">
        <v>9.3718934835830296</v>
      </c>
      <c r="AM125" s="472">
        <v>9.3718934835830296</v>
      </c>
      <c r="AN125" s="472">
        <v>9.3718934835830296</v>
      </c>
      <c r="AO125" s="472">
        <v>9.3718934835830296</v>
      </c>
      <c r="AP125" s="472">
        <v>9.3718934835830296</v>
      </c>
      <c r="AQ125" s="472">
        <v>9.3718934835830296</v>
      </c>
      <c r="AR125" s="472">
        <v>9.3718934835830296</v>
      </c>
      <c r="AS125" s="472">
        <v>9.3718934835830296</v>
      </c>
      <c r="AT125" s="472">
        <v>9.3718934835830296</v>
      </c>
      <c r="AU125" s="472">
        <v>9.3718934835830296</v>
      </c>
      <c r="AV125" s="472">
        <v>9.3718934835830296</v>
      </c>
      <c r="AW125" s="472">
        <v>9.3718934835830296</v>
      </c>
      <c r="AX125" s="472">
        <v>9.3718934835830296</v>
      </c>
      <c r="AY125" s="473">
        <v>9.3718934835830296</v>
      </c>
    </row>
    <row r="126" spans="1:51">
      <c r="A126" s="446" t="s">
        <v>2934</v>
      </c>
      <c r="B126" s="447">
        <v>6.28E-3</v>
      </c>
      <c r="C126" s="448">
        <v>6.1999999999999998E-3</v>
      </c>
      <c r="D126" s="448">
        <v>6.1200000000000004E-3</v>
      </c>
      <c r="E126" s="448">
        <v>6.0000000000000001E-3</v>
      </c>
      <c r="F126" s="448">
        <v>5.8799999999999998E-3</v>
      </c>
      <c r="G126" s="448">
        <v>5.77E-3</v>
      </c>
      <c r="H126" s="448">
        <v>5.77E-3</v>
      </c>
      <c r="I126" s="448">
        <v>5.7599999999999995E-3</v>
      </c>
      <c r="J126" s="448">
        <v>5.7599999999999995E-3</v>
      </c>
      <c r="K126" s="448">
        <v>5.7499999999999999E-3</v>
      </c>
      <c r="L126" s="448">
        <v>5.7499999999999999E-3</v>
      </c>
      <c r="M126" s="448">
        <v>5.7499999999999999E-3</v>
      </c>
      <c r="N126" s="448">
        <v>5.7400000000000003E-3</v>
      </c>
      <c r="O126" s="448">
        <v>5.7400000000000003E-3</v>
      </c>
      <c r="P126" s="448">
        <v>5.7300000000000007E-3</v>
      </c>
      <c r="Q126" s="448">
        <v>5.7300000000000007E-3</v>
      </c>
      <c r="R126" s="448">
        <v>5.7300000000000007E-3</v>
      </c>
      <c r="S126" s="448">
        <v>5.7300000000000007E-3</v>
      </c>
      <c r="T126" s="448">
        <v>5.7300000000000007E-3</v>
      </c>
      <c r="U126" s="448">
        <v>5.7300000000000007E-3</v>
      </c>
      <c r="V126" s="448">
        <v>5.7300000000000007E-3</v>
      </c>
      <c r="W126" s="448">
        <v>5.7300000000000007E-3</v>
      </c>
      <c r="X126" s="448">
        <v>5.7300000000000007E-3</v>
      </c>
      <c r="Y126" s="448">
        <v>5.7300000000000007E-3</v>
      </c>
      <c r="Z126" s="448">
        <v>5.7300000000000007E-3</v>
      </c>
      <c r="AA126" s="448">
        <v>5.7300000000000007E-3</v>
      </c>
      <c r="AB126" s="448">
        <v>5.7300000000000007E-3</v>
      </c>
      <c r="AC126" s="448">
        <v>5.7300000000000007E-3</v>
      </c>
      <c r="AD126" s="448">
        <v>5.7300000000000007E-3</v>
      </c>
      <c r="AE126" s="448">
        <v>5.7300000000000007E-3</v>
      </c>
      <c r="AF126" s="448">
        <v>5.7300000000000007E-3</v>
      </c>
      <c r="AG126" s="448">
        <v>5.7300000000000007E-3</v>
      </c>
      <c r="AH126" s="448">
        <v>5.7300000000000007E-3</v>
      </c>
      <c r="AI126" s="448">
        <v>5.7300000000000007E-3</v>
      </c>
      <c r="AJ126" s="448">
        <v>5.7300000000000007E-3</v>
      </c>
      <c r="AK126" s="448">
        <v>5.7300000000000007E-3</v>
      </c>
      <c r="AL126" s="448">
        <v>5.7300000000000007E-3</v>
      </c>
      <c r="AM126" s="448">
        <v>5.7300000000000007E-3</v>
      </c>
      <c r="AN126" s="448">
        <v>5.7300000000000007E-3</v>
      </c>
      <c r="AO126" s="448">
        <v>5.7300000000000007E-3</v>
      </c>
      <c r="AP126" s="448">
        <v>5.7300000000000007E-3</v>
      </c>
      <c r="AQ126" s="448">
        <v>5.7300000000000007E-3</v>
      </c>
      <c r="AR126" s="448">
        <v>5.7300000000000007E-3</v>
      </c>
      <c r="AS126" s="448">
        <v>5.7300000000000007E-3</v>
      </c>
      <c r="AT126" s="448">
        <v>5.7300000000000007E-3</v>
      </c>
      <c r="AU126" s="448">
        <v>5.7300000000000007E-3</v>
      </c>
      <c r="AV126" s="448">
        <v>5.7300000000000007E-3</v>
      </c>
      <c r="AW126" s="448">
        <v>5.7300000000000007E-3</v>
      </c>
      <c r="AX126" s="448">
        <v>5.7300000000000007E-3</v>
      </c>
      <c r="AY126" s="449">
        <v>5.7300000000000007E-3</v>
      </c>
    </row>
    <row r="127" spans="1:51">
      <c r="A127" s="446" t="s">
        <v>2935</v>
      </c>
      <c r="B127" s="450">
        <f>(58.5/1000)*15</f>
        <v>0.87750000000000006</v>
      </c>
      <c r="C127" s="451">
        <f t="shared" ref="C127:AD128" si="52">(58.5/1000)*15</f>
        <v>0.87750000000000006</v>
      </c>
      <c r="D127" s="451">
        <f t="shared" si="52"/>
        <v>0.87750000000000006</v>
      </c>
      <c r="E127" s="451">
        <f t="shared" si="52"/>
        <v>0.87750000000000006</v>
      </c>
      <c r="F127" s="451">
        <f t="shared" si="52"/>
        <v>0.87750000000000006</v>
      </c>
      <c r="G127" s="451">
        <f t="shared" si="52"/>
        <v>0.87750000000000006</v>
      </c>
      <c r="H127" s="451">
        <f t="shared" si="52"/>
        <v>0.87750000000000006</v>
      </c>
      <c r="I127" s="451">
        <f t="shared" si="52"/>
        <v>0.87750000000000006</v>
      </c>
      <c r="J127" s="451">
        <f t="shared" si="52"/>
        <v>0.87750000000000006</v>
      </c>
      <c r="K127" s="451">
        <f t="shared" si="52"/>
        <v>0.87750000000000006</v>
      </c>
      <c r="L127" s="451">
        <f t="shared" si="52"/>
        <v>0.87750000000000006</v>
      </c>
      <c r="M127" s="451">
        <f t="shared" si="52"/>
        <v>0.87750000000000006</v>
      </c>
      <c r="N127" s="451">
        <f t="shared" si="52"/>
        <v>0.87750000000000006</v>
      </c>
      <c r="O127" s="451">
        <f t="shared" si="52"/>
        <v>0.87750000000000006</v>
      </c>
      <c r="P127" s="451">
        <f t="shared" si="52"/>
        <v>0.87750000000000006</v>
      </c>
      <c r="Q127" s="451">
        <f t="shared" si="52"/>
        <v>0.87750000000000006</v>
      </c>
      <c r="R127" s="451">
        <f t="shared" si="52"/>
        <v>0.87750000000000006</v>
      </c>
      <c r="S127" s="451">
        <f t="shared" si="52"/>
        <v>0.87750000000000006</v>
      </c>
      <c r="T127" s="451">
        <f t="shared" si="52"/>
        <v>0.87750000000000006</v>
      </c>
      <c r="U127" s="451">
        <f t="shared" si="52"/>
        <v>0.87750000000000006</v>
      </c>
      <c r="V127" s="451">
        <f t="shared" si="52"/>
        <v>0.87750000000000006</v>
      </c>
      <c r="W127" s="451">
        <f t="shared" si="52"/>
        <v>0.87750000000000006</v>
      </c>
      <c r="X127" s="451">
        <f t="shared" si="52"/>
        <v>0.87750000000000006</v>
      </c>
      <c r="Y127" s="451">
        <f t="shared" si="52"/>
        <v>0.87750000000000006</v>
      </c>
      <c r="Z127" s="451">
        <f t="shared" si="52"/>
        <v>0.87750000000000006</v>
      </c>
      <c r="AA127" s="451">
        <f t="shared" si="52"/>
        <v>0.87750000000000006</v>
      </c>
      <c r="AB127" s="451">
        <f t="shared" si="52"/>
        <v>0.87750000000000006</v>
      </c>
      <c r="AC127" s="451">
        <f t="shared" si="52"/>
        <v>0.87750000000000006</v>
      </c>
      <c r="AD127" s="451">
        <f t="shared" si="52"/>
        <v>0.87750000000000006</v>
      </c>
      <c r="AE127" s="451">
        <f>(58.5/1000)*15</f>
        <v>0.87750000000000006</v>
      </c>
      <c r="AF127" s="451">
        <f t="shared" ref="AF127:AY128" si="53">(58.5/1000)*15</f>
        <v>0.87750000000000006</v>
      </c>
      <c r="AG127" s="451">
        <f t="shared" si="53"/>
        <v>0.87750000000000006</v>
      </c>
      <c r="AH127" s="451">
        <f t="shared" si="53"/>
        <v>0.87750000000000006</v>
      </c>
      <c r="AI127" s="451">
        <f t="shared" si="53"/>
        <v>0.87750000000000006</v>
      </c>
      <c r="AJ127" s="451">
        <f t="shared" si="53"/>
        <v>0.87750000000000006</v>
      </c>
      <c r="AK127" s="451">
        <f t="shared" si="53"/>
        <v>0.87750000000000006</v>
      </c>
      <c r="AL127" s="451">
        <f t="shared" si="53"/>
        <v>0.87750000000000006</v>
      </c>
      <c r="AM127" s="451">
        <f t="shared" si="53"/>
        <v>0.87750000000000006</v>
      </c>
      <c r="AN127" s="451">
        <f t="shared" si="53"/>
        <v>0.87750000000000006</v>
      </c>
      <c r="AO127" s="451">
        <f t="shared" si="53"/>
        <v>0.87750000000000006</v>
      </c>
      <c r="AP127" s="451">
        <f t="shared" si="53"/>
        <v>0.87750000000000006</v>
      </c>
      <c r="AQ127" s="451">
        <f t="shared" si="53"/>
        <v>0.87750000000000006</v>
      </c>
      <c r="AR127" s="451">
        <f t="shared" si="53"/>
        <v>0.87750000000000006</v>
      </c>
      <c r="AS127" s="451">
        <f t="shared" si="53"/>
        <v>0.87750000000000006</v>
      </c>
      <c r="AT127" s="451">
        <f t="shared" si="53"/>
        <v>0.87750000000000006</v>
      </c>
      <c r="AU127" s="451">
        <f t="shared" si="53"/>
        <v>0.87750000000000006</v>
      </c>
      <c r="AV127" s="451">
        <f t="shared" si="53"/>
        <v>0.87750000000000006</v>
      </c>
      <c r="AW127" s="451">
        <f t="shared" si="53"/>
        <v>0.87750000000000006</v>
      </c>
      <c r="AX127" s="451">
        <f t="shared" si="53"/>
        <v>0.87750000000000006</v>
      </c>
      <c r="AY127" s="452">
        <f t="shared" si="53"/>
        <v>0.87750000000000006</v>
      </c>
    </row>
    <row r="128" spans="1:51" ht="12.75" thickBot="1">
      <c r="A128" s="453" t="s">
        <v>2936</v>
      </c>
      <c r="B128" s="454">
        <f>(58.5/1000)*15</f>
        <v>0.87750000000000006</v>
      </c>
      <c r="C128" s="455">
        <f t="shared" si="52"/>
        <v>0.87750000000000006</v>
      </c>
      <c r="D128" s="455">
        <f t="shared" si="52"/>
        <v>0.87750000000000006</v>
      </c>
      <c r="E128" s="455">
        <f t="shared" si="52"/>
        <v>0.87750000000000006</v>
      </c>
      <c r="F128" s="455">
        <f t="shared" si="52"/>
        <v>0.87750000000000006</v>
      </c>
      <c r="G128" s="455">
        <f t="shared" si="52"/>
        <v>0.87750000000000006</v>
      </c>
      <c r="H128" s="455">
        <f t="shared" si="52"/>
        <v>0.87750000000000006</v>
      </c>
      <c r="I128" s="455">
        <f t="shared" si="52"/>
        <v>0.87750000000000006</v>
      </c>
      <c r="J128" s="455">
        <f t="shared" si="52"/>
        <v>0.87750000000000006</v>
      </c>
      <c r="K128" s="455">
        <f t="shared" si="52"/>
        <v>0.87750000000000006</v>
      </c>
      <c r="L128" s="455">
        <f t="shared" si="52"/>
        <v>0.87750000000000006</v>
      </c>
      <c r="M128" s="455">
        <f t="shared" si="52"/>
        <v>0.87750000000000006</v>
      </c>
      <c r="N128" s="455">
        <f t="shared" si="52"/>
        <v>0.87750000000000006</v>
      </c>
      <c r="O128" s="455">
        <f t="shared" si="52"/>
        <v>0.87750000000000006</v>
      </c>
      <c r="P128" s="455">
        <f t="shared" si="52"/>
        <v>0.87750000000000006</v>
      </c>
      <c r="Q128" s="455">
        <f t="shared" si="52"/>
        <v>0.87750000000000006</v>
      </c>
      <c r="R128" s="455">
        <f t="shared" si="52"/>
        <v>0.87750000000000006</v>
      </c>
      <c r="S128" s="455">
        <f t="shared" si="52"/>
        <v>0.87750000000000006</v>
      </c>
      <c r="T128" s="455">
        <f t="shared" si="52"/>
        <v>0.87750000000000006</v>
      </c>
      <c r="U128" s="455">
        <f t="shared" si="52"/>
        <v>0.87750000000000006</v>
      </c>
      <c r="V128" s="455">
        <f t="shared" si="52"/>
        <v>0.87750000000000006</v>
      </c>
      <c r="W128" s="455">
        <f t="shared" si="52"/>
        <v>0.87750000000000006</v>
      </c>
      <c r="X128" s="455">
        <f t="shared" si="52"/>
        <v>0.87750000000000006</v>
      </c>
      <c r="Y128" s="455">
        <f t="shared" si="52"/>
        <v>0.87750000000000006</v>
      </c>
      <c r="Z128" s="455">
        <f t="shared" si="52"/>
        <v>0.87750000000000006</v>
      </c>
      <c r="AA128" s="455">
        <f t="shared" si="52"/>
        <v>0.87750000000000006</v>
      </c>
      <c r="AB128" s="455">
        <f t="shared" si="52"/>
        <v>0.87750000000000006</v>
      </c>
      <c r="AC128" s="455">
        <f t="shared" si="52"/>
        <v>0.87750000000000006</v>
      </c>
      <c r="AD128" s="455">
        <f t="shared" si="52"/>
        <v>0.87750000000000006</v>
      </c>
      <c r="AE128" s="455">
        <f>(58.5/1000)*15</f>
        <v>0.87750000000000006</v>
      </c>
      <c r="AF128" s="455">
        <f t="shared" si="53"/>
        <v>0.87750000000000006</v>
      </c>
      <c r="AG128" s="455">
        <f t="shared" si="53"/>
        <v>0.87750000000000006</v>
      </c>
      <c r="AH128" s="455">
        <f t="shared" si="53"/>
        <v>0.87750000000000006</v>
      </c>
      <c r="AI128" s="455">
        <f t="shared" si="53"/>
        <v>0.87750000000000006</v>
      </c>
      <c r="AJ128" s="455">
        <f t="shared" si="53"/>
        <v>0.87750000000000006</v>
      </c>
      <c r="AK128" s="455">
        <f t="shared" si="53"/>
        <v>0.87750000000000006</v>
      </c>
      <c r="AL128" s="455">
        <f t="shared" si="53"/>
        <v>0.87750000000000006</v>
      </c>
      <c r="AM128" s="455">
        <f t="shared" si="53"/>
        <v>0.87750000000000006</v>
      </c>
      <c r="AN128" s="455">
        <f t="shared" si="53"/>
        <v>0.87750000000000006</v>
      </c>
      <c r="AO128" s="455">
        <f t="shared" si="53"/>
        <v>0.87750000000000006</v>
      </c>
      <c r="AP128" s="455">
        <f t="shared" si="53"/>
        <v>0.87750000000000006</v>
      </c>
      <c r="AQ128" s="455">
        <f t="shared" si="53"/>
        <v>0.87750000000000006</v>
      </c>
      <c r="AR128" s="455">
        <f t="shared" si="53"/>
        <v>0.87750000000000006</v>
      </c>
      <c r="AS128" s="455">
        <f t="shared" si="53"/>
        <v>0.87750000000000006</v>
      </c>
      <c r="AT128" s="455">
        <f t="shared" si="53"/>
        <v>0.87750000000000006</v>
      </c>
      <c r="AU128" s="455">
        <f t="shared" si="53"/>
        <v>0.87750000000000006</v>
      </c>
      <c r="AV128" s="455">
        <f t="shared" si="53"/>
        <v>0.87750000000000006</v>
      </c>
      <c r="AW128" s="455">
        <f t="shared" si="53"/>
        <v>0.87750000000000006</v>
      </c>
      <c r="AX128" s="455">
        <f t="shared" si="53"/>
        <v>0.87750000000000006</v>
      </c>
      <c r="AY128" s="456">
        <f t="shared" si="53"/>
        <v>0.87750000000000006</v>
      </c>
    </row>
    <row r="129" spans="1:51">
      <c r="B129" s="433"/>
      <c r="C129" s="433"/>
      <c r="D129" s="433"/>
      <c r="E129" s="433"/>
      <c r="F129" s="433"/>
      <c r="G129" s="433"/>
      <c r="H129" s="433"/>
      <c r="I129" s="433"/>
      <c r="J129" s="433"/>
      <c r="K129" s="433"/>
      <c r="L129" s="433"/>
      <c r="M129" s="433"/>
      <c r="N129" s="433"/>
      <c r="O129" s="433"/>
      <c r="P129" s="433"/>
      <c r="Q129" s="433"/>
      <c r="R129" s="433"/>
      <c r="S129" s="433"/>
      <c r="T129" s="433"/>
      <c r="U129" s="433"/>
      <c r="V129" s="433"/>
      <c r="W129" s="433"/>
      <c r="X129" s="433"/>
      <c r="Y129" s="433"/>
      <c r="Z129" s="433"/>
      <c r="AA129" s="433"/>
      <c r="AB129" s="433"/>
      <c r="AC129" s="433"/>
      <c r="AD129" s="433"/>
      <c r="AE129" s="433"/>
    </row>
    <row r="130" spans="1:51" ht="15.75" thickBot="1">
      <c r="A130" s="437" t="s">
        <v>2937</v>
      </c>
      <c r="B130" s="433"/>
      <c r="C130" s="433"/>
      <c r="D130" s="433"/>
      <c r="E130" s="433"/>
      <c r="F130" s="433"/>
      <c r="G130" s="433"/>
      <c r="H130" s="433"/>
      <c r="I130" s="433"/>
      <c r="J130" s="433"/>
      <c r="K130" s="433"/>
      <c r="L130" s="433"/>
      <c r="M130" s="433"/>
      <c r="N130" s="433"/>
      <c r="O130" s="433"/>
      <c r="P130" s="433"/>
      <c r="Q130" s="433"/>
      <c r="R130" s="433"/>
      <c r="S130" s="433"/>
      <c r="T130" s="433"/>
      <c r="U130" s="433"/>
      <c r="V130" s="433"/>
      <c r="W130" s="433"/>
      <c r="X130" s="433"/>
      <c r="Y130" s="433"/>
      <c r="Z130" s="433"/>
      <c r="AA130" s="433"/>
      <c r="AB130" s="433"/>
      <c r="AC130" s="433"/>
      <c r="AD130" s="433"/>
      <c r="AE130" s="433"/>
    </row>
    <row r="131" spans="1:51" ht="12.75" thickBot="1">
      <c r="A131" s="438" t="s">
        <v>2932</v>
      </c>
      <c r="B131" s="439">
        <v>1</v>
      </c>
      <c r="C131" s="440">
        <v>2</v>
      </c>
      <c r="D131" s="440">
        <v>3</v>
      </c>
      <c r="E131" s="440">
        <v>4</v>
      </c>
      <c r="F131" s="440">
        <v>5</v>
      </c>
      <c r="G131" s="440">
        <v>6</v>
      </c>
      <c r="H131" s="440">
        <v>7</v>
      </c>
      <c r="I131" s="440">
        <v>8</v>
      </c>
      <c r="J131" s="440">
        <v>9</v>
      </c>
      <c r="K131" s="440">
        <v>10</v>
      </c>
      <c r="L131" s="440">
        <v>11</v>
      </c>
      <c r="M131" s="440">
        <v>12</v>
      </c>
      <c r="N131" s="440">
        <v>13</v>
      </c>
      <c r="O131" s="440">
        <v>14</v>
      </c>
      <c r="P131" s="440">
        <v>15</v>
      </c>
      <c r="Q131" s="440">
        <v>16</v>
      </c>
      <c r="R131" s="440">
        <v>17</v>
      </c>
      <c r="S131" s="440">
        <v>18</v>
      </c>
      <c r="T131" s="440">
        <v>19</v>
      </c>
      <c r="U131" s="440">
        <v>20</v>
      </c>
      <c r="V131" s="440">
        <v>21</v>
      </c>
      <c r="W131" s="440">
        <v>22</v>
      </c>
      <c r="X131" s="440">
        <v>23</v>
      </c>
      <c r="Y131" s="440">
        <v>24</v>
      </c>
      <c r="Z131" s="440">
        <v>25</v>
      </c>
      <c r="AA131" s="440">
        <v>26</v>
      </c>
      <c r="AB131" s="440">
        <v>27</v>
      </c>
      <c r="AC131" s="440">
        <v>28</v>
      </c>
      <c r="AD131" s="440">
        <v>29</v>
      </c>
      <c r="AE131" s="440">
        <v>30</v>
      </c>
      <c r="AF131" s="440">
        <f t="shared" ref="AF131:AY131" si="54">AE131+1</f>
        <v>31</v>
      </c>
      <c r="AG131" s="440">
        <f t="shared" si="54"/>
        <v>32</v>
      </c>
      <c r="AH131" s="440">
        <f t="shared" si="54"/>
        <v>33</v>
      </c>
      <c r="AI131" s="440">
        <f t="shared" si="54"/>
        <v>34</v>
      </c>
      <c r="AJ131" s="440">
        <f t="shared" si="54"/>
        <v>35</v>
      </c>
      <c r="AK131" s="440">
        <f t="shared" si="54"/>
        <v>36</v>
      </c>
      <c r="AL131" s="440">
        <f t="shared" si="54"/>
        <v>37</v>
      </c>
      <c r="AM131" s="440">
        <f t="shared" si="54"/>
        <v>38</v>
      </c>
      <c r="AN131" s="440">
        <f t="shared" si="54"/>
        <v>39</v>
      </c>
      <c r="AO131" s="440">
        <f t="shared" si="54"/>
        <v>40</v>
      </c>
      <c r="AP131" s="440">
        <f t="shared" si="54"/>
        <v>41</v>
      </c>
      <c r="AQ131" s="440">
        <f t="shared" si="54"/>
        <v>42</v>
      </c>
      <c r="AR131" s="440">
        <f t="shared" si="54"/>
        <v>43</v>
      </c>
      <c r="AS131" s="440">
        <f t="shared" si="54"/>
        <v>44</v>
      </c>
      <c r="AT131" s="440">
        <f t="shared" si="54"/>
        <v>45</v>
      </c>
      <c r="AU131" s="440">
        <f t="shared" si="54"/>
        <v>46</v>
      </c>
      <c r="AV131" s="440">
        <f t="shared" si="54"/>
        <v>47</v>
      </c>
      <c r="AW131" s="440">
        <f t="shared" si="54"/>
        <v>48</v>
      </c>
      <c r="AX131" s="440">
        <f t="shared" si="54"/>
        <v>49</v>
      </c>
      <c r="AY131" s="441">
        <f t="shared" si="54"/>
        <v>50</v>
      </c>
    </row>
    <row r="132" spans="1:51">
      <c r="A132" s="442" t="s">
        <v>2955</v>
      </c>
      <c r="B132" s="443">
        <v>8.5000000000000006E-2</v>
      </c>
      <c r="C132" s="444">
        <f t="shared" ref="C132:AY137" si="55">(C121/(1+$C$3)^(C$16-0.5)+B132)</f>
        <v>0.16256538223949252</v>
      </c>
      <c r="D132" s="444">
        <f t="shared" si="55"/>
        <v>0.23493711693809788</v>
      </c>
      <c r="E132" s="444">
        <f t="shared" si="55"/>
        <v>0.30299984986913808</v>
      </c>
      <c r="F132" s="444">
        <f t="shared" si="55"/>
        <v>0.36701463627869352</v>
      </c>
      <c r="G132" s="444">
        <f t="shared" si="55"/>
        <v>0.42721855478287962</v>
      </c>
      <c r="H132" s="444">
        <f t="shared" si="55"/>
        <v>0.48442844587077538</v>
      </c>
      <c r="I132" s="444">
        <f t="shared" si="55"/>
        <v>0.53878564764264947</v>
      </c>
      <c r="J132" s="444">
        <f t="shared" si="55"/>
        <v>0.5904389468595026</v>
      </c>
      <c r="K132" s="444">
        <f t="shared" si="55"/>
        <v>0.63951605431730218</v>
      </c>
      <c r="L132" s="444">
        <f t="shared" si="55"/>
        <v>0.6861513352706099</v>
      </c>
      <c r="M132" s="444">
        <f t="shared" si="55"/>
        <v>0.73046018338472163</v>
      </c>
      <c r="N132" s="444">
        <f t="shared" si="55"/>
        <v>0.77256393707007387</v>
      </c>
      <c r="O132" s="444">
        <f t="shared" si="55"/>
        <v>0.81257208797592184</v>
      </c>
      <c r="P132" s="444">
        <f t="shared" si="55"/>
        <v>0.85058870460716285</v>
      </c>
      <c r="Q132" s="444">
        <f t="shared" si="55"/>
        <v>0.88662341231450026</v>
      </c>
      <c r="R132" s="444">
        <f t="shared" si="55"/>
        <v>0.92077953336410923</v>
      </c>
      <c r="S132" s="444">
        <f t="shared" si="55"/>
        <v>0.95315500355331195</v>
      </c>
      <c r="T132" s="444">
        <f t="shared" si="55"/>
        <v>0.98384265302175056</v>
      </c>
      <c r="U132" s="444">
        <f t="shared" si="55"/>
        <v>1.0129304724231143</v>
      </c>
      <c r="V132" s="444">
        <f t="shared" si="55"/>
        <v>1.0405018652206155</v>
      </c>
      <c r="W132" s="444">
        <f t="shared" si="55"/>
        <v>1.0666358868296213</v>
      </c>
      <c r="X132" s="444">
        <f t="shared" si="55"/>
        <v>1.0914074712931339</v>
      </c>
      <c r="Y132" s="444">
        <f t="shared" si="55"/>
        <v>1.1148876461400652</v>
      </c>
      <c r="Z132" s="444">
        <f t="shared" si="55"/>
        <v>1.1371437360423697</v>
      </c>
      <c r="AA132" s="444">
        <f t="shared" si="55"/>
        <v>1.1582395558549807</v>
      </c>
      <c r="AB132" s="444">
        <f t="shared" si="55"/>
        <v>1.1782355935920528</v>
      </c>
      <c r="AC132" s="444">
        <f t="shared" si="55"/>
        <v>1.1971891838641591</v>
      </c>
      <c r="AD132" s="444">
        <f t="shared" si="55"/>
        <v>1.2151546722737385</v>
      </c>
      <c r="AE132" s="444">
        <f t="shared" si="55"/>
        <v>1.2321835712401645</v>
      </c>
      <c r="AF132" s="444">
        <f t="shared" si="55"/>
        <v>1.2483247077012318</v>
      </c>
      <c r="AG132" s="444">
        <f t="shared" si="55"/>
        <v>1.2636243631145656</v>
      </c>
      <c r="AH132" s="444">
        <f t="shared" si="55"/>
        <v>1.2781264061603796</v>
      </c>
      <c r="AI132" s="444">
        <f t="shared" si="55"/>
        <v>1.2918724185260801</v>
      </c>
      <c r="AJ132" s="444">
        <f t="shared" si="55"/>
        <v>1.3049018141333792</v>
      </c>
      <c r="AK132" s="444">
        <f t="shared" si="55"/>
        <v>1.3172519521497765</v>
      </c>
      <c r="AL132" s="444">
        <f t="shared" si="55"/>
        <v>1.3289582441084469</v>
      </c>
      <c r="AM132" s="444">
        <f t="shared" si="55"/>
        <v>1.3400542554436794</v>
      </c>
      <c r="AN132" s="444">
        <f t="shared" si="55"/>
        <v>1.3505718017329993</v>
      </c>
      <c r="AO132" s="444">
        <f t="shared" si="55"/>
        <v>1.3605410399219282</v>
      </c>
      <c r="AP132" s="444">
        <f t="shared" si="55"/>
        <v>1.369990554792951</v>
      </c>
      <c r="AQ132" s="444">
        <f t="shared" si="55"/>
        <v>1.3789474409266218</v>
      </c>
      <c r="AR132" s="444">
        <f t="shared" si="55"/>
        <v>1.3874373803898168</v>
      </c>
      <c r="AS132" s="444">
        <f t="shared" si="55"/>
        <v>1.3954847163738879</v>
      </c>
      <c r="AT132" s="444">
        <f t="shared" si="55"/>
        <v>1.4031125229938606</v>
      </c>
      <c r="AU132" s="444">
        <f t="shared" si="55"/>
        <v>1.410342671448811</v>
      </c>
      <c r="AV132" s="444">
        <f t="shared" si="55"/>
        <v>1.4171958927331241</v>
      </c>
      <c r="AW132" s="444">
        <f t="shared" si="55"/>
        <v>1.4236918370784446</v>
      </c>
      <c r="AX132" s="444">
        <f t="shared" si="55"/>
        <v>1.429849130296758</v>
      </c>
      <c r="AY132" s="445">
        <f t="shared" si="55"/>
        <v>1.4356854271861546</v>
      </c>
    </row>
    <row r="133" spans="1:51">
      <c r="A133" s="446" t="s">
        <v>2956</v>
      </c>
      <c r="B133" s="450">
        <f t="shared" ref="B133:B139" si="56">B122/(1+$C$3)^(B$16-0.5)</f>
        <v>83.142880157899583</v>
      </c>
      <c r="C133" s="451">
        <f t="shared" si="55"/>
        <v>168.53441057976141</v>
      </c>
      <c r="D133" s="451">
        <f t="shared" si="55"/>
        <v>255.33713327310039</v>
      </c>
      <c r="E133" s="451">
        <f t="shared" si="55"/>
        <v>342.85019038251738</v>
      </c>
      <c r="F133" s="451">
        <f t="shared" si="55"/>
        <v>430.46720059461694</v>
      </c>
      <c r="G133" s="451">
        <f t="shared" si="55"/>
        <v>517.67458334521405</v>
      </c>
      <c r="H133" s="451">
        <f t="shared" si="55"/>
        <v>604.04866016790231</v>
      </c>
      <c r="I133" s="451">
        <f t="shared" si="55"/>
        <v>689.22294077369145</v>
      </c>
      <c r="J133" s="451">
        <f t="shared" si="55"/>
        <v>772.90319960289992</v>
      </c>
      <c r="K133" s="451">
        <f t="shared" si="55"/>
        <v>854.84525147923114</v>
      </c>
      <c r="L133" s="451">
        <f t="shared" si="55"/>
        <v>934.84935653622915</v>
      </c>
      <c r="M133" s="451">
        <f t="shared" si="55"/>
        <v>1012.7609731846534</v>
      </c>
      <c r="N133" s="451">
        <f t="shared" si="55"/>
        <v>1086.6108467850554</v>
      </c>
      <c r="O133" s="451">
        <f t="shared" si="55"/>
        <v>1156.61072697501</v>
      </c>
      <c r="P133" s="451">
        <f t="shared" si="55"/>
        <v>1222.96132431146</v>
      </c>
      <c r="Q133" s="451">
        <f t="shared" si="55"/>
        <v>1285.8528857678107</v>
      </c>
      <c r="R133" s="451">
        <f t="shared" si="55"/>
        <v>1345.4657402288062</v>
      </c>
      <c r="S133" s="451">
        <f t="shared" si="55"/>
        <v>1401.9708155472856</v>
      </c>
      <c r="T133" s="451">
        <f t="shared" si="55"/>
        <v>1455.5301286453703</v>
      </c>
      <c r="U133" s="451">
        <f t="shared" si="55"/>
        <v>1506.2972500653557</v>
      </c>
      <c r="V133" s="451">
        <f t="shared" si="55"/>
        <v>1554.4177443023086</v>
      </c>
      <c r="W133" s="451">
        <f t="shared" si="55"/>
        <v>1600.0295871809371</v>
      </c>
      <c r="X133" s="451">
        <f t="shared" si="55"/>
        <v>1643.2635614734759</v>
      </c>
      <c r="Y133" s="451">
        <f t="shared" si="55"/>
        <v>1684.243631892944</v>
      </c>
      <c r="Z133" s="451">
        <f t="shared" si="55"/>
        <v>1723.0873005369897</v>
      </c>
      <c r="AA133" s="451">
        <f t="shared" si="55"/>
        <v>1759.9059438014879</v>
      </c>
      <c r="AB133" s="451">
        <f t="shared" si="55"/>
        <v>1794.8051317299221</v>
      </c>
      <c r="AC133" s="451">
        <f t="shared" si="55"/>
        <v>1827.88493071422</v>
      </c>
      <c r="AD133" s="451">
        <f t="shared" si="55"/>
        <v>1859.2401904149763</v>
      </c>
      <c r="AE133" s="451">
        <f t="shared" si="55"/>
        <v>1888.9608157237501</v>
      </c>
      <c r="AF133" s="451">
        <f t="shared" si="55"/>
        <v>1917.1320245472323</v>
      </c>
      <c r="AG133" s="451">
        <f t="shared" si="55"/>
        <v>1943.8345921524287</v>
      </c>
      <c r="AH133" s="451">
        <f t="shared" si="55"/>
        <v>1969.1450827734679</v>
      </c>
      <c r="AI133" s="451">
        <f t="shared" si="55"/>
        <v>1993.1360691441214</v>
      </c>
      <c r="AJ133" s="451">
        <f t="shared" si="55"/>
        <v>2015.8763405854991</v>
      </c>
      <c r="AK133" s="451">
        <f t="shared" si="55"/>
        <v>2037.4311002455727</v>
      </c>
      <c r="AL133" s="451">
        <f t="shared" si="55"/>
        <v>2057.8621520560691</v>
      </c>
      <c r="AM133" s="451">
        <f t="shared" si="55"/>
        <v>2077.2280779427956</v>
      </c>
      <c r="AN133" s="451">
        <f t="shared" si="55"/>
        <v>2095.5844057975123</v>
      </c>
      <c r="AO133" s="451">
        <f t="shared" si="55"/>
        <v>2112.9837686929786</v>
      </c>
      <c r="AP133" s="451">
        <f t="shared" si="55"/>
        <v>2129.4760557976861</v>
      </c>
      <c r="AQ133" s="451">
        <f t="shared" si="55"/>
        <v>2145.1085554230012</v>
      </c>
      <c r="AR133" s="451">
        <f t="shared" si="55"/>
        <v>2159.9260906128734</v>
      </c>
      <c r="AS133" s="451">
        <f t="shared" si="55"/>
        <v>2173.9711476648849</v>
      </c>
      <c r="AT133" s="451">
        <f t="shared" si="55"/>
        <v>2187.2839979511518</v>
      </c>
      <c r="AU133" s="451">
        <f t="shared" si="55"/>
        <v>2199.9028133883717</v>
      </c>
      <c r="AV133" s="451">
        <f t="shared" si="55"/>
        <v>2211.8637758881059</v>
      </c>
      <c r="AW133" s="451">
        <f t="shared" si="55"/>
        <v>2223.2011811011243</v>
      </c>
      <c r="AX133" s="451">
        <f t="shared" si="55"/>
        <v>2233.9475367532746</v>
      </c>
      <c r="AY133" s="452">
        <f t="shared" si="55"/>
        <v>2244.1336558548387</v>
      </c>
    </row>
    <row r="134" spans="1:51">
      <c r="A134" s="446" t="s">
        <v>2957</v>
      </c>
      <c r="B134" s="450">
        <f t="shared" si="56"/>
        <v>13.279696222186503</v>
      </c>
      <c r="C134" s="451">
        <f t="shared" si="55"/>
        <v>25.654835298747013</v>
      </c>
      <c r="D134" s="451">
        <f t="shared" si="55"/>
        <v>37.192386635892532</v>
      </c>
      <c r="E134" s="451">
        <f t="shared" si="55"/>
        <v>48.128454254039944</v>
      </c>
      <c r="F134" s="451">
        <f t="shared" si="55"/>
        <v>58.494395124321855</v>
      </c>
      <c r="G134" s="451">
        <f t="shared" si="55"/>
        <v>68.319931494257318</v>
      </c>
      <c r="H134" s="451">
        <f t="shared" si="55"/>
        <v>77.689723173940223</v>
      </c>
      <c r="I134" s="451">
        <f t="shared" si="55"/>
        <v>86.617891761958674</v>
      </c>
      <c r="J134" s="451">
        <f t="shared" si="55"/>
        <v>95.131361741509721</v>
      </c>
      <c r="K134" s="451">
        <f t="shared" si="55"/>
        <v>103.20100153255336</v>
      </c>
      <c r="L134" s="451">
        <f t="shared" si="55"/>
        <v>110.84994920178904</v>
      </c>
      <c r="M134" s="451">
        <f t="shared" si="55"/>
        <v>118.10013656599348</v>
      </c>
      <c r="N134" s="451">
        <f t="shared" si="55"/>
        <v>124.97235207708773</v>
      </c>
      <c r="O134" s="451">
        <f t="shared" si="55"/>
        <v>131.48630042883585</v>
      </c>
      <c r="P134" s="451">
        <f t="shared" si="55"/>
        <v>137.66065905608525</v>
      </c>
      <c r="Q134" s="451">
        <f t="shared" si="55"/>
        <v>143.51313168854912</v>
      </c>
      <c r="R134" s="451">
        <f t="shared" si="55"/>
        <v>149.06049911268551</v>
      </c>
      <c r="S134" s="451">
        <f t="shared" si="55"/>
        <v>154.31866728722235</v>
      </c>
      <c r="T134" s="451">
        <f t="shared" si="55"/>
        <v>159.30271295029047</v>
      </c>
      <c r="U134" s="451">
        <f t="shared" si="55"/>
        <v>164.02692684893321</v>
      </c>
      <c r="V134" s="451">
        <f t="shared" si="55"/>
        <v>168.50485471494531</v>
      </c>
      <c r="W134" s="451">
        <f t="shared" si="55"/>
        <v>172.74933610453024</v>
      </c>
      <c r="X134" s="451">
        <f t="shared" si="55"/>
        <v>176.77254121314155</v>
      </c>
      <c r="Y134" s="451">
        <f t="shared" si="55"/>
        <v>180.58600577106697</v>
      </c>
      <c r="Z134" s="451">
        <f t="shared" si="55"/>
        <v>184.20066411981142</v>
      </c>
      <c r="AA134" s="451">
        <f t="shared" si="55"/>
        <v>187.62688056411898</v>
      </c>
      <c r="AB134" s="451">
        <f t="shared" si="55"/>
        <v>190.87447908952896</v>
      </c>
      <c r="AC134" s="451">
        <f t="shared" si="55"/>
        <v>193.95277153067588</v>
      </c>
      <c r="AD134" s="451">
        <f t="shared" si="55"/>
        <v>196.87058427109949</v>
      </c>
      <c r="AE134" s="451">
        <f t="shared" si="55"/>
        <v>199.63628355112186</v>
      </c>
      <c r="AF134" s="451">
        <f t="shared" si="55"/>
        <v>202.25779945635634</v>
      </c>
      <c r="AG134" s="451">
        <f t="shared" si="55"/>
        <v>204.74264865563075</v>
      </c>
      <c r="AH134" s="451">
        <f t="shared" si="55"/>
        <v>207.09795595352116</v>
      </c>
      <c r="AI134" s="451">
        <f t="shared" si="55"/>
        <v>209.33047471929407</v>
      </c>
      <c r="AJ134" s="451">
        <f t="shared" si="55"/>
        <v>211.44660625083239</v>
      </c>
      <c r="AK134" s="451">
        <f t="shared" si="55"/>
        <v>213.45241812906775</v>
      </c>
      <c r="AL134" s="451">
        <f t="shared" si="55"/>
        <v>215.35366161554677</v>
      </c>
      <c r="AM134" s="451">
        <f t="shared" si="55"/>
        <v>217.15578814301503</v>
      </c>
      <c r="AN134" s="451">
        <f t="shared" si="55"/>
        <v>218.86396494630247</v>
      </c>
      <c r="AO134" s="451">
        <f t="shared" si="55"/>
        <v>220.48308987832849</v>
      </c>
      <c r="AP134" s="451">
        <f t="shared" si="55"/>
        <v>222.0178054537086</v>
      </c>
      <c r="AQ134" s="451">
        <f t="shared" si="55"/>
        <v>223.47251216023005</v>
      </c>
      <c r="AR134" s="451">
        <f t="shared" si="55"/>
        <v>224.85138107636411</v>
      </c>
      <c r="AS134" s="451">
        <f t="shared" si="55"/>
        <v>226.15836583099355</v>
      </c>
      <c r="AT134" s="451">
        <f t="shared" si="55"/>
        <v>227.39721393964706</v>
      </c>
      <c r="AU134" s="451">
        <f t="shared" si="55"/>
        <v>228.57147754974517</v>
      </c>
      <c r="AV134" s="451">
        <f t="shared" si="55"/>
        <v>229.68452362566754</v>
      </c>
      <c r="AW134" s="451">
        <f t="shared" si="55"/>
        <v>230.73954360284515</v>
      </c>
      <c r="AX134" s="451">
        <f t="shared" si="55"/>
        <v>231.73956253855852</v>
      </c>
      <c r="AY134" s="452">
        <f t="shared" si="55"/>
        <v>232.68744778568021</v>
      </c>
    </row>
    <row r="135" spans="1:51">
      <c r="A135" s="446" t="s">
        <v>2958</v>
      </c>
      <c r="B135" s="450">
        <f t="shared" si="56"/>
        <v>11.695187013857431</v>
      </c>
      <c r="C135" s="451">
        <f t="shared" si="55"/>
        <v>22.579187967782417</v>
      </c>
      <c r="D135" s="451">
        <f t="shared" si="55"/>
        <v>32.713543302653164</v>
      </c>
      <c r="E135" s="451">
        <f t="shared" si="55"/>
        <v>42.31956731674866</v>
      </c>
      <c r="F135" s="451">
        <f t="shared" si="55"/>
        <v>51.424803349066664</v>
      </c>
      <c r="G135" s="451">
        <f t="shared" si="55"/>
        <v>60.055358829936814</v>
      </c>
      <c r="H135" s="451">
        <f t="shared" si="55"/>
        <v>68.288348354059096</v>
      </c>
      <c r="I135" s="451">
        <f t="shared" si="55"/>
        <v>76.138979353868422</v>
      </c>
      <c r="J135" s="451">
        <f t="shared" si="55"/>
        <v>83.627386101281516</v>
      </c>
      <c r="K135" s="451">
        <f t="shared" si="55"/>
        <v>90.725401975606729</v>
      </c>
      <c r="L135" s="451">
        <f t="shared" si="55"/>
        <v>97.453379107668539</v>
      </c>
      <c r="M135" s="451">
        <f t="shared" si="55"/>
        <v>103.83060861673187</v>
      </c>
      <c r="N135" s="451">
        <f t="shared" si="55"/>
        <v>109.8753759239009</v>
      </c>
      <c r="O135" s="451">
        <f t="shared" si="55"/>
        <v>115.60501318188103</v>
      </c>
      <c r="P135" s="451">
        <f t="shared" si="55"/>
        <v>121.03594897143566</v>
      </c>
      <c r="Q135" s="451">
        <f t="shared" si="55"/>
        <v>126.18375540703246</v>
      </c>
      <c r="R135" s="451">
        <f t="shared" si="55"/>
        <v>131.06319278674508</v>
      </c>
      <c r="S135" s="451">
        <f t="shared" si="55"/>
        <v>135.68825191443474</v>
      </c>
      <c r="T135" s="451">
        <f t="shared" si="55"/>
        <v>140.0721942155624</v>
      </c>
      <c r="U135" s="451">
        <f t="shared" si="55"/>
        <v>144.22758976165497</v>
      </c>
      <c r="V135" s="451">
        <f t="shared" si="55"/>
        <v>148.16635331245359</v>
      </c>
      <c r="W135" s="451">
        <f t="shared" si="55"/>
        <v>151.89977847908739</v>
      </c>
      <c r="X135" s="451">
        <f t="shared" si="55"/>
        <v>155.43857010622841</v>
      </c>
      <c r="Y135" s="451">
        <f t="shared" si="55"/>
        <v>158.79287496607773</v>
      </c>
      <c r="Z135" s="451">
        <f t="shared" si="55"/>
        <v>161.97231085219082</v>
      </c>
      <c r="AA135" s="451">
        <f t="shared" si="55"/>
        <v>164.98599415656341</v>
      </c>
      <c r="AB135" s="451">
        <f t="shared" si="55"/>
        <v>167.84256600904928</v>
      </c>
      <c r="AC135" s="451">
        <f t="shared" si="55"/>
        <v>170.5502170540596</v>
      </c>
      <c r="AD135" s="451">
        <f t="shared" si="55"/>
        <v>173.11671093558596</v>
      </c>
      <c r="AE135" s="451">
        <f t="shared" si="55"/>
        <v>175.54940655788582</v>
      </c>
      <c r="AF135" s="451">
        <f t="shared" si="55"/>
        <v>177.85527918565819</v>
      </c>
      <c r="AG135" s="451">
        <f t="shared" si="55"/>
        <v>180.04094044421021</v>
      </c>
      <c r="AH135" s="451">
        <f t="shared" si="55"/>
        <v>182.11265727696093</v>
      </c>
      <c r="AI135" s="451">
        <f t="shared" si="55"/>
        <v>184.07636991463934</v>
      </c>
      <c r="AJ135" s="451">
        <f t="shared" si="55"/>
        <v>185.93770890769946</v>
      </c>
      <c r="AK135" s="451">
        <f t="shared" si="55"/>
        <v>187.70201127078963</v>
      </c>
      <c r="AL135" s="451">
        <f t="shared" si="55"/>
        <v>189.37433578556704</v>
      </c>
      <c r="AM135" s="451">
        <f t="shared" si="55"/>
        <v>190.95947750573518</v>
      </c>
      <c r="AN135" s="451">
        <f t="shared" si="55"/>
        <v>192.46198150589456</v>
      </c>
      <c r="AO135" s="451">
        <f t="shared" si="55"/>
        <v>193.88615591362858</v>
      </c>
      <c r="AP135" s="451">
        <f t="shared" si="55"/>
        <v>195.23608426219164</v>
      </c>
      <c r="AQ135" s="451">
        <f t="shared" si="55"/>
        <v>196.51563719921822</v>
      </c>
      <c r="AR135" s="451">
        <f t="shared" si="55"/>
        <v>197.7284835850254</v>
      </c>
      <c r="AS135" s="451">
        <f t="shared" si="55"/>
        <v>198.8781010123308</v>
      </c>
      <c r="AT135" s="451">
        <f t="shared" si="55"/>
        <v>199.96778577754918</v>
      </c>
      <c r="AU135" s="451">
        <f t="shared" si="55"/>
        <v>201.00066233225854</v>
      </c>
      <c r="AV135" s="451">
        <f t="shared" si="55"/>
        <v>201.97969224193568</v>
      </c>
      <c r="AW135" s="451">
        <f t="shared" si="55"/>
        <v>202.90768267764861</v>
      </c>
      <c r="AX135" s="451">
        <f t="shared" si="55"/>
        <v>203.78729446505423</v>
      </c>
      <c r="AY135" s="452">
        <f t="shared" si="55"/>
        <v>204.62104971377994</v>
      </c>
    </row>
    <row r="136" spans="1:51">
      <c r="A136" s="446" t="s">
        <v>2959</v>
      </c>
      <c r="B136" s="450">
        <f t="shared" si="56"/>
        <v>7.0689328859713552</v>
      </c>
      <c r="C136" s="451">
        <f t="shared" si="55"/>
        <v>14.369698136716529</v>
      </c>
      <c r="D136" s="451">
        <f t="shared" si="55"/>
        <v>21.541967331637562</v>
      </c>
      <c r="E136" s="451">
        <f t="shared" si="55"/>
        <v>28.51267627318699</v>
      </c>
      <c r="F136" s="451">
        <f t="shared" si="55"/>
        <v>35.250642077004798</v>
      </c>
      <c r="G136" s="451">
        <f t="shared" si="55"/>
        <v>41.746987388541662</v>
      </c>
      <c r="H136" s="451">
        <f t="shared" si="55"/>
        <v>47.980700711127561</v>
      </c>
      <c r="I136" s="451">
        <f t="shared" si="55"/>
        <v>53.925864208141782</v>
      </c>
      <c r="J136" s="451">
        <f t="shared" si="55"/>
        <v>59.641723748881354</v>
      </c>
      <c r="K136" s="451">
        <f t="shared" si="55"/>
        <v>65.083644011797688</v>
      </c>
      <c r="L136" s="451">
        <f t="shared" si="55"/>
        <v>70.302178243051259</v>
      </c>
      <c r="M136" s="451">
        <f t="shared" si="55"/>
        <v>75.296787022973902</v>
      </c>
      <c r="N136" s="451">
        <f t="shared" si="55"/>
        <v>80.02975889547298</v>
      </c>
      <c r="O136" s="451">
        <f t="shared" si="55"/>
        <v>84.55046652586843</v>
      </c>
      <c r="P136" s="451">
        <f t="shared" si="55"/>
        <v>88.867652559080511</v>
      </c>
      <c r="Q136" s="451">
        <f t="shared" si="55"/>
        <v>92.986957075656932</v>
      </c>
      <c r="R136" s="451">
        <f t="shared" si="55"/>
        <v>96.884761614834133</v>
      </c>
      <c r="S136" s="451">
        <f t="shared" si="55"/>
        <v>100.57041386849632</v>
      </c>
      <c r="T136" s="451">
        <f t="shared" si="55"/>
        <v>104.05103570691571</v>
      </c>
      <c r="U136" s="451">
        <f t="shared" si="55"/>
        <v>107.35020332627059</v>
      </c>
      <c r="V136" s="451">
        <f t="shared" si="55"/>
        <v>110.47737642518516</v>
      </c>
      <c r="W136" s="451">
        <f t="shared" si="55"/>
        <v>113.44152154263973</v>
      </c>
      <c r="X136" s="451">
        <f t="shared" si="55"/>
        <v>116.25113776771516</v>
      </c>
      <c r="Y136" s="451">
        <f t="shared" si="55"/>
        <v>118.91428110901889</v>
      </c>
      <c r="Z136" s="451">
        <f t="shared" si="55"/>
        <v>121.43858759366697</v>
      </c>
      <c r="AA136" s="451">
        <f t="shared" si="55"/>
        <v>123.83129516205376</v>
      </c>
      <c r="AB136" s="451">
        <f t="shared" si="55"/>
        <v>126.09926442118817</v>
      </c>
      <c r="AC136" s="451">
        <f t="shared" si="55"/>
        <v>128.2489983161023</v>
      </c>
      <c r="AD136" s="451">
        <f t="shared" si="55"/>
        <v>130.28666077573655</v>
      </c>
      <c r="AE136" s="451">
        <f t="shared" si="55"/>
        <v>132.21809438676428</v>
      </c>
      <c r="AF136" s="451">
        <f t="shared" si="55"/>
        <v>134.04883714603227</v>
      </c>
      <c r="AG136" s="451">
        <f t="shared" si="55"/>
        <v>135.78413833965121</v>
      </c>
      <c r="AH136" s="451">
        <f t="shared" si="55"/>
        <v>137.42897359426632</v>
      </c>
      <c r="AI136" s="451">
        <f t="shared" si="55"/>
        <v>138.98805914366454</v>
      </c>
      <c r="AJ136" s="451">
        <f t="shared" si="55"/>
        <v>140.46586535162493</v>
      </c>
      <c r="AK136" s="451">
        <f t="shared" si="55"/>
        <v>141.86662952978642</v>
      </c>
      <c r="AL136" s="451">
        <f t="shared" si="55"/>
        <v>143.19436808728548</v>
      </c>
      <c r="AM136" s="451">
        <f t="shared" si="55"/>
        <v>144.45288804700024</v>
      </c>
      <c r="AN136" s="451">
        <f t="shared" si="55"/>
        <v>145.64579796142181</v>
      </c>
      <c r="AO136" s="451">
        <f t="shared" si="55"/>
        <v>146.77651825945173</v>
      </c>
      <c r="AP136" s="451">
        <f t="shared" si="55"/>
        <v>147.84829105379288</v>
      </c>
      <c r="AQ136" s="451">
        <f t="shared" si="55"/>
        <v>148.86418943705462</v>
      </c>
      <c r="AR136" s="451">
        <f t="shared" si="55"/>
        <v>149.82712629322691</v>
      </c>
      <c r="AS136" s="451">
        <f t="shared" si="55"/>
        <v>150.73986264978831</v>
      </c>
      <c r="AT136" s="451">
        <f t="shared" si="55"/>
        <v>151.60501559439626</v>
      </c>
      <c r="AU136" s="451">
        <f t="shared" si="55"/>
        <v>152.42506577885879</v>
      </c>
      <c r="AV136" s="451">
        <f t="shared" si="55"/>
        <v>153.20236453190384</v>
      </c>
      <c r="AW136" s="451">
        <f t="shared" si="55"/>
        <v>153.93914060114085</v>
      </c>
      <c r="AX136" s="451">
        <f t="shared" si="55"/>
        <v>154.63750654354561</v>
      </c>
      <c r="AY136" s="452">
        <f t="shared" si="55"/>
        <v>155.29946478279183</v>
      </c>
    </row>
    <row r="137" spans="1:51">
      <c r="A137" s="446" t="s">
        <v>2938</v>
      </c>
      <c r="B137" s="447">
        <f t="shared" si="56"/>
        <v>6.1141123369011178E-3</v>
      </c>
      <c r="C137" s="448">
        <f t="shared" si="55"/>
        <v>1.1835653147838862E-2</v>
      </c>
      <c r="D137" s="448">
        <f t="shared" si="55"/>
        <v>1.718893701314065E-2</v>
      </c>
      <c r="E137" s="448">
        <f t="shared" si="55"/>
        <v>2.2163645558166009E-2</v>
      </c>
      <c r="F137" s="448">
        <f t="shared" si="55"/>
        <v>2.6784701836957338E-2</v>
      </c>
      <c r="G137" s="448">
        <f t="shared" si="55"/>
        <v>3.1082908421834338E-2</v>
      </c>
      <c r="H137" s="448">
        <f t="shared" si="55"/>
        <v>3.5157037886172721E-2</v>
      </c>
      <c r="I137" s="448">
        <f t="shared" si="55"/>
        <v>3.9012079195542004E-2</v>
      </c>
      <c r="J137" s="448">
        <f t="shared" si="55"/>
        <v>4.2666146787361234E-2</v>
      </c>
      <c r="K137" s="448">
        <f t="shared" si="55"/>
        <v>4.6123704820036415E-2</v>
      </c>
      <c r="L137" s="448">
        <f t="shared" si="55"/>
        <v>4.9401011012145592E-2</v>
      </c>
      <c r="M137" s="448">
        <f t="shared" ref="M137:AY139" si="57">(M126/(1+$C$3)^(M$16-0.5)+L137)</f>
        <v>5.2507462379073722E-2</v>
      </c>
      <c r="N137" s="448">
        <f t="shared" si="57"/>
        <v>5.5446845168468734E-2</v>
      </c>
      <c r="O137" s="448">
        <f t="shared" si="57"/>
        <v>5.8232989992539834E-2</v>
      </c>
      <c r="P137" s="448">
        <f t="shared" si="57"/>
        <v>6.0869284697021131E-2</v>
      </c>
      <c r="Q137" s="448">
        <f t="shared" si="57"/>
        <v>6.3368142236813835E-2</v>
      </c>
      <c r="R137" s="448">
        <f t="shared" si="57"/>
        <v>6.5736727582588902E-2</v>
      </c>
      <c r="S137" s="448">
        <f t="shared" si="57"/>
        <v>6.7981832175740636E-2</v>
      </c>
      <c r="T137" s="448">
        <f t="shared" si="57"/>
        <v>7.0109893401476872E-2</v>
      </c>
      <c r="U137" s="448">
        <f t="shared" si="57"/>
        <v>7.2127013046724489E-2</v>
      </c>
      <c r="V137" s="448">
        <f t="shared" si="57"/>
        <v>7.4038974795774357E-2</v>
      </c>
      <c r="W137" s="448">
        <f t="shared" si="57"/>
        <v>7.5851260813831103E-2</v>
      </c>
      <c r="X137" s="448">
        <f t="shared" si="57"/>
        <v>7.7569067466017591E-2</v>
      </c>
      <c r="Y137" s="448">
        <f t="shared" si="57"/>
        <v>7.9197320216905259E-2</v>
      </c>
      <c r="Z137" s="448">
        <f t="shared" si="57"/>
        <v>8.0740687753291684E-2</v>
      </c>
      <c r="AA137" s="448">
        <f t="shared" si="57"/>
        <v>8.220359537071957E-2</v>
      </c>
      <c r="AB137" s="448">
        <f t="shared" si="57"/>
        <v>8.3590237662120412E-2</v>
      </c>
      <c r="AC137" s="448">
        <f t="shared" si="57"/>
        <v>8.4904590544964811E-2</v>
      </c>
      <c r="AD137" s="448">
        <f t="shared" si="57"/>
        <v>8.6150422661405004E-2</v>
      </c>
      <c r="AE137" s="448">
        <f t="shared" si="57"/>
        <v>8.7331306184097124E-2</v>
      </c>
      <c r="AF137" s="448">
        <f t="shared" si="57"/>
        <v>8.8450627058686809E-2</v>
      </c>
      <c r="AG137" s="448">
        <f t="shared" si="57"/>
        <v>8.9511594712326323E-2</v>
      </c>
      <c r="AH137" s="448">
        <f t="shared" si="57"/>
        <v>9.0517251256060458E-2</v>
      </c>
      <c r="AI137" s="448">
        <f t="shared" si="57"/>
        <v>9.1470480207467217E-2</v>
      </c>
      <c r="AJ137" s="448">
        <f t="shared" si="57"/>
        <v>9.2374014758563674E-2</v>
      </c>
      <c r="AK137" s="448">
        <f t="shared" si="57"/>
        <v>9.3230445612683538E-2</v>
      </c>
      <c r="AL137" s="448">
        <f t="shared" si="57"/>
        <v>9.4042228412797163E-2</v>
      </c>
      <c r="AM137" s="448">
        <f t="shared" si="57"/>
        <v>9.4811690782573108E-2</v>
      </c>
      <c r="AN137" s="448">
        <f t="shared" si="57"/>
        <v>9.5541039000370212E-2</v>
      </c>
      <c r="AO137" s="448">
        <f t="shared" si="57"/>
        <v>9.6232364325296374E-2</v>
      </c>
      <c r="AP137" s="448">
        <f t="shared" si="57"/>
        <v>9.6887648993472825E-2</v>
      </c>
      <c r="AQ137" s="448">
        <f t="shared" si="57"/>
        <v>9.7508771901696961E-2</v>
      </c>
      <c r="AR137" s="448">
        <f t="shared" si="57"/>
        <v>9.8097513994800406E-2</v>
      </c>
      <c r="AS137" s="448">
        <f t="shared" si="57"/>
        <v>9.8655563372149632E-2</v>
      </c>
      <c r="AT137" s="448">
        <f t="shared" si="57"/>
        <v>9.91845201279309E-2</v>
      </c>
      <c r="AU137" s="448">
        <f t="shared" si="57"/>
        <v>9.9685900939097974E-2</v>
      </c>
      <c r="AV137" s="448">
        <f t="shared" si="57"/>
        <v>0.10016114341413786</v>
      </c>
      <c r="AW137" s="448">
        <f t="shared" si="57"/>
        <v>0.10061161021512352</v>
      </c>
      <c r="AX137" s="448">
        <f t="shared" si="57"/>
        <v>0.10103859296487297</v>
      </c>
      <c r="AY137" s="449">
        <f t="shared" si="57"/>
        <v>0.10144331595041747</v>
      </c>
    </row>
    <row r="138" spans="1:51">
      <c r="A138" s="446" t="s">
        <v>2939</v>
      </c>
      <c r="B138" s="450">
        <f t="shared" si="56"/>
        <v>0.85432063306221828</v>
      </c>
      <c r="C138" s="451">
        <f t="shared" ref="C138:AH139" si="58">(C127/(1+$C$3)^(C$16-0.5)+B138)</f>
        <v>1.6641032236425202</v>
      </c>
      <c r="D138" s="451">
        <f t="shared" si="58"/>
        <v>2.4316696602115266</v>
      </c>
      <c r="E138" s="451">
        <f t="shared" si="58"/>
        <v>3.1592207849214855</v>
      </c>
      <c r="F138" s="451">
        <f t="shared" si="58"/>
        <v>3.8488427040778443</v>
      </c>
      <c r="G138" s="451">
        <f t="shared" si="58"/>
        <v>4.502512769628896</v>
      </c>
      <c r="H138" s="451">
        <f t="shared" si="58"/>
        <v>5.1221052488242051</v>
      </c>
      <c r="I138" s="451">
        <f t="shared" si="58"/>
        <v>5.7093966982984323</v>
      </c>
      <c r="J138" s="451">
        <f t="shared" si="58"/>
        <v>6.2660710579896426</v>
      </c>
      <c r="K138" s="451">
        <f t="shared" si="58"/>
        <v>6.7937244794978984</v>
      </c>
      <c r="L138" s="451">
        <f t="shared" si="58"/>
        <v>7.2938699027284732</v>
      </c>
      <c r="M138" s="451">
        <f t="shared" si="58"/>
        <v>7.7679413939422881</v>
      </c>
      <c r="N138" s="451">
        <f t="shared" si="58"/>
        <v>8.2172982576520646</v>
      </c>
      <c r="O138" s="451">
        <f t="shared" si="58"/>
        <v>8.643228934154223</v>
      </c>
      <c r="P138" s="451">
        <f t="shared" si="58"/>
        <v>9.0469546938719088</v>
      </c>
      <c r="Q138" s="451">
        <f t="shared" si="58"/>
        <v>9.4296331391019432</v>
      </c>
      <c r="R138" s="451">
        <f t="shared" si="58"/>
        <v>9.7923615232062406</v>
      </c>
      <c r="S138" s="451">
        <f t="shared" si="58"/>
        <v>10.136179896764817</v>
      </c>
      <c r="T138" s="451">
        <f t="shared" si="58"/>
        <v>10.462074089711335</v>
      </c>
      <c r="U138" s="451">
        <f t="shared" si="58"/>
        <v>10.770978538001872</v>
      </c>
      <c r="V138" s="451">
        <f t="shared" si="58"/>
        <v>11.063778962921813</v>
      </c>
      <c r="W138" s="451">
        <f t="shared" si="58"/>
        <v>11.341314910713226</v>
      </c>
      <c r="X138" s="451">
        <f t="shared" si="58"/>
        <v>11.604382159804613</v>
      </c>
      <c r="Y138" s="451">
        <f t="shared" si="58"/>
        <v>11.853735002545264</v>
      </c>
      <c r="Z138" s="451">
        <f t="shared" si="58"/>
        <v>12.09008840798664</v>
      </c>
      <c r="AA138" s="451">
        <f t="shared" si="58"/>
        <v>12.314120071912114</v>
      </c>
      <c r="AB138" s="451">
        <f t="shared" si="58"/>
        <v>12.526472359993132</v>
      </c>
      <c r="AC138" s="451">
        <f t="shared" si="58"/>
        <v>12.727754149643387</v>
      </c>
      <c r="AD138" s="451">
        <f t="shared" si="58"/>
        <v>12.918542575852159</v>
      </c>
      <c r="AE138" s="451">
        <f t="shared" si="58"/>
        <v>13.099384686002654</v>
      </c>
      <c r="AF138" s="451">
        <f t="shared" si="58"/>
        <v>13.270799008420186</v>
      </c>
      <c r="AG138" s="451">
        <f t="shared" si="58"/>
        <v>13.433277039147702</v>
      </c>
      <c r="AH138" s="451">
        <f t="shared" si="58"/>
        <v>13.5872846512117</v>
      </c>
      <c r="AI138" s="451">
        <f t="shared" si="57"/>
        <v>13.73326343041928</v>
      </c>
      <c r="AJ138" s="451">
        <f t="shared" si="57"/>
        <v>13.871631941516512</v>
      </c>
      <c r="AK138" s="451">
        <f t="shared" si="57"/>
        <v>14.002786928338534</v>
      </c>
      <c r="AL138" s="451">
        <f t="shared" si="57"/>
        <v>14.127104451392583</v>
      </c>
      <c r="AM138" s="451">
        <f t="shared" si="57"/>
        <v>14.244940966135758</v>
      </c>
      <c r="AN138" s="451">
        <f t="shared" si="57"/>
        <v>14.356634345039241</v>
      </c>
      <c r="AO138" s="451">
        <f t="shared" si="57"/>
        <v>14.462504846369557</v>
      </c>
      <c r="AP138" s="451">
        <f t="shared" si="57"/>
        <v>14.562856032464643</v>
      </c>
      <c r="AQ138" s="451">
        <f t="shared" si="57"/>
        <v>14.65797564013771</v>
      </c>
      <c r="AR138" s="451">
        <f t="shared" si="57"/>
        <v>14.748136405704599</v>
      </c>
      <c r="AS138" s="451">
        <f t="shared" si="57"/>
        <v>14.833596847000228</v>
      </c>
      <c r="AT138" s="451">
        <f t="shared" si="57"/>
        <v>14.914602004626417</v>
      </c>
      <c r="AU138" s="451">
        <f t="shared" si="57"/>
        <v>14.991384144556454</v>
      </c>
      <c r="AV138" s="451">
        <f t="shared" si="57"/>
        <v>15.064163424110991</v>
      </c>
      <c r="AW138" s="451">
        <f t="shared" si="57"/>
        <v>15.133148523214818</v>
      </c>
      <c r="AX138" s="451">
        <f t="shared" si="57"/>
        <v>15.198537242744511</v>
      </c>
      <c r="AY138" s="452">
        <f t="shared" si="57"/>
        <v>15.260517071682608</v>
      </c>
    </row>
    <row r="139" spans="1:51" ht="12.75" thickBot="1">
      <c r="A139" s="453" t="s">
        <v>2940</v>
      </c>
      <c r="B139" s="454">
        <f t="shared" si="56"/>
        <v>0.85432063306221828</v>
      </c>
      <c r="C139" s="455">
        <f t="shared" si="58"/>
        <v>1.6641032236425202</v>
      </c>
      <c r="D139" s="455">
        <f t="shared" si="58"/>
        <v>2.4316696602115266</v>
      </c>
      <c r="E139" s="455">
        <f t="shared" si="58"/>
        <v>3.1592207849214855</v>
      </c>
      <c r="F139" s="455">
        <f t="shared" si="58"/>
        <v>3.8488427040778443</v>
      </c>
      <c r="G139" s="455">
        <f t="shared" si="58"/>
        <v>4.502512769628896</v>
      </c>
      <c r="H139" s="455">
        <f t="shared" si="58"/>
        <v>5.1221052488242051</v>
      </c>
      <c r="I139" s="455">
        <f t="shared" si="58"/>
        <v>5.7093966982984323</v>
      </c>
      <c r="J139" s="455">
        <f t="shared" si="58"/>
        <v>6.2660710579896426</v>
      </c>
      <c r="K139" s="455">
        <f t="shared" si="58"/>
        <v>6.7937244794978984</v>
      </c>
      <c r="L139" s="455">
        <f t="shared" si="58"/>
        <v>7.2938699027284732</v>
      </c>
      <c r="M139" s="455">
        <f t="shared" si="58"/>
        <v>7.7679413939422881</v>
      </c>
      <c r="N139" s="455">
        <f t="shared" si="58"/>
        <v>8.2172982576520646</v>
      </c>
      <c r="O139" s="455">
        <f t="shared" si="58"/>
        <v>8.643228934154223</v>
      </c>
      <c r="P139" s="455">
        <f t="shared" si="58"/>
        <v>9.0469546938719088</v>
      </c>
      <c r="Q139" s="455">
        <f t="shared" si="58"/>
        <v>9.4296331391019432</v>
      </c>
      <c r="R139" s="455">
        <f t="shared" si="58"/>
        <v>9.7923615232062406</v>
      </c>
      <c r="S139" s="455">
        <f t="shared" si="58"/>
        <v>10.136179896764817</v>
      </c>
      <c r="T139" s="455">
        <f t="shared" si="58"/>
        <v>10.462074089711335</v>
      </c>
      <c r="U139" s="455">
        <f t="shared" si="58"/>
        <v>10.770978538001872</v>
      </c>
      <c r="V139" s="455">
        <f t="shared" si="58"/>
        <v>11.063778962921813</v>
      </c>
      <c r="W139" s="455">
        <f t="shared" si="58"/>
        <v>11.341314910713226</v>
      </c>
      <c r="X139" s="455">
        <f t="shared" si="58"/>
        <v>11.604382159804613</v>
      </c>
      <c r="Y139" s="455">
        <f t="shared" si="58"/>
        <v>11.853735002545264</v>
      </c>
      <c r="Z139" s="455">
        <f t="shared" si="58"/>
        <v>12.09008840798664</v>
      </c>
      <c r="AA139" s="455">
        <f t="shared" si="58"/>
        <v>12.314120071912114</v>
      </c>
      <c r="AB139" s="455">
        <f t="shared" si="58"/>
        <v>12.526472359993132</v>
      </c>
      <c r="AC139" s="455">
        <f t="shared" si="58"/>
        <v>12.727754149643387</v>
      </c>
      <c r="AD139" s="455">
        <f t="shared" si="58"/>
        <v>12.918542575852159</v>
      </c>
      <c r="AE139" s="455">
        <f t="shared" si="58"/>
        <v>13.099384686002654</v>
      </c>
      <c r="AF139" s="455">
        <f t="shared" si="58"/>
        <v>13.270799008420186</v>
      </c>
      <c r="AG139" s="455">
        <f t="shared" si="58"/>
        <v>13.433277039147702</v>
      </c>
      <c r="AH139" s="455">
        <f t="shared" si="58"/>
        <v>13.5872846512117</v>
      </c>
      <c r="AI139" s="455">
        <f t="shared" si="57"/>
        <v>13.73326343041928</v>
      </c>
      <c r="AJ139" s="455">
        <f t="shared" si="57"/>
        <v>13.871631941516512</v>
      </c>
      <c r="AK139" s="455">
        <f t="shared" si="57"/>
        <v>14.002786928338534</v>
      </c>
      <c r="AL139" s="455">
        <f t="shared" si="57"/>
        <v>14.127104451392583</v>
      </c>
      <c r="AM139" s="455">
        <f t="shared" si="57"/>
        <v>14.244940966135758</v>
      </c>
      <c r="AN139" s="455">
        <f t="shared" si="57"/>
        <v>14.356634345039241</v>
      </c>
      <c r="AO139" s="455">
        <f t="shared" si="57"/>
        <v>14.462504846369557</v>
      </c>
      <c r="AP139" s="455">
        <f t="shared" si="57"/>
        <v>14.562856032464643</v>
      </c>
      <c r="AQ139" s="455">
        <f t="shared" si="57"/>
        <v>14.65797564013771</v>
      </c>
      <c r="AR139" s="455">
        <f t="shared" si="57"/>
        <v>14.748136405704599</v>
      </c>
      <c r="AS139" s="455">
        <f t="shared" si="57"/>
        <v>14.833596847000228</v>
      </c>
      <c r="AT139" s="455">
        <f t="shared" si="57"/>
        <v>14.914602004626417</v>
      </c>
      <c r="AU139" s="455">
        <f t="shared" si="57"/>
        <v>14.991384144556454</v>
      </c>
      <c r="AV139" s="455">
        <f t="shared" si="57"/>
        <v>15.064163424110991</v>
      </c>
      <c r="AW139" s="455">
        <f t="shared" si="57"/>
        <v>15.133148523214818</v>
      </c>
      <c r="AX139" s="455">
        <f t="shared" si="57"/>
        <v>15.198537242744511</v>
      </c>
      <c r="AY139" s="456">
        <f t="shared" si="57"/>
        <v>15.260517071682608</v>
      </c>
    </row>
    <row r="141" spans="1:51" ht="15.75">
      <c r="A141" s="458" t="s">
        <v>2950</v>
      </c>
      <c r="B141" s="457"/>
      <c r="C141" s="457"/>
      <c r="D141" s="457"/>
      <c r="E141" s="457"/>
      <c r="F141" s="457"/>
      <c r="G141" s="457"/>
      <c r="H141" s="457"/>
      <c r="I141" s="457"/>
      <c r="J141" s="457"/>
      <c r="K141" s="457"/>
      <c r="L141" s="457"/>
      <c r="M141" s="457"/>
      <c r="N141" s="457"/>
      <c r="O141" s="457"/>
      <c r="P141" s="457"/>
      <c r="Q141" s="457"/>
      <c r="R141" s="457"/>
      <c r="S141" s="457"/>
      <c r="T141" s="457"/>
      <c r="U141" s="457"/>
      <c r="V141" s="457"/>
      <c r="W141" s="457"/>
      <c r="X141" s="457"/>
      <c r="Y141" s="457"/>
      <c r="Z141" s="457"/>
      <c r="AA141" s="457"/>
      <c r="AB141" s="457"/>
      <c r="AC141" s="457"/>
      <c r="AD141" s="457"/>
      <c r="AE141" s="457"/>
      <c r="AF141" s="457"/>
      <c r="AG141" s="457"/>
      <c r="AH141" s="457"/>
      <c r="AI141" s="457"/>
      <c r="AJ141" s="457"/>
      <c r="AK141" s="457"/>
      <c r="AL141" s="457"/>
      <c r="AM141" s="457"/>
      <c r="AN141" s="457"/>
      <c r="AO141" s="457"/>
      <c r="AP141" s="457"/>
      <c r="AQ141" s="457"/>
      <c r="AR141" s="457"/>
      <c r="AS141" s="457"/>
      <c r="AT141" s="457"/>
      <c r="AU141" s="457"/>
      <c r="AV141" s="457"/>
      <c r="AW141" s="457"/>
      <c r="AX141" s="457"/>
      <c r="AY141" s="457"/>
    </row>
    <row r="142" spans="1:51" ht="15.75" thickBot="1">
      <c r="A142" s="437" t="s">
        <v>2931</v>
      </c>
    </row>
    <row r="143" spans="1:51" ht="12.75" thickBot="1">
      <c r="A143" s="438" t="s">
        <v>2932</v>
      </c>
      <c r="B143" s="439">
        <v>2010</v>
      </c>
      <c r="C143" s="440">
        <v>2011</v>
      </c>
      <c r="D143" s="440">
        <v>2012</v>
      </c>
      <c r="E143" s="440">
        <v>2013</v>
      </c>
      <c r="F143" s="440">
        <v>2014</v>
      </c>
      <c r="G143" s="440">
        <v>2015</v>
      </c>
      <c r="H143" s="440">
        <v>2016</v>
      </c>
      <c r="I143" s="440">
        <v>2017</v>
      </c>
      <c r="J143" s="440">
        <v>2018</v>
      </c>
      <c r="K143" s="440">
        <v>2019</v>
      </c>
      <c r="L143" s="440">
        <v>2020</v>
      </c>
      <c r="M143" s="440">
        <v>2021</v>
      </c>
      <c r="N143" s="440">
        <v>2022</v>
      </c>
      <c r="O143" s="440">
        <v>2023</v>
      </c>
      <c r="P143" s="440">
        <v>2024</v>
      </c>
      <c r="Q143" s="440">
        <v>2025</v>
      </c>
      <c r="R143" s="440">
        <v>2026</v>
      </c>
      <c r="S143" s="440">
        <v>2027</v>
      </c>
      <c r="T143" s="440">
        <v>2028</v>
      </c>
      <c r="U143" s="440">
        <v>2029</v>
      </c>
      <c r="V143" s="440">
        <v>2030</v>
      </c>
      <c r="W143" s="440">
        <v>2031</v>
      </c>
      <c r="X143" s="440">
        <v>2032</v>
      </c>
      <c r="Y143" s="440">
        <v>2033</v>
      </c>
      <c r="Z143" s="440">
        <v>2034</v>
      </c>
      <c r="AA143" s="440">
        <v>2035</v>
      </c>
      <c r="AB143" s="440">
        <v>2036</v>
      </c>
      <c r="AC143" s="440">
        <v>2037</v>
      </c>
      <c r="AD143" s="440">
        <v>2038</v>
      </c>
      <c r="AE143" s="440">
        <v>2039</v>
      </c>
      <c r="AF143" s="440">
        <v>2040</v>
      </c>
      <c r="AG143" s="440">
        <v>2041</v>
      </c>
      <c r="AH143" s="440">
        <v>2042</v>
      </c>
      <c r="AI143" s="440">
        <v>2043</v>
      </c>
      <c r="AJ143" s="440">
        <v>2044</v>
      </c>
      <c r="AK143" s="440">
        <v>2045</v>
      </c>
      <c r="AL143" s="440">
        <v>2046</v>
      </c>
      <c r="AM143" s="440">
        <v>2047</v>
      </c>
      <c r="AN143" s="440">
        <v>2048</v>
      </c>
      <c r="AO143" s="440">
        <v>2049</v>
      </c>
      <c r="AP143" s="440">
        <v>2050</v>
      </c>
      <c r="AQ143" s="440">
        <v>2051</v>
      </c>
      <c r="AR143" s="440">
        <v>2052</v>
      </c>
      <c r="AS143" s="440">
        <v>2053</v>
      </c>
      <c r="AT143" s="440">
        <v>2054</v>
      </c>
      <c r="AU143" s="440">
        <v>2055</v>
      </c>
      <c r="AV143" s="440">
        <v>2056</v>
      </c>
      <c r="AW143" s="440">
        <v>2057</v>
      </c>
      <c r="AX143" s="440">
        <v>2058</v>
      </c>
      <c r="AY143" s="441">
        <v>2059</v>
      </c>
    </row>
    <row r="144" spans="1:51">
      <c r="A144" s="442" t="s">
        <v>2943</v>
      </c>
      <c r="B144" s="1751">
        <v>6.8310458518556105E-2</v>
      </c>
      <c r="C144" s="1752">
        <v>6.6934254603542631E-2</v>
      </c>
      <c r="D144" s="1752">
        <v>6.5592258751792754E-2</v>
      </c>
      <c r="E144" s="1752">
        <v>6.5435755251657166E-2</v>
      </c>
      <c r="F144" s="1752">
        <v>6.5279251751521564E-2</v>
      </c>
      <c r="G144" s="1752">
        <v>6.5131643636398229E-2</v>
      </c>
      <c r="H144" s="1752">
        <v>6.5288147136533831E-2</v>
      </c>
      <c r="I144" s="1752">
        <v>6.5451665544625004E-2</v>
      </c>
      <c r="J144" s="1752">
        <v>6.560628856770391E-2</v>
      </c>
      <c r="K144" s="1752">
        <v>6.5771687452851779E-2</v>
      </c>
      <c r="L144" s="1752">
        <v>6.5935205860942953E-2</v>
      </c>
      <c r="M144" s="1752">
        <v>6.6091709361078541E-2</v>
      </c>
      <c r="N144" s="1752">
        <v>6.6255227769169728E-2</v>
      </c>
      <c r="O144" s="1752">
        <v>6.642062665431761E-2</v>
      </c>
      <c r="P144" s="1752">
        <v>6.6586025539465465E-2</v>
      </c>
      <c r="Q144" s="1752">
        <v>6.6586025539465465E-2</v>
      </c>
      <c r="R144" s="1752">
        <v>6.6586025539465465E-2</v>
      </c>
      <c r="S144" s="1752">
        <v>6.6586025539465465E-2</v>
      </c>
      <c r="T144" s="1752">
        <v>6.6586025539465465E-2</v>
      </c>
      <c r="U144" s="1752">
        <v>6.6586025539465465E-2</v>
      </c>
      <c r="V144" s="1752">
        <v>6.6586025539465465E-2</v>
      </c>
      <c r="W144" s="1752">
        <v>6.6586025539465465E-2</v>
      </c>
      <c r="X144" s="1752">
        <v>6.6586025539465465E-2</v>
      </c>
      <c r="Y144" s="1752">
        <v>6.6586025539465465E-2</v>
      </c>
      <c r="Z144" s="1752">
        <v>6.6586025539465465E-2</v>
      </c>
      <c r="AA144" s="1752">
        <v>6.6586025539465465E-2</v>
      </c>
      <c r="AB144" s="1752">
        <v>6.6586025539465465E-2</v>
      </c>
      <c r="AC144" s="1752">
        <v>6.6586025539465465E-2</v>
      </c>
      <c r="AD144" s="1752">
        <v>6.6586025539465465E-2</v>
      </c>
      <c r="AE144" s="1752">
        <v>6.6586025539465465E-2</v>
      </c>
      <c r="AF144" s="1752">
        <v>6.6586025539465465E-2</v>
      </c>
      <c r="AG144" s="1752">
        <v>6.6586025539465465E-2</v>
      </c>
      <c r="AH144" s="1752">
        <v>6.6586025539465465E-2</v>
      </c>
      <c r="AI144" s="1752">
        <v>6.6586025539465465E-2</v>
      </c>
      <c r="AJ144" s="1752">
        <v>6.6586025539465465E-2</v>
      </c>
      <c r="AK144" s="1752">
        <v>6.6586025539465465E-2</v>
      </c>
      <c r="AL144" s="1752">
        <v>6.6586025539465465E-2</v>
      </c>
      <c r="AM144" s="1752">
        <v>6.6586025539465465E-2</v>
      </c>
      <c r="AN144" s="1752">
        <v>6.6586025539465465E-2</v>
      </c>
      <c r="AO144" s="1752">
        <v>6.6586025539465465E-2</v>
      </c>
      <c r="AP144" s="1752">
        <v>6.6586025539465465E-2</v>
      </c>
      <c r="AQ144" s="1752">
        <v>6.6586025539465465E-2</v>
      </c>
      <c r="AR144" s="1752">
        <v>6.6586025539465465E-2</v>
      </c>
      <c r="AS144" s="1752">
        <v>6.6586025539465465E-2</v>
      </c>
      <c r="AT144" s="1752">
        <v>6.6586025539465465E-2</v>
      </c>
      <c r="AU144" s="1752">
        <v>6.6586025539465465E-2</v>
      </c>
      <c r="AV144" s="1752">
        <v>6.6586025539465465E-2</v>
      </c>
      <c r="AW144" s="1752">
        <v>6.6586025539465465E-2</v>
      </c>
      <c r="AX144" s="1752">
        <v>6.6586025539465465E-2</v>
      </c>
      <c r="AY144" s="1753">
        <v>6.6586025539465465E-2</v>
      </c>
    </row>
    <row r="145" spans="1:51">
      <c r="A145" s="446" t="s">
        <v>2944</v>
      </c>
      <c r="B145" s="471">
        <v>85.398706896551715</v>
      </c>
      <c r="C145" s="472">
        <v>92.53232758620689</v>
      </c>
      <c r="D145" s="472">
        <v>99.234913793103431</v>
      </c>
      <c r="E145" s="472">
        <v>105.54956896551724</v>
      </c>
      <c r="F145" s="472">
        <v>111.48706896551724</v>
      </c>
      <c r="G145" s="472">
        <v>117.06896551724137</v>
      </c>
      <c r="H145" s="472">
        <v>122.32758620689654</v>
      </c>
      <c r="I145" s="472">
        <v>127.26293103448276</v>
      </c>
      <c r="J145" s="472">
        <v>131.90732758620689</v>
      </c>
      <c r="K145" s="472">
        <v>136.27155172413794</v>
      </c>
      <c r="L145" s="472">
        <v>140.36637931034483</v>
      </c>
      <c r="M145" s="472">
        <v>144.21336206896549</v>
      </c>
      <c r="N145" s="472">
        <v>144.21336206896549</v>
      </c>
      <c r="O145" s="472">
        <v>144.21336206896549</v>
      </c>
      <c r="P145" s="472">
        <v>144.21336206896549</v>
      </c>
      <c r="Q145" s="472">
        <v>144.21336206896549</v>
      </c>
      <c r="R145" s="472">
        <v>144.21336206896501</v>
      </c>
      <c r="S145" s="472">
        <v>144.21336206896501</v>
      </c>
      <c r="T145" s="472">
        <v>144.21336206896501</v>
      </c>
      <c r="U145" s="472">
        <v>144.21336206896501</v>
      </c>
      <c r="V145" s="472">
        <v>144.21336206896501</v>
      </c>
      <c r="W145" s="472">
        <v>144.21336206896501</v>
      </c>
      <c r="X145" s="472">
        <v>144.21336206896501</v>
      </c>
      <c r="Y145" s="472">
        <v>144.21336206896501</v>
      </c>
      <c r="Z145" s="472">
        <v>144.21336206896501</v>
      </c>
      <c r="AA145" s="472">
        <v>144.21336206896501</v>
      </c>
      <c r="AB145" s="472">
        <v>144.21336206896501</v>
      </c>
      <c r="AC145" s="472">
        <v>144.21336206896501</v>
      </c>
      <c r="AD145" s="472">
        <v>144.21336206896501</v>
      </c>
      <c r="AE145" s="472">
        <v>144.21336206896501</v>
      </c>
      <c r="AF145" s="472">
        <v>144.21336206896501</v>
      </c>
      <c r="AG145" s="472">
        <v>144.21336206896501</v>
      </c>
      <c r="AH145" s="472">
        <v>144.21336206896501</v>
      </c>
      <c r="AI145" s="472">
        <v>144.21336206896501</v>
      </c>
      <c r="AJ145" s="472">
        <v>144.21336206896501</v>
      </c>
      <c r="AK145" s="472">
        <v>144.21336206896501</v>
      </c>
      <c r="AL145" s="472">
        <v>144.21336206896501</v>
      </c>
      <c r="AM145" s="472">
        <v>144.21336206896501</v>
      </c>
      <c r="AN145" s="472">
        <v>144.21336206896501</v>
      </c>
      <c r="AO145" s="472">
        <v>144.21336206896501</v>
      </c>
      <c r="AP145" s="472">
        <v>144.21336206896501</v>
      </c>
      <c r="AQ145" s="472">
        <v>144.21336206896501</v>
      </c>
      <c r="AR145" s="472">
        <v>144.21336206896501</v>
      </c>
      <c r="AS145" s="472">
        <v>144.21336206896501</v>
      </c>
      <c r="AT145" s="472">
        <v>144.21336206896501</v>
      </c>
      <c r="AU145" s="472">
        <v>144.21336206896501</v>
      </c>
      <c r="AV145" s="472">
        <v>144.21336206896501</v>
      </c>
      <c r="AW145" s="472">
        <v>144.21336206896501</v>
      </c>
      <c r="AX145" s="472">
        <v>144.21336206896501</v>
      </c>
      <c r="AY145" s="473">
        <v>144.21336206896501</v>
      </c>
    </row>
    <row r="146" spans="1:51">
      <c r="A146" s="446" t="s">
        <v>2945</v>
      </c>
      <c r="B146" s="471">
        <v>10.24</v>
      </c>
      <c r="C146" s="472">
        <v>10.01</v>
      </c>
      <c r="D146" s="472">
        <v>9.7899999999999991</v>
      </c>
      <c r="E146" s="472">
        <v>9.7899999999999991</v>
      </c>
      <c r="F146" s="472">
        <v>9.7899999999999991</v>
      </c>
      <c r="G146" s="472">
        <v>9.7899999999999991</v>
      </c>
      <c r="H146" s="472">
        <v>9.8699999999999992</v>
      </c>
      <c r="I146" s="472">
        <v>9.94</v>
      </c>
      <c r="J146" s="472">
        <v>10.02</v>
      </c>
      <c r="K146" s="472">
        <v>10.02</v>
      </c>
      <c r="L146" s="472">
        <v>10.02</v>
      </c>
      <c r="M146" s="472">
        <v>10.02</v>
      </c>
      <c r="N146" s="472">
        <v>10.02</v>
      </c>
      <c r="O146" s="472">
        <v>10.02</v>
      </c>
      <c r="P146" s="472">
        <v>10.02</v>
      </c>
      <c r="Q146" s="472">
        <v>10.02</v>
      </c>
      <c r="R146" s="472">
        <v>10.02</v>
      </c>
      <c r="S146" s="472">
        <v>10.02</v>
      </c>
      <c r="T146" s="472">
        <v>10.02</v>
      </c>
      <c r="U146" s="472">
        <v>10.02</v>
      </c>
      <c r="V146" s="472">
        <v>10.02</v>
      </c>
      <c r="W146" s="472">
        <v>10.02</v>
      </c>
      <c r="X146" s="472">
        <v>10.02</v>
      </c>
      <c r="Y146" s="472">
        <v>10.02</v>
      </c>
      <c r="Z146" s="472">
        <v>10.02</v>
      </c>
      <c r="AA146" s="472">
        <v>10.02</v>
      </c>
      <c r="AB146" s="472">
        <v>10.02</v>
      </c>
      <c r="AC146" s="472">
        <v>10.02</v>
      </c>
      <c r="AD146" s="472">
        <v>10.02</v>
      </c>
      <c r="AE146" s="472">
        <v>10.02</v>
      </c>
      <c r="AF146" s="472">
        <v>10.02</v>
      </c>
      <c r="AG146" s="472">
        <v>10.02</v>
      </c>
      <c r="AH146" s="472">
        <v>10.02</v>
      </c>
      <c r="AI146" s="472">
        <v>10.02</v>
      </c>
      <c r="AJ146" s="472">
        <v>10.02</v>
      </c>
      <c r="AK146" s="472">
        <v>10.02</v>
      </c>
      <c r="AL146" s="472">
        <v>10.02</v>
      </c>
      <c r="AM146" s="472">
        <v>10.02</v>
      </c>
      <c r="AN146" s="472">
        <v>10.02</v>
      </c>
      <c r="AO146" s="472">
        <v>10.02</v>
      </c>
      <c r="AP146" s="472">
        <v>10.02</v>
      </c>
      <c r="AQ146" s="472">
        <v>10.02</v>
      </c>
      <c r="AR146" s="472">
        <v>10.02</v>
      </c>
      <c r="AS146" s="472">
        <v>10.02</v>
      </c>
      <c r="AT146" s="472">
        <v>10.02</v>
      </c>
      <c r="AU146" s="472">
        <v>10.02</v>
      </c>
      <c r="AV146" s="472">
        <v>10.02</v>
      </c>
      <c r="AW146" s="472">
        <v>10.02</v>
      </c>
      <c r="AX146" s="472">
        <v>10.02</v>
      </c>
      <c r="AY146" s="473">
        <v>10.02</v>
      </c>
    </row>
    <row r="147" spans="1:51">
      <c r="A147" s="446" t="s">
        <v>2946</v>
      </c>
      <c r="B147" s="471">
        <v>9.4525000000000006</v>
      </c>
      <c r="C147" s="472">
        <v>9.2341666666666669</v>
      </c>
      <c r="D147" s="472">
        <v>9.02</v>
      </c>
      <c r="E147" s="472">
        <v>9.02</v>
      </c>
      <c r="F147" s="472">
        <v>9.02</v>
      </c>
      <c r="G147" s="472">
        <v>9.02</v>
      </c>
      <c r="H147" s="472">
        <v>9.0941666666666663</v>
      </c>
      <c r="I147" s="472">
        <v>9.2441666666666666</v>
      </c>
      <c r="J147" s="472">
        <v>9.2441666666666666</v>
      </c>
      <c r="K147" s="472">
        <v>9.2441666666666666</v>
      </c>
      <c r="L147" s="472">
        <v>9.2441666666666666</v>
      </c>
      <c r="M147" s="472">
        <v>9.2441666666666666</v>
      </c>
      <c r="N147" s="472">
        <v>9.2441666666666666</v>
      </c>
      <c r="O147" s="472">
        <v>9.2441666666666666</v>
      </c>
      <c r="P147" s="472">
        <v>9.2441666666666666</v>
      </c>
      <c r="Q147" s="472">
        <v>9.2441666666666666</v>
      </c>
      <c r="R147" s="472">
        <v>9.2441666666666666</v>
      </c>
      <c r="S147" s="472">
        <v>9.2441666666666666</v>
      </c>
      <c r="T147" s="472">
        <v>9.2441666666666666</v>
      </c>
      <c r="U147" s="472">
        <v>9.2441666666666666</v>
      </c>
      <c r="V147" s="472">
        <v>9.2441666666666666</v>
      </c>
      <c r="W147" s="472">
        <v>9.2441666666666666</v>
      </c>
      <c r="X147" s="472">
        <v>9.2441666666666666</v>
      </c>
      <c r="Y147" s="472">
        <v>9.2441666666666666</v>
      </c>
      <c r="Z147" s="472">
        <v>9.2441666666666666</v>
      </c>
      <c r="AA147" s="472">
        <v>9.2441666666666666</v>
      </c>
      <c r="AB147" s="472">
        <v>9.2441666666666666</v>
      </c>
      <c r="AC147" s="472">
        <v>9.2441666666666666</v>
      </c>
      <c r="AD147" s="472">
        <v>9.2441666666666666</v>
      </c>
      <c r="AE147" s="472">
        <v>9.2441666666666666</v>
      </c>
      <c r="AF147" s="472">
        <v>9.2441666666666666</v>
      </c>
      <c r="AG147" s="472">
        <v>9.2441666666666666</v>
      </c>
      <c r="AH147" s="472">
        <v>9.2441666666666666</v>
      </c>
      <c r="AI147" s="472">
        <v>9.2441666666666666</v>
      </c>
      <c r="AJ147" s="472">
        <v>9.2441666666666666</v>
      </c>
      <c r="AK147" s="472">
        <v>9.2441666666666666</v>
      </c>
      <c r="AL147" s="472">
        <v>9.2441666666666666</v>
      </c>
      <c r="AM147" s="472">
        <v>9.2441666666666666</v>
      </c>
      <c r="AN147" s="472">
        <v>9.2441666666666666</v>
      </c>
      <c r="AO147" s="472">
        <v>9.2441666666666666</v>
      </c>
      <c r="AP147" s="472">
        <v>9.2441666666666666</v>
      </c>
      <c r="AQ147" s="472">
        <v>9.2441666666666666</v>
      </c>
      <c r="AR147" s="472">
        <v>9.2441666666666666</v>
      </c>
      <c r="AS147" s="472">
        <v>9.2441666666666666</v>
      </c>
      <c r="AT147" s="472">
        <v>9.2441666666666666</v>
      </c>
      <c r="AU147" s="472">
        <v>9.2441666666666666</v>
      </c>
      <c r="AV147" s="472">
        <v>9.2441666666666666</v>
      </c>
      <c r="AW147" s="472">
        <v>9.2441666666666666</v>
      </c>
      <c r="AX147" s="472">
        <v>9.2441666666666702</v>
      </c>
      <c r="AY147" s="473">
        <v>9.2441666666666702</v>
      </c>
    </row>
    <row r="148" spans="1:51">
      <c r="A148" s="446" t="s">
        <v>2933</v>
      </c>
      <c r="B148" s="471">
        <v>7.2607266726146298</v>
      </c>
      <c r="C148" s="472">
        <v>7.9112857970161548</v>
      </c>
      <c r="D148" s="472">
        <v>8.1995068031839171</v>
      </c>
      <c r="E148" s="472">
        <v>8.4073776927334265</v>
      </c>
      <c r="F148" s="472">
        <v>8.5736326363918245</v>
      </c>
      <c r="G148" s="472">
        <v>8.7208261649062617</v>
      </c>
      <c r="H148" s="472">
        <v>8.8285181377174773</v>
      </c>
      <c r="I148" s="472">
        <v>8.8829506598476691</v>
      </c>
      <c r="J148" s="472">
        <v>9.0100552678251411</v>
      </c>
      <c r="K148" s="472">
        <v>9.0500408716374903</v>
      </c>
      <c r="L148" s="472">
        <v>9.1558646250250764</v>
      </c>
      <c r="M148" s="472">
        <v>9.244954159045637</v>
      </c>
      <c r="N148" s="472">
        <v>9.2425044625563437</v>
      </c>
      <c r="O148" s="472">
        <v>9.3135366023628183</v>
      </c>
      <c r="P148" s="472">
        <v>9.3834258849192018</v>
      </c>
      <c r="Q148" s="472">
        <v>9.4457625151136106</v>
      </c>
      <c r="R148" s="472">
        <v>9.4294343454096037</v>
      </c>
      <c r="S148" s="472">
        <v>9.4065940080935402</v>
      </c>
      <c r="T148" s="472">
        <v>9.3718934835830296</v>
      </c>
      <c r="U148" s="472">
        <v>9.3718934835830296</v>
      </c>
      <c r="V148" s="472">
        <v>9.3718934835830296</v>
      </c>
      <c r="W148" s="472">
        <v>9.3718934835830296</v>
      </c>
      <c r="X148" s="472">
        <v>9.3718934835830296</v>
      </c>
      <c r="Y148" s="472">
        <v>9.3718934835830296</v>
      </c>
      <c r="Z148" s="472">
        <v>9.3718934835830296</v>
      </c>
      <c r="AA148" s="472">
        <v>9.3718934835830296</v>
      </c>
      <c r="AB148" s="472">
        <v>9.3718934835830296</v>
      </c>
      <c r="AC148" s="472">
        <v>9.3718934835830296</v>
      </c>
      <c r="AD148" s="472">
        <v>9.3718934835830296</v>
      </c>
      <c r="AE148" s="472">
        <v>9.3718934835830296</v>
      </c>
      <c r="AF148" s="472">
        <v>9.3718934835830296</v>
      </c>
      <c r="AG148" s="472">
        <v>9.3718934835830296</v>
      </c>
      <c r="AH148" s="472">
        <v>9.3718934835830296</v>
      </c>
      <c r="AI148" s="472">
        <v>9.3718934835830296</v>
      </c>
      <c r="AJ148" s="472">
        <v>9.3718934835830296</v>
      </c>
      <c r="AK148" s="472">
        <v>9.3718934835830296</v>
      </c>
      <c r="AL148" s="472">
        <v>9.3718934835830296</v>
      </c>
      <c r="AM148" s="472">
        <v>9.3718934835830296</v>
      </c>
      <c r="AN148" s="472">
        <v>9.3718934835830296</v>
      </c>
      <c r="AO148" s="472">
        <v>9.3718934835830296</v>
      </c>
      <c r="AP148" s="472">
        <v>9.3718934835830296</v>
      </c>
      <c r="AQ148" s="472">
        <v>9.3718934835830296</v>
      </c>
      <c r="AR148" s="472">
        <v>9.3718934835830296</v>
      </c>
      <c r="AS148" s="472">
        <v>9.3718934835830296</v>
      </c>
      <c r="AT148" s="472">
        <v>9.3718934835830296</v>
      </c>
      <c r="AU148" s="472">
        <v>9.3718934835830296</v>
      </c>
      <c r="AV148" s="472">
        <v>9.3718934835830296</v>
      </c>
      <c r="AW148" s="472">
        <v>9.3718934835830296</v>
      </c>
      <c r="AX148" s="472">
        <v>9.3718934835830296</v>
      </c>
      <c r="AY148" s="473">
        <v>9.3718934835830296</v>
      </c>
    </row>
    <row r="149" spans="1:51">
      <c r="A149" s="446" t="s">
        <v>2934</v>
      </c>
      <c r="B149" s="447">
        <v>6.28E-3</v>
      </c>
      <c r="C149" s="448">
        <v>6.1999999999999998E-3</v>
      </c>
      <c r="D149" s="448">
        <v>6.1200000000000004E-3</v>
      </c>
      <c r="E149" s="448">
        <v>6.0000000000000001E-3</v>
      </c>
      <c r="F149" s="448">
        <v>5.8799999999999998E-3</v>
      </c>
      <c r="G149" s="448">
        <v>5.77E-3</v>
      </c>
      <c r="H149" s="448">
        <v>5.77E-3</v>
      </c>
      <c r="I149" s="448">
        <v>5.7599999999999995E-3</v>
      </c>
      <c r="J149" s="448">
        <v>5.7599999999999995E-3</v>
      </c>
      <c r="K149" s="448">
        <v>5.7499999999999999E-3</v>
      </c>
      <c r="L149" s="448">
        <v>5.7499999999999999E-3</v>
      </c>
      <c r="M149" s="448">
        <v>5.7499999999999999E-3</v>
      </c>
      <c r="N149" s="448">
        <v>5.7400000000000003E-3</v>
      </c>
      <c r="O149" s="448">
        <v>5.7400000000000003E-3</v>
      </c>
      <c r="P149" s="448">
        <v>5.7300000000000007E-3</v>
      </c>
      <c r="Q149" s="448">
        <v>5.7300000000000007E-3</v>
      </c>
      <c r="R149" s="448">
        <v>5.7300000000000007E-3</v>
      </c>
      <c r="S149" s="448">
        <v>5.7300000000000007E-3</v>
      </c>
      <c r="T149" s="448">
        <v>5.7300000000000007E-3</v>
      </c>
      <c r="U149" s="448">
        <v>5.7300000000000007E-3</v>
      </c>
      <c r="V149" s="448">
        <v>5.7300000000000007E-3</v>
      </c>
      <c r="W149" s="448">
        <v>5.7300000000000007E-3</v>
      </c>
      <c r="X149" s="448">
        <v>5.7300000000000007E-3</v>
      </c>
      <c r="Y149" s="448">
        <v>5.7300000000000007E-3</v>
      </c>
      <c r="Z149" s="448">
        <v>5.7300000000000007E-3</v>
      </c>
      <c r="AA149" s="448">
        <v>5.7300000000000007E-3</v>
      </c>
      <c r="AB149" s="448">
        <v>5.7300000000000007E-3</v>
      </c>
      <c r="AC149" s="448">
        <v>5.7300000000000007E-3</v>
      </c>
      <c r="AD149" s="448">
        <v>5.7300000000000007E-3</v>
      </c>
      <c r="AE149" s="448">
        <v>5.7300000000000007E-3</v>
      </c>
      <c r="AF149" s="448">
        <v>5.7300000000000007E-3</v>
      </c>
      <c r="AG149" s="448">
        <v>5.7300000000000007E-3</v>
      </c>
      <c r="AH149" s="448">
        <v>5.7300000000000007E-3</v>
      </c>
      <c r="AI149" s="448">
        <v>5.7300000000000007E-3</v>
      </c>
      <c r="AJ149" s="448">
        <v>5.7300000000000007E-3</v>
      </c>
      <c r="AK149" s="448">
        <v>5.7300000000000007E-3</v>
      </c>
      <c r="AL149" s="448">
        <v>5.7300000000000007E-3</v>
      </c>
      <c r="AM149" s="448">
        <v>5.7300000000000007E-3</v>
      </c>
      <c r="AN149" s="448">
        <v>5.7300000000000007E-3</v>
      </c>
      <c r="AO149" s="448">
        <v>5.7300000000000007E-3</v>
      </c>
      <c r="AP149" s="448">
        <v>5.7300000000000007E-3</v>
      </c>
      <c r="AQ149" s="448">
        <v>5.7300000000000007E-3</v>
      </c>
      <c r="AR149" s="448">
        <v>5.7300000000000007E-3</v>
      </c>
      <c r="AS149" s="448">
        <v>5.7300000000000007E-3</v>
      </c>
      <c r="AT149" s="448">
        <v>5.7300000000000007E-3</v>
      </c>
      <c r="AU149" s="448">
        <v>5.7300000000000007E-3</v>
      </c>
      <c r="AV149" s="448">
        <v>5.7300000000000007E-3</v>
      </c>
      <c r="AW149" s="448">
        <v>5.7300000000000007E-3</v>
      </c>
      <c r="AX149" s="448">
        <v>5.7300000000000007E-3</v>
      </c>
      <c r="AY149" s="449">
        <v>5.7300000000000007E-3</v>
      </c>
    </row>
    <row r="150" spans="1:51">
      <c r="A150" s="446" t="s">
        <v>2935</v>
      </c>
      <c r="B150" s="450">
        <f>(58.5/1000)*15</f>
        <v>0.87750000000000006</v>
      </c>
      <c r="C150" s="451">
        <f t="shared" ref="C150:AD151" si="59">(58.5/1000)*15</f>
        <v>0.87750000000000006</v>
      </c>
      <c r="D150" s="451">
        <f t="shared" si="59"/>
        <v>0.87750000000000006</v>
      </c>
      <c r="E150" s="451">
        <f t="shared" si="59"/>
        <v>0.87750000000000006</v>
      </c>
      <c r="F150" s="451">
        <f t="shared" si="59"/>
        <v>0.87750000000000006</v>
      </c>
      <c r="G150" s="451">
        <f t="shared" si="59"/>
        <v>0.87750000000000006</v>
      </c>
      <c r="H150" s="451">
        <f t="shared" si="59"/>
        <v>0.87750000000000006</v>
      </c>
      <c r="I150" s="451">
        <f t="shared" si="59"/>
        <v>0.87750000000000006</v>
      </c>
      <c r="J150" s="451">
        <f t="shared" si="59"/>
        <v>0.87750000000000006</v>
      </c>
      <c r="K150" s="451">
        <f t="shared" si="59"/>
        <v>0.87750000000000006</v>
      </c>
      <c r="L150" s="451">
        <f t="shared" si="59"/>
        <v>0.87750000000000006</v>
      </c>
      <c r="M150" s="451">
        <f t="shared" si="59"/>
        <v>0.87750000000000006</v>
      </c>
      <c r="N150" s="451">
        <f t="shared" si="59"/>
        <v>0.87750000000000006</v>
      </c>
      <c r="O150" s="451">
        <f t="shared" si="59"/>
        <v>0.87750000000000006</v>
      </c>
      <c r="P150" s="451">
        <f t="shared" si="59"/>
        <v>0.87750000000000006</v>
      </c>
      <c r="Q150" s="451">
        <f t="shared" si="59"/>
        <v>0.87750000000000006</v>
      </c>
      <c r="R150" s="451">
        <f t="shared" si="59"/>
        <v>0.87750000000000006</v>
      </c>
      <c r="S150" s="451">
        <f t="shared" si="59"/>
        <v>0.87750000000000006</v>
      </c>
      <c r="T150" s="451">
        <f t="shared" si="59"/>
        <v>0.87750000000000006</v>
      </c>
      <c r="U150" s="451">
        <f t="shared" si="59"/>
        <v>0.87750000000000006</v>
      </c>
      <c r="V150" s="451">
        <f t="shared" si="59"/>
        <v>0.87750000000000006</v>
      </c>
      <c r="W150" s="451">
        <f t="shared" si="59"/>
        <v>0.87750000000000006</v>
      </c>
      <c r="X150" s="451">
        <f t="shared" si="59"/>
        <v>0.87750000000000006</v>
      </c>
      <c r="Y150" s="451">
        <f t="shared" si="59"/>
        <v>0.87750000000000006</v>
      </c>
      <c r="Z150" s="451">
        <f t="shared" si="59"/>
        <v>0.87750000000000006</v>
      </c>
      <c r="AA150" s="451">
        <f t="shared" si="59"/>
        <v>0.87750000000000006</v>
      </c>
      <c r="AB150" s="451">
        <f t="shared" si="59"/>
        <v>0.87750000000000006</v>
      </c>
      <c r="AC150" s="451">
        <f t="shared" si="59"/>
        <v>0.87750000000000006</v>
      </c>
      <c r="AD150" s="451">
        <f t="shared" si="59"/>
        <v>0.87750000000000006</v>
      </c>
      <c r="AE150" s="451">
        <f>(58.5/1000)*15</f>
        <v>0.87750000000000006</v>
      </c>
      <c r="AF150" s="451">
        <f t="shared" ref="AF150:AY151" si="60">(58.5/1000)*15</f>
        <v>0.87750000000000006</v>
      </c>
      <c r="AG150" s="451">
        <f t="shared" si="60"/>
        <v>0.87750000000000006</v>
      </c>
      <c r="AH150" s="451">
        <f t="shared" si="60"/>
        <v>0.87750000000000006</v>
      </c>
      <c r="AI150" s="451">
        <f t="shared" si="60"/>
        <v>0.87750000000000006</v>
      </c>
      <c r="AJ150" s="451">
        <f t="shared" si="60"/>
        <v>0.87750000000000006</v>
      </c>
      <c r="AK150" s="451">
        <f t="shared" si="60"/>
        <v>0.87750000000000006</v>
      </c>
      <c r="AL150" s="451">
        <f t="shared" si="60"/>
        <v>0.87750000000000006</v>
      </c>
      <c r="AM150" s="451">
        <f t="shared" si="60"/>
        <v>0.87750000000000006</v>
      </c>
      <c r="AN150" s="451">
        <f t="shared" si="60"/>
        <v>0.87750000000000006</v>
      </c>
      <c r="AO150" s="451">
        <f t="shared" si="60"/>
        <v>0.87750000000000006</v>
      </c>
      <c r="AP150" s="451">
        <f t="shared" si="60"/>
        <v>0.87750000000000006</v>
      </c>
      <c r="AQ150" s="451">
        <f t="shared" si="60"/>
        <v>0.87750000000000006</v>
      </c>
      <c r="AR150" s="451">
        <f t="shared" si="60"/>
        <v>0.87750000000000006</v>
      </c>
      <c r="AS150" s="451">
        <f t="shared" si="60"/>
        <v>0.87750000000000006</v>
      </c>
      <c r="AT150" s="451">
        <f t="shared" si="60"/>
        <v>0.87750000000000006</v>
      </c>
      <c r="AU150" s="451">
        <f t="shared" si="60"/>
        <v>0.87750000000000006</v>
      </c>
      <c r="AV150" s="451">
        <f t="shared" si="60"/>
        <v>0.87750000000000006</v>
      </c>
      <c r="AW150" s="451">
        <f t="shared" si="60"/>
        <v>0.87750000000000006</v>
      </c>
      <c r="AX150" s="451">
        <f t="shared" si="60"/>
        <v>0.87750000000000006</v>
      </c>
      <c r="AY150" s="452">
        <f t="shared" si="60"/>
        <v>0.87750000000000006</v>
      </c>
    </row>
    <row r="151" spans="1:51" ht="12.75" thickBot="1">
      <c r="A151" s="453" t="s">
        <v>2936</v>
      </c>
      <c r="B151" s="454">
        <f>(58.5/1000)*15</f>
        <v>0.87750000000000006</v>
      </c>
      <c r="C151" s="455">
        <f t="shared" si="59"/>
        <v>0.87750000000000006</v>
      </c>
      <c r="D151" s="455">
        <f t="shared" si="59"/>
        <v>0.87750000000000006</v>
      </c>
      <c r="E151" s="455">
        <f t="shared" si="59"/>
        <v>0.87750000000000006</v>
      </c>
      <c r="F151" s="455">
        <f t="shared" si="59"/>
        <v>0.87750000000000006</v>
      </c>
      <c r="G151" s="455">
        <f t="shared" si="59"/>
        <v>0.87750000000000006</v>
      </c>
      <c r="H151" s="455">
        <f t="shared" si="59"/>
        <v>0.87750000000000006</v>
      </c>
      <c r="I151" s="455">
        <f t="shared" si="59"/>
        <v>0.87750000000000006</v>
      </c>
      <c r="J151" s="455">
        <f t="shared" si="59"/>
        <v>0.87750000000000006</v>
      </c>
      <c r="K151" s="455">
        <f t="shared" si="59"/>
        <v>0.87750000000000006</v>
      </c>
      <c r="L151" s="455">
        <f t="shared" si="59"/>
        <v>0.87750000000000006</v>
      </c>
      <c r="M151" s="455">
        <f t="shared" si="59"/>
        <v>0.87750000000000006</v>
      </c>
      <c r="N151" s="455">
        <f t="shared" si="59"/>
        <v>0.87750000000000006</v>
      </c>
      <c r="O151" s="455">
        <f t="shared" si="59"/>
        <v>0.87750000000000006</v>
      </c>
      <c r="P151" s="455">
        <f t="shared" si="59"/>
        <v>0.87750000000000006</v>
      </c>
      <c r="Q151" s="455">
        <f t="shared" si="59"/>
        <v>0.87750000000000006</v>
      </c>
      <c r="R151" s="455">
        <f t="shared" si="59"/>
        <v>0.87750000000000006</v>
      </c>
      <c r="S151" s="455">
        <f t="shared" si="59"/>
        <v>0.87750000000000006</v>
      </c>
      <c r="T151" s="455">
        <f t="shared" si="59"/>
        <v>0.87750000000000006</v>
      </c>
      <c r="U151" s="455">
        <f t="shared" si="59"/>
        <v>0.87750000000000006</v>
      </c>
      <c r="V151" s="455">
        <f t="shared" si="59"/>
        <v>0.87750000000000006</v>
      </c>
      <c r="W151" s="455">
        <f t="shared" si="59"/>
        <v>0.87750000000000006</v>
      </c>
      <c r="X151" s="455">
        <f t="shared" si="59"/>
        <v>0.87750000000000006</v>
      </c>
      <c r="Y151" s="455">
        <f t="shared" si="59"/>
        <v>0.87750000000000006</v>
      </c>
      <c r="Z151" s="455">
        <f t="shared" si="59"/>
        <v>0.87750000000000006</v>
      </c>
      <c r="AA151" s="455">
        <f t="shared" si="59"/>
        <v>0.87750000000000006</v>
      </c>
      <c r="AB151" s="455">
        <f t="shared" si="59"/>
        <v>0.87750000000000006</v>
      </c>
      <c r="AC151" s="455">
        <f t="shared" si="59"/>
        <v>0.87750000000000006</v>
      </c>
      <c r="AD151" s="455">
        <f t="shared" si="59"/>
        <v>0.87750000000000006</v>
      </c>
      <c r="AE151" s="455">
        <f>(58.5/1000)*15</f>
        <v>0.87750000000000006</v>
      </c>
      <c r="AF151" s="455">
        <f t="shared" si="60"/>
        <v>0.87750000000000006</v>
      </c>
      <c r="AG151" s="455">
        <f t="shared" si="60"/>
        <v>0.87750000000000006</v>
      </c>
      <c r="AH151" s="455">
        <f t="shared" si="60"/>
        <v>0.87750000000000006</v>
      </c>
      <c r="AI151" s="455">
        <f t="shared" si="60"/>
        <v>0.87750000000000006</v>
      </c>
      <c r="AJ151" s="455">
        <f t="shared" si="60"/>
        <v>0.87750000000000006</v>
      </c>
      <c r="AK151" s="455">
        <f t="shared" si="60"/>
        <v>0.87750000000000006</v>
      </c>
      <c r="AL151" s="455">
        <f t="shared" si="60"/>
        <v>0.87750000000000006</v>
      </c>
      <c r="AM151" s="455">
        <f t="shared" si="60"/>
        <v>0.87750000000000006</v>
      </c>
      <c r="AN151" s="455">
        <f t="shared" si="60"/>
        <v>0.87750000000000006</v>
      </c>
      <c r="AO151" s="455">
        <f t="shared" si="60"/>
        <v>0.87750000000000006</v>
      </c>
      <c r="AP151" s="455">
        <f t="shared" si="60"/>
        <v>0.87750000000000006</v>
      </c>
      <c r="AQ151" s="455">
        <f t="shared" si="60"/>
        <v>0.87750000000000006</v>
      </c>
      <c r="AR151" s="455">
        <f t="shared" si="60"/>
        <v>0.87750000000000006</v>
      </c>
      <c r="AS151" s="455">
        <f t="shared" si="60"/>
        <v>0.87750000000000006</v>
      </c>
      <c r="AT151" s="455">
        <f t="shared" si="60"/>
        <v>0.87750000000000006</v>
      </c>
      <c r="AU151" s="455">
        <f t="shared" si="60"/>
        <v>0.87750000000000006</v>
      </c>
      <c r="AV151" s="455">
        <f t="shared" si="60"/>
        <v>0.87750000000000006</v>
      </c>
      <c r="AW151" s="455">
        <f t="shared" si="60"/>
        <v>0.87750000000000006</v>
      </c>
      <c r="AX151" s="455">
        <f t="shared" si="60"/>
        <v>0.87750000000000006</v>
      </c>
      <c r="AY151" s="456">
        <f t="shared" si="60"/>
        <v>0.87750000000000006</v>
      </c>
    </row>
    <row r="152" spans="1:51">
      <c r="B152" s="433"/>
      <c r="C152" s="433"/>
      <c r="D152" s="433"/>
      <c r="E152" s="433"/>
      <c r="F152" s="433"/>
      <c r="G152" s="433"/>
      <c r="H152" s="433"/>
      <c r="I152" s="433"/>
      <c r="J152" s="433"/>
      <c r="K152" s="433"/>
      <c r="L152" s="433"/>
      <c r="M152" s="433"/>
      <c r="N152" s="433"/>
      <c r="O152" s="433"/>
      <c r="P152" s="433"/>
      <c r="Q152" s="433"/>
      <c r="R152" s="433"/>
      <c r="S152" s="433"/>
      <c r="T152" s="433"/>
      <c r="U152" s="433"/>
      <c r="V152" s="433"/>
      <c r="W152" s="433"/>
      <c r="X152" s="433"/>
      <c r="Y152" s="433"/>
      <c r="Z152" s="433"/>
      <c r="AA152" s="433"/>
      <c r="AB152" s="433"/>
      <c r="AC152" s="433"/>
      <c r="AD152" s="433"/>
      <c r="AE152" s="433"/>
    </row>
    <row r="153" spans="1:51" ht="15.75" thickBot="1">
      <c r="A153" s="437" t="s">
        <v>2937</v>
      </c>
      <c r="B153" s="433"/>
      <c r="C153" s="433"/>
      <c r="D153" s="433"/>
      <c r="E153" s="433"/>
      <c r="F153" s="433"/>
      <c r="G153" s="433"/>
      <c r="H153" s="433"/>
      <c r="I153" s="433"/>
      <c r="J153" s="433"/>
      <c r="K153" s="433"/>
      <c r="L153" s="433"/>
      <c r="M153" s="433"/>
      <c r="N153" s="433"/>
      <c r="O153" s="433"/>
      <c r="P153" s="433"/>
      <c r="Q153" s="433"/>
      <c r="R153" s="433"/>
      <c r="S153" s="433"/>
      <c r="T153" s="433"/>
      <c r="U153" s="433"/>
      <c r="V153" s="433"/>
      <c r="W153" s="433"/>
      <c r="X153" s="433"/>
      <c r="Y153" s="433"/>
      <c r="Z153" s="433"/>
      <c r="AA153" s="433"/>
      <c r="AB153" s="433"/>
      <c r="AC153" s="433"/>
      <c r="AD153" s="433"/>
      <c r="AE153" s="433"/>
    </row>
    <row r="154" spans="1:51" ht="12.75" thickBot="1">
      <c r="A154" s="438" t="s">
        <v>2932</v>
      </c>
      <c r="B154" s="439">
        <v>1</v>
      </c>
      <c r="C154" s="440">
        <v>2</v>
      </c>
      <c r="D154" s="440">
        <v>3</v>
      </c>
      <c r="E154" s="440">
        <v>4</v>
      </c>
      <c r="F154" s="440">
        <v>5</v>
      </c>
      <c r="G154" s="440">
        <v>6</v>
      </c>
      <c r="H154" s="440">
        <v>7</v>
      </c>
      <c r="I154" s="440">
        <v>8</v>
      </c>
      <c r="J154" s="440">
        <v>9</v>
      </c>
      <c r="K154" s="440">
        <v>10</v>
      </c>
      <c r="L154" s="440">
        <v>11</v>
      </c>
      <c r="M154" s="440">
        <v>12</v>
      </c>
      <c r="N154" s="440">
        <v>13</v>
      </c>
      <c r="O154" s="440">
        <v>14</v>
      </c>
      <c r="P154" s="440">
        <v>15</v>
      </c>
      <c r="Q154" s="440">
        <v>16</v>
      </c>
      <c r="R154" s="440">
        <v>17</v>
      </c>
      <c r="S154" s="440">
        <v>18</v>
      </c>
      <c r="T154" s="440">
        <v>19</v>
      </c>
      <c r="U154" s="440">
        <v>20</v>
      </c>
      <c r="V154" s="440">
        <v>21</v>
      </c>
      <c r="W154" s="440">
        <v>22</v>
      </c>
      <c r="X154" s="440">
        <v>23</v>
      </c>
      <c r="Y154" s="440">
        <v>24</v>
      </c>
      <c r="Z154" s="440">
        <v>25</v>
      </c>
      <c r="AA154" s="440">
        <v>26</v>
      </c>
      <c r="AB154" s="440">
        <v>27</v>
      </c>
      <c r="AC154" s="440">
        <v>28</v>
      </c>
      <c r="AD154" s="440">
        <v>29</v>
      </c>
      <c r="AE154" s="440">
        <v>30</v>
      </c>
      <c r="AF154" s="440">
        <f t="shared" ref="AF154:AY154" si="61">AE154+1</f>
        <v>31</v>
      </c>
      <c r="AG154" s="440">
        <f t="shared" si="61"/>
        <v>32</v>
      </c>
      <c r="AH154" s="440">
        <f t="shared" si="61"/>
        <v>33</v>
      </c>
      <c r="AI154" s="440">
        <f t="shared" si="61"/>
        <v>34</v>
      </c>
      <c r="AJ154" s="440">
        <f t="shared" si="61"/>
        <v>35</v>
      </c>
      <c r="AK154" s="440">
        <f t="shared" si="61"/>
        <v>36</v>
      </c>
      <c r="AL154" s="440">
        <f t="shared" si="61"/>
        <v>37</v>
      </c>
      <c r="AM154" s="440">
        <f t="shared" si="61"/>
        <v>38</v>
      </c>
      <c r="AN154" s="440">
        <f t="shared" si="61"/>
        <v>39</v>
      </c>
      <c r="AO154" s="440">
        <f t="shared" si="61"/>
        <v>40</v>
      </c>
      <c r="AP154" s="440">
        <f t="shared" si="61"/>
        <v>41</v>
      </c>
      <c r="AQ154" s="440">
        <f t="shared" si="61"/>
        <v>42</v>
      </c>
      <c r="AR154" s="440">
        <f t="shared" si="61"/>
        <v>43</v>
      </c>
      <c r="AS154" s="440">
        <f t="shared" si="61"/>
        <v>44</v>
      </c>
      <c r="AT154" s="440">
        <f t="shared" si="61"/>
        <v>45</v>
      </c>
      <c r="AU154" s="440">
        <f t="shared" si="61"/>
        <v>46</v>
      </c>
      <c r="AV154" s="440">
        <f t="shared" si="61"/>
        <v>47</v>
      </c>
      <c r="AW154" s="440">
        <f t="shared" si="61"/>
        <v>48</v>
      </c>
      <c r="AX154" s="440">
        <f t="shared" si="61"/>
        <v>49</v>
      </c>
      <c r="AY154" s="441">
        <f t="shared" si="61"/>
        <v>50</v>
      </c>
    </row>
    <row r="155" spans="1:51">
      <c r="A155" s="442" t="s">
        <v>2955</v>
      </c>
      <c r="B155" s="443">
        <f t="shared" ref="B155:B162" si="62">B144/(1+$C$3)^(B$16-0.5)</f>
        <v>6.6506021841986604E-2</v>
      </c>
      <c r="C155" s="444">
        <f t="shared" ref="C155:AY160" si="63">(C144/(1+$C$3)^(C$16-0.5)+B155)</f>
        <v>0.12827490399744898</v>
      </c>
      <c r="D155" s="444">
        <f t="shared" si="63"/>
        <v>0.18564973740670915</v>
      </c>
      <c r="E155" s="444">
        <f t="shared" si="63"/>
        <v>0.23990370587347698</v>
      </c>
      <c r="F155" s="444">
        <f t="shared" si="63"/>
        <v>0.29120627325122672</v>
      </c>
      <c r="G155" s="444">
        <f t="shared" si="63"/>
        <v>0.33972434249937733</v>
      </c>
      <c r="H155" s="444">
        <f t="shared" si="63"/>
        <v>0.38582353901948346</v>
      </c>
      <c r="I155" s="444">
        <f t="shared" si="63"/>
        <v>0.42962889916558616</v>
      </c>
      <c r="J155" s="444">
        <f t="shared" si="63"/>
        <v>0.47124865834523672</v>
      </c>
      <c r="K155" s="444">
        <f t="shared" si="63"/>
        <v>0.51079812378440359</v>
      </c>
      <c r="L155" s="444">
        <f t="shared" si="63"/>
        <v>0.54837896873154479</v>
      </c>
      <c r="M155" s="444">
        <f t="shared" si="63"/>
        <v>0.584085174103256</v>
      </c>
      <c r="N155" s="444">
        <f t="shared" si="63"/>
        <v>0.61801365427958765</v>
      </c>
      <c r="O155" s="444">
        <f t="shared" si="63"/>
        <v>0.65025363427340055</v>
      </c>
      <c r="P155" s="444">
        <f t="shared" si="63"/>
        <v>0.6808889547833743</v>
      </c>
      <c r="Q155" s="444">
        <f t="shared" si="63"/>
        <v>0.70992717327624033</v>
      </c>
      <c r="R155" s="444">
        <f t="shared" si="63"/>
        <v>0.73745155099459681</v>
      </c>
      <c r="S155" s="444">
        <f t="shared" si="63"/>
        <v>0.76354100854754137</v>
      </c>
      <c r="T155" s="444">
        <f t="shared" si="63"/>
        <v>0.78827035219962149</v>
      </c>
      <c r="U155" s="444">
        <f t="shared" si="63"/>
        <v>0.81171048836273063</v>
      </c>
      <c r="V155" s="444">
        <f t="shared" si="63"/>
        <v>0.83392862690596203</v>
      </c>
      <c r="W155" s="444">
        <f t="shared" si="63"/>
        <v>0.85498847386637089</v>
      </c>
      <c r="X155" s="444">
        <f t="shared" si="63"/>
        <v>0.87495041411320396</v>
      </c>
      <c r="Y155" s="444">
        <f t="shared" si="63"/>
        <v>0.89387168448934906</v>
      </c>
      <c r="Z155" s="444">
        <f t="shared" si="63"/>
        <v>0.91180653792645339</v>
      </c>
      <c r="AA155" s="444">
        <f t="shared" si="63"/>
        <v>0.92880639900427742</v>
      </c>
      <c r="AB155" s="444">
        <f t="shared" si="63"/>
        <v>0.94492001140031912</v>
      </c>
      <c r="AC155" s="444">
        <f t="shared" si="63"/>
        <v>0.96019357765249136</v>
      </c>
      <c r="AD155" s="444">
        <f t="shared" si="63"/>
        <v>0.97467089163559306</v>
      </c>
      <c r="AE155" s="444">
        <f t="shared" si="63"/>
        <v>0.98839346413142404</v>
      </c>
      <c r="AF155" s="444">
        <f t="shared" si="63"/>
        <v>1.0014006418525909</v>
      </c>
      <c r="AG155" s="444">
        <f t="shared" si="63"/>
        <v>1.0137297202612798</v>
      </c>
      <c r="AH155" s="444">
        <f t="shared" si="63"/>
        <v>1.0254160505064827</v>
      </c>
      <c r="AI155" s="444">
        <f t="shared" si="63"/>
        <v>1.0364931407862956</v>
      </c>
      <c r="AJ155" s="444">
        <f t="shared" si="63"/>
        <v>1.0469927524259288</v>
      </c>
      <c r="AK155" s="444">
        <f t="shared" si="63"/>
        <v>1.0569449909469082</v>
      </c>
      <c r="AL155" s="444">
        <f t="shared" si="63"/>
        <v>1.0663783923885948</v>
      </c>
      <c r="AM155" s="444">
        <f t="shared" si="63"/>
        <v>1.07532000512953</v>
      </c>
      <c r="AN155" s="444">
        <f t="shared" si="63"/>
        <v>1.0837954674432126</v>
      </c>
      <c r="AO155" s="444">
        <f t="shared" si="63"/>
        <v>1.0918290810106843</v>
      </c>
      <c r="AP155" s="444">
        <f t="shared" si="63"/>
        <v>1.099443880600705</v>
      </c>
      <c r="AQ155" s="444">
        <f t="shared" si="63"/>
        <v>1.106661700117312</v>
      </c>
      <c r="AR155" s="444">
        <f t="shared" si="63"/>
        <v>1.1135032352041434</v>
      </c>
      <c r="AS155" s="444">
        <f t="shared" si="63"/>
        <v>1.1199881025850262</v>
      </c>
      <c r="AT155" s="444">
        <f t="shared" si="63"/>
        <v>1.1261348963109816</v>
      </c>
      <c r="AU155" s="444">
        <f t="shared" si="63"/>
        <v>1.1319612410749202</v>
      </c>
      <c r="AV155" s="444">
        <f t="shared" si="63"/>
        <v>1.1374838427469001</v>
      </c>
      <c r="AW155" s="444">
        <f t="shared" si="63"/>
        <v>1.1427185362748431</v>
      </c>
      <c r="AX155" s="444">
        <f t="shared" si="63"/>
        <v>1.1476803310880592</v>
      </c>
      <c r="AY155" s="445">
        <f t="shared" si="63"/>
        <v>1.1523834541337616</v>
      </c>
    </row>
    <row r="156" spans="1:51">
      <c r="A156" s="446" t="s">
        <v>2956</v>
      </c>
      <c r="B156" s="450">
        <f t="shared" si="62"/>
        <v>83.142880157899583</v>
      </c>
      <c r="C156" s="451">
        <f t="shared" si="63"/>
        <v>168.53441057976141</v>
      </c>
      <c r="D156" s="451">
        <f t="shared" si="63"/>
        <v>255.33713327310039</v>
      </c>
      <c r="E156" s="451">
        <f t="shared" si="63"/>
        <v>342.85019038251738</v>
      </c>
      <c r="F156" s="451">
        <f t="shared" si="63"/>
        <v>430.46720059461694</v>
      </c>
      <c r="G156" s="451">
        <f t="shared" si="63"/>
        <v>517.67458334521405</v>
      </c>
      <c r="H156" s="451">
        <f t="shared" si="63"/>
        <v>604.04866016790231</v>
      </c>
      <c r="I156" s="451">
        <f t="shared" si="63"/>
        <v>689.22294077369145</v>
      </c>
      <c r="J156" s="451">
        <f t="shared" si="63"/>
        <v>772.90319960289992</v>
      </c>
      <c r="K156" s="451">
        <f t="shared" si="63"/>
        <v>854.84525147923114</v>
      </c>
      <c r="L156" s="451">
        <f t="shared" si="63"/>
        <v>934.84935653622915</v>
      </c>
      <c r="M156" s="451">
        <f t="shared" si="63"/>
        <v>1012.7609731846534</v>
      </c>
      <c r="N156" s="451">
        <f t="shared" si="63"/>
        <v>1086.6108467850554</v>
      </c>
      <c r="O156" s="451">
        <f t="shared" si="63"/>
        <v>1156.61072697501</v>
      </c>
      <c r="P156" s="451">
        <f t="shared" si="63"/>
        <v>1222.96132431146</v>
      </c>
      <c r="Q156" s="451">
        <f t="shared" si="63"/>
        <v>1285.8528857678107</v>
      </c>
      <c r="R156" s="451">
        <f t="shared" si="63"/>
        <v>1345.4657402288062</v>
      </c>
      <c r="S156" s="451">
        <f t="shared" si="63"/>
        <v>1401.9708155472856</v>
      </c>
      <c r="T156" s="451">
        <f t="shared" si="63"/>
        <v>1455.5301286453703</v>
      </c>
      <c r="U156" s="451">
        <f t="shared" si="63"/>
        <v>1506.2972500653557</v>
      </c>
      <c r="V156" s="451">
        <f t="shared" si="63"/>
        <v>1554.4177443023086</v>
      </c>
      <c r="W156" s="451">
        <f t="shared" si="63"/>
        <v>1600.0295871809371</v>
      </c>
      <c r="X156" s="451">
        <f t="shared" si="63"/>
        <v>1643.2635614734759</v>
      </c>
      <c r="Y156" s="451">
        <f t="shared" si="63"/>
        <v>1684.243631892944</v>
      </c>
      <c r="Z156" s="451">
        <f t="shared" si="63"/>
        <v>1723.0873005369897</v>
      </c>
      <c r="AA156" s="451">
        <f t="shared" si="63"/>
        <v>1759.9059438014879</v>
      </c>
      <c r="AB156" s="451">
        <f t="shared" si="63"/>
        <v>1794.8051317299221</v>
      </c>
      <c r="AC156" s="451">
        <f t="shared" si="63"/>
        <v>1827.88493071422</v>
      </c>
      <c r="AD156" s="451">
        <f t="shared" si="63"/>
        <v>1859.2401904149763</v>
      </c>
      <c r="AE156" s="451">
        <f t="shared" si="63"/>
        <v>1888.9608157237501</v>
      </c>
      <c r="AF156" s="451">
        <f t="shared" si="63"/>
        <v>1917.1320245472323</v>
      </c>
      <c r="AG156" s="451">
        <f t="shared" si="63"/>
        <v>1943.8345921524287</v>
      </c>
      <c r="AH156" s="451">
        <f t="shared" si="63"/>
        <v>1969.1450827734679</v>
      </c>
      <c r="AI156" s="451">
        <f t="shared" si="63"/>
        <v>1993.1360691441214</v>
      </c>
      <c r="AJ156" s="451">
        <f t="shared" si="63"/>
        <v>2015.8763405854991</v>
      </c>
      <c r="AK156" s="451">
        <f t="shared" si="63"/>
        <v>2037.4311002455727</v>
      </c>
      <c r="AL156" s="451">
        <f t="shared" si="63"/>
        <v>2057.8621520560691</v>
      </c>
      <c r="AM156" s="451">
        <f t="shared" si="63"/>
        <v>2077.2280779427956</v>
      </c>
      <c r="AN156" s="451">
        <f t="shared" si="63"/>
        <v>2095.5844057975123</v>
      </c>
      <c r="AO156" s="451">
        <f t="shared" si="63"/>
        <v>2112.9837686929786</v>
      </c>
      <c r="AP156" s="451">
        <f t="shared" si="63"/>
        <v>2129.4760557976861</v>
      </c>
      <c r="AQ156" s="451">
        <f t="shared" si="63"/>
        <v>2145.1085554230012</v>
      </c>
      <c r="AR156" s="451">
        <f t="shared" si="63"/>
        <v>2159.9260906128734</v>
      </c>
      <c r="AS156" s="451">
        <f t="shared" si="63"/>
        <v>2173.9711476648849</v>
      </c>
      <c r="AT156" s="451">
        <f t="shared" si="63"/>
        <v>2187.2839979511518</v>
      </c>
      <c r="AU156" s="451">
        <f t="shared" si="63"/>
        <v>2199.9028133883717</v>
      </c>
      <c r="AV156" s="451">
        <f t="shared" si="63"/>
        <v>2211.8637758881059</v>
      </c>
      <c r="AW156" s="451">
        <f t="shared" si="63"/>
        <v>2223.2011811011243</v>
      </c>
      <c r="AX156" s="451">
        <f t="shared" si="63"/>
        <v>2233.9475367532746</v>
      </c>
      <c r="AY156" s="452">
        <f t="shared" si="63"/>
        <v>2244.1336558548387</v>
      </c>
    </row>
    <row r="157" spans="1:51">
      <c r="A157" s="446" t="s">
        <v>2957</v>
      </c>
      <c r="B157" s="450">
        <f t="shared" si="62"/>
        <v>9.9695080143101027</v>
      </c>
      <c r="C157" s="451">
        <f t="shared" si="63"/>
        <v>19.207027936485396</v>
      </c>
      <c r="D157" s="451">
        <f t="shared" si="63"/>
        <v>27.770532681796588</v>
      </c>
      <c r="E157" s="451">
        <f t="shared" si="63"/>
        <v>35.887598791096295</v>
      </c>
      <c r="F157" s="451">
        <f t="shared" si="63"/>
        <v>43.581500316498861</v>
      </c>
      <c r="G157" s="451">
        <f t="shared" si="63"/>
        <v>50.874297970908877</v>
      </c>
      <c r="H157" s="451">
        <f t="shared" si="63"/>
        <v>57.843389446302268</v>
      </c>
      <c r="I157" s="451">
        <f t="shared" si="63"/>
        <v>64.496012816984674</v>
      </c>
      <c r="J157" s="451">
        <f t="shared" si="63"/>
        <v>70.852567898586869</v>
      </c>
      <c r="K157" s="451">
        <f t="shared" si="63"/>
        <v>76.877738592048672</v>
      </c>
      <c r="L157" s="451">
        <f t="shared" si="63"/>
        <v>82.588800860732846</v>
      </c>
      <c r="M157" s="451">
        <f t="shared" si="63"/>
        <v>88.002130025362391</v>
      </c>
      <c r="N157" s="451">
        <f t="shared" si="63"/>
        <v>93.133247716954372</v>
      </c>
      <c r="O157" s="451">
        <f t="shared" si="63"/>
        <v>97.996866381970477</v>
      </c>
      <c r="P157" s="451">
        <f t="shared" si="63"/>
        <v>102.60693146729379</v>
      </c>
      <c r="Q157" s="451">
        <f t="shared" si="63"/>
        <v>106.97666140598888</v>
      </c>
      <c r="R157" s="451">
        <f t="shared" si="63"/>
        <v>111.11858551849608</v>
      </c>
      <c r="S157" s="451">
        <f t="shared" si="63"/>
        <v>115.04457993793417</v>
      </c>
      <c r="T157" s="451">
        <f t="shared" si="63"/>
        <v>118.76590166252005</v>
      </c>
      <c r="U157" s="451">
        <f t="shared" si="63"/>
        <v>122.29322083274363</v>
      </c>
      <c r="V157" s="451">
        <f t="shared" si="63"/>
        <v>125.63665132584654</v>
      </c>
      <c r="W157" s="451">
        <f t="shared" si="63"/>
        <v>128.80577975532799</v>
      </c>
      <c r="X157" s="451">
        <f t="shared" si="63"/>
        <v>131.80969295862792</v>
      </c>
      <c r="Y157" s="451">
        <f t="shared" si="63"/>
        <v>134.65700405180323</v>
      </c>
      <c r="Z157" s="451">
        <f t="shared" si="63"/>
        <v>137.35587712590305</v>
      </c>
      <c r="AA157" s="451">
        <f t="shared" si="63"/>
        <v>139.91405065585548</v>
      </c>
      <c r="AB157" s="451">
        <f t="shared" si="63"/>
        <v>142.33885968898574</v>
      </c>
      <c r="AC157" s="451">
        <f t="shared" si="63"/>
        <v>144.63725687678692</v>
      </c>
      <c r="AD157" s="451">
        <f t="shared" si="63"/>
        <v>146.81583241024776</v>
      </c>
      <c r="AE157" s="451">
        <f t="shared" si="63"/>
        <v>148.88083291589786</v>
      </c>
      <c r="AF157" s="451">
        <f t="shared" si="63"/>
        <v>150.83817936675104</v>
      </c>
      <c r="AG157" s="451">
        <f t="shared" si="63"/>
        <v>152.69348405950285</v>
      </c>
      <c r="AH157" s="451">
        <f t="shared" si="63"/>
        <v>154.45206670666099</v>
      </c>
      <c r="AI157" s="451">
        <f t="shared" si="63"/>
        <v>156.11896968974926</v>
      </c>
      <c r="AJ157" s="451">
        <f t="shared" si="63"/>
        <v>157.6989725173211</v>
      </c>
      <c r="AK157" s="451">
        <f t="shared" si="63"/>
        <v>159.1966055292375</v>
      </c>
      <c r="AL157" s="451">
        <f t="shared" si="63"/>
        <v>160.61616288650424</v>
      </c>
      <c r="AM157" s="451">
        <f t="shared" si="63"/>
        <v>161.96171488391349</v>
      </c>
      <c r="AN157" s="451">
        <f t="shared" si="63"/>
        <v>163.23711962079429</v>
      </c>
      <c r="AO157" s="451">
        <f t="shared" si="63"/>
        <v>164.44603406333533</v>
      </c>
      <c r="AP157" s="451">
        <f t="shared" si="63"/>
        <v>165.59192453019887</v>
      </c>
      <c r="AQ157" s="451">
        <f t="shared" si="63"/>
        <v>166.67807663149134</v>
      </c>
      <c r="AR157" s="451">
        <f t="shared" si="63"/>
        <v>167.70760468958846</v>
      </c>
      <c r="AS157" s="451">
        <f t="shared" si="63"/>
        <v>168.68346066882745</v>
      </c>
      <c r="AT157" s="451">
        <f t="shared" si="63"/>
        <v>169.60844263967007</v>
      </c>
      <c r="AU157" s="451">
        <f t="shared" si="63"/>
        <v>170.48520280160622</v>
      </c>
      <c r="AV157" s="451">
        <f t="shared" si="63"/>
        <v>171.31625508780161</v>
      </c>
      <c r="AW157" s="451">
        <f t="shared" si="63"/>
        <v>172.10398237329488</v>
      </c>
      <c r="AX157" s="451">
        <f t="shared" si="63"/>
        <v>172.85064330741173</v>
      </c>
      <c r="AY157" s="452">
        <f t="shared" si="63"/>
        <v>173.55837878998693</v>
      </c>
    </row>
    <row r="158" spans="1:51">
      <c r="A158" s="446" t="s">
        <v>2958</v>
      </c>
      <c r="B158" s="450">
        <f t="shared" si="62"/>
        <v>9.2028100102799062</v>
      </c>
      <c r="C158" s="451">
        <f t="shared" si="63"/>
        <v>17.724368306785436</v>
      </c>
      <c r="D158" s="451">
        <f t="shared" si="63"/>
        <v>25.614338971004738</v>
      </c>
      <c r="E158" s="451">
        <f t="shared" si="63"/>
        <v>33.092984150359527</v>
      </c>
      <c r="F158" s="451">
        <f t="shared" si="63"/>
        <v>40.181747353539421</v>
      </c>
      <c r="G158" s="451">
        <f t="shared" si="63"/>
        <v>46.900954181198088</v>
      </c>
      <c r="H158" s="451">
        <f t="shared" si="63"/>
        <v>53.322238820759729</v>
      </c>
      <c r="I158" s="451">
        <f t="shared" si="63"/>
        <v>59.509156246227533</v>
      </c>
      <c r="J158" s="451">
        <f t="shared" si="63"/>
        <v>65.373532952832093</v>
      </c>
      <c r="K158" s="451">
        <f t="shared" si="63"/>
        <v>70.932183859566265</v>
      </c>
      <c r="L158" s="451">
        <f t="shared" si="63"/>
        <v>76.201047278271645</v>
      </c>
      <c r="M158" s="451">
        <f t="shared" si="63"/>
        <v>81.195230613537404</v>
      </c>
      <c r="N158" s="451">
        <f t="shared" si="63"/>
        <v>85.929053680140029</v>
      </c>
      <c r="O158" s="451">
        <f t="shared" si="63"/>
        <v>90.416089762227827</v>
      </c>
      <c r="P158" s="451">
        <f t="shared" si="63"/>
        <v>94.66920453197929</v>
      </c>
      <c r="Q158" s="451">
        <f t="shared" si="63"/>
        <v>98.70059293932664</v>
      </c>
      <c r="R158" s="451">
        <f t="shared" si="63"/>
        <v>102.52181417851845</v>
      </c>
      <c r="S158" s="451">
        <f t="shared" si="63"/>
        <v>106.14382483178083</v>
      </c>
      <c r="T158" s="451">
        <f t="shared" si="63"/>
        <v>109.57701028511011</v>
      </c>
      <c r="U158" s="451">
        <f t="shared" si="63"/>
        <v>112.83121450627529</v>
      </c>
      <c r="V158" s="451">
        <f t="shared" si="63"/>
        <v>115.9157682704129</v>
      </c>
      <c r="W158" s="451">
        <f t="shared" si="63"/>
        <v>118.83951591414524</v>
      </c>
      <c r="X158" s="451">
        <f t="shared" si="63"/>
        <v>121.61084069493418</v>
      </c>
      <c r="Y158" s="451">
        <f t="shared" si="63"/>
        <v>124.23768882838341</v>
      </c>
      <c r="Z158" s="451">
        <f t="shared" si="63"/>
        <v>126.72759227241113</v>
      </c>
      <c r="AA158" s="451">
        <f t="shared" si="63"/>
        <v>129.08769032362224</v>
      </c>
      <c r="AB158" s="451">
        <f t="shared" si="63"/>
        <v>131.32475008780338</v>
      </c>
      <c r="AC158" s="451">
        <f t="shared" si="63"/>
        <v>133.44518588323575</v>
      </c>
      <c r="AD158" s="451">
        <f t="shared" si="63"/>
        <v>135.45507763246073</v>
      </c>
      <c r="AE158" s="451">
        <f t="shared" si="63"/>
        <v>137.36018829523323</v>
      </c>
      <c r="AF158" s="451">
        <f t="shared" si="63"/>
        <v>139.16598039264792</v>
      </c>
      <c r="AG158" s="451">
        <f t="shared" si="63"/>
        <v>140.87763166981824</v>
      </c>
      <c r="AH158" s="451">
        <f t="shared" si="63"/>
        <v>142.5000499420176</v>
      </c>
      <c r="AI158" s="451">
        <f t="shared" si="63"/>
        <v>144.03788716685111</v>
      </c>
      <c r="AJ158" s="451">
        <f t="shared" si="63"/>
        <v>145.49555278280704</v>
      </c>
      <c r="AK158" s="451">
        <f t="shared" si="63"/>
        <v>146.87722635243352</v>
      </c>
      <c r="AL158" s="451">
        <f t="shared" si="63"/>
        <v>148.18686954639227</v>
      </c>
      <c r="AM158" s="451">
        <f t="shared" si="63"/>
        <v>149.42823750275127</v>
      </c>
      <c r="AN158" s="451">
        <f t="shared" si="63"/>
        <v>150.60488959408681</v>
      </c>
      <c r="AO158" s="451">
        <f t="shared" si="63"/>
        <v>151.72019963326744</v>
      </c>
      <c r="AP158" s="451">
        <f t="shared" si="63"/>
        <v>152.77736554718271</v>
      </c>
      <c r="AQ158" s="451">
        <f t="shared" si="63"/>
        <v>153.77941854615455</v>
      </c>
      <c r="AR158" s="451">
        <f t="shared" si="63"/>
        <v>154.72923181532215</v>
      </c>
      <c r="AS158" s="451">
        <f t="shared" si="63"/>
        <v>155.62952875292177</v>
      </c>
      <c r="AT158" s="451">
        <f t="shared" si="63"/>
        <v>156.48289077908257</v>
      </c>
      <c r="AU158" s="451">
        <f t="shared" si="63"/>
        <v>157.29176473752881</v>
      </c>
      <c r="AV158" s="451">
        <f t="shared" si="63"/>
        <v>158.05846991141149</v>
      </c>
      <c r="AW158" s="451">
        <f t="shared" si="63"/>
        <v>158.78520467338561</v>
      </c>
      <c r="AX158" s="451">
        <f t="shared" si="63"/>
        <v>159.47405278900089</v>
      </c>
      <c r="AY158" s="452">
        <f t="shared" si="63"/>
        <v>160.12698939147984</v>
      </c>
    </row>
    <row r="159" spans="1:51">
      <c r="A159" s="446" t="s">
        <v>2959</v>
      </c>
      <c r="B159" s="450">
        <f t="shared" si="62"/>
        <v>7.0689328859713552</v>
      </c>
      <c r="C159" s="451">
        <f t="shared" si="63"/>
        <v>14.369698136716529</v>
      </c>
      <c r="D159" s="451">
        <f t="shared" si="63"/>
        <v>21.541967331637562</v>
      </c>
      <c r="E159" s="451">
        <f t="shared" si="63"/>
        <v>28.51267627318699</v>
      </c>
      <c r="F159" s="451">
        <f t="shared" si="63"/>
        <v>35.250642077004798</v>
      </c>
      <c r="G159" s="451">
        <f t="shared" si="63"/>
        <v>41.746987388541662</v>
      </c>
      <c r="H159" s="451">
        <f t="shared" si="63"/>
        <v>47.980700711127561</v>
      </c>
      <c r="I159" s="451">
        <f t="shared" si="63"/>
        <v>53.925864208141782</v>
      </c>
      <c r="J159" s="451">
        <f t="shared" si="63"/>
        <v>59.641723748881354</v>
      </c>
      <c r="K159" s="451">
        <f t="shared" si="63"/>
        <v>65.083644011797688</v>
      </c>
      <c r="L159" s="451">
        <f t="shared" si="63"/>
        <v>70.302178243051259</v>
      </c>
      <c r="M159" s="451">
        <f t="shared" si="63"/>
        <v>75.296787022973902</v>
      </c>
      <c r="N159" s="451">
        <f t="shared" si="63"/>
        <v>80.02975889547298</v>
      </c>
      <c r="O159" s="451">
        <f t="shared" si="63"/>
        <v>84.55046652586843</v>
      </c>
      <c r="P159" s="451">
        <f t="shared" si="63"/>
        <v>88.867652559080511</v>
      </c>
      <c r="Q159" s="451">
        <f t="shared" si="63"/>
        <v>92.986957075656932</v>
      </c>
      <c r="R159" s="451">
        <f t="shared" si="63"/>
        <v>96.884761614834133</v>
      </c>
      <c r="S159" s="451">
        <f t="shared" si="63"/>
        <v>100.57041386849632</v>
      </c>
      <c r="T159" s="451">
        <f t="shared" si="63"/>
        <v>104.05103570691571</v>
      </c>
      <c r="U159" s="451">
        <f t="shared" si="63"/>
        <v>107.35020332627059</v>
      </c>
      <c r="V159" s="451">
        <f t="shared" si="63"/>
        <v>110.47737642518516</v>
      </c>
      <c r="W159" s="451">
        <f t="shared" si="63"/>
        <v>113.44152154263973</v>
      </c>
      <c r="X159" s="451">
        <f t="shared" si="63"/>
        <v>116.25113776771516</v>
      </c>
      <c r="Y159" s="451">
        <f t="shared" si="63"/>
        <v>118.91428110901889</v>
      </c>
      <c r="Z159" s="451">
        <f t="shared" si="63"/>
        <v>121.43858759366697</v>
      </c>
      <c r="AA159" s="451">
        <f t="shared" si="63"/>
        <v>123.83129516205376</v>
      </c>
      <c r="AB159" s="451">
        <f t="shared" si="63"/>
        <v>126.09926442118817</v>
      </c>
      <c r="AC159" s="451">
        <f t="shared" si="63"/>
        <v>128.2489983161023</v>
      </c>
      <c r="AD159" s="451">
        <f t="shared" si="63"/>
        <v>130.28666077573655</v>
      </c>
      <c r="AE159" s="451">
        <f t="shared" si="63"/>
        <v>132.21809438676428</v>
      </c>
      <c r="AF159" s="451">
        <f t="shared" si="63"/>
        <v>134.04883714603227</v>
      </c>
      <c r="AG159" s="451">
        <f t="shared" si="63"/>
        <v>135.78413833965121</v>
      </c>
      <c r="AH159" s="451">
        <f t="shared" si="63"/>
        <v>137.42897359426632</v>
      </c>
      <c r="AI159" s="451">
        <f t="shared" si="63"/>
        <v>138.98805914366454</v>
      </c>
      <c r="AJ159" s="451">
        <f t="shared" si="63"/>
        <v>140.46586535162493</v>
      </c>
      <c r="AK159" s="451">
        <f t="shared" si="63"/>
        <v>141.86662952978642</v>
      </c>
      <c r="AL159" s="451">
        <f t="shared" si="63"/>
        <v>143.19436808728548</v>
      </c>
      <c r="AM159" s="451">
        <f t="shared" si="63"/>
        <v>144.45288804700024</v>
      </c>
      <c r="AN159" s="451">
        <f t="shared" si="63"/>
        <v>145.64579796142181</v>
      </c>
      <c r="AO159" s="451">
        <f t="shared" si="63"/>
        <v>146.77651825945173</v>
      </c>
      <c r="AP159" s="451">
        <f t="shared" si="63"/>
        <v>147.84829105379288</v>
      </c>
      <c r="AQ159" s="451">
        <f t="shared" si="63"/>
        <v>148.86418943705462</v>
      </c>
      <c r="AR159" s="451">
        <f t="shared" si="63"/>
        <v>149.82712629322691</v>
      </c>
      <c r="AS159" s="451">
        <f t="shared" si="63"/>
        <v>150.73986264978831</v>
      </c>
      <c r="AT159" s="451">
        <f t="shared" si="63"/>
        <v>151.60501559439626</v>
      </c>
      <c r="AU159" s="451">
        <f t="shared" si="63"/>
        <v>152.42506577885879</v>
      </c>
      <c r="AV159" s="451">
        <f t="shared" si="63"/>
        <v>153.20236453190384</v>
      </c>
      <c r="AW159" s="451">
        <f t="shared" si="63"/>
        <v>153.93914060114085</v>
      </c>
      <c r="AX159" s="451">
        <f t="shared" si="63"/>
        <v>154.63750654354561</v>
      </c>
      <c r="AY159" s="452">
        <f t="shared" si="63"/>
        <v>155.29946478279183</v>
      </c>
    </row>
    <row r="160" spans="1:51">
      <c r="A160" s="446" t="s">
        <v>2938</v>
      </c>
      <c r="B160" s="447">
        <f t="shared" si="62"/>
        <v>6.1141123369011178E-3</v>
      </c>
      <c r="C160" s="448">
        <f t="shared" si="63"/>
        <v>1.1835653147838862E-2</v>
      </c>
      <c r="D160" s="448">
        <f t="shared" si="63"/>
        <v>1.718893701314065E-2</v>
      </c>
      <c r="E160" s="448">
        <f t="shared" si="63"/>
        <v>2.2163645558166009E-2</v>
      </c>
      <c r="F160" s="448">
        <f t="shared" si="63"/>
        <v>2.6784701836957338E-2</v>
      </c>
      <c r="G160" s="448">
        <f t="shared" si="63"/>
        <v>3.1082908421834338E-2</v>
      </c>
      <c r="H160" s="448">
        <f t="shared" si="63"/>
        <v>3.5157037886172721E-2</v>
      </c>
      <c r="I160" s="448">
        <f t="shared" si="63"/>
        <v>3.9012079195542004E-2</v>
      </c>
      <c r="J160" s="448">
        <f t="shared" si="63"/>
        <v>4.2666146787361234E-2</v>
      </c>
      <c r="K160" s="448">
        <f t="shared" si="63"/>
        <v>4.6123704820036415E-2</v>
      </c>
      <c r="L160" s="448">
        <f t="shared" si="63"/>
        <v>4.9401011012145592E-2</v>
      </c>
      <c r="M160" s="448">
        <f t="shared" ref="M160:AY162" si="64">(M149/(1+$C$3)^(M$16-0.5)+L160)</f>
        <v>5.2507462379073722E-2</v>
      </c>
      <c r="N160" s="448">
        <f t="shared" si="64"/>
        <v>5.5446845168468734E-2</v>
      </c>
      <c r="O160" s="448">
        <f t="shared" si="64"/>
        <v>5.8232989992539834E-2</v>
      </c>
      <c r="P160" s="448">
        <f t="shared" si="64"/>
        <v>6.0869284697021131E-2</v>
      </c>
      <c r="Q160" s="448">
        <f t="shared" si="64"/>
        <v>6.3368142236813835E-2</v>
      </c>
      <c r="R160" s="448">
        <f t="shared" si="64"/>
        <v>6.5736727582588902E-2</v>
      </c>
      <c r="S160" s="448">
        <f t="shared" si="64"/>
        <v>6.7981832175740636E-2</v>
      </c>
      <c r="T160" s="448">
        <f t="shared" si="64"/>
        <v>7.0109893401476872E-2</v>
      </c>
      <c r="U160" s="448">
        <f t="shared" si="64"/>
        <v>7.2127013046724489E-2</v>
      </c>
      <c r="V160" s="448">
        <f t="shared" si="64"/>
        <v>7.4038974795774357E-2</v>
      </c>
      <c r="W160" s="448">
        <f t="shared" si="64"/>
        <v>7.5851260813831103E-2</v>
      </c>
      <c r="X160" s="448">
        <f t="shared" si="64"/>
        <v>7.7569067466017591E-2</v>
      </c>
      <c r="Y160" s="448">
        <f t="shared" si="64"/>
        <v>7.9197320216905259E-2</v>
      </c>
      <c r="Z160" s="448">
        <f t="shared" si="64"/>
        <v>8.0740687753291684E-2</v>
      </c>
      <c r="AA160" s="448">
        <f t="shared" si="64"/>
        <v>8.220359537071957E-2</v>
      </c>
      <c r="AB160" s="448">
        <f t="shared" si="64"/>
        <v>8.3590237662120412E-2</v>
      </c>
      <c r="AC160" s="448">
        <f t="shared" si="64"/>
        <v>8.4904590544964811E-2</v>
      </c>
      <c r="AD160" s="448">
        <f t="shared" si="64"/>
        <v>8.6150422661405004E-2</v>
      </c>
      <c r="AE160" s="448">
        <f t="shared" si="64"/>
        <v>8.7331306184097124E-2</v>
      </c>
      <c r="AF160" s="448">
        <f t="shared" si="64"/>
        <v>8.8450627058686809E-2</v>
      </c>
      <c r="AG160" s="448">
        <f t="shared" si="64"/>
        <v>8.9511594712326323E-2</v>
      </c>
      <c r="AH160" s="448">
        <f t="shared" si="64"/>
        <v>9.0517251256060458E-2</v>
      </c>
      <c r="AI160" s="448">
        <f t="shared" si="64"/>
        <v>9.1470480207467217E-2</v>
      </c>
      <c r="AJ160" s="448">
        <f t="shared" si="64"/>
        <v>9.2374014758563674E-2</v>
      </c>
      <c r="AK160" s="448">
        <f t="shared" si="64"/>
        <v>9.3230445612683538E-2</v>
      </c>
      <c r="AL160" s="448">
        <f t="shared" si="64"/>
        <v>9.4042228412797163E-2</v>
      </c>
      <c r="AM160" s="448">
        <f t="shared" si="64"/>
        <v>9.4811690782573108E-2</v>
      </c>
      <c r="AN160" s="448">
        <f t="shared" si="64"/>
        <v>9.5541039000370212E-2</v>
      </c>
      <c r="AO160" s="448">
        <f t="shared" si="64"/>
        <v>9.6232364325296374E-2</v>
      </c>
      <c r="AP160" s="448">
        <f t="shared" si="64"/>
        <v>9.6887648993472825E-2</v>
      </c>
      <c r="AQ160" s="448">
        <f t="shared" si="64"/>
        <v>9.7508771901696961E-2</v>
      </c>
      <c r="AR160" s="448">
        <f t="shared" si="64"/>
        <v>9.8097513994800406E-2</v>
      </c>
      <c r="AS160" s="448">
        <f t="shared" si="64"/>
        <v>9.8655563372149632E-2</v>
      </c>
      <c r="AT160" s="448">
        <f t="shared" si="64"/>
        <v>9.91845201279309E-2</v>
      </c>
      <c r="AU160" s="448">
        <f t="shared" si="64"/>
        <v>9.9685900939097974E-2</v>
      </c>
      <c r="AV160" s="448">
        <f t="shared" si="64"/>
        <v>0.10016114341413786</v>
      </c>
      <c r="AW160" s="448">
        <f t="shared" si="64"/>
        <v>0.10061161021512352</v>
      </c>
      <c r="AX160" s="448">
        <f t="shared" si="64"/>
        <v>0.10103859296487297</v>
      </c>
      <c r="AY160" s="449">
        <f t="shared" si="64"/>
        <v>0.10144331595041747</v>
      </c>
    </row>
    <row r="161" spans="1:51">
      <c r="A161" s="446" t="s">
        <v>2939</v>
      </c>
      <c r="B161" s="450">
        <f t="shared" si="62"/>
        <v>0.85432063306221828</v>
      </c>
      <c r="C161" s="451">
        <f t="shared" ref="C161:AH162" si="65">(C150/(1+$C$3)^(C$16-0.5)+B161)</f>
        <v>1.6641032236425202</v>
      </c>
      <c r="D161" s="451">
        <f t="shared" si="65"/>
        <v>2.4316696602115266</v>
      </c>
      <c r="E161" s="451">
        <f t="shared" si="65"/>
        <v>3.1592207849214855</v>
      </c>
      <c r="F161" s="451">
        <f t="shared" si="65"/>
        <v>3.8488427040778443</v>
      </c>
      <c r="G161" s="451">
        <f t="shared" si="65"/>
        <v>4.502512769628896</v>
      </c>
      <c r="H161" s="451">
        <f t="shared" si="65"/>
        <v>5.1221052488242051</v>
      </c>
      <c r="I161" s="451">
        <f t="shared" si="65"/>
        <v>5.7093966982984323</v>
      </c>
      <c r="J161" s="451">
        <f t="shared" si="65"/>
        <v>6.2660710579896426</v>
      </c>
      <c r="K161" s="451">
        <f t="shared" si="65"/>
        <v>6.7937244794978984</v>
      </c>
      <c r="L161" s="451">
        <f t="shared" si="65"/>
        <v>7.2938699027284732</v>
      </c>
      <c r="M161" s="451">
        <f t="shared" si="65"/>
        <v>7.7679413939422881</v>
      </c>
      <c r="N161" s="451">
        <f t="shared" si="65"/>
        <v>8.2172982576520646</v>
      </c>
      <c r="O161" s="451">
        <f t="shared" si="65"/>
        <v>8.643228934154223</v>
      </c>
      <c r="P161" s="451">
        <f t="shared" si="65"/>
        <v>9.0469546938719088</v>
      </c>
      <c r="Q161" s="451">
        <f t="shared" si="65"/>
        <v>9.4296331391019432</v>
      </c>
      <c r="R161" s="451">
        <f t="shared" si="65"/>
        <v>9.7923615232062406</v>
      </c>
      <c r="S161" s="451">
        <f t="shared" si="65"/>
        <v>10.136179896764817</v>
      </c>
      <c r="T161" s="451">
        <f t="shared" si="65"/>
        <v>10.462074089711335</v>
      </c>
      <c r="U161" s="451">
        <f t="shared" si="65"/>
        <v>10.770978538001872</v>
      </c>
      <c r="V161" s="451">
        <f t="shared" si="65"/>
        <v>11.063778962921813</v>
      </c>
      <c r="W161" s="451">
        <f t="shared" si="65"/>
        <v>11.341314910713226</v>
      </c>
      <c r="X161" s="451">
        <f t="shared" si="65"/>
        <v>11.604382159804613</v>
      </c>
      <c r="Y161" s="451">
        <f t="shared" si="65"/>
        <v>11.853735002545264</v>
      </c>
      <c r="Z161" s="451">
        <f t="shared" si="65"/>
        <v>12.09008840798664</v>
      </c>
      <c r="AA161" s="451">
        <f t="shared" si="65"/>
        <v>12.314120071912114</v>
      </c>
      <c r="AB161" s="451">
        <f t="shared" si="65"/>
        <v>12.526472359993132</v>
      </c>
      <c r="AC161" s="451">
        <f t="shared" si="65"/>
        <v>12.727754149643387</v>
      </c>
      <c r="AD161" s="451">
        <f t="shared" si="65"/>
        <v>12.918542575852159</v>
      </c>
      <c r="AE161" s="451">
        <f t="shared" si="65"/>
        <v>13.099384686002654</v>
      </c>
      <c r="AF161" s="451">
        <f t="shared" si="65"/>
        <v>13.270799008420186</v>
      </c>
      <c r="AG161" s="451">
        <f t="shared" si="65"/>
        <v>13.433277039147702</v>
      </c>
      <c r="AH161" s="451">
        <f t="shared" si="65"/>
        <v>13.5872846512117</v>
      </c>
      <c r="AI161" s="451">
        <f t="shared" si="64"/>
        <v>13.73326343041928</v>
      </c>
      <c r="AJ161" s="451">
        <f t="shared" si="64"/>
        <v>13.871631941516512</v>
      </c>
      <c r="AK161" s="451">
        <f t="shared" si="64"/>
        <v>14.002786928338534</v>
      </c>
      <c r="AL161" s="451">
        <f t="shared" si="64"/>
        <v>14.127104451392583</v>
      </c>
      <c r="AM161" s="451">
        <f t="shared" si="64"/>
        <v>14.244940966135758</v>
      </c>
      <c r="AN161" s="451">
        <f t="shared" si="64"/>
        <v>14.356634345039241</v>
      </c>
      <c r="AO161" s="451">
        <f t="shared" si="64"/>
        <v>14.462504846369557</v>
      </c>
      <c r="AP161" s="451">
        <f t="shared" si="64"/>
        <v>14.562856032464643</v>
      </c>
      <c r="AQ161" s="451">
        <f t="shared" si="64"/>
        <v>14.65797564013771</v>
      </c>
      <c r="AR161" s="451">
        <f t="shared" si="64"/>
        <v>14.748136405704599</v>
      </c>
      <c r="AS161" s="451">
        <f t="shared" si="64"/>
        <v>14.833596847000228</v>
      </c>
      <c r="AT161" s="451">
        <f t="shared" si="64"/>
        <v>14.914602004626417</v>
      </c>
      <c r="AU161" s="451">
        <f t="shared" si="64"/>
        <v>14.991384144556454</v>
      </c>
      <c r="AV161" s="451">
        <f t="shared" si="64"/>
        <v>15.064163424110991</v>
      </c>
      <c r="AW161" s="451">
        <f t="shared" si="64"/>
        <v>15.133148523214818</v>
      </c>
      <c r="AX161" s="451">
        <f t="shared" si="64"/>
        <v>15.198537242744511</v>
      </c>
      <c r="AY161" s="452">
        <f t="shared" si="64"/>
        <v>15.260517071682608</v>
      </c>
    </row>
    <row r="162" spans="1:51" ht="12.75" thickBot="1">
      <c r="A162" s="453" t="s">
        <v>2940</v>
      </c>
      <c r="B162" s="454">
        <f t="shared" si="62"/>
        <v>0.85432063306221828</v>
      </c>
      <c r="C162" s="455">
        <f t="shared" si="65"/>
        <v>1.6641032236425202</v>
      </c>
      <c r="D162" s="455">
        <f t="shared" si="65"/>
        <v>2.4316696602115266</v>
      </c>
      <c r="E162" s="455">
        <f t="shared" si="65"/>
        <v>3.1592207849214855</v>
      </c>
      <c r="F162" s="455">
        <f t="shared" si="65"/>
        <v>3.8488427040778443</v>
      </c>
      <c r="G162" s="455">
        <f t="shared" si="65"/>
        <v>4.502512769628896</v>
      </c>
      <c r="H162" s="455">
        <f t="shared" si="65"/>
        <v>5.1221052488242051</v>
      </c>
      <c r="I162" s="455">
        <f t="shared" si="65"/>
        <v>5.7093966982984323</v>
      </c>
      <c r="J162" s="455">
        <f t="shared" si="65"/>
        <v>6.2660710579896426</v>
      </c>
      <c r="K162" s="455">
        <f t="shared" si="65"/>
        <v>6.7937244794978984</v>
      </c>
      <c r="L162" s="455">
        <f t="shared" si="65"/>
        <v>7.2938699027284732</v>
      </c>
      <c r="M162" s="455">
        <f t="shared" si="65"/>
        <v>7.7679413939422881</v>
      </c>
      <c r="N162" s="455">
        <f t="shared" si="65"/>
        <v>8.2172982576520646</v>
      </c>
      <c r="O162" s="455">
        <f t="shared" si="65"/>
        <v>8.643228934154223</v>
      </c>
      <c r="P162" s="455">
        <f t="shared" si="65"/>
        <v>9.0469546938719088</v>
      </c>
      <c r="Q162" s="455">
        <f t="shared" si="65"/>
        <v>9.4296331391019432</v>
      </c>
      <c r="R162" s="455">
        <f t="shared" si="65"/>
        <v>9.7923615232062406</v>
      </c>
      <c r="S162" s="455">
        <f t="shared" si="65"/>
        <v>10.136179896764817</v>
      </c>
      <c r="T162" s="455">
        <f t="shared" si="65"/>
        <v>10.462074089711335</v>
      </c>
      <c r="U162" s="455">
        <f t="shared" si="65"/>
        <v>10.770978538001872</v>
      </c>
      <c r="V162" s="455">
        <f t="shared" si="65"/>
        <v>11.063778962921813</v>
      </c>
      <c r="W162" s="455">
        <f t="shared" si="65"/>
        <v>11.341314910713226</v>
      </c>
      <c r="X162" s="455">
        <f t="shared" si="65"/>
        <v>11.604382159804613</v>
      </c>
      <c r="Y162" s="455">
        <f t="shared" si="65"/>
        <v>11.853735002545264</v>
      </c>
      <c r="Z162" s="455">
        <f t="shared" si="65"/>
        <v>12.09008840798664</v>
      </c>
      <c r="AA162" s="455">
        <f t="shared" si="65"/>
        <v>12.314120071912114</v>
      </c>
      <c r="AB162" s="455">
        <f t="shared" si="65"/>
        <v>12.526472359993132</v>
      </c>
      <c r="AC162" s="455">
        <f t="shared" si="65"/>
        <v>12.727754149643387</v>
      </c>
      <c r="AD162" s="455">
        <f t="shared" si="65"/>
        <v>12.918542575852159</v>
      </c>
      <c r="AE162" s="455">
        <f t="shared" si="65"/>
        <v>13.099384686002654</v>
      </c>
      <c r="AF162" s="455">
        <f t="shared" si="65"/>
        <v>13.270799008420186</v>
      </c>
      <c r="AG162" s="455">
        <f t="shared" si="65"/>
        <v>13.433277039147702</v>
      </c>
      <c r="AH162" s="455">
        <f t="shared" si="65"/>
        <v>13.5872846512117</v>
      </c>
      <c r="AI162" s="455">
        <f t="shared" si="64"/>
        <v>13.73326343041928</v>
      </c>
      <c r="AJ162" s="455">
        <f t="shared" si="64"/>
        <v>13.871631941516512</v>
      </c>
      <c r="AK162" s="455">
        <f t="shared" si="64"/>
        <v>14.002786928338534</v>
      </c>
      <c r="AL162" s="455">
        <f t="shared" si="64"/>
        <v>14.127104451392583</v>
      </c>
      <c r="AM162" s="455">
        <f t="shared" si="64"/>
        <v>14.244940966135758</v>
      </c>
      <c r="AN162" s="455">
        <f t="shared" si="64"/>
        <v>14.356634345039241</v>
      </c>
      <c r="AO162" s="455">
        <f t="shared" si="64"/>
        <v>14.462504846369557</v>
      </c>
      <c r="AP162" s="455">
        <f t="shared" si="64"/>
        <v>14.562856032464643</v>
      </c>
      <c r="AQ162" s="455">
        <f t="shared" si="64"/>
        <v>14.65797564013771</v>
      </c>
      <c r="AR162" s="455">
        <f t="shared" si="64"/>
        <v>14.748136405704599</v>
      </c>
      <c r="AS162" s="455">
        <f t="shared" si="64"/>
        <v>14.833596847000228</v>
      </c>
      <c r="AT162" s="455">
        <f t="shared" si="64"/>
        <v>14.914602004626417</v>
      </c>
      <c r="AU162" s="455">
        <f t="shared" si="64"/>
        <v>14.991384144556454</v>
      </c>
      <c r="AV162" s="455">
        <f t="shared" si="64"/>
        <v>15.064163424110991</v>
      </c>
      <c r="AW162" s="455">
        <f t="shared" si="64"/>
        <v>15.133148523214818</v>
      </c>
      <c r="AX162" s="455">
        <f t="shared" si="64"/>
        <v>15.198537242744511</v>
      </c>
      <c r="AY162" s="456">
        <f t="shared" si="64"/>
        <v>15.260517071682608</v>
      </c>
    </row>
    <row r="164" spans="1:51" ht="15.75">
      <c r="A164" s="458" t="s">
        <v>2989</v>
      </c>
      <c r="B164" s="457"/>
      <c r="C164" s="457"/>
      <c r="D164" s="457"/>
      <c r="E164" s="457"/>
      <c r="F164" s="457"/>
      <c r="G164" s="457"/>
      <c r="H164" s="457"/>
      <c r="I164" s="457"/>
      <c r="J164" s="457"/>
      <c r="K164" s="457"/>
      <c r="L164" s="457"/>
      <c r="M164" s="457"/>
      <c r="N164" s="457"/>
      <c r="O164" s="457"/>
      <c r="P164" s="457"/>
      <c r="Q164" s="457"/>
      <c r="R164" s="457"/>
      <c r="S164" s="457"/>
      <c r="T164" s="457"/>
      <c r="U164" s="457"/>
      <c r="V164" s="457"/>
      <c r="W164" s="457"/>
      <c r="X164" s="457"/>
      <c r="Y164" s="457"/>
      <c r="Z164" s="457"/>
      <c r="AA164" s="457"/>
      <c r="AB164" s="457"/>
      <c r="AC164" s="457"/>
      <c r="AD164" s="457"/>
      <c r="AE164" s="457"/>
      <c r="AF164" s="457"/>
      <c r="AG164" s="457"/>
      <c r="AH164" s="457"/>
      <c r="AI164" s="457"/>
      <c r="AJ164" s="457"/>
      <c r="AK164" s="457"/>
      <c r="AL164" s="457"/>
      <c r="AM164" s="457"/>
      <c r="AN164" s="457"/>
      <c r="AO164" s="457"/>
      <c r="AP164" s="457"/>
      <c r="AQ164" s="457"/>
      <c r="AR164" s="457"/>
      <c r="AS164" s="457"/>
      <c r="AT164" s="457"/>
      <c r="AU164" s="457"/>
      <c r="AV164" s="457"/>
      <c r="AW164" s="457"/>
      <c r="AX164" s="457"/>
      <c r="AY164" s="457"/>
    </row>
    <row r="165" spans="1:51" ht="15.75" thickBot="1">
      <c r="A165" s="437" t="s">
        <v>2931</v>
      </c>
    </row>
    <row r="166" spans="1:51" ht="12.75" thickBot="1">
      <c r="A166" s="438" t="s">
        <v>2932</v>
      </c>
      <c r="B166" s="439">
        <v>2010</v>
      </c>
      <c r="C166" s="440">
        <v>2011</v>
      </c>
      <c r="D166" s="440">
        <v>2012</v>
      </c>
      <c r="E166" s="440">
        <v>2013</v>
      </c>
      <c r="F166" s="440">
        <v>2014</v>
      </c>
      <c r="G166" s="440">
        <v>2015</v>
      </c>
      <c r="H166" s="440">
        <v>2016</v>
      </c>
      <c r="I166" s="440">
        <v>2017</v>
      </c>
      <c r="J166" s="440">
        <v>2018</v>
      </c>
      <c r="K166" s="440">
        <v>2019</v>
      </c>
      <c r="L166" s="440">
        <v>2020</v>
      </c>
      <c r="M166" s="440">
        <v>2021</v>
      </c>
      <c r="N166" s="440">
        <v>2022</v>
      </c>
      <c r="O166" s="440">
        <v>2023</v>
      </c>
      <c r="P166" s="440">
        <v>2024</v>
      </c>
      <c r="Q166" s="440">
        <v>2025</v>
      </c>
      <c r="R166" s="440">
        <v>2026</v>
      </c>
      <c r="S166" s="440">
        <v>2027</v>
      </c>
      <c r="T166" s="440">
        <v>2028</v>
      </c>
      <c r="U166" s="440">
        <v>2029</v>
      </c>
      <c r="V166" s="440">
        <v>2030</v>
      </c>
      <c r="W166" s="440">
        <v>2031</v>
      </c>
      <c r="X166" s="440">
        <v>2032</v>
      </c>
      <c r="Y166" s="440">
        <v>2033</v>
      </c>
      <c r="Z166" s="440">
        <v>2034</v>
      </c>
      <c r="AA166" s="440">
        <v>2035</v>
      </c>
      <c r="AB166" s="440">
        <v>2036</v>
      </c>
      <c r="AC166" s="440">
        <v>2037</v>
      </c>
      <c r="AD166" s="440">
        <v>2038</v>
      </c>
      <c r="AE166" s="440">
        <v>2039</v>
      </c>
      <c r="AF166" s="440">
        <v>2040</v>
      </c>
      <c r="AG166" s="440">
        <v>2041</v>
      </c>
      <c r="AH166" s="440">
        <v>2042</v>
      </c>
      <c r="AI166" s="440">
        <v>2043</v>
      </c>
      <c r="AJ166" s="440">
        <v>2044</v>
      </c>
      <c r="AK166" s="440">
        <v>2045</v>
      </c>
      <c r="AL166" s="440">
        <v>2046</v>
      </c>
      <c r="AM166" s="440">
        <v>2047</v>
      </c>
      <c r="AN166" s="440">
        <v>2048</v>
      </c>
      <c r="AO166" s="440">
        <v>2049</v>
      </c>
      <c r="AP166" s="440">
        <v>2050</v>
      </c>
      <c r="AQ166" s="440">
        <v>2051</v>
      </c>
      <c r="AR166" s="440">
        <v>2052</v>
      </c>
      <c r="AS166" s="440">
        <v>2053</v>
      </c>
      <c r="AT166" s="440">
        <v>2054</v>
      </c>
      <c r="AU166" s="440">
        <v>2055</v>
      </c>
      <c r="AV166" s="440">
        <v>2056</v>
      </c>
      <c r="AW166" s="440">
        <v>2057</v>
      </c>
      <c r="AX166" s="440">
        <v>2058</v>
      </c>
      <c r="AY166" s="441">
        <v>2059</v>
      </c>
    </row>
    <row r="167" spans="1:51">
      <c r="A167" s="442" t="s">
        <v>2943</v>
      </c>
      <c r="B167" s="1751">
        <v>6.8310458518556105E-2</v>
      </c>
      <c r="C167" s="1752">
        <v>6.6934254603542631E-2</v>
      </c>
      <c r="D167" s="1752">
        <v>6.5592258751792754E-2</v>
      </c>
      <c r="E167" s="1752">
        <v>6.5435755251657166E-2</v>
      </c>
      <c r="F167" s="1752">
        <v>6.5279251751521564E-2</v>
      </c>
      <c r="G167" s="1752">
        <v>6.5131643636398229E-2</v>
      </c>
      <c r="H167" s="1752">
        <v>6.5288147136533831E-2</v>
      </c>
      <c r="I167" s="1752">
        <v>6.5451665544625004E-2</v>
      </c>
      <c r="J167" s="1752">
        <v>6.560628856770391E-2</v>
      </c>
      <c r="K167" s="1752">
        <v>6.5771687452851779E-2</v>
      </c>
      <c r="L167" s="1752">
        <v>6.5935205860942953E-2</v>
      </c>
      <c r="M167" s="1752">
        <v>6.6091709361078541E-2</v>
      </c>
      <c r="N167" s="1752">
        <v>6.6255227769169728E-2</v>
      </c>
      <c r="O167" s="1752">
        <v>6.642062665431761E-2</v>
      </c>
      <c r="P167" s="1752">
        <v>6.6586025539465465E-2</v>
      </c>
      <c r="Q167" s="1752">
        <v>6.6586025539465465E-2</v>
      </c>
      <c r="R167" s="1752">
        <v>6.6586025539465465E-2</v>
      </c>
      <c r="S167" s="1752">
        <v>6.6586025539465465E-2</v>
      </c>
      <c r="T167" s="1752">
        <v>6.6586025539465465E-2</v>
      </c>
      <c r="U167" s="1752">
        <v>6.6586025539465465E-2</v>
      </c>
      <c r="V167" s="1752">
        <v>6.6586025539465465E-2</v>
      </c>
      <c r="W167" s="1752">
        <v>6.6586025539465465E-2</v>
      </c>
      <c r="X167" s="1752">
        <v>6.6586025539465465E-2</v>
      </c>
      <c r="Y167" s="1752">
        <v>6.6586025539465465E-2</v>
      </c>
      <c r="Z167" s="1752">
        <v>6.6586025539465465E-2</v>
      </c>
      <c r="AA167" s="1752">
        <v>6.6586025539465465E-2</v>
      </c>
      <c r="AB167" s="1752">
        <v>6.6586025539465465E-2</v>
      </c>
      <c r="AC167" s="1752">
        <v>6.6586025539465465E-2</v>
      </c>
      <c r="AD167" s="1752">
        <v>6.6586025539465465E-2</v>
      </c>
      <c r="AE167" s="1752">
        <v>6.6586025539465465E-2</v>
      </c>
      <c r="AF167" s="1752">
        <v>6.6586025539465465E-2</v>
      </c>
      <c r="AG167" s="1752">
        <v>6.6586025539465465E-2</v>
      </c>
      <c r="AH167" s="1752">
        <v>6.6586025539465465E-2</v>
      </c>
      <c r="AI167" s="1752">
        <v>6.6586025539465465E-2</v>
      </c>
      <c r="AJ167" s="1752">
        <v>6.6586025539465465E-2</v>
      </c>
      <c r="AK167" s="1752">
        <v>6.6586025539465465E-2</v>
      </c>
      <c r="AL167" s="1752">
        <v>6.6586025539465465E-2</v>
      </c>
      <c r="AM167" s="1752">
        <v>6.6586025539465465E-2</v>
      </c>
      <c r="AN167" s="1752">
        <v>6.6586025539465465E-2</v>
      </c>
      <c r="AO167" s="1752">
        <v>6.6586025539465465E-2</v>
      </c>
      <c r="AP167" s="1752">
        <v>6.6586025539465465E-2</v>
      </c>
      <c r="AQ167" s="1752">
        <v>6.6586025539465465E-2</v>
      </c>
      <c r="AR167" s="1752">
        <v>6.6586025539465465E-2</v>
      </c>
      <c r="AS167" s="1752">
        <v>6.6586025539465465E-2</v>
      </c>
      <c r="AT167" s="1752">
        <v>6.6586025539465465E-2</v>
      </c>
      <c r="AU167" s="1752">
        <v>6.6586025539465465E-2</v>
      </c>
      <c r="AV167" s="1752">
        <v>6.6586025539465465E-2</v>
      </c>
      <c r="AW167" s="1752">
        <v>6.6586025539465465E-2</v>
      </c>
      <c r="AX167" s="1752">
        <v>6.6586025539465465E-2</v>
      </c>
      <c r="AY167" s="1753">
        <v>6.6586025539465465E-2</v>
      </c>
    </row>
    <row r="168" spans="1:51">
      <c r="A168" s="446" t="s">
        <v>2944</v>
      </c>
      <c r="B168" s="471">
        <v>85.398706896551715</v>
      </c>
      <c r="C168" s="472">
        <v>92.53232758620689</v>
      </c>
      <c r="D168" s="472">
        <v>99.234913793103431</v>
      </c>
      <c r="E168" s="472">
        <v>105.54956896551724</v>
      </c>
      <c r="F168" s="472">
        <v>111.48706896551724</v>
      </c>
      <c r="G168" s="472">
        <v>117.06896551724137</v>
      </c>
      <c r="H168" s="472">
        <v>122.32758620689654</v>
      </c>
      <c r="I168" s="472">
        <v>127.26293103448276</v>
      </c>
      <c r="J168" s="472">
        <v>131.90732758620689</v>
      </c>
      <c r="K168" s="472">
        <v>136.27155172413794</v>
      </c>
      <c r="L168" s="472">
        <v>140.36637931034483</v>
      </c>
      <c r="M168" s="472">
        <v>144.21336206896549</v>
      </c>
      <c r="N168" s="472">
        <v>144.21336206896549</v>
      </c>
      <c r="O168" s="472">
        <v>144.21336206896549</v>
      </c>
      <c r="P168" s="472">
        <v>144.21336206896549</v>
      </c>
      <c r="Q168" s="472">
        <v>144.21336206896549</v>
      </c>
      <c r="R168" s="472">
        <v>144.21336206896501</v>
      </c>
      <c r="S168" s="472">
        <v>144.21336206896501</v>
      </c>
      <c r="T168" s="472">
        <v>144.21336206896501</v>
      </c>
      <c r="U168" s="472">
        <v>144.21336206896501</v>
      </c>
      <c r="V168" s="472">
        <v>144.21336206896501</v>
      </c>
      <c r="W168" s="472">
        <v>144.21336206896501</v>
      </c>
      <c r="X168" s="472">
        <v>144.21336206896501</v>
      </c>
      <c r="Y168" s="472">
        <v>144.21336206896501</v>
      </c>
      <c r="Z168" s="472">
        <v>144.21336206896501</v>
      </c>
      <c r="AA168" s="472">
        <v>144.21336206896501</v>
      </c>
      <c r="AB168" s="472">
        <v>144.21336206896501</v>
      </c>
      <c r="AC168" s="472">
        <v>144.21336206896501</v>
      </c>
      <c r="AD168" s="472">
        <v>144.21336206896501</v>
      </c>
      <c r="AE168" s="472">
        <v>144.21336206896501</v>
      </c>
      <c r="AF168" s="472">
        <v>144.21336206896501</v>
      </c>
      <c r="AG168" s="472">
        <v>144.21336206896501</v>
      </c>
      <c r="AH168" s="472">
        <v>144.21336206896501</v>
      </c>
      <c r="AI168" s="472">
        <v>144.21336206896501</v>
      </c>
      <c r="AJ168" s="472">
        <v>144.21336206896501</v>
      </c>
      <c r="AK168" s="472">
        <v>144.21336206896501</v>
      </c>
      <c r="AL168" s="472">
        <v>144.21336206896501</v>
      </c>
      <c r="AM168" s="472">
        <v>144.21336206896501</v>
      </c>
      <c r="AN168" s="472">
        <v>144.21336206896501</v>
      </c>
      <c r="AO168" s="472">
        <v>144.21336206896501</v>
      </c>
      <c r="AP168" s="472">
        <v>144.21336206896501</v>
      </c>
      <c r="AQ168" s="472">
        <v>144.21336206896501</v>
      </c>
      <c r="AR168" s="472">
        <v>144.21336206896501</v>
      </c>
      <c r="AS168" s="472">
        <v>144.21336206896501</v>
      </c>
      <c r="AT168" s="472">
        <v>144.21336206896501</v>
      </c>
      <c r="AU168" s="472">
        <v>144.21336206896501</v>
      </c>
      <c r="AV168" s="472">
        <v>144.21336206896501</v>
      </c>
      <c r="AW168" s="472">
        <v>144.21336206896501</v>
      </c>
      <c r="AX168" s="472">
        <v>144.21336206896501</v>
      </c>
      <c r="AY168" s="473">
        <v>144.21336206896501</v>
      </c>
    </row>
    <row r="169" spans="1:51">
      <c r="A169" s="446" t="s">
        <v>2945</v>
      </c>
      <c r="B169" s="471">
        <v>13.64</v>
      </c>
      <c r="C169" s="472">
        <v>13.41</v>
      </c>
      <c r="D169" s="472">
        <v>13.19</v>
      </c>
      <c r="E169" s="472">
        <v>13.19</v>
      </c>
      <c r="F169" s="472">
        <v>13.19</v>
      </c>
      <c r="G169" s="472">
        <v>13.19</v>
      </c>
      <c r="H169" s="472">
        <v>13.27</v>
      </c>
      <c r="I169" s="472">
        <v>13.34</v>
      </c>
      <c r="J169" s="472">
        <v>13.42</v>
      </c>
      <c r="K169" s="472">
        <v>13.42</v>
      </c>
      <c r="L169" s="472">
        <v>13.42</v>
      </c>
      <c r="M169" s="472">
        <v>13.42</v>
      </c>
      <c r="N169" s="472">
        <v>13.42</v>
      </c>
      <c r="O169" s="472">
        <v>13.42</v>
      </c>
      <c r="P169" s="472">
        <v>13.42</v>
      </c>
      <c r="Q169" s="472">
        <v>13.42</v>
      </c>
      <c r="R169" s="472">
        <v>13.42</v>
      </c>
      <c r="S169" s="472">
        <v>13.42</v>
      </c>
      <c r="T169" s="472">
        <v>13.42</v>
      </c>
      <c r="U169" s="472">
        <v>13.42</v>
      </c>
      <c r="V169" s="472">
        <v>13.42</v>
      </c>
      <c r="W169" s="472">
        <v>13.42</v>
      </c>
      <c r="X169" s="472">
        <v>13.42</v>
      </c>
      <c r="Y169" s="472">
        <v>13.42</v>
      </c>
      <c r="Z169" s="472">
        <v>13.42</v>
      </c>
      <c r="AA169" s="472">
        <v>13.42</v>
      </c>
      <c r="AB169" s="472">
        <v>13.42</v>
      </c>
      <c r="AC169" s="472">
        <v>13.42</v>
      </c>
      <c r="AD169" s="472">
        <v>13.42</v>
      </c>
      <c r="AE169" s="472">
        <v>13.42</v>
      </c>
      <c r="AF169" s="472">
        <v>13.42</v>
      </c>
      <c r="AG169" s="472">
        <v>13.42</v>
      </c>
      <c r="AH169" s="472">
        <v>13.42</v>
      </c>
      <c r="AI169" s="472">
        <v>13.42</v>
      </c>
      <c r="AJ169" s="472">
        <v>13.42</v>
      </c>
      <c r="AK169" s="472">
        <v>13.42</v>
      </c>
      <c r="AL169" s="472">
        <v>13.42</v>
      </c>
      <c r="AM169" s="472">
        <v>13.42</v>
      </c>
      <c r="AN169" s="472">
        <v>13.42</v>
      </c>
      <c r="AO169" s="472">
        <v>13.42</v>
      </c>
      <c r="AP169" s="472">
        <v>13.42</v>
      </c>
      <c r="AQ169" s="472">
        <v>13.42</v>
      </c>
      <c r="AR169" s="472">
        <v>13.42</v>
      </c>
      <c r="AS169" s="472">
        <v>13.42</v>
      </c>
      <c r="AT169" s="472">
        <v>13.42</v>
      </c>
      <c r="AU169" s="472">
        <v>13.42</v>
      </c>
      <c r="AV169" s="472">
        <v>13.42</v>
      </c>
      <c r="AW169" s="472">
        <v>13.42</v>
      </c>
      <c r="AX169" s="472">
        <v>13.42</v>
      </c>
      <c r="AY169" s="473">
        <v>13.42</v>
      </c>
    </row>
    <row r="170" spans="1:51">
      <c r="A170" s="446" t="s">
        <v>2946</v>
      </c>
      <c r="B170" s="471">
        <v>12.012499999999999</v>
      </c>
      <c r="C170" s="472">
        <v>11.794166666666667</v>
      </c>
      <c r="D170" s="472">
        <v>11.585833333333333</v>
      </c>
      <c r="E170" s="472">
        <v>11.585833333333333</v>
      </c>
      <c r="F170" s="472">
        <v>11.585833333333333</v>
      </c>
      <c r="G170" s="472">
        <v>11.585833333333333</v>
      </c>
      <c r="H170" s="472">
        <v>11.66</v>
      </c>
      <c r="I170" s="472">
        <v>11.73</v>
      </c>
      <c r="J170" s="472">
        <v>11.804166666666667</v>
      </c>
      <c r="K170" s="472">
        <v>11.804166666666667</v>
      </c>
      <c r="L170" s="472">
        <v>11.804166666666667</v>
      </c>
      <c r="M170" s="472">
        <v>11.804166666666667</v>
      </c>
      <c r="N170" s="472">
        <v>11.804166666666667</v>
      </c>
      <c r="O170" s="472">
        <v>11.804166666666667</v>
      </c>
      <c r="P170" s="472">
        <v>11.804166666666667</v>
      </c>
      <c r="Q170" s="472">
        <v>11.804166666666667</v>
      </c>
      <c r="R170" s="472">
        <v>11.804166666666667</v>
      </c>
      <c r="S170" s="472">
        <v>11.804166666666667</v>
      </c>
      <c r="T170" s="472">
        <v>11.804166666666667</v>
      </c>
      <c r="U170" s="472">
        <v>11.804166666666667</v>
      </c>
      <c r="V170" s="472">
        <v>11.804166666666667</v>
      </c>
      <c r="W170" s="472">
        <v>11.804166666666667</v>
      </c>
      <c r="X170" s="472">
        <v>11.804166666666667</v>
      </c>
      <c r="Y170" s="472">
        <v>11.804166666666667</v>
      </c>
      <c r="Z170" s="472">
        <v>11.804166666666667</v>
      </c>
      <c r="AA170" s="472">
        <v>11.804166666666667</v>
      </c>
      <c r="AB170" s="472">
        <v>11.804166666666667</v>
      </c>
      <c r="AC170" s="472">
        <v>11.804166666666667</v>
      </c>
      <c r="AD170" s="472">
        <v>11.804166666666667</v>
      </c>
      <c r="AE170" s="472">
        <v>11.804166666666667</v>
      </c>
      <c r="AF170" s="472">
        <v>11.804166666666667</v>
      </c>
      <c r="AG170" s="472">
        <v>11.804166666666667</v>
      </c>
      <c r="AH170" s="472">
        <v>11.804166666666667</v>
      </c>
      <c r="AI170" s="472">
        <v>11.804166666666667</v>
      </c>
      <c r="AJ170" s="472">
        <v>11.804166666666667</v>
      </c>
      <c r="AK170" s="472">
        <v>11.804166666666667</v>
      </c>
      <c r="AL170" s="472">
        <v>11.804166666666667</v>
      </c>
      <c r="AM170" s="472">
        <v>11.804166666666667</v>
      </c>
      <c r="AN170" s="472">
        <v>11.804166666666667</v>
      </c>
      <c r="AO170" s="472">
        <v>11.804166666666667</v>
      </c>
      <c r="AP170" s="472">
        <v>11.804166666666667</v>
      </c>
      <c r="AQ170" s="472">
        <v>11.804166666666667</v>
      </c>
      <c r="AR170" s="472">
        <v>11.804166666666667</v>
      </c>
      <c r="AS170" s="472">
        <v>11.804166666666667</v>
      </c>
      <c r="AT170" s="472">
        <v>11.804166666666667</v>
      </c>
      <c r="AU170" s="472">
        <v>11.804166666666667</v>
      </c>
      <c r="AV170" s="472">
        <v>11.804166666666667</v>
      </c>
      <c r="AW170" s="472">
        <v>11.804166666666667</v>
      </c>
      <c r="AX170" s="472">
        <v>11.804166666666699</v>
      </c>
      <c r="AY170" s="473">
        <v>11.804166666666699</v>
      </c>
    </row>
    <row r="171" spans="1:51">
      <c r="A171" s="446" t="s">
        <v>2933</v>
      </c>
      <c r="B171" s="471">
        <v>7.2607266726146298</v>
      </c>
      <c r="C171" s="472">
        <v>7.9112857970161548</v>
      </c>
      <c r="D171" s="472">
        <v>8.1995068031839171</v>
      </c>
      <c r="E171" s="472">
        <v>8.4073776927334265</v>
      </c>
      <c r="F171" s="472">
        <v>8.5736326363918245</v>
      </c>
      <c r="G171" s="472">
        <v>8.7208261649062617</v>
      </c>
      <c r="H171" s="472">
        <v>8.8285181377174773</v>
      </c>
      <c r="I171" s="472">
        <v>8.8829506598476691</v>
      </c>
      <c r="J171" s="472">
        <v>9.0100552678251411</v>
      </c>
      <c r="K171" s="472">
        <v>9.0500408716374903</v>
      </c>
      <c r="L171" s="472">
        <v>9.1558646250250764</v>
      </c>
      <c r="M171" s="472">
        <v>9.244954159045637</v>
      </c>
      <c r="N171" s="472">
        <v>9.2425044625563437</v>
      </c>
      <c r="O171" s="472">
        <v>9.3135366023628183</v>
      </c>
      <c r="P171" s="472">
        <v>9.3834258849192018</v>
      </c>
      <c r="Q171" s="472">
        <v>9.4457625151136106</v>
      </c>
      <c r="R171" s="472">
        <v>9.4294343454096037</v>
      </c>
      <c r="S171" s="472">
        <v>9.4065940080935402</v>
      </c>
      <c r="T171" s="472">
        <v>9.3718934835830296</v>
      </c>
      <c r="U171" s="472">
        <v>9.3718934835830296</v>
      </c>
      <c r="V171" s="472">
        <v>9.3718934835830296</v>
      </c>
      <c r="W171" s="472">
        <v>9.3718934835830296</v>
      </c>
      <c r="X171" s="472">
        <v>9.3718934835830296</v>
      </c>
      <c r="Y171" s="472">
        <v>9.3718934835830296</v>
      </c>
      <c r="Z171" s="472">
        <v>9.3718934835830296</v>
      </c>
      <c r="AA171" s="472">
        <v>9.3718934835830296</v>
      </c>
      <c r="AB171" s="472">
        <v>9.3718934835830296</v>
      </c>
      <c r="AC171" s="472">
        <v>9.3718934835830296</v>
      </c>
      <c r="AD171" s="472">
        <v>9.3718934835830296</v>
      </c>
      <c r="AE171" s="472">
        <v>9.3718934835830296</v>
      </c>
      <c r="AF171" s="472">
        <v>9.3718934835830296</v>
      </c>
      <c r="AG171" s="472">
        <v>9.3718934835830296</v>
      </c>
      <c r="AH171" s="472">
        <v>9.3718934835830296</v>
      </c>
      <c r="AI171" s="472">
        <v>9.3718934835830296</v>
      </c>
      <c r="AJ171" s="472">
        <v>9.3718934835830296</v>
      </c>
      <c r="AK171" s="472">
        <v>9.3718934835830296</v>
      </c>
      <c r="AL171" s="472">
        <v>9.3718934835830296</v>
      </c>
      <c r="AM171" s="472">
        <v>9.3718934835830296</v>
      </c>
      <c r="AN171" s="472">
        <v>9.3718934835830296</v>
      </c>
      <c r="AO171" s="472">
        <v>9.3718934835830296</v>
      </c>
      <c r="AP171" s="472">
        <v>9.3718934835830296</v>
      </c>
      <c r="AQ171" s="472">
        <v>9.3718934835830296</v>
      </c>
      <c r="AR171" s="472">
        <v>9.3718934835830296</v>
      </c>
      <c r="AS171" s="472">
        <v>9.3718934835830296</v>
      </c>
      <c r="AT171" s="472">
        <v>9.3718934835830296</v>
      </c>
      <c r="AU171" s="472">
        <v>9.3718934835830296</v>
      </c>
      <c r="AV171" s="472">
        <v>9.3718934835830296</v>
      </c>
      <c r="AW171" s="472">
        <v>9.3718934835830296</v>
      </c>
      <c r="AX171" s="472">
        <v>9.3718934835830296</v>
      </c>
      <c r="AY171" s="473">
        <v>9.3718934835830296</v>
      </c>
    </row>
    <row r="172" spans="1:51">
      <c r="A172" s="446" t="s">
        <v>2934</v>
      </c>
      <c r="B172" s="447">
        <v>6.28E-3</v>
      </c>
      <c r="C172" s="448">
        <v>6.1999999999999998E-3</v>
      </c>
      <c r="D172" s="448">
        <v>6.1200000000000004E-3</v>
      </c>
      <c r="E172" s="448">
        <v>6.0000000000000001E-3</v>
      </c>
      <c r="F172" s="448">
        <v>5.8799999999999998E-3</v>
      </c>
      <c r="G172" s="448">
        <v>5.77E-3</v>
      </c>
      <c r="H172" s="448">
        <v>5.77E-3</v>
      </c>
      <c r="I172" s="448">
        <v>5.7599999999999995E-3</v>
      </c>
      <c r="J172" s="448">
        <v>5.7599999999999995E-3</v>
      </c>
      <c r="K172" s="448">
        <v>5.7499999999999999E-3</v>
      </c>
      <c r="L172" s="448">
        <v>5.7499999999999999E-3</v>
      </c>
      <c r="M172" s="448">
        <v>5.7499999999999999E-3</v>
      </c>
      <c r="N172" s="448">
        <v>5.7400000000000003E-3</v>
      </c>
      <c r="O172" s="448">
        <v>5.7400000000000003E-3</v>
      </c>
      <c r="P172" s="448">
        <v>5.7300000000000007E-3</v>
      </c>
      <c r="Q172" s="448">
        <v>5.7300000000000007E-3</v>
      </c>
      <c r="R172" s="448">
        <v>5.7300000000000007E-3</v>
      </c>
      <c r="S172" s="448">
        <v>5.7300000000000007E-3</v>
      </c>
      <c r="T172" s="448">
        <v>5.7300000000000007E-3</v>
      </c>
      <c r="U172" s="448">
        <v>5.7300000000000007E-3</v>
      </c>
      <c r="V172" s="448">
        <v>5.7300000000000007E-3</v>
      </c>
      <c r="W172" s="448">
        <v>5.7300000000000007E-3</v>
      </c>
      <c r="X172" s="448">
        <v>5.7300000000000007E-3</v>
      </c>
      <c r="Y172" s="448">
        <v>5.7300000000000007E-3</v>
      </c>
      <c r="Z172" s="448">
        <v>5.7300000000000007E-3</v>
      </c>
      <c r="AA172" s="448">
        <v>5.7300000000000007E-3</v>
      </c>
      <c r="AB172" s="448">
        <v>5.7300000000000007E-3</v>
      </c>
      <c r="AC172" s="448">
        <v>5.7300000000000007E-3</v>
      </c>
      <c r="AD172" s="448">
        <v>5.7300000000000007E-3</v>
      </c>
      <c r="AE172" s="448">
        <v>5.7300000000000007E-3</v>
      </c>
      <c r="AF172" s="448">
        <v>5.7300000000000007E-3</v>
      </c>
      <c r="AG172" s="448">
        <v>5.7300000000000007E-3</v>
      </c>
      <c r="AH172" s="448">
        <v>5.7300000000000007E-3</v>
      </c>
      <c r="AI172" s="448">
        <v>5.7300000000000007E-3</v>
      </c>
      <c r="AJ172" s="448">
        <v>5.7300000000000007E-3</v>
      </c>
      <c r="AK172" s="448">
        <v>5.7300000000000007E-3</v>
      </c>
      <c r="AL172" s="448">
        <v>5.7300000000000007E-3</v>
      </c>
      <c r="AM172" s="448">
        <v>5.7300000000000007E-3</v>
      </c>
      <c r="AN172" s="448">
        <v>5.7300000000000007E-3</v>
      </c>
      <c r="AO172" s="448">
        <v>5.7300000000000007E-3</v>
      </c>
      <c r="AP172" s="448">
        <v>5.7300000000000007E-3</v>
      </c>
      <c r="AQ172" s="448">
        <v>5.7300000000000007E-3</v>
      </c>
      <c r="AR172" s="448">
        <v>5.7300000000000007E-3</v>
      </c>
      <c r="AS172" s="448">
        <v>5.7300000000000007E-3</v>
      </c>
      <c r="AT172" s="448">
        <v>5.7300000000000007E-3</v>
      </c>
      <c r="AU172" s="448">
        <v>5.7300000000000007E-3</v>
      </c>
      <c r="AV172" s="448">
        <v>5.7300000000000007E-3</v>
      </c>
      <c r="AW172" s="448">
        <v>5.7300000000000007E-3</v>
      </c>
      <c r="AX172" s="448">
        <v>5.7300000000000007E-3</v>
      </c>
      <c r="AY172" s="449">
        <v>5.7300000000000007E-3</v>
      </c>
    </row>
    <row r="173" spans="1:51">
      <c r="A173" s="446" t="s">
        <v>2935</v>
      </c>
      <c r="B173" s="450">
        <f>(58.5/1000)*15</f>
        <v>0.87750000000000006</v>
      </c>
      <c r="C173" s="451">
        <f t="shared" ref="C173:AD174" si="66">(58.5/1000)*15</f>
        <v>0.87750000000000006</v>
      </c>
      <c r="D173" s="451">
        <f t="shared" si="66"/>
        <v>0.87750000000000006</v>
      </c>
      <c r="E173" s="451">
        <f t="shared" si="66"/>
        <v>0.87750000000000006</v>
      </c>
      <c r="F173" s="451">
        <f t="shared" si="66"/>
        <v>0.87750000000000006</v>
      </c>
      <c r="G173" s="451">
        <f t="shared" si="66"/>
        <v>0.87750000000000006</v>
      </c>
      <c r="H173" s="451">
        <f t="shared" si="66"/>
        <v>0.87750000000000006</v>
      </c>
      <c r="I173" s="451">
        <f t="shared" si="66"/>
        <v>0.87750000000000006</v>
      </c>
      <c r="J173" s="451">
        <f t="shared" si="66"/>
        <v>0.87750000000000006</v>
      </c>
      <c r="K173" s="451">
        <f t="shared" si="66"/>
        <v>0.87750000000000006</v>
      </c>
      <c r="L173" s="451">
        <f t="shared" si="66"/>
        <v>0.87750000000000006</v>
      </c>
      <c r="M173" s="451">
        <f t="shared" si="66"/>
        <v>0.87750000000000006</v>
      </c>
      <c r="N173" s="451">
        <f t="shared" si="66"/>
        <v>0.87750000000000006</v>
      </c>
      <c r="O173" s="451">
        <f t="shared" si="66"/>
        <v>0.87750000000000006</v>
      </c>
      <c r="P173" s="451">
        <f t="shared" si="66"/>
        <v>0.87750000000000006</v>
      </c>
      <c r="Q173" s="451">
        <f t="shared" si="66"/>
        <v>0.87750000000000006</v>
      </c>
      <c r="R173" s="451">
        <f t="shared" si="66"/>
        <v>0.87750000000000006</v>
      </c>
      <c r="S173" s="451">
        <f t="shared" si="66"/>
        <v>0.87750000000000006</v>
      </c>
      <c r="T173" s="451">
        <f t="shared" si="66"/>
        <v>0.87750000000000006</v>
      </c>
      <c r="U173" s="451">
        <f t="shared" si="66"/>
        <v>0.87750000000000006</v>
      </c>
      <c r="V173" s="451">
        <f t="shared" si="66"/>
        <v>0.87750000000000006</v>
      </c>
      <c r="W173" s="451">
        <f t="shared" si="66"/>
        <v>0.87750000000000006</v>
      </c>
      <c r="X173" s="451">
        <f t="shared" si="66"/>
        <v>0.87750000000000006</v>
      </c>
      <c r="Y173" s="451">
        <f t="shared" si="66"/>
        <v>0.87750000000000006</v>
      </c>
      <c r="Z173" s="451">
        <f t="shared" si="66"/>
        <v>0.87750000000000006</v>
      </c>
      <c r="AA173" s="451">
        <f t="shared" si="66"/>
        <v>0.87750000000000006</v>
      </c>
      <c r="AB173" s="451">
        <f t="shared" si="66"/>
        <v>0.87750000000000006</v>
      </c>
      <c r="AC173" s="451">
        <f t="shared" si="66"/>
        <v>0.87750000000000006</v>
      </c>
      <c r="AD173" s="451">
        <f t="shared" si="66"/>
        <v>0.87750000000000006</v>
      </c>
      <c r="AE173" s="451">
        <f>(58.5/1000)*15</f>
        <v>0.87750000000000006</v>
      </c>
      <c r="AF173" s="451">
        <f t="shared" ref="AF173:AY174" si="67">(58.5/1000)*15</f>
        <v>0.87750000000000006</v>
      </c>
      <c r="AG173" s="451">
        <f t="shared" si="67"/>
        <v>0.87750000000000006</v>
      </c>
      <c r="AH173" s="451">
        <f t="shared" si="67"/>
        <v>0.87750000000000006</v>
      </c>
      <c r="AI173" s="451">
        <f t="shared" si="67"/>
        <v>0.87750000000000006</v>
      </c>
      <c r="AJ173" s="451">
        <f t="shared" si="67"/>
        <v>0.87750000000000006</v>
      </c>
      <c r="AK173" s="451">
        <f t="shared" si="67"/>
        <v>0.87750000000000006</v>
      </c>
      <c r="AL173" s="451">
        <f t="shared" si="67"/>
        <v>0.87750000000000006</v>
      </c>
      <c r="AM173" s="451">
        <f t="shared" si="67"/>
        <v>0.87750000000000006</v>
      </c>
      <c r="AN173" s="451">
        <f t="shared" si="67"/>
        <v>0.87750000000000006</v>
      </c>
      <c r="AO173" s="451">
        <f t="shared" si="67"/>
        <v>0.87750000000000006</v>
      </c>
      <c r="AP173" s="451">
        <f t="shared" si="67"/>
        <v>0.87750000000000006</v>
      </c>
      <c r="AQ173" s="451">
        <f t="shared" si="67"/>
        <v>0.87750000000000006</v>
      </c>
      <c r="AR173" s="451">
        <f t="shared" si="67"/>
        <v>0.87750000000000006</v>
      </c>
      <c r="AS173" s="451">
        <f t="shared" si="67"/>
        <v>0.87750000000000006</v>
      </c>
      <c r="AT173" s="451">
        <f t="shared" si="67"/>
        <v>0.87750000000000006</v>
      </c>
      <c r="AU173" s="451">
        <f t="shared" si="67"/>
        <v>0.87750000000000006</v>
      </c>
      <c r="AV173" s="451">
        <f t="shared" si="67"/>
        <v>0.87750000000000006</v>
      </c>
      <c r="AW173" s="451">
        <f t="shared" si="67"/>
        <v>0.87750000000000006</v>
      </c>
      <c r="AX173" s="451">
        <f t="shared" si="67"/>
        <v>0.87750000000000006</v>
      </c>
      <c r="AY173" s="452">
        <f t="shared" si="67"/>
        <v>0.87750000000000006</v>
      </c>
    </row>
    <row r="174" spans="1:51" ht="12.75" thickBot="1">
      <c r="A174" s="453" t="s">
        <v>2936</v>
      </c>
      <c r="B174" s="454">
        <f>(58.5/1000)*15</f>
        <v>0.87750000000000006</v>
      </c>
      <c r="C174" s="455">
        <f t="shared" si="66"/>
        <v>0.87750000000000006</v>
      </c>
      <c r="D174" s="455">
        <f t="shared" si="66"/>
        <v>0.87750000000000006</v>
      </c>
      <c r="E174" s="455">
        <f t="shared" si="66"/>
        <v>0.87750000000000006</v>
      </c>
      <c r="F174" s="455">
        <f t="shared" si="66"/>
        <v>0.87750000000000006</v>
      </c>
      <c r="G174" s="455">
        <f t="shared" si="66"/>
        <v>0.87750000000000006</v>
      </c>
      <c r="H174" s="455">
        <f t="shared" si="66"/>
        <v>0.87750000000000006</v>
      </c>
      <c r="I174" s="455">
        <f t="shared" si="66"/>
        <v>0.87750000000000006</v>
      </c>
      <c r="J174" s="455">
        <f t="shared" si="66"/>
        <v>0.87750000000000006</v>
      </c>
      <c r="K174" s="455">
        <f t="shared" si="66"/>
        <v>0.87750000000000006</v>
      </c>
      <c r="L174" s="455">
        <f t="shared" si="66"/>
        <v>0.87750000000000006</v>
      </c>
      <c r="M174" s="455">
        <f t="shared" si="66"/>
        <v>0.87750000000000006</v>
      </c>
      <c r="N174" s="455">
        <f t="shared" si="66"/>
        <v>0.87750000000000006</v>
      </c>
      <c r="O174" s="455">
        <f t="shared" si="66"/>
        <v>0.87750000000000006</v>
      </c>
      <c r="P174" s="455">
        <f t="shared" si="66"/>
        <v>0.87750000000000006</v>
      </c>
      <c r="Q174" s="455">
        <f t="shared" si="66"/>
        <v>0.87750000000000006</v>
      </c>
      <c r="R174" s="455">
        <f t="shared" si="66"/>
        <v>0.87750000000000006</v>
      </c>
      <c r="S174" s="455">
        <f t="shared" si="66"/>
        <v>0.87750000000000006</v>
      </c>
      <c r="T174" s="455">
        <f t="shared" si="66"/>
        <v>0.87750000000000006</v>
      </c>
      <c r="U174" s="455">
        <f t="shared" si="66"/>
        <v>0.87750000000000006</v>
      </c>
      <c r="V174" s="455">
        <f t="shared" si="66"/>
        <v>0.87750000000000006</v>
      </c>
      <c r="W174" s="455">
        <f t="shared" si="66"/>
        <v>0.87750000000000006</v>
      </c>
      <c r="X174" s="455">
        <f t="shared" si="66"/>
        <v>0.87750000000000006</v>
      </c>
      <c r="Y174" s="455">
        <f t="shared" si="66"/>
        <v>0.87750000000000006</v>
      </c>
      <c r="Z174" s="455">
        <f t="shared" si="66"/>
        <v>0.87750000000000006</v>
      </c>
      <c r="AA174" s="455">
        <f t="shared" si="66"/>
        <v>0.87750000000000006</v>
      </c>
      <c r="AB174" s="455">
        <f t="shared" si="66"/>
        <v>0.87750000000000006</v>
      </c>
      <c r="AC174" s="455">
        <f t="shared" si="66"/>
        <v>0.87750000000000006</v>
      </c>
      <c r="AD174" s="455">
        <f t="shared" si="66"/>
        <v>0.87750000000000006</v>
      </c>
      <c r="AE174" s="455">
        <f>(58.5/1000)*15</f>
        <v>0.87750000000000006</v>
      </c>
      <c r="AF174" s="455">
        <f t="shared" si="67"/>
        <v>0.87750000000000006</v>
      </c>
      <c r="AG174" s="455">
        <f t="shared" si="67"/>
        <v>0.87750000000000006</v>
      </c>
      <c r="AH174" s="455">
        <f t="shared" si="67"/>
        <v>0.87750000000000006</v>
      </c>
      <c r="AI174" s="455">
        <f t="shared" si="67"/>
        <v>0.87750000000000006</v>
      </c>
      <c r="AJ174" s="455">
        <f t="shared" si="67"/>
        <v>0.87750000000000006</v>
      </c>
      <c r="AK174" s="455">
        <f t="shared" si="67"/>
        <v>0.87750000000000006</v>
      </c>
      <c r="AL174" s="455">
        <f t="shared" si="67"/>
        <v>0.87750000000000006</v>
      </c>
      <c r="AM174" s="455">
        <f t="shared" si="67"/>
        <v>0.87750000000000006</v>
      </c>
      <c r="AN174" s="455">
        <f t="shared" si="67"/>
        <v>0.87750000000000006</v>
      </c>
      <c r="AO174" s="455">
        <f t="shared" si="67"/>
        <v>0.87750000000000006</v>
      </c>
      <c r="AP174" s="455">
        <f t="shared" si="67"/>
        <v>0.87750000000000006</v>
      </c>
      <c r="AQ174" s="455">
        <f t="shared" si="67"/>
        <v>0.87750000000000006</v>
      </c>
      <c r="AR174" s="455">
        <f t="shared" si="67"/>
        <v>0.87750000000000006</v>
      </c>
      <c r="AS174" s="455">
        <f t="shared" si="67"/>
        <v>0.87750000000000006</v>
      </c>
      <c r="AT174" s="455">
        <f t="shared" si="67"/>
        <v>0.87750000000000006</v>
      </c>
      <c r="AU174" s="455">
        <f t="shared" si="67"/>
        <v>0.87750000000000006</v>
      </c>
      <c r="AV174" s="455">
        <f t="shared" si="67"/>
        <v>0.87750000000000006</v>
      </c>
      <c r="AW174" s="455">
        <f t="shared" si="67"/>
        <v>0.87750000000000006</v>
      </c>
      <c r="AX174" s="455">
        <f t="shared" si="67"/>
        <v>0.87750000000000006</v>
      </c>
      <c r="AY174" s="456">
        <f t="shared" si="67"/>
        <v>0.87750000000000006</v>
      </c>
    </row>
    <row r="175" spans="1:51">
      <c r="B175" s="433"/>
      <c r="C175" s="433"/>
      <c r="D175" s="433"/>
      <c r="E175" s="433"/>
      <c r="F175" s="433"/>
      <c r="G175" s="433"/>
      <c r="H175" s="433"/>
      <c r="I175" s="433"/>
      <c r="J175" s="433"/>
      <c r="K175" s="433"/>
      <c r="L175" s="433"/>
      <c r="M175" s="433"/>
      <c r="N175" s="433"/>
      <c r="O175" s="433"/>
      <c r="P175" s="433"/>
      <c r="Q175" s="433"/>
      <c r="R175" s="433"/>
      <c r="S175" s="433"/>
      <c r="T175" s="433"/>
      <c r="U175" s="433"/>
      <c r="V175" s="433"/>
      <c r="W175" s="433"/>
      <c r="X175" s="433"/>
      <c r="Y175" s="433"/>
      <c r="Z175" s="433"/>
      <c r="AA175" s="433"/>
      <c r="AB175" s="433"/>
      <c r="AC175" s="433"/>
      <c r="AD175" s="433"/>
      <c r="AE175" s="433"/>
    </row>
    <row r="176" spans="1:51" ht="15.75" thickBot="1">
      <c r="A176" s="437" t="s">
        <v>2937</v>
      </c>
      <c r="B176" s="433"/>
      <c r="C176" s="433"/>
      <c r="D176" s="433"/>
      <c r="E176" s="433"/>
      <c r="F176" s="433"/>
      <c r="G176" s="433"/>
      <c r="H176" s="433"/>
      <c r="I176" s="433"/>
      <c r="J176" s="433"/>
      <c r="K176" s="433"/>
      <c r="L176" s="433"/>
      <c r="M176" s="433"/>
      <c r="N176" s="433"/>
      <c r="O176" s="433"/>
      <c r="P176" s="433"/>
      <c r="Q176" s="433"/>
      <c r="R176" s="433"/>
      <c r="S176" s="433"/>
      <c r="T176" s="433"/>
      <c r="U176" s="433"/>
      <c r="V176" s="433"/>
      <c r="W176" s="433"/>
      <c r="X176" s="433"/>
      <c r="Y176" s="433"/>
      <c r="Z176" s="433"/>
      <c r="AA176" s="433"/>
      <c r="AB176" s="433"/>
      <c r="AC176" s="433"/>
      <c r="AD176" s="433"/>
      <c r="AE176" s="433"/>
    </row>
    <row r="177" spans="1:51" ht="12.75" thickBot="1">
      <c r="A177" s="438" t="s">
        <v>2932</v>
      </c>
      <c r="B177" s="439">
        <v>1</v>
      </c>
      <c r="C177" s="440">
        <v>2</v>
      </c>
      <c r="D177" s="440">
        <v>3</v>
      </c>
      <c r="E177" s="440">
        <v>4</v>
      </c>
      <c r="F177" s="440">
        <v>5</v>
      </c>
      <c r="G177" s="440">
        <v>6</v>
      </c>
      <c r="H177" s="440">
        <v>7</v>
      </c>
      <c r="I177" s="440">
        <v>8</v>
      </c>
      <c r="J177" s="440">
        <v>9</v>
      </c>
      <c r="K177" s="440">
        <v>10</v>
      </c>
      <c r="L177" s="440">
        <v>11</v>
      </c>
      <c r="M177" s="440">
        <v>12</v>
      </c>
      <c r="N177" s="440">
        <v>13</v>
      </c>
      <c r="O177" s="440">
        <v>14</v>
      </c>
      <c r="P177" s="440">
        <v>15</v>
      </c>
      <c r="Q177" s="440">
        <v>16</v>
      </c>
      <c r="R177" s="440">
        <v>17</v>
      </c>
      <c r="S177" s="440">
        <v>18</v>
      </c>
      <c r="T177" s="440">
        <v>19</v>
      </c>
      <c r="U177" s="440">
        <v>20</v>
      </c>
      <c r="V177" s="440">
        <v>21</v>
      </c>
      <c r="W177" s="440">
        <v>22</v>
      </c>
      <c r="X177" s="440">
        <v>23</v>
      </c>
      <c r="Y177" s="440">
        <v>24</v>
      </c>
      <c r="Z177" s="440">
        <v>25</v>
      </c>
      <c r="AA177" s="440">
        <v>26</v>
      </c>
      <c r="AB177" s="440">
        <v>27</v>
      </c>
      <c r="AC177" s="440">
        <v>28</v>
      </c>
      <c r="AD177" s="440">
        <v>29</v>
      </c>
      <c r="AE177" s="440">
        <v>30</v>
      </c>
      <c r="AF177" s="440">
        <f t="shared" ref="AF177:AY177" si="68">AE177+1</f>
        <v>31</v>
      </c>
      <c r="AG177" s="440">
        <f t="shared" si="68"/>
        <v>32</v>
      </c>
      <c r="AH177" s="440">
        <f t="shared" si="68"/>
        <v>33</v>
      </c>
      <c r="AI177" s="440">
        <f t="shared" si="68"/>
        <v>34</v>
      </c>
      <c r="AJ177" s="440">
        <f t="shared" si="68"/>
        <v>35</v>
      </c>
      <c r="AK177" s="440">
        <f t="shared" si="68"/>
        <v>36</v>
      </c>
      <c r="AL177" s="440">
        <f t="shared" si="68"/>
        <v>37</v>
      </c>
      <c r="AM177" s="440">
        <f t="shared" si="68"/>
        <v>38</v>
      </c>
      <c r="AN177" s="440">
        <f t="shared" si="68"/>
        <v>39</v>
      </c>
      <c r="AO177" s="440">
        <f t="shared" si="68"/>
        <v>40</v>
      </c>
      <c r="AP177" s="440">
        <f t="shared" si="68"/>
        <v>41</v>
      </c>
      <c r="AQ177" s="440">
        <f t="shared" si="68"/>
        <v>42</v>
      </c>
      <c r="AR177" s="440">
        <f t="shared" si="68"/>
        <v>43</v>
      </c>
      <c r="AS177" s="440">
        <f t="shared" si="68"/>
        <v>44</v>
      </c>
      <c r="AT177" s="440">
        <f t="shared" si="68"/>
        <v>45</v>
      </c>
      <c r="AU177" s="440">
        <f t="shared" si="68"/>
        <v>46</v>
      </c>
      <c r="AV177" s="440">
        <f t="shared" si="68"/>
        <v>47</v>
      </c>
      <c r="AW177" s="440">
        <f t="shared" si="68"/>
        <v>48</v>
      </c>
      <c r="AX177" s="440">
        <f t="shared" si="68"/>
        <v>49</v>
      </c>
      <c r="AY177" s="441">
        <f t="shared" si="68"/>
        <v>50</v>
      </c>
    </row>
    <row r="178" spans="1:51">
      <c r="A178" s="442" t="s">
        <v>2955</v>
      </c>
      <c r="B178" s="443">
        <f t="shared" ref="B178:B185" si="69">B167/(1+$C$3)^(B$16-0.5)</f>
        <v>6.6506021841986604E-2</v>
      </c>
      <c r="C178" s="444">
        <f t="shared" ref="C178:AY183" si="70">(C167/(1+$C$3)^(C$16-0.5)+B178)</f>
        <v>0.12827490399744898</v>
      </c>
      <c r="D178" s="444">
        <f t="shared" si="70"/>
        <v>0.18564973740670915</v>
      </c>
      <c r="E178" s="444">
        <f t="shared" si="70"/>
        <v>0.23990370587347698</v>
      </c>
      <c r="F178" s="444">
        <f t="shared" si="70"/>
        <v>0.29120627325122672</v>
      </c>
      <c r="G178" s="444">
        <f t="shared" si="70"/>
        <v>0.33972434249937733</v>
      </c>
      <c r="H178" s="444">
        <f t="shared" si="70"/>
        <v>0.38582353901948346</v>
      </c>
      <c r="I178" s="444">
        <f t="shared" si="70"/>
        <v>0.42962889916558616</v>
      </c>
      <c r="J178" s="444">
        <f t="shared" si="70"/>
        <v>0.47124865834523672</v>
      </c>
      <c r="K178" s="444">
        <f t="shared" si="70"/>
        <v>0.51079812378440359</v>
      </c>
      <c r="L178" s="444">
        <f t="shared" si="70"/>
        <v>0.54837896873154479</v>
      </c>
      <c r="M178" s="444">
        <f t="shared" si="70"/>
        <v>0.584085174103256</v>
      </c>
      <c r="N178" s="444">
        <f t="shared" si="70"/>
        <v>0.61801365427958765</v>
      </c>
      <c r="O178" s="444">
        <f t="shared" si="70"/>
        <v>0.65025363427340055</v>
      </c>
      <c r="P178" s="444">
        <f t="shared" si="70"/>
        <v>0.6808889547833743</v>
      </c>
      <c r="Q178" s="444">
        <f t="shared" si="70"/>
        <v>0.70992717327624033</v>
      </c>
      <c r="R178" s="444">
        <f t="shared" si="70"/>
        <v>0.73745155099459681</v>
      </c>
      <c r="S178" s="444">
        <f t="shared" si="70"/>
        <v>0.76354100854754137</v>
      </c>
      <c r="T178" s="444">
        <f t="shared" si="70"/>
        <v>0.78827035219962149</v>
      </c>
      <c r="U178" s="444">
        <f t="shared" si="70"/>
        <v>0.81171048836273063</v>
      </c>
      <c r="V178" s="444">
        <f t="shared" si="70"/>
        <v>0.83392862690596203</v>
      </c>
      <c r="W178" s="444">
        <f t="shared" si="70"/>
        <v>0.85498847386637089</v>
      </c>
      <c r="X178" s="444">
        <f t="shared" si="70"/>
        <v>0.87495041411320396</v>
      </c>
      <c r="Y178" s="444">
        <f t="shared" si="70"/>
        <v>0.89387168448934906</v>
      </c>
      <c r="Z178" s="444">
        <f t="shared" si="70"/>
        <v>0.91180653792645339</v>
      </c>
      <c r="AA178" s="444">
        <f t="shared" si="70"/>
        <v>0.92880639900427742</v>
      </c>
      <c r="AB178" s="444">
        <f t="shared" si="70"/>
        <v>0.94492001140031912</v>
      </c>
      <c r="AC178" s="444">
        <f t="shared" si="70"/>
        <v>0.96019357765249136</v>
      </c>
      <c r="AD178" s="444">
        <f t="shared" si="70"/>
        <v>0.97467089163559306</v>
      </c>
      <c r="AE178" s="444">
        <f t="shared" si="70"/>
        <v>0.98839346413142404</v>
      </c>
      <c r="AF178" s="444">
        <f t="shared" si="70"/>
        <v>1.0014006418525909</v>
      </c>
      <c r="AG178" s="444">
        <f t="shared" si="70"/>
        <v>1.0137297202612798</v>
      </c>
      <c r="AH178" s="444">
        <f t="shared" si="70"/>
        <v>1.0254160505064827</v>
      </c>
      <c r="AI178" s="444">
        <f t="shared" si="70"/>
        <v>1.0364931407862956</v>
      </c>
      <c r="AJ178" s="444">
        <f t="shared" si="70"/>
        <v>1.0469927524259288</v>
      </c>
      <c r="AK178" s="444">
        <f t="shared" si="70"/>
        <v>1.0569449909469082</v>
      </c>
      <c r="AL178" s="444">
        <f t="shared" si="70"/>
        <v>1.0663783923885948</v>
      </c>
      <c r="AM178" s="444">
        <f t="shared" si="70"/>
        <v>1.07532000512953</v>
      </c>
      <c r="AN178" s="444">
        <f t="shared" si="70"/>
        <v>1.0837954674432126</v>
      </c>
      <c r="AO178" s="444">
        <f t="shared" si="70"/>
        <v>1.0918290810106843</v>
      </c>
      <c r="AP178" s="444">
        <f t="shared" si="70"/>
        <v>1.099443880600705</v>
      </c>
      <c r="AQ178" s="444">
        <f t="shared" si="70"/>
        <v>1.106661700117312</v>
      </c>
      <c r="AR178" s="444">
        <f t="shared" si="70"/>
        <v>1.1135032352041434</v>
      </c>
      <c r="AS178" s="444">
        <f t="shared" si="70"/>
        <v>1.1199881025850262</v>
      </c>
      <c r="AT178" s="444">
        <f t="shared" si="70"/>
        <v>1.1261348963109816</v>
      </c>
      <c r="AU178" s="444">
        <f t="shared" si="70"/>
        <v>1.1319612410749202</v>
      </c>
      <c r="AV178" s="444">
        <f t="shared" si="70"/>
        <v>1.1374838427469001</v>
      </c>
      <c r="AW178" s="444">
        <f t="shared" si="70"/>
        <v>1.1427185362748431</v>
      </c>
      <c r="AX178" s="444">
        <f t="shared" si="70"/>
        <v>1.1476803310880592</v>
      </c>
      <c r="AY178" s="445">
        <f t="shared" si="70"/>
        <v>1.1523834541337616</v>
      </c>
    </row>
    <row r="179" spans="1:51">
      <c r="A179" s="446" t="s">
        <v>2956</v>
      </c>
      <c r="B179" s="450">
        <f t="shared" si="69"/>
        <v>83.142880157899583</v>
      </c>
      <c r="C179" s="451">
        <f t="shared" si="70"/>
        <v>168.53441057976141</v>
      </c>
      <c r="D179" s="451">
        <f t="shared" si="70"/>
        <v>255.33713327310039</v>
      </c>
      <c r="E179" s="451">
        <f t="shared" si="70"/>
        <v>342.85019038251738</v>
      </c>
      <c r="F179" s="451">
        <f t="shared" si="70"/>
        <v>430.46720059461694</v>
      </c>
      <c r="G179" s="451">
        <f t="shared" si="70"/>
        <v>517.67458334521405</v>
      </c>
      <c r="H179" s="451">
        <f t="shared" si="70"/>
        <v>604.04866016790231</v>
      </c>
      <c r="I179" s="451">
        <f t="shared" si="70"/>
        <v>689.22294077369145</v>
      </c>
      <c r="J179" s="451">
        <f t="shared" si="70"/>
        <v>772.90319960289992</v>
      </c>
      <c r="K179" s="451">
        <f t="shared" si="70"/>
        <v>854.84525147923114</v>
      </c>
      <c r="L179" s="451">
        <f t="shared" si="70"/>
        <v>934.84935653622915</v>
      </c>
      <c r="M179" s="451">
        <f t="shared" si="70"/>
        <v>1012.7609731846534</v>
      </c>
      <c r="N179" s="451">
        <f t="shared" si="70"/>
        <v>1086.6108467850554</v>
      </c>
      <c r="O179" s="451">
        <f t="shared" si="70"/>
        <v>1156.61072697501</v>
      </c>
      <c r="P179" s="451">
        <f t="shared" si="70"/>
        <v>1222.96132431146</v>
      </c>
      <c r="Q179" s="451">
        <f t="shared" si="70"/>
        <v>1285.8528857678107</v>
      </c>
      <c r="R179" s="451">
        <f t="shared" si="70"/>
        <v>1345.4657402288062</v>
      </c>
      <c r="S179" s="451">
        <f t="shared" si="70"/>
        <v>1401.9708155472856</v>
      </c>
      <c r="T179" s="451">
        <f t="shared" si="70"/>
        <v>1455.5301286453703</v>
      </c>
      <c r="U179" s="451">
        <f t="shared" si="70"/>
        <v>1506.2972500653557</v>
      </c>
      <c r="V179" s="451">
        <f t="shared" si="70"/>
        <v>1554.4177443023086</v>
      </c>
      <c r="W179" s="451">
        <f t="shared" si="70"/>
        <v>1600.0295871809371</v>
      </c>
      <c r="X179" s="451">
        <f t="shared" si="70"/>
        <v>1643.2635614734759</v>
      </c>
      <c r="Y179" s="451">
        <f t="shared" si="70"/>
        <v>1684.243631892944</v>
      </c>
      <c r="Z179" s="451">
        <f t="shared" si="70"/>
        <v>1723.0873005369897</v>
      </c>
      <c r="AA179" s="451">
        <f t="shared" si="70"/>
        <v>1759.9059438014879</v>
      </c>
      <c r="AB179" s="451">
        <f t="shared" si="70"/>
        <v>1794.8051317299221</v>
      </c>
      <c r="AC179" s="451">
        <f t="shared" si="70"/>
        <v>1827.88493071422</v>
      </c>
      <c r="AD179" s="451">
        <f t="shared" si="70"/>
        <v>1859.2401904149763</v>
      </c>
      <c r="AE179" s="451">
        <f t="shared" si="70"/>
        <v>1888.9608157237501</v>
      </c>
      <c r="AF179" s="451">
        <f t="shared" si="70"/>
        <v>1917.1320245472323</v>
      </c>
      <c r="AG179" s="451">
        <f t="shared" si="70"/>
        <v>1943.8345921524287</v>
      </c>
      <c r="AH179" s="451">
        <f t="shared" si="70"/>
        <v>1969.1450827734679</v>
      </c>
      <c r="AI179" s="451">
        <f t="shared" si="70"/>
        <v>1993.1360691441214</v>
      </c>
      <c r="AJ179" s="451">
        <f t="shared" si="70"/>
        <v>2015.8763405854991</v>
      </c>
      <c r="AK179" s="451">
        <f t="shared" si="70"/>
        <v>2037.4311002455727</v>
      </c>
      <c r="AL179" s="451">
        <f t="shared" si="70"/>
        <v>2057.8621520560691</v>
      </c>
      <c r="AM179" s="451">
        <f t="shared" si="70"/>
        <v>2077.2280779427956</v>
      </c>
      <c r="AN179" s="451">
        <f t="shared" si="70"/>
        <v>2095.5844057975123</v>
      </c>
      <c r="AO179" s="451">
        <f t="shared" si="70"/>
        <v>2112.9837686929786</v>
      </c>
      <c r="AP179" s="451">
        <f t="shared" si="70"/>
        <v>2129.4760557976861</v>
      </c>
      <c r="AQ179" s="451">
        <f t="shared" si="70"/>
        <v>2145.1085554230012</v>
      </c>
      <c r="AR179" s="451">
        <f t="shared" si="70"/>
        <v>2159.9260906128734</v>
      </c>
      <c r="AS179" s="451">
        <f t="shared" si="70"/>
        <v>2173.9711476648849</v>
      </c>
      <c r="AT179" s="451">
        <f t="shared" si="70"/>
        <v>2187.2839979511518</v>
      </c>
      <c r="AU179" s="451">
        <f t="shared" si="70"/>
        <v>2199.9028133883717</v>
      </c>
      <c r="AV179" s="451">
        <f t="shared" si="70"/>
        <v>2211.8637758881059</v>
      </c>
      <c r="AW179" s="451">
        <f t="shared" si="70"/>
        <v>2223.2011811011243</v>
      </c>
      <c r="AX179" s="451">
        <f t="shared" si="70"/>
        <v>2233.9475367532746</v>
      </c>
      <c r="AY179" s="452">
        <f t="shared" si="70"/>
        <v>2244.1336558548387</v>
      </c>
    </row>
    <row r="180" spans="1:51">
      <c r="A180" s="446" t="s">
        <v>2957</v>
      </c>
      <c r="B180" s="450">
        <f t="shared" si="69"/>
        <v>13.279696222186503</v>
      </c>
      <c r="C180" s="451">
        <f t="shared" si="70"/>
        <v>25.654835298747013</v>
      </c>
      <c r="D180" s="451">
        <f t="shared" si="70"/>
        <v>37.192386635892532</v>
      </c>
      <c r="E180" s="451">
        <f t="shared" si="70"/>
        <v>48.128454254039944</v>
      </c>
      <c r="F180" s="451">
        <f t="shared" si="70"/>
        <v>58.494395124321855</v>
      </c>
      <c r="G180" s="451">
        <f t="shared" si="70"/>
        <v>68.319931494257318</v>
      </c>
      <c r="H180" s="451">
        <f t="shared" si="70"/>
        <v>77.689723173940223</v>
      </c>
      <c r="I180" s="451">
        <f t="shared" si="70"/>
        <v>86.617891761958674</v>
      </c>
      <c r="J180" s="451">
        <f t="shared" si="70"/>
        <v>95.131361741509721</v>
      </c>
      <c r="K180" s="451">
        <f t="shared" si="70"/>
        <v>103.20100153255336</v>
      </c>
      <c r="L180" s="451">
        <f t="shared" si="70"/>
        <v>110.84994920178904</v>
      </c>
      <c r="M180" s="451">
        <f t="shared" si="70"/>
        <v>118.10013656599348</v>
      </c>
      <c r="N180" s="451">
        <f t="shared" si="70"/>
        <v>124.97235207708773</v>
      </c>
      <c r="O180" s="451">
        <f t="shared" si="70"/>
        <v>131.48630042883585</v>
      </c>
      <c r="P180" s="451">
        <f t="shared" si="70"/>
        <v>137.66065905608525</v>
      </c>
      <c r="Q180" s="451">
        <f t="shared" si="70"/>
        <v>143.51313168854912</v>
      </c>
      <c r="R180" s="451">
        <f t="shared" si="70"/>
        <v>149.06049911268551</v>
      </c>
      <c r="S180" s="451">
        <f t="shared" si="70"/>
        <v>154.31866728722235</v>
      </c>
      <c r="T180" s="451">
        <f t="shared" si="70"/>
        <v>159.30271295029047</v>
      </c>
      <c r="U180" s="451">
        <f t="shared" si="70"/>
        <v>164.02692684893321</v>
      </c>
      <c r="V180" s="451">
        <f t="shared" si="70"/>
        <v>168.50485471494531</v>
      </c>
      <c r="W180" s="451">
        <f t="shared" si="70"/>
        <v>172.74933610453024</v>
      </c>
      <c r="X180" s="451">
        <f t="shared" si="70"/>
        <v>176.77254121314155</v>
      </c>
      <c r="Y180" s="451">
        <f t="shared" si="70"/>
        <v>180.58600577106697</v>
      </c>
      <c r="Z180" s="451">
        <f t="shared" si="70"/>
        <v>184.20066411981142</v>
      </c>
      <c r="AA180" s="451">
        <f t="shared" si="70"/>
        <v>187.62688056411898</v>
      </c>
      <c r="AB180" s="451">
        <f t="shared" si="70"/>
        <v>190.87447908952896</v>
      </c>
      <c r="AC180" s="451">
        <f t="shared" si="70"/>
        <v>193.95277153067588</v>
      </c>
      <c r="AD180" s="451">
        <f t="shared" si="70"/>
        <v>196.87058427109949</v>
      </c>
      <c r="AE180" s="451">
        <f t="shared" si="70"/>
        <v>199.63628355112186</v>
      </c>
      <c r="AF180" s="451">
        <f t="shared" si="70"/>
        <v>202.25779945635634</v>
      </c>
      <c r="AG180" s="451">
        <f t="shared" si="70"/>
        <v>204.74264865563075</v>
      </c>
      <c r="AH180" s="451">
        <f t="shared" si="70"/>
        <v>207.09795595352116</v>
      </c>
      <c r="AI180" s="451">
        <f t="shared" si="70"/>
        <v>209.33047471929407</v>
      </c>
      <c r="AJ180" s="451">
        <f t="shared" si="70"/>
        <v>211.44660625083239</v>
      </c>
      <c r="AK180" s="451">
        <f t="shared" si="70"/>
        <v>213.45241812906775</v>
      </c>
      <c r="AL180" s="451">
        <f t="shared" si="70"/>
        <v>215.35366161554677</v>
      </c>
      <c r="AM180" s="451">
        <f t="shared" si="70"/>
        <v>217.15578814301503</v>
      </c>
      <c r="AN180" s="451">
        <f t="shared" si="70"/>
        <v>218.86396494630247</v>
      </c>
      <c r="AO180" s="451">
        <f t="shared" si="70"/>
        <v>220.48308987832849</v>
      </c>
      <c r="AP180" s="451">
        <f t="shared" si="70"/>
        <v>222.0178054537086</v>
      </c>
      <c r="AQ180" s="451">
        <f t="shared" si="70"/>
        <v>223.47251216023005</v>
      </c>
      <c r="AR180" s="451">
        <f t="shared" si="70"/>
        <v>224.85138107636411</v>
      </c>
      <c r="AS180" s="451">
        <f t="shared" si="70"/>
        <v>226.15836583099355</v>
      </c>
      <c r="AT180" s="451">
        <f t="shared" si="70"/>
        <v>227.39721393964706</v>
      </c>
      <c r="AU180" s="451">
        <f t="shared" si="70"/>
        <v>228.57147754974517</v>
      </c>
      <c r="AV180" s="451">
        <f t="shared" si="70"/>
        <v>229.68452362566754</v>
      </c>
      <c r="AW180" s="451">
        <f t="shared" si="70"/>
        <v>230.73954360284515</v>
      </c>
      <c r="AX180" s="451">
        <f t="shared" si="70"/>
        <v>231.73956253855852</v>
      </c>
      <c r="AY180" s="452">
        <f t="shared" si="70"/>
        <v>232.68744778568021</v>
      </c>
    </row>
    <row r="181" spans="1:51">
      <c r="A181" s="446" t="s">
        <v>2958</v>
      </c>
      <c r="B181" s="450">
        <f t="shared" si="69"/>
        <v>11.695187013857431</v>
      </c>
      <c r="C181" s="451">
        <f t="shared" si="70"/>
        <v>22.579187967782417</v>
      </c>
      <c r="D181" s="451">
        <f t="shared" si="70"/>
        <v>32.713543302653164</v>
      </c>
      <c r="E181" s="451">
        <f t="shared" si="70"/>
        <v>42.31956731674866</v>
      </c>
      <c r="F181" s="451">
        <f t="shared" si="70"/>
        <v>51.424803349066664</v>
      </c>
      <c r="G181" s="451">
        <f t="shared" si="70"/>
        <v>60.055358829936814</v>
      </c>
      <c r="H181" s="451">
        <f t="shared" si="70"/>
        <v>68.288348354059096</v>
      </c>
      <c r="I181" s="451">
        <f t="shared" si="70"/>
        <v>76.138979353868422</v>
      </c>
      <c r="J181" s="451">
        <f t="shared" si="70"/>
        <v>83.627386101281516</v>
      </c>
      <c r="K181" s="451">
        <f t="shared" si="70"/>
        <v>90.725401975606729</v>
      </c>
      <c r="L181" s="451">
        <f t="shared" si="70"/>
        <v>97.453379107668539</v>
      </c>
      <c r="M181" s="451">
        <f t="shared" si="70"/>
        <v>103.83060861673187</v>
      </c>
      <c r="N181" s="451">
        <f t="shared" si="70"/>
        <v>109.8753759239009</v>
      </c>
      <c r="O181" s="451">
        <f t="shared" si="70"/>
        <v>115.60501318188103</v>
      </c>
      <c r="P181" s="451">
        <f t="shared" si="70"/>
        <v>121.03594897143566</v>
      </c>
      <c r="Q181" s="451">
        <f t="shared" si="70"/>
        <v>126.18375540703246</v>
      </c>
      <c r="R181" s="451">
        <f t="shared" si="70"/>
        <v>131.06319278674508</v>
      </c>
      <c r="S181" s="451">
        <f t="shared" si="70"/>
        <v>135.68825191443474</v>
      </c>
      <c r="T181" s="451">
        <f t="shared" si="70"/>
        <v>140.0721942155624</v>
      </c>
      <c r="U181" s="451">
        <f t="shared" si="70"/>
        <v>144.22758976165497</v>
      </c>
      <c r="V181" s="451">
        <f t="shared" si="70"/>
        <v>148.16635331245359</v>
      </c>
      <c r="W181" s="451">
        <f t="shared" si="70"/>
        <v>151.89977847908739</v>
      </c>
      <c r="X181" s="451">
        <f t="shared" si="70"/>
        <v>155.43857010622841</v>
      </c>
      <c r="Y181" s="451">
        <f t="shared" si="70"/>
        <v>158.79287496607773</v>
      </c>
      <c r="Z181" s="451">
        <f t="shared" si="70"/>
        <v>161.97231085219082</v>
      </c>
      <c r="AA181" s="451">
        <f t="shared" si="70"/>
        <v>164.98599415656341</v>
      </c>
      <c r="AB181" s="451">
        <f t="shared" si="70"/>
        <v>167.84256600904928</v>
      </c>
      <c r="AC181" s="451">
        <f t="shared" si="70"/>
        <v>170.5502170540596</v>
      </c>
      <c r="AD181" s="451">
        <f t="shared" si="70"/>
        <v>173.11671093558596</v>
      </c>
      <c r="AE181" s="451">
        <f t="shared" si="70"/>
        <v>175.54940655788582</v>
      </c>
      <c r="AF181" s="451">
        <f t="shared" si="70"/>
        <v>177.85527918565819</v>
      </c>
      <c r="AG181" s="451">
        <f t="shared" si="70"/>
        <v>180.04094044421021</v>
      </c>
      <c r="AH181" s="451">
        <f t="shared" si="70"/>
        <v>182.11265727696093</v>
      </c>
      <c r="AI181" s="451">
        <f t="shared" si="70"/>
        <v>184.07636991463934</v>
      </c>
      <c r="AJ181" s="451">
        <f t="shared" si="70"/>
        <v>185.93770890769946</v>
      </c>
      <c r="AK181" s="451">
        <f t="shared" si="70"/>
        <v>187.70201127078963</v>
      </c>
      <c r="AL181" s="451">
        <f t="shared" si="70"/>
        <v>189.37433578556704</v>
      </c>
      <c r="AM181" s="451">
        <f t="shared" si="70"/>
        <v>190.95947750573518</v>
      </c>
      <c r="AN181" s="451">
        <f t="shared" si="70"/>
        <v>192.46198150589456</v>
      </c>
      <c r="AO181" s="451">
        <f t="shared" si="70"/>
        <v>193.88615591362858</v>
      </c>
      <c r="AP181" s="451">
        <f t="shared" si="70"/>
        <v>195.23608426219164</v>
      </c>
      <c r="AQ181" s="451">
        <f t="shared" si="70"/>
        <v>196.51563719921822</v>
      </c>
      <c r="AR181" s="451">
        <f t="shared" si="70"/>
        <v>197.7284835850254</v>
      </c>
      <c r="AS181" s="451">
        <f t="shared" si="70"/>
        <v>198.8781010123308</v>
      </c>
      <c r="AT181" s="451">
        <f t="shared" si="70"/>
        <v>199.96778577754918</v>
      </c>
      <c r="AU181" s="451">
        <f t="shared" si="70"/>
        <v>201.00066233225854</v>
      </c>
      <c r="AV181" s="451">
        <f t="shared" si="70"/>
        <v>201.97969224193568</v>
      </c>
      <c r="AW181" s="451">
        <f t="shared" si="70"/>
        <v>202.90768267764861</v>
      </c>
      <c r="AX181" s="451">
        <f t="shared" si="70"/>
        <v>203.78729446505423</v>
      </c>
      <c r="AY181" s="452">
        <f t="shared" si="70"/>
        <v>204.62104971377994</v>
      </c>
    </row>
    <row r="182" spans="1:51">
      <c r="A182" s="446" t="s">
        <v>2959</v>
      </c>
      <c r="B182" s="450">
        <f t="shared" si="69"/>
        <v>7.0689328859713552</v>
      </c>
      <c r="C182" s="451">
        <f t="shared" si="70"/>
        <v>14.369698136716529</v>
      </c>
      <c r="D182" s="451">
        <f t="shared" si="70"/>
        <v>21.541967331637562</v>
      </c>
      <c r="E182" s="451">
        <f t="shared" si="70"/>
        <v>28.51267627318699</v>
      </c>
      <c r="F182" s="451">
        <f t="shared" si="70"/>
        <v>35.250642077004798</v>
      </c>
      <c r="G182" s="451">
        <f t="shared" si="70"/>
        <v>41.746987388541662</v>
      </c>
      <c r="H182" s="451">
        <f t="shared" si="70"/>
        <v>47.980700711127561</v>
      </c>
      <c r="I182" s="451">
        <f t="shared" si="70"/>
        <v>53.925864208141782</v>
      </c>
      <c r="J182" s="451">
        <f t="shared" si="70"/>
        <v>59.641723748881354</v>
      </c>
      <c r="K182" s="451">
        <f t="shared" si="70"/>
        <v>65.083644011797688</v>
      </c>
      <c r="L182" s="451">
        <f t="shared" si="70"/>
        <v>70.302178243051259</v>
      </c>
      <c r="M182" s="451">
        <f t="shared" si="70"/>
        <v>75.296787022973902</v>
      </c>
      <c r="N182" s="451">
        <f t="shared" si="70"/>
        <v>80.02975889547298</v>
      </c>
      <c r="O182" s="451">
        <f t="shared" si="70"/>
        <v>84.55046652586843</v>
      </c>
      <c r="P182" s="451">
        <f t="shared" si="70"/>
        <v>88.867652559080511</v>
      </c>
      <c r="Q182" s="451">
        <f t="shared" si="70"/>
        <v>92.986957075656932</v>
      </c>
      <c r="R182" s="451">
        <f t="shared" si="70"/>
        <v>96.884761614834133</v>
      </c>
      <c r="S182" s="451">
        <f t="shared" si="70"/>
        <v>100.57041386849632</v>
      </c>
      <c r="T182" s="451">
        <f t="shared" si="70"/>
        <v>104.05103570691571</v>
      </c>
      <c r="U182" s="451">
        <f t="shared" si="70"/>
        <v>107.35020332627059</v>
      </c>
      <c r="V182" s="451">
        <f t="shared" si="70"/>
        <v>110.47737642518516</v>
      </c>
      <c r="W182" s="451">
        <f t="shared" si="70"/>
        <v>113.44152154263973</v>
      </c>
      <c r="X182" s="451">
        <f t="shared" si="70"/>
        <v>116.25113776771516</v>
      </c>
      <c r="Y182" s="451">
        <f t="shared" si="70"/>
        <v>118.91428110901889</v>
      </c>
      <c r="Z182" s="451">
        <f t="shared" si="70"/>
        <v>121.43858759366697</v>
      </c>
      <c r="AA182" s="451">
        <f t="shared" si="70"/>
        <v>123.83129516205376</v>
      </c>
      <c r="AB182" s="451">
        <f t="shared" si="70"/>
        <v>126.09926442118817</v>
      </c>
      <c r="AC182" s="451">
        <f t="shared" si="70"/>
        <v>128.2489983161023</v>
      </c>
      <c r="AD182" s="451">
        <f t="shared" si="70"/>
        <v>130.28666077573655</v>
      </c>
      <c r="AE182" s="451">
        <f t="shared" si="70"/>
        <v>132.21809438676428</v>
      </c>
      <c r="AF182" s="451">
        <f t="shared" si="70"/>
        <v>134.04883714603227</v>
      </c>
      <c r="AG182" s="451">
        <f t="shared" si="70"/>
        <v>135.78413833965121</v>
      </c>
      <c r="AH182" s="451">
        <f t="shared" si="70"/>
        <v>137.42897359426632</v>
      </c>
      <c r="AI182" s="451">
        <f t="shared" si="70"/>
        <v>138.98805914366454</v>
      </c>
      <c r="AJ182" s="451">
        <f t="shared" si="70"/>
        <v>140.46586535162493</v>
      </c>
      <c r="AK182" s="451">
        <f t="shared" si="70"/>
        <v>141.86662952978642</v>
      </c>
      <c r="AL182" s="451">
        <f t="shared" si="70"/>
        <v>143.19436808728548</v>
      </c>
      <c r="AM182" s="451">
        <f t="shared" si="70"/>
        <v>144.45288804700024</v>
      </c>
      <c r="AN182" s="451">
        <f t="shared" si="70"/>
        <v>145.64579796142181</v>
      </c>
      <c r="AO182" s="451">
        <f t="shared" si="70"/>
        <v>146.77651825945173</v>
      </c>
      <c r="AP182" s="451">
        <f t="shared" si="70"/>
        <v>147.84829105379288</v>
      </c>
      <c r="AQ182" s="451">
        <f t="shared" si="70"/>
        <v>148.86418943705462</v>
      </c>
      <c r="AR182" s="451">
        <f t="shared" si="70"/>
        <v>149.82712629322691</v>
      </c>
      <c r="AS182" s="451">
        <f t="shared" si="70"/>
        <v>150.73986264978831</v>
      </c>
      <c r="AT182" s="451">
        <f t="shared" si="70"/>
        <v>151.60501559439626</v>
      </c>
      <c r="AU182" s="451">
        <f t="shared" si="70"/>
        <v>152.42506577885879</v>
      </c>
      <c r="AV182" s="451">
        <f t="shared" si="70"/>
        <v>153.20236453190384</v>
      </c>
      <c r="AW182" s="451">
        <f t="shared" si="70"/>
        <v>153.93914060114085</v>
      </c>
      <c r="AX182" s="451">
        <f t="shared" si="70"/>
        <v>154.63750654354561</v>
      </c>
      <c r="AY182" s="452">
        <f t="shared" si="70"/>
        <v>155.29946478279183</v>
      </c>
    </row>
    <row r="183" spans="1:51">
      <c r="A183" s="446" t="s">
        <v>2938</v>
      </c>
      <c r="B183" s="447">
        <f t="shared" si="69"/>
        <v>6.1141123369011178E-3</v>
      </c>
      <c r="C183" s="448">
        <f t="shared" si="70"/>
        <v>1.1835653147838862E-2</v>
      </c>
      <c r="D183" s="448">
        <f t="shared" si="70"/>
        <v>1.718893701314065E-2</v>
      </c>
      <c r="E183" s="448">
        <f t="shared" si="70"/>
        <v>2.2163645558166009E-2</v>
      </c>
      <c r="F183" s="448">
        <f t="shared" si="70"/>
        <v>2.6784701836957338E-2</v>
      </c>
      <c r="G183" s="448">
        <f t="shared" si="70"/>
        <v>3.1082908421834338E-2</v>
      </c>
      <c r="H183" s="448">
        <f t="shared" si="70"/>
        <v>3.5157037886172721E-2</v>
      </c>
      <c r="I183" s="448">
        <f t="shared" si="70"/>
        <v>3.9012079195542004E-2</v>
      </c>
      <c r="J183" s="448">
        <f t="shared" si="70"/>
        <v>4.2666146787361234E-2</v>
      </c>
      <c r="K183" s="448">
        <f t="shared" si="70"/>
        <v>4.6123704820036415E-2</v>
      </c>
      <c r="L183" s="448">
        <f t="shared" si="70"/>
        <v>4.9401011012145592E-2</v>
      </c>
      <c r="M183" s="448">
        <f t="shared" ref="M183:AY185" si="71">(M172/(1+$C$3)^(M$16-0.5)+L183)</f>
        <v>5.2507462379073722E-2</v>
      </c>
      <c r="N183" s="448">
        <f t="shared" si="71"/>
        <v>5.5446845168468734E-2</v>
      </c>
      <c r="O183" s="448">
        <f t="shared" si="71"/>
        <v>5.8232989992539834E-2</v>
      </c>
      <c r="P183" s="448">
        <f t="shared" si="71"/>
        <v>6.0869284697021131E-2</v>
      </c>
      <c r="Q183" s="448">
        <f t="shared" si="71"/>
        <v>6.3368142236813835E-2</v>
      </c>
      <c r="R183" s="448">
        <f t="shared" si="71"/>
        <v>6.5736727582588902E-2</v>
      </c>
      <c r="S183" s="448">
        <f t="shared" si="71"/>
        <v>6.7981832175740636E-2</v>
      </c>
      <c r="T183" s="448">
        <f t="shared" si="71"/>
        <v>7.0109893401476872E-2</v>
      </c>
      <c r="U183" s="448">
        <f t="shared" si="71"/>
        <v>7.2127013046724489E-2</v>
      </c>
      <c r="V183" s="448">
        <f t="shared" si="71"/>
        <v>7.4038974795774357E-2</v>
      </c>
      <c r="W183" s="448">
        <f t="shared" si="71"/>
        <v>7.5851260813831103E-2</v>
      </c>
      <c r="X183" s="448">
        <f t="shared" si="71"/>
        <v>7.7569067466017591E-2</v>
      </c>
      <c r="Y183" s="448">
        <f t="shared" si="71"/>
        <v>7.9197320216905259E-2</v>
      </c>
      <c r="Z183" s="448">
        <f t="shared" si="71"/>
        <v>8.0740687753291684E-2</v>
      </c>
      <c r="AA183" s="448">
        <f t="shared" si="71"/>
        <v>8.220359537071957E-2</v>
      </c>
      <c r="AB183" s="448">
        <f t="shared" si="71"/>
        <v>8.3590237662120412E-2</v>
      </c>
      <c r="AC183" s="448">
        <f t="shared" si="71"/>
        <v>8.4904590544964811E-2</v>
      </c>
      <c r="AD183" s="448">
        <f t="shared" si="71"/>
        <v>8.6150422661405004E-2</v>
      </c>
      <c r="AE183" s="448">
        <f t="shared" si="71"/>
        <v>8.7331306184097124E-2</v>
      </c>
      <c r="AF183" s="448">
        <f t="shared" si="71"/>
        <v>8.8450627058686809E-2</v>
      </c>
      <c r="AG183" s="448">
        <f t="shared" si="71"/>
        <v>8.9511594712326323E-2</v>
      </c>
      <c r="AH183" s="448">
        <f t="shared" si="71"/>
        <v>9.0517251256060458E-2</v>
      </c>
      <c r="AI183" s="448">
        <f t="shared" si="71"/>
        <v>9.1470480207467217E-2</v>
      </c>
      <c r="AJ183" s="448">
        <f t="shared" si="71"/>
        <v>9.2374014758563674E-2</v>
      </c>
      <c r="AK183" s="448">
        <f t="shared" si="71"/>
        <v>9.3230445612683538E-2</v>
      </c>
      <c r="AL183" s="448">
        <f t="shared" si="71"/>
        <v>9.4042228412797163E-2</v>
      </c>
      <c r="AM183" s="448">
        <f t="shared" si="71"/>
        <v>9.4811690782573108E-2</v>
      </c>
      <c r="AN183" s="448">
        <f t="shared" si="71"/>
        <v>9.5541039000370212E-2</v>
      </c>
      <c r="AO183" s="448">
        <f t="shared" si="71"/>
        <v>9.6232364325296374E-2</v>
      </c>
      <c r="AP183" s="448">
        <f t="shared" si="71"/>
        <v>9.6887648993472825E-2</v>
      </c>
      <c r="AQ183" s="448">
        <f t="shared" si="71"/>
        <v>9.7508771901696961E-2</v>
      </c>
      <c r="AR183" s="448">
        <f t="shared" si="71"/>
        <v>9.8097513994800406E-2</v>
      </c>
      <c r="AS183" s="448">
        <f t="shared" si="71"/>
        <v>9.8655563372149632E-2</v>
      </c>
      <c r="AT183" s="448">
        <f t="shared" si="71"/>
        <v>9.91845201279309E-2</v>
      </c>
      <c r="AU183" s="448">
        <f t="shared" si="71"/>
        <v>9.9685900939097974E-2</v>
      </c>
      <c r="AV183" s="448">
        <f t="shared" si="71"/>
        <v>0.10016114341413786</v>
      </c>
      <c r="AW183" s="448">
        <f t="shared" si="71"/>
        <v>0.10061161021512352</v>
      </c>
      <c r="AX183" s="448">
        <f t="shared" si="71"/>
        <v>0.10103859296487297</v>
      </c>
      <c r="AY183" s="449">
        <f t="shared" si="71"/>
        <v>0.10144331595041747</v>
      </c>
    </row>
    <row r="184" spans="1:51">
      <c r="A184" s="446" t="s">
        <v>2939</v>
      </c>
      <c r="B184" s="450">
        <f t="shared" si="69"/>
        <v>0.85432063306221828</v>
      </c>
      <c r="C184" s="451">
        <f t="shared" ref="C184:L185" si="72">(C173/(1+$C$3)^(C$16-0.5)+B184)</f>
        <v>1.6641032236425202</v>
      </c>
      <c r="D184" s="451">
        <f t="shared" si="72"/>
        <v>2.4316696602115266</v>
      </c>
      <c r="E184" s="451">
        <f t="shared" si="72"/>
        <v>3.1592207849214855</v>
      </c>
      <c r="F184" s="451">
        <f t="shared" si="72"/>
        <v>3.8488427040778443</v>
      </c>
      <c r="G184" s="451">
        <f t="shared" si="72"/>
        <v>4.502512769628896</v>
      </c>
      <c r="H184" s="451">
        <f t="shared" si="72"/>
        <v>5.1221052488242051</v>
      </c>
      <c r="I184" s="451">
        <f t="shared" si="72"/>
        <v>5.7093966982984323</v>
      </c>
      <c r="J184" s="451">
        <f t="shared" si="72"/>
        <v>6.2660710579896426</v>
      </c>
      <c r="K184" s="451">
        <f t="shared" si="72"/>
        <v>6.7937244794978984</v>
      </c>
      <c r="L184" s="451">
        <f t="shared" si="72"/>
        <v>7.2938699027284732</v>
      </c>
      <c r="M184" s="451">
        <f t="shared" si="71"/>
        <v>7.7679413939422881</v>
      </c>
      <c r="N184" s="451">
        <f t="shared" si="71"/>
        <v>8.2172982576520646</v>
      </c>
      <c r="O184" s="451">
        <f t="shared" si="71"/>
        <v>8.643228934154223</v>
      </c>
      <c r="P184" s="451">
        <f t="shared" si="71"/>
        <v>9.0469546938719088</v>
      </c>
      <c r="Q184" s="451">
        <f t="shared" si="71"/>
        <v>9.4296331391019432</v>
      </c>
      <c r="R184" s="451">
        <f t="shared" si="71"/>
        <v>9.7923615232062406</v>
      </c>
      <c r="S184" s="451">
        <f t="shared" si="71"/>
        <v>10.136179896764817</v>
      </c>
      <c r="T184" s="451">
        <f t="shared" si="71"/>
        <v>10.462074089711335</v>
      </c>
      <c r="U184" s="451">
        <f t="shared" si="71"/>
        <v>10.770978538001872</v>
      </c>
      <c r="V184" s="451">
        <f t="shared" si="71"/>
        <v>11.063778962921813</v>
      </c>
      <c r="W184" s="451">
        <f t="shared" si="71"/>
        <v>11.341314910713226</v>
      </c>
      <c r="X184" s="451">
        <f t="shared" si="71"/>
        <v>11.604382159804613</v>
      </c>
      <c r="Y184" s="451">
        <f t="shared" si="71"/>
        <v>11.853735002545264</v>
      </c>
      <c r="Z184" s="451">
        <f t="shared" si="71"/>
        <v>12.09008840798664</v>
      </c>
      <c r="AA184" s="451">
        <f t="shared" si="71"/>
        <v>12.314120071912114</v>
      </c>
      <c r="AB184" s="451">
        <f t="shared" si="71"/>
        <v>12.526472359993132</v>
      </c>
      <c r="AC184" s="451">
        <f t="shared" si="71"/>
        <v>12.727754149643387</v>
      </c>
      <c r="AD184" s="451">
        <f t="shared" si="71"/>
        <v>12.918542575852159</v>
      </c>
      <c r="AE184" s="451">
        <f t="shared" si="71"/>
        <v>13.099384686002654</v>
      </c>
      <c r="AF184" s="451">
        <f t="shared" si="71"/>
        <v>13.270799008420186</v>
      </c>
      <c r="AG184" s="451">
        <f t="shared" si="71"/>
        <v>13.433277039147702</v>
      </c>
      <c r="AH184" s="451">
        <f t="shared" si="71"/>
        <v>13.5872846512117</v>
      </c>
      <c r="AI184" s="451">
        <f t="shared" si="71"/>
        <v>13.73326343041928</v>
      </c>
      <c r="AJ184" s="451">
        <f t="shared" si="71"/>
        <v>13.871631941516512</v>
      </c>
      <c r="AK184" s="451">
        <f t="shared" si="71"/>
        <v>14.002786928338534</v>
      </c>
      <c r="AL184" s="451">
        <f t="shared" si="71"/>
        <v>14.127104451392583</v>
      </c>
      <c r="AM184" s="451">
        <f t="shared" si="71"/>
        <v>14.244940966135758</v>
      </c>
      <c r="AN184" s="451">
        <f t="shared" si="71"/>
        <v>14.356634345039241</v>
      </c>
      <c r="AO184" s="451">
        <f t="shared" si="71"/>
        <v>14.462504846369557</v>
      </c>
      <c r="AP184" s="451">
        <f t="shared" si="71"/>
        <v>14.562856032464643</v>
      </c>
      <c r="AQ184" s="451">
        <f t="shared" si="71"/>
        <v>14.65797564013771</v>
      </c>
      <c r="AR184" s="451">
        <f t="shared" si="71"/>
        <v>14.748136405704599</v>
      </c>
      <c r="AS184" s="451">
        <f t="shared" si="71"/>
        <v>14.833596847000228</v>
      </c>
      <c r="AT184" s="451">
        <f t="shared" si="71"/>
        <v>14.914602004626417</v>
      </c>
      <c r="AU184" s="451">
        <f t="shared" si="71"/>
        <v>14.991384144556454</v>
      </c>
      <c r="AV184" s="451">
        <f t="shared" si="71"/>
        <v>15.064163424110991</v>
      </c>
      <c r="AW184" s="451">
        <f t="shared" si="71"/>
        <v>15.133148523214818</v>
      </c>
      <c r="AX184" s="451">
        <f t="shared" si="71"/>
        <v>15.198537242744511</v>
      </c>
      <c r="AY184" s="452">
        <f t="shared" si="71"/>
        <v>15.260517071682608</v>
      </c>
    </row>
    <row r="185" spans="1:51" ht="12.75" thickBot="1">
      <c r="A185" s="453" t="s">
        <v>2940</v>
      </c>
      <c r="B185" s="454">
        <f t="shared" si="69"/>
        <v>0.85432063306221828</v>
      </c>
      <c r="C185" s="455">
        <f t="shared" si="72"/>
        <v>1.6641032236425202</v>
      </c>
      <c r="D185" s="455">
        <f t="shared" si="72"/>
        <v>2.4316696602115266</v>
      </c>
      <c r="E185" s="455">
        <f t="shared" si="72"/>
        <v>3.1592207849214855</v>
      </c>
      <c r="F185" s="455">
        <f t="shared" si="72"/>
        <v>3.8488427040778443</v>
      </c>
      <c r="G185" s="455">
        <f t="shared" si="72"/>
        <v>4.502512769628896</v>
      </c>
      <c r="H185" s="455">
        <f t="shared" si="72"/>
        <v>5.1221052488242051</v>
      </c>
      <c r="I185" s="455">
        <f t="shared" si="72"/>
        <v>5.7093966982984323</v>
      </c>
      <c r="J185" s="455">
        <f t="shared" si="72"/>
        <v>6.2660710579896426</v>
      </c>
      <c r="K185" s="455">
        <f t="shared" si="72"/>
        <v>6.7937244794978984</v>
      </c>
      <c r="L185" s="455">
        <f t="shared" si="72"/>
        <v>7.2938699027284732</v>
      </c>
      <c r="M185" s="455">
        <f t="shared" si="71"/>
        <v>7.7679413939422881</v>
      </c>
      <c r="N185" s="455">
        <f t="shared" si="71"/>
        <v>8.2172982576520646</v>
      </c>
      <c r="O185" s="455">
        <f t="shared" si="71"/>
        <v>8.643228934154223</v>
      </c>
      <c r="P185" s="455">
        <f t="shared" si="71"/>
        <v>9.0469546938719088</v>
      </c>
      <c r="Q185" s="455">
        <f t="shared" si="71"/>
        <v>9.4296331391019432</v>
      </c>
      <c r="R185" s="455">
        <f t="shared" si="71"/>
        <v>9.7923615232062406</v>
      </c>
      <c r="S185" s="455">
        <f t="shared" si="71"/>
        <v>10.136179896764817</v>
      </c>
      <c r="T185" s="455">
        <f t="shared" si="71"/>
        <v>10.462074089711335</v>
      </c>
      <c r="U185" s="455">
        <f t="shared" si="71"/>
        <v>10.770978538001872</v>
      </c>
      <c r="V185" s="455">
        <f t="shared" si="71"/>
        <v>11.063778962921813</v>
      </c>
      <c r="W185" s="455">
        <f t="shared" si="71"/>
        <v>11.341314910713226</v>
      </c>
      <c r="X185" s="455">
        <f t="shared" si="71"/>
        <v>11.604382159804613</v>
      </c>
      <c r="Y185" s="455">
        <f t="shared" si="71"/>
        <v>11.853735002545264</v>
      </c>
      <c r="Z185" s="455">
        <f t="shared" si="71"/>
        <v>12.09008840798664</v>
      </c>
      <c r="AA185" s="455">
        <f t="shared" si="71"/>
        <v>12.314120071912114</v>
      </c>
      <c r="AB185" s="455">
        <f t="shared" si="71"/>
        <v>12.526472359993132</v>
      </c>
      <c r="AC185" s="455">
        <f t="shared" si="71"/>
        <v>12.727754149643387</v>
      </c>
      <c r="AD185" s="455">
        <f t="shared" si="71"/>
        <v>12.918542575852159</v>
      </c>
      <c r="AE185" s="455">
        <f t="shared" si="71"/>
        <v>13.099384686002654</v>
      </c>
      <c r="AF185" s="455">
        <f t="shared" si="71"/>
        <v>13.270799008420186</v>
      </c>
      <c r="AG185" s="455">
        <f t="shared" si="71"/>
        <v>13.433277039147702</v>
      </c>
      <c r="AH185" s="455">
        <f t="shared" si="71"/>
        <v>13.5872846512117</v>
      </c>
      <c r="AI185" s="455">
        <f t="shared" si="71"/>
        <v>13.73326343041928</v>
      </c>
      <c r="AJ185" s="455">
        <f t="shared" si="71"/>
        <v>13.871631941516512</v>
      </c>
      <c r="AK185" s="455">
        <f t="shared" si="71"/>
        <v>14.002786928338534</v>
      </c>
      <c r="AL185" s="455">
        <f t="shared" si="71"/>
        <v>14.127104451392583</v>
      </c>
      <c r="AM185" s="455">
        <f t="shared" si="71"/>
        <v>14.244940966135758</v>
      </c>
      <c r="AN185" s="455">
        <f t="shared" si="71"/>
        <v>14.356634345039241</v>
      </c>
      <c r="AO185" s="455">
        <f t="shared" si="71"/>
        <v>14.462504846369557</v>
      </c>
      <c r="AP185" s="455">
        <f t="shared" si="71"/>
        <v>14.562856032464643</v>
      </c>
      <c r="AQ185" s="455">
        <f t="shared" si="71"/>
        <v>14.65797564013771</v>
      </c>
      <c r="AR185" s="455">
        <f t="shared" si="71"/>
        <v>14.748136405704599</v>
      </c>
      <c r="AS185" s="455">
        <f t="shared" si="71"/>
        <v>14.833596847000228</v>
      </c>
      <c r="AT185" s="455">
        <f t="shared" si="71"/>
        <v>14.914602004626417</v>
      </c>
      <c r="AU185" s="455">
        <f t="shared" si="71"/>
        <v>14.991384144556454</v>
      </c>
      <c r="AV185" s="455">
        <f t="shared" si="71"/>
        <v>15.064163424110991</v>
      </c>
      <c r="AW185" s="455">
        <f t="shared" si="71"/>
        <v>15.133148523214818</v>
      </c>
      <c r="AX185" s="455">
        <f t="shared" si="71"/>
        <v>15.198537242744511</v>
      </c>
      <c r="AY185" s="456">
        <f t="shared" si="71"/>
        <v>15.260517071682608</v>
      </c>
    </row>
    <row r="187" spans="1:51" ht="15.75">
      <c r="A187" s="458" t="s">
        <v>4428</v>
      </c>
      <c r="B187" s="457"/>
      <c r="C187" s="457"/>
      <c r="D187" s="457"/>
      <c r="E187" s="457"/>
      <c r="F187" s="457"/>
      <c r="G187" s="457"/>
      <c r="H187" s="457"/>
      <c r="I187" s="457"/>
      <c r="J187" s="457"/>
      <c r="K187" s="457"/>
      <c r="L187" s="457"/>
      <c r="M187" s="457"/>
      <c r="N187" s="457"/>
      <c r="O187" s="457"/>
      <c r="P187" s="457"/>
      <c r="Q187" s="457"/>
      <c r="R187" s="457"/>
      <c r="S187" s="457"/>
      <c r="T187" s="457"/>
      <c r="U187" s="457"/>
      <c r="V187" s="457"/>
      <c r="W187" s="457"/>
      <c r="X187" s="457"/>
      <c r="Y187" s="457"/>
      <c r="Z187" s="457"/>
      <c r="AA187" s="457"/>
      <c r="AB187" s="457"/>
      <c r="AC187" s="457"/>
      <c r="AD187" s="457"/>
      <c r="AE187" s="457"/>
      <c r="AF187" s="457"/>
      <c r="AG187" s="457"/>
      <c r="AH187" s="457"/>
      <c r="AI187" s="457"/>
      <c r="AJ187" s="457"/>
      <c r="AK187" s="457"/>
      <c r="AL187" s="457"/>
      <c r="AM187" s="457"/>
      <c r="AN187" s="457"/>
      <c r="AO187" s="457"/>
      <c r="AP187" s="457"/>
      <c r="AQ187" s="457"/>
      <c r="AR187" s="457"/>
      <c r="AS187" s="457"/>
      <c r="AT187" s="457"/>
      <c r="AU187" s="457"/>
      <c r="AV187" s="457"/>
      <c r="AW187" s="457"/>
      <c r="AX187" s="457"/>
      <c r="AY187" s="457"/>
    </row>
    <row r="188" spans="1:51" ht="15.75" thickBot="1">
      <c r="A188" s="437" t="s">
        <v>2931</v>
      </c>
    </row>
    <row r="189" spans="1:51" ht="12.75" thickBot="1">
      <c r="A189" s="438" t="s">
        <v>2932</v>
      </c>
      <c r="B189" s="439">
        <v>2010</v>
      </c>
      <c r="C189" s="440">
        <v>2011</v>
      </c>
      <c r="D189" s="440">
        <v>2012</v>
      </c>
      <c r="E189" s="440">
        <v>2013</v>
      </c>
      <c r="F189" s="440">
        <v>2014</v>
      </c>
      <c r="G189" s="440">
        <v>2015</v>
      </c>
      <c r="H189" s="440">
        <v>2016</v>
      </c>
      <c r="I189" s="440">
        <v>2017</v>
      </c>
      <c r="J189" s="440">
        <v>2018</v>
      </c>
      <c r="K189" s="440">
        <v>2019</v>
      </c>
      <c r="L189" s="440">
        <v>2020</v>
      </c>
      <c r="M189" s="440">
        <v>2021</v>
      </c>
      <c r="N189" s="440">
        <v>2022</v>
      </c>
      <c r="O189" s="440">
        <v>2023</v>
      </c>
      <c r="P189" s="440">
        <v>2024</v>
      </c>
      <c r="Q189" s="440">
        <v>2025</v>
      </c>
      <c r="R189" s="440">
        <v>2026</v>
      </c>
      <c r="S189" s="440">
        <v>2027</v>
      </c>
      <c r="T189" s="440">
        <v>2028</v>
      </c>
      <c r="U189" s="440">
        <v>2029</v>
      </c>
      <c r="V189" s="440">
        <v>2030</v>
      </c>
      <c r="W189" s="440">
        <v>2031</v>
      </c>
      <c r="X189" s="440">
        <v>2032</v>
      </c>
      <c r="Y189" s="440">
        <v>2033</v>
      </c>
      <c r="Z189" s="440">
        <v>2034</v>
      </c>
      <c r="AA189" s="440">
        <v>2035</v>
      </c>
      <c r="AB189" s="440">
        <v>2036</v>
      </c>
      <c r="AC189" s="440">
        <v>2037</v>
      </c>
      <c r="AD189" s="440">
        <v>2038</v>
      </c>
      <c r="AE189" s="440">
        <v>2039</v>
      </c>
      <c r="AF189" s="440">
        <v>2040</v>
      </c>
      <c r="AG189" s="440">
        <v>2041</v>
      </c>
      <c r="AH189" s="440">
        <v>2042</v>
      </c>
      <c r="AI189" s="440">
        <v>2043</v>
      </c>
      <c r="AJ189" s="440">
        <v>2044</v>
      </c>
      <c r="AK189" s="440">
        <v>2045</v>
      </c>
      <c r="AL189" s="440">
        <v>2046</v>
      </c>
      <c r="AM189" s="440">
        <v>2047</v>
      </c>
      <c r="AN189" s="440">
        <v>2048</v>
      </c>
      <c r="AO189" s="440">
        <v>2049</v>
      </c>
      <c r="AP189" s="440">
        <v>2050</v>
      </c>
      <c r="AQ189" s="440">
        <v>2051</v>
      </c>
      <c r="AR189" s="440">
        <v>2052</v>
      </c>
      <c r="AS189" s="440">
        <v>2053</v>
      </c>
      <c r="AT189" s="440">
        <v>2054</v>
      </c>
      <c r="AU189" s="440">
        <v>2055</v>
      </c>
      <c r="AV189" s="440">
        <v>2056</v>
      </c>
      <c r="AW189" s="440">
        <v>2057</v>
      </c>
      <c r="AX189" s="440">
        <v>2058</v>
      </c>
      <c r="AY189" s="441">
        <v>2059</v>
      </c>
    </row>
    <row r="190" spans="1:51">
      <c r="A190" s="442" t="s">
        <v>2943</v>
      </c>
      <c r="B190" s="1757">
        <v>8.7859999999999994E-2</v>
      </c>
      <c r="C190" s="1758">
        <v>8.6239999999999997E-2</v>
      </c>
      <c r="D190" s="1758">
        <v>8.4650000000000003E-2</v>
      </c>
      <c r="E190" s="1758">
        <v>8.4339999999999998E-2</v>
      </c>
      <c r="F190" s="1758">
        <v>8.4019999999999997E-2</v>
      </c>
      <c r="G190" s="1758">
        <v>8.3710000000000007E-2</v>
      </c>
      <c r="H190" s="1758">
        <v>8.3919999999999995E-2</v>
      </c>
      <c r="I190" s="1758">
        <v>8.412E-2</v>
      </c>
      <c r="J190" s="1758">
        <v>8.4330000000000002E-2</v>
      </c>
      <c r="K190" s="1758">
        <v>8.4529999999999994E-2</v>
      </c>
      <c r="L190" s="1758">
        <v>8.4739999999999996E-2</v>
      </c>
      <c r="M190" s="1758">
        <v>8.4949999999999998E-2</v>
      </c>
      <c r="N190" s="1758">
        <v>8.516E-2</v>
      </c>
      <c r="O190" s="1758">
        <v>8.5370000000000001E-2</v>
      </c>
      <c r="P190" s="1758">
        <v>8.5580000000000003E-2</v>
      </c>
      <c r="Q190" s="1758">
        <v>8.5580000000000003E-2</v>
      </c>
      <c r="R190" s="1758">
        <v>8.5580000000000003E-2</v>
      </c>
      <c r="S190" s="1758">
        <v>8.5580000000000003E-2</v>
      </c>
      <c r="T190" s="1758">
        <v>8.5580000000000003E-2</v>
      </c>
      <c r="U190" s="1758">
        <v>8.5580000000000003E-2</v>
      </c>
      <c r="V190" s="1758">
        <v>8.5580000000000003E-2</v>
      </c>
      <c r="W190" s="1758">
        <v>8.5580000000000003E-2</v>
      </c>
      <c r="X190" s="1758">
        <v>8.5580000000000003E-2</v>
      </c>
      <c r="Y190" s="1758">
        <v>8.5580000000000003E-2</v>
      </c>
      <c r="Z190" s="1758">
        <v>8.5580000000000003E-2</v>
      </c>
      <c r="AA190" s="1758">
        <v>8.5580000000000003E-2</v>
      </c>
      <c r="AB190" s="1758">
        <v>8.5580000000000003E-2</v>
      </c>
      <c r="AC190" s="1758">
        <v>8.5580000000000003E-2</v>
      </c>
      <c r="AD190" s="1758">
        <v>8.5580000000000003E-2</v>
      </c>
      <c r="AE190" s="1758">
        <v>8.5580000000000003E-2</v>
      </c>
      <c r="AF190" s="1758">
        <v>8.5580000000000003E-2</v>
      </c>
      <c r="AG190" s="1758">
        <v>8.5580000000000003E-2</v>
      </c>
      <c r="AH190" s="1758">
        <v>8.5580000000000003E-2</v>
      </c>
      <c r="AI190" s="1758">
        <v>8.5580000000000003E-2</v>
      </c>
      <c r="AJ190" s="1758">
        <v>8.5580000000000003E-2</v>
      </c>
      <c r="AK190" s="1758">
        <v>8.5580000000000003E-2</v>
      </c>
      <c r="AL190" s="1758">
        <v>8.5580000000000003E-2</v>
      </c>
      <c r="AM190" s="1758">
        <v>8.5580000000000003E-2</v>
      </c>
      <c r="AN190" s="1758">
        <v>8.5580000000000003E-2</v>
      </c>
      <c r="AO190" s="1758">
        <v>8.5580000000000003E-2</v>
      </c>
      <c r="AP190" s="1758">
        <v>8.5580000000000003E-2</v>
      </c>
      <c r="AQ190" s="1758">
        <v>8.5580000000000003E-2</v>
      </c>
      <c r="AR190" s="1758">
        <v>8.5580000000000003E-2</v>
      </c>
      <c r="AS190" s="1758">
        <v>8.5580000000000003E-2</v>
      </c>
      <c r="AT190" s="1758">
        <v>8.5580000000000003E-2</v>
      </c>
      <c r="AU190" s="1758">
        <v>8.5580000000000003E-2</v>
      </c>
      <c r="AV190" s="1758">
        <v>8.5580000000000003E-2</v>
      </c>
      <c r="AW190" s="1758">
        <v>8.5580000000000003E-2</v>
      </c>
      <c r="AX190" s="1758">
        <v>8.5580000000000003E-2</v>
      </c>
      <c r="AY190" s="1759">
        <v>8.5580000000000003E-2</v>
      </c>
    </row>
    <row r="191" spans="1:51">
      <c r="A191" s="446" t="s">
        <v>2944</v>
      </c>
      <c r="B191" s="471">
        <v>237.30600000000001</v>
      </c>
      <c r="C191" s="472">
        <v>236.78899999999999</v>
      </c>
      <c r="D191" s="472">
        <v>236.22800000000001</v>
      </c>
      <c r="E191" s="472">
        <v>242.54300000000001</v>
      </c>
      <c r="F191" s="472">
        <v>238.19</v>
      </c>
      <c r="G191" s="472">
        <v>229.91399999999999</v>
      </c>
      <c r="H191" s="472">
        <v>239.53700000000001</v>
      </c>
      <c r="I191" s="472">
        <v>254.39699999999999</v>
      </c>
      <c r="J191" s="472">
        <v>255.55</v>
      </c>
      <c r="K191" s="472">
        <v>256.584</v>
      </c>
      <c r="L191" s="472">
        <v>257.52199999999999</v>
      </c>
      <c r="M191" s="472">
        <v>258.36200000000002</v>
      </c>
      <c r="N191" s="472">
        <v>258.36200000000002</v>
      </c>
      <c r="O191" s="472">
        <v>258.36200000000002</v>
      </c>
      <c r="P191" s="472">
        <v>258.36200000000002</v>
      </c>
      <c r="Q191" s="472">
        <v>258.36200000000002</v>
      </c>
      <c r="R191" s="472">
        <v>258.36200000000002</v>
      </c>
      <c r="S191" s="472">
        <v>258.36200000000002</v>
      </c>
      <c r="T191" s="472">
        <v>258.36200000000002</v>
      </c>
      <c r="U191" s="472">
        <v>258.36200000000002</v>
      </c>
      <c r="V191" s="472">
        <v>258.36200000000002</v>
      </c>
      <c r="W191" s="472">
        <v>258.36200000000002</v>
      </c>
      <c r="X191" s="472">
        <v>258.36200000000002</v>
      </c>
      <c r="Y191" s="472">
        <v>258.36200000000002</v>
      </c>
      <c r="Z191" s="472">
        <v>258.36200000000002</v>
      </c>
      <c r="AA191" s="472">
        <v>258.36200000000002</v>
      </c>
      <c r="AB191" s="472">
        <v>258.36200000000002</v>
      </c>
      <c r="AC191" s="472">
        <v>258.36200000000002</v>
      </c>
      <c r="AD191" s="472">
        <v>258.36200000000002</v>
      </c>
      <c r="AE191" s="472">
        <v>258.36200000000002</v>
      </c>
      <c r="AF191" s="472">
        <v>258.36200000000002</v>
      </c>
      <c r="AG191" s="472">
        <v>258.36200000000002</v>
      </c>
      <c r="AH191" s="472">
        <v>258.36200000000002</v>
      </c>
      <c r="AI191" s="472">
        <v>258.36200000000002</v>
      </c>
      <c r="AJ191" s="472">
        <v>258.36200000000002</v>
      </c>
      <c r="AK191" s="472">
        <v>258.36200000000002</v>
      </c>
      <c r="AL191" s="472">
        <v>258.36200000000002</v>
      </c>
      <c r="AM191" s="472">
        <v>258.36200000000002</v>
      </c>
      <c r="AN191" s="472">
        <v>258.36200000000002</v>
      </c>
      <c r="AO191" s="472">
        <v>258.36200000000002</v>
      </c>
      <c r="AP191" s="472">
        <v>258.36200000000002</v>
      </c>
      <c r="AQ191" s="472">
        <v>258.36200000000002</v>
      </c>
      <c r="AR191" s="472">
        <v>258.36200000000002</v>
      </c>
      <c r="AS191" s="472">
        <v>258.36200000000002</v>
      </c>
      <c r="AT191" s="472">
        <v>258.36200000000002</v>
      </c>
      <c r="AU191" s="472">
        <v>258.36200000000002</v>
      </c>
      <c r="AV191" s="472">
        <v>258.36200000000002</v>
      </c>
      <c r="AW191" s="472">
        <v>258.36200000000002</v>
      </c>
      <c r="AX191" s="472">
        <v>258.36200000000002</v>
      </c>
      <c r="AY191" s="473">
        <v>258.36200000000002</v>
      </c>
    </row>
    <row r="192" spans="1:51">
      <c r="A192" s="446" t="s">
        <v>2945</v>
      </c>
      <c r="B192" s="471">
        <v>13.64</v>
      </c>
      <c r="C192" s="472">
        <v>13.41</v>
      </c>
      <c r="D192" s="472">
        <v>13.19</v>
      </c>
      <c r="E192" s="472">
        <v>13.19</v>
      </c>
      <c r="F192" s="472">
        <v>13.19</v>
      </c>
      <c r="G192" s="472">
        <v>13.19</v>
      </c>
      <c r="H192" s="472">
        <v>13.27</v>
      </c>
      <c r="I192" s="472">
        <v>13.34</v>
      </c>
      <c r="J192" s="472">
        <v>13.42</v>
      </c>
      <c r="K192" s="472">
        <v>13.42</v>
      </c>
      <c r="L192" s="472">
        <v>13.42</v>
      </c>
      <c r="M192" s="472">
        <v>13.42</v>
      </c>
      <c r="N192" s="472">
        <v>13.42</v>
      </c>
      <c r="O192" s="472">
        <v>13.42</v>
      </c>
      <c r="P192" s="472">
        <v>13.42</v>
      </c>
      <c r="Q192" s="472">
        <v>13.42</v>
      </c>
      <c r="R192" s="472">
        <v>13.42</v>
      </c>
      <c r="S192" s="472">
        <v>13.42</v>
      </c>
      <c r="T192" s="472">
        <v>13.42</v>
      </c>
      <c r="U192" s="472">
        <v>13.42</v>
      </c>
      <c r="V192" s="472">
        <v>13.42</v>
      </c>
      <c r="W192" s="472">
        <v>13.42</v>
      </c>
      <c r="X192" s="472">
        <v>13.42</v>
      </c>
      <c r="Y192" s="472">
        <v>13.42</v>
      </c>
      <c r="Z192" s="472">
        <v>13.42</v>
      </c>
      <c r="AA192" s="472">
        <v>13.42</v>
      </c>
      <c r="AB192" s="472">
        <v>13.42</v>
      </c>
      <c r="AC192" s="472">
        <v>13.42</v>
      </c>
      <c r="AD192" s="472">
        <v>13.42</v>
      </c>
      <c r="AE192" s="472">
        <v>13.42</v>
      </c>
      <c r="AF192" s="472">
        <v>13.42</v>
      </c>
      <c r="AG192" s="472">
        <v>13.42</v>
      </c>
      <c r="AH192" s="472">
        <v>13.42</v>
      </c>
      <c r="AI192" s="472">
        <v>13.42</v>
      </c>
      <c r="AJ192" s="472">
        <v>13.42</v>
      </c>
      <c r="AK192" s="472">
        <v>13.42</v>
      </c>
      <c r="AL192" s="472">
        <v>13.42</v>
      </c>
      <c r="AM192" s="472">
        <v>13.42</v>
      </c>
      <c r="AN192" s="472">
        <v>13.42</v>
      </c>
      <c r="AO192" s="472">
        <v>13.42</v>
      </c>
      <c r="AP192" s="472">
        <v>13.42</v>
      </c>
      <c r="AQ192" s="472">
        <v>13.42</v>
      </c>
      <c r="AR192" s="472">
        <v>13.42</v>
      </c>
      <c r="AS192" s="472">
        <v>13.42</v>
      </c>
      <c r="AT192" s="472">
        <v>13.42</v>
      </c>
      <c r="AU192" s="472">
        <v>13.42</v>
      </c>
      <c r="AV192" s="472">
        <v>13.42</v>
      </c>
      <c r="AW192" s="472">
        <v>13.42</v>
      </c>
      <c r="AX192" s="472">
        <v>13.42</v>
      </c>
      <c r="AY192" s="473">
        <v>13.42</v>
      </c>
    </row>
    <row r="193" spans="1:51">
      <c r="A193" s="446" t="s">
        <v>2946</v>
      </c>
      <c r="B193" s="471">
        <v>12.012499999999999</v>
      </c>
      <c r="C193" s="472">
        <v>11.794166666666667</v>
      </c>
      <c r="D193" s="472">
        <v>11.585833333333333</v>
      </c>
      <c r="E193" s="472">
        <v>11.585833333333333</v>
      </c>
      <c r="F193" s="472">
        <v>11.585833333333333</v>
      </c>
      <c r="G193" s="472">
        <v>11.585833333333333</v>
      </c>
      <c r="H193" s="472">
        <v>11.66</v>
      </c>
      <c r="I193" s="472">
        <v>11.73</v>
      </c>
      <c r="J193" s="472">
        <v>11.804166666666667</v>
      </c>
      <c r="K193" s="472">
        <v>11.804166666666667</v>
      </c>
      <c r="L193" s="472">
        <v>11.804166666666667</v>
      </c>
      <c r="M193" s="472">
        <v>11.804166666666667</v>
      </c>
      <c r="N193" s="472">
        <v>11.804166666666667</v>
      </c>
      <c r="O193" s="472">
        <v>11.804166666666667</v>
      </c>
      <c r="P193" s="472">
        <v>11.804166666666667</v>
      </c>
      <c r="Q193" s="472">
        <v>11.804166666666667</v>
      </c>
      <c r="R193" s="472">
        <v>11.804166666666667</v>
      </c>
      <c r="S193" s="472">
        <v>11.804166666666667</v>
      </c>
      <c r="T193" s="472">
        <v>11.804166666666667</v>
      </c>
      <c r="U193" s="472">
        <v>11.804166666666667</v>
      </c>
      <c r="V193" s="472">
        <v>11.804166666666667</v>
      </c>
      <c r="W193" s="472">
        <v>11.804166666666667</v>
      </c>
      <c r="X193" s="472">
        <v>11.804166666666667</v>
      </c>
      <c r="Y193" s="472">
        <v>11.804166666666667</v>
      </c>
      <c r="Z193" s="472">
        <v>11.804166666666667</v>
      </c>
      <c r="AA193" s="472">
        <v>11.804166666666667</v>
      </c>
      <c r="AB193" s="472">
        <v>11.804166666666667</v>
      </c>
      <c r="AC193" s="472">
        <v>11.804166666666667</v>
      </c>
      <c r="AD193" s="472">
        <v>11.804166666666667</v>
      </c>
      <c r="AE193" s="472">
        <v>11.804166666666667</v>
      </c>
      <c r="AF193" s="472">
        <v>11.804166666666667</v>
      </c>
      <c r="AG193" s="472">
        <v>11.804166666666667</v>
      </c>
      <c r="AH193" s="472">
        <v>11.804166666666667</v>
      </c>
      <c r="AI193" s="472">
        <v>11.804166666666667</v>
      </c>
      <c r="AJ193" s="472">
        <v>11.804166666666667</v>
      </c>
      <c r="AK193" s="472">
        <v>11.804166666666667</v>
      </c>
      <c r="AL193" s="472">
        <v>11.804166666666667</v>
      </c>
      <c r="AM193" s="472">
        <v>11.804166666666667</v>
      </c>
      <c r="AN193" s="472">
        <v>11.804166666666667</v>
      </c>
      <c r="AO193" s="472">
        <v>11.804166666666667</v>
      </c>
      <c r="AP193" s="472">
        <v>11.804166666666667</v>
      </c>
      <c r="AQ193" s="472">
        <v>11.804166666666667</v>
      </c>
      <c r="AR193" s="472">
        <v>11.804166666666667</v>
      </c>
      <c r="AS193" s="472">
        <v>11.804166666666667</v>
      </c>
      <c r="AT193" s="472">
        <v>11.804166666666667</v>
      </c>
      <c r="AU193" s="472">
        <v>11.804166666666667</v>
      </c>
      <c r="AV193" s="472">
        <v>11.804166666666667</v>
      </c>
      <c r="AW193" s="472">
        <v>11.804166666666667</v>
      </c>
      <c r="AX193" s="472">
        <v>11.804166666666699</v>
      </c>
      <c r="AY193" s="473">
        <v>11.804166666666699</v>
      </c>
    </row>
    <row r="194" spans="1:51">
      <c r="A194" s="446" t="s">
        <v>2933</v>
      </c>
      <c r="B194" s="471">
        <v>7.2607266726146298</v>
      </c>
      <c r="C194" s="472">
        <v>7.9112857970161548</v>
      </c>
      <c r="D194" s="472">
        <v>8.1995068031839171</v>
      </c>
      <c r="E194" s="472">
        <v>8.4073776927334265</v>
      </c>
      <c r="F194" s="472">
        <v>8.5736326363918245</v>
      </c>
      <c r="G194" s="472">
        <v>8.7208261649062617</v>
      </c>
      <c r="H194" s="472">
        <v>8.8285181377174773</v>
      </c>
      <c r="I194" s="472">
        <v>8.8829506598476691</v>
      </c>
      <c r="J194" s="472">
        <v>9.0100552678251411</v>
      </c>
      <c r="K194" s="472">
        <v>9.0500408716374903</v>
      </c>
      <c r="L194" s="472">
        <v>9.1558646250250764</v>
      </c>
      <c r="M194" s="472">
        <v>9.244954159045637</v>
      </c>
      <c r="N194" s="472">
        <v>9.2425044625563437</v>
      </c>
      <c r="O194" s="472">
        <v>9.3135366023628183</v>
      </c>
      <c r="P194" s="472">
        <v>9.3834258849192018</v>
      </c>
      <c r="Q194" s="472">
        <v>9.4457625151136106</v>
      </c>
      <c r="R194" s="472">
        <v>9.4294343454096037</v>
      </c>
      <c r="S194" s="472">
        <v>9.4065940080935402</v>
      </c>
      <c r="T194" s="472">
        <v>9.3718934835830296</v>
      </c>
      <c r="U194" s="472">
        <v>9.3718934835830296</v>
      </c>
      <c r="V194" s="472">
        <v>9.3718934835830296</v>
      </c>
      <c r="W194" s="472">
        <v>9.3718934835830296</v>
      </c>
      <c r="X194" s="472">
        <v>9.3718934835830296</v>
      </c>
      <c r="Y194" s="472">
        <v>9.3718934835830296</v>
      </c>
      <c r="Z194" s="472">
        <v>9.3718934835830296</v>
      </c>
      <c r="AA194" s="472">
        <v>9.3718934835830296</v>
      </c>
      <c r="AB194" s="472">
        <v>9.3718934835830296</v>
      </c>
      <c r="AC194" s="472">
        <v>9.3718934835830296</v>
      </c>
      <c r="AD194" s="472">
        <v>9.3718934835830296</v>
      </c>
      <c r="AE194" s="472">
        <v>9.3718934835830296</v>
      </c>
      <c r="AF194" s="472">
        <v>9.3718934835830296</v>
      </c>
      <c r="AG194" s="472">
        <v>9.3718934835830296</v>
      </c>
      <c r="AH194" s="472">
        <v>9.3718934835830296</v>
      </c>
      <c r="AI194" s="472">
        <v>9.3718934835830296</v>
      </c>
      <c r="AJ194" s="472">
        <v>9.3718934835830296</v>
      </c>
      <c r="AK194" s="472">
        <v>9.3718934835830296</v>
      </c>
      <c r="AL194" s="472">
        <v>9.3718934835830296</v>
      </c>
      <c r="AM194" s="472">
        <v>9.3718934835830296</v>
      </c>
      <c r="AN194" s="472">
        <v>9.3718934835830296</v>
      </c>
      <c r="AO194" s="472">
        <v>9.3718934835830296</v>
      </c>
      <c r="AP194" s="472">
        <v>9.3718934835830296</v>
      </c>
      <c r="AQ194" s="472">
        <v>9.3718934835830296</v>
      </c>
      <c r="AR194" s="472">
        <v>9.3718934835830296</v>
      </c>
      <c r="AS194" s="472">
        <v>9.3718934835830296</v>
      </c>
      <c r="AT194" s="472">
        <v>9.3718934835830296</v>
      </c>
      <c r="AU194" s="472">
        <v>9.3718934835830296</v>
      </c>
      <c r="AV194" s="472">
        <v>9.3718934835830296</v>
      </c>
      <c r="AW194" s="472">
        <v>9.3718934835830296</v>
      </c>
      <c r="AX194" s="472">
        <v>9.3718934835830296</v>
      </c>
      <c r="AY194" s="473">
        <v>9.3718934835830296</v>
      </c>
    </row>
    <row r="195" spans="1:51">
      <c r="A195" s="446" t="s">
        <v>2934</v>
      </c>
      <c r="B195" s="447">
        <v>6.28E-3</v>
      </c>
      <c r="C195" s="448">
        <v>6.1999999999999998E-3</v>
      </c>
      <c r="D195" s="448">
        <v>6.1200000000000004E-3</v>
      </c>
      <c r="E195" s="448">
        <v>6.0000000000000001E-3</v>
      </c>
      <c r="F195" s="448">
        <v>5.8799999999999998E-3</v>
      </c>
      <c r="G195" s="448">
        <v>5.77E-3</v>
      </c>
      <c r="H195" s="448">
        <v>5.77E-3</v>
      </c>
      <c r="I195" s="448">
        <v>5.7599999999999995E-3</v>
      </c>
      <c r="J195" s="448">
        <v>5.7599999999999995E-3</v>
      </c>
      <c r="K195" s="448">
        <v>5.7499999999999999E-3</v>
      </c>
      <c r="L195" s="448">
        <v>5.7499999999999999E-3</v>
      </c>
      <c r="M195" s="448">
        <v>5.7499999999999999E-3</v>
      </c>
      <c r="N195" s="448">
        <v>5.7400000000000003E-3</v>
      </c>
      <c r="O195" s="448">
        <v>5.7400000000000003E-3</v>
      </c>
      <c r="P195" s="448">
        <v>5.7300000000000007E-3</v>
      </c>
      <c r="Q195" s="448">
        <v>5.7300000000000007E-3</v>
      </c>
      <c r="R195" s="448">
        <v>5.7300000000000007E-3</v>
      </c>
      <c r="S195" s="448">
        <v>5.7300000000000007E-3</v>
      </c>
      <c r="T195" s="448">
        <v>5.7300000000000007E-3</v>
      </c>
      <c r="U195" s="448">
        <v>5.7300000000000007E-3</v>
      </c>
      <c r="V195" s="448">
        <v>5.7300000000000007E-3</v>
      </c>
      <c r="W195" s="448">
        <v>5.7300000000000007E-3</v>
      </c>
      <c r="X195" s="448">
        <v>5.7300000000000007E-3</v>
      </c>
      <c r="Y195" s="448">
        <v>5.7300000000000007E-3</v>
      </c>
      <c r="Z195" s="448">
        <v>5.7300000000000007E-3</v>
      </c>
      <c r="AA195" s="448">
        <v>5.7300000000000007E-3</v>
      </c>
      <c r="AB195" s="448">
        <v>5.7300000000000007E-3</v>
      </c>
      <c r="AC195" s="448">
        <v>5.7300000000000007E-3</v>
      </c>
      <c r="AD195" s="448">
        <v>5.7300000000000007E-3</v>
      </c>
      <c r="AE195" s="448">
        <v>5.7300000000000007E-3</v>
      </c>
      <c r="AF195" s="448">
        <v>5.7300000000000007E-3</v>
      </c>
      <c r="AG195" s="448">
        <v>5.7300000000000007E-3</v>
      </c>
      <c r="AH195" s="448">
        <v>5.7300000000000007E-3</v>
      </c>
      <c r="AI195" s="448">
        <v>5.7300000000000007E-3</v>
      </c>
      <c r="AJ195" s="448">
        <v>5.7300000000000007E-3</v>
      </c>
      <c r="AK195" s="448">
        <v>5.7300000000000007E-3</v>
      </c>
      <c r="AL195" s="448">
        <v>5.7300000000000007E-3</v>
      </c>
      <c r="AM195" s="448">
        <v>5.7300000000000007E-3</v>
      </c>
      <c r="AN195" s="448">
        <v>5.7300000000000007E-3</v>
      </c>
      <c r="AO195" s="448">
        <v>5.7300000000000007E-3</v>
      </c>
      <c r="AP195" s="448">
        <v>5.7300000000000007E-3</v>
      </c>
      <c r="AQ195" s="448">
        <v>5.7300000000000007E-3</v>
      </c>
      <c r="AR195" s="448">
        <v>5.7300000000000007E-3</v>
      </c>
      <c r="AS195" s="448">
        <v>5.7300000000000007E-3</v>
      </c>
      <c r="AT195" s="448">
        <v>5.7300000000000007E-3</v>
      </c>
      <c r="AU195" s="448">
        <v>5.7300000000000007E-3</v>
      </c>
      <c r="AV195" s="448">
        <v>5.7300000000000007E-3</v>
      </c>
      <c r="AW195" s="448">
        <v>5.7300000000000007E-3</v>
      </c>
      <c r="AX195" s="448">
        <v>5.7300000000000007E-3</v>
      </c>
      <c r="AY195" s="449">
        <v>5.7300000000000007E-3</v>
      </c>
    </row>
    <row r="196" spans="1:51">
      <c r="A196" s="446" t="s">
        <v>2935</v>
      </c>
      <c r="B196" s="450">
        <f>(58.5/1000)*15</f>
        <v>0.87750000000000006</v>
      </c>
      <c r="C196" s="451">
        <f t="shared" ref="C196:AD197" si="73">(58.5/1000)*15</f>
        <v>0.87750000000000006</v>
      </c>
      <c r="D196" s="451">
        <f t="shared" si="73"/>
        <v>0.87750000000000006</v>
      </c>
      <c r="E196" s="451">
        <f t="shared" si="73"/>
        <v>0.87750000000000006</v>
      </c>
      <c r="F196" s="451">
        <f t="shared" si="73"/>
        <v>0.87750000000000006</v>
      </c>
      <c r="G196" s="451">
        <f t="shared" si="73"/>
        <v>0.87750000000000006</v>
      </c>
      <c r="H196" s="451">
        <f t="shared" si="73"/>
        <v>0.87750000000000006</v>
      </c>
      <c r="I196" s="451">
        <f t="shared" si="73"/>
        <v>0.87750000000000006</v>
      </c>
      <c r="J196" s="451">
        <f t="shared" si="73"/>
        <v>0.87750000000000006</v>
      </c>
      <c r="K196" s="451">
        <f t="shared" si="73"/>
        <v>0.87750000000000006</v>
      </c>
      <c r="L196" s="451">
        <f t="shared" si="73"/>
        <v>0.87750000000000006</v>
      </c>
      <c r="M196" s="451">
        <f t="shared" si="73"/>
        <v>0.87750000000000006</v>
      </c>
      <c r="N196" s="451">
        <f t="shared" si="73"/>
        <v>0.87750000000000006</v>
      </c>
      <c r="O196" s="451">
        <f t="shared" si="73"/>
        <v>0.87750000000000006</v>
      </c>
      <c r="P196" s="451">
        <f t="shared" si="73"/>
        <v>0.87750000000000006</v>
      </c>
      <c r="Q196" s="451">
        <f t="shared" si="73"/>
        <v>0.87750000000000006</v>
      </c>
      <c r="R196" s="451">
        <f t="shared" si="73"/>
        <v>0.87750000000000006</v>
      </c>
      <c r="S196" s="451">
        <f t="shared" si="73"/>
        <v>0.87750000000000006</v>
      </c>
      <c r="T196" s="451">
        <f t="shared" si="73"/>
        <v>0.87750000000000006</v>
      </c>
      <c r="U196" s="451">
        <f t="shared" si="73"/>
        <v>0.87750000000000006</v>
      </c>
      <c r="V196" s="451">
        <f t="shared" si="73"/>
        <v>0.87750000000000006</v>
      </c>
      <c r="W196" s="451">
        <f t="shared" si="73"/>
        <v>0.87750000000000006</v>
      </c>
      <c r="X196" s="451">
        <f t="shared" si="73"/>
        <v>0.87750000000000006</v>
      </c>
      <c r="Y196" s="451">
        <f t="shared" si="73"/>
        <v>0.87750000000000006</v>
      </c>
      <c r="Z196" s="451">
        <f t="shared" si="73"/>
        <v>0.87750000000000006</v>
      </c>
      <c r="AA196" s="451">
        <f t="shared" si="73"/>
        <v>0.87750000000000006</v>
      </c>
      <c r="AB196" s="451">
        <f t="shared" si="73"/>
        <v>0.87750000000000006</v>
      </c>
      <c r="AC196" s="451">
        <f t="shared" si="73"/>
        <v>0.87750000000000006</v>
      </c>
      <c r="AD196" s="451">
        <f t="shared" si="73"/>
        <v>0.87750000000000006</v>
      </c>
      <c r="AE196" s="451">
        <f>(58.5/1000)*15</f>
        <v>0.87750000000000006</v>
      </c>
      <c r="AF196" s="451">
        <f t="shared" ref="AF196:AY197" si="74">(58.5/1000)*15</f>
        <v>0.87750000000000006</v>
      </c>
      <c r="AG196" s="451">
        <f t="shared" si="74"/>
        <v>0.87750000000000006</v>
      </c>
      <c r="AH196" s="451">
        <f t="shared" si="74"/>
        <v>0.87750000000000006</v>
      </c>
      <c r="AI196" s="451">
        <f t="shared" si="74"/>
        <v>0.87750000000000006</v>
      </c>
      <c r="AJ196" s="451">
        <f t="shared" si="74"/>
        <v>0.87750000000000006</v>
      </c>
      <c r="AK196" s="451">
        <f t="shared" si="74"/>
        <v>0.87750000000000006</v>
      </c>
      <c r="AL196" s="451">
        <f t="shared" si="74"/>
        <v>0.87750000000000006</v>
      </c>
      <c r="AM196" s="451">
        <f t="shared" si="74"/>
        <v>0.87750000000000006</v>
      </c>
      <c r="AN196" s="451">
        <f t="shared" si="74"/>
        <v>0.87750000000000006</v>
      </c>
      <c r="AO196" s="451">
        <f t="shared" si="74"/>
        <v>0.87750000000000006</v>
      </c>
      <c r="AP196" s="451">
        <f t="shared" si="74"/>
        <v>0.87750000000000006</v>
      </c>
      <c r="AQ196" s="451">
        <f t="shared" si="74"/>
        <v>0.87750000000000006</v>
      </c>
      <c r="AR196" s="451">
        <f t="shared" si="74"/>
        <v>0.87750000000000006</v>
      </c>
      <c r="AS196" s="451">
        <f t="shared" si="74"/>
        <v>0.87750000000000006</v>
      </c>
      <c r="AT196" s="451">
        <f t="shared" si="74"/>
        <v>0.87750000000000006</v>
      </c>
      <c r="AU196" s="451">
        <f t="shared" si="74"/>
        <v>0.87750000000000006</v>
      </c>
      <c r="AV196" s="451">
        <f t="shared" si="74"/>
        <v>0.87750000000000006</v>
      </c>
      <c r="AW196" s="451">
        <f t="shared" si="74"/>
        <v>0.87750000000000006</v>
      </c>
      <c r="AX196" s="451">
        <f t="shared" si="74"/>
        <v>0.87750000000000006</v>
      </c>
      <c r="AY196" s="452">
        <f t="shared" si="74"/>
        <v>0.87750000000000006</v>
      </c>
    </row>
    <row r="197" spans="1:51" ht="12.75" thickBot="1">
      <c r="A197" s="453" t="s">
        <v>2936</v>
      </c>
      <c r="B197" s="454">
        <f>(58.5/1000)*15</f>
        <v>0.87750000000000006</v>
      </c>
      <c r="C197" s="455">
        <f t="shared" si="73"/>
        <v>0.87750000000000006</v>
      </c>
      <c r="D197" s="455">
        <f t="shared" si="73"/>
        <v>0.87750000000000006</v>
      </c>
      <c r="E197" s="455">
        <f t="shared" si="73"/>
        <v>0.87750000000000006</v>
      </c>
      <c r="F197" s="455">
        <f t="shared" si="73"/>
        <v>0.87750000000000006</v>
      </c>
      <c r="G197" s="455">
        <f t="shared" si="73"/>
        <v>0.87750000000000006</v>
      </c>
      <c r="H197" s="455">
        <f t="shared" si="73"/>
        <v>0.87750000000000006</v>
      </c>
      <c r="I197" s="455">
        <f t="shared" si="73"/>
        <v>0.87750000000000006</v>
      </c>
      <c r="J197" s="455">
        <f t="shared" si="73"/>
        <v>0.87750000000000006</v>
      </c>
      <c r="K197" s="455">
        <f t="shared" si="73"/>
        <v>0.87750000000000006</v>
      </c>
      <c r="L197" s="455">
        <f t="shared" si="73"/>
        <v>0.87750000000000006</v>
      </c>
      <c r="M197" s="455">
        <f t="shared" si="73"/>
        <v>0.87750000000000006</v>
      </c>
      <c r="N197" s="455">
        <f t="shared" si="73"/>
        <v>0.87750000000000006</v>
      </c>
      <c r="O197" s="455">
        <f t="shared" si="73"/>
        <v>0.87750000000000006</v>
      </c>
      <c r="P197" s="455">
        <f t="shared" si="73"/>
        <v>0.87750000000000006</v>
      </c>
      <c r="Q197" s="455">
        <f t="shared" si="73"/>
        <v>0.87750000000000006</v>
      </c>
      <c r="R197" s="455">
        <f t="shared" si="73"/>
        <v>0.87750000000000006</v>
      </c>
      <c r="S197" s="455">
        <f t="shared" si="73"/>
        <v>0.87750000000000006</v>
      </c>
      <c r="T197" s="455">
        <f t="shared" si="73"/>
        <v>0.87750000000000006</v>
      </c>
      <c r="U197" s="455">
        <f t="shared" si="73"/>
        <v>0.87750000000000006</v>
      </c>
      <c r="V197" s="455">
        <f t="shared" si="73"/>
        <v>0.87750000000000006</v>
      </c>
      <c r="W197" s="455">
        <f t="shared" si="73"/>
        <v>0.87750000000000006</v>
      </c>
      <c r="X197" s="455">
        <f t="shared" si="73"/>
        <v>0.87750000000000006</v>
      </c>
      <c r="Y197" s="455">
        <f t="shared" si="73"/>
        <v>0.87750000000000006</v>
      </c>
      <c r="Z197" s="455">
        <f t="shared" si="73"/>
        <v>0.87750000000000006</v>
      </c>
      <c r="AA197" s="455">
        <f t="shared" si="73"/>
        <v>0.87750000000000006</v>
      </c>
      <c r="AB197" s="455">
        <f t="shared" si="73"/>
        <v>0.87750000000000006</v>
      </c>
      <c r="AC197" s="455">
        <f t="shared" si="73"/>
        <v>0.87750000000000006</v>
      </c>
      <c r="AD197" s="455">
        <f t="shared" si="73"/>
        <v>0.87750000000000006</v>
      </c>
      <c r="AE197" s="455">
        <f>(58.5/1000)*15</f>
        <v>0.87750000000000006</v>
      </c>
      <c r="AF197" s="455">
        <f t="shared" si="74"/>
        <v>0.87750000000000006</v>
      </c>
      <c r="AG197" s="455">
        <f t="shared" si="74"/>
        <v>0.87750000000000006</v>
      </c>
      <c r="AH197" s="455">
        <f t="shared" si="74"/>
        <v>0.87750000000000006</v>
      </c>
      <c r="AI197" s="455">
        <f t="shared" si="74"/>
        <v>0.87750000000000006</v>
      </c>
      <c r="AJ197" s="455">
        <f t="shared" si="74"/>
        <v>0.87750000000000006</v>
      </c>
      <c r="AK197" s="455">
        <f t="shared" si="74"/>
        <v>0.87750000000000006</v>
      </c>
      <c r="AL197" s="455">
        <f t="shared" si="74"/>
        <v>0.87750000000000006</v>
      </c>
      <c r="AM197" s="455">
        <f t="shared" si="74"/>
        <v>0.87750000000000006</v>
      </c>
      <c r="AN197" s="455">
        <f t="shared" si="74"/>
        <v>0.87750000000000006</v>
      </c>
      <c r="AO197" s="455">
        <f t="shared" si="74"/>
        <v>0.87750000000000006</v>
      </c>
      <c r="AP197" s="455">
        <f t="shared" si="74"/>
        <v>0.87750000000000006</v>
      </c>
      <c r="AQ197" s="455">
        <f t="shared" si="74"/>
        <v>0.87750000000000006</v>
      </c>
      <c r="AR197" s="455">
        <f t="shared" si="74"/>
        <v>0.87750000000000006</v>
      </c>
      <c r="AS197" s="455">
        <f t="shared" si="74"/>
        <v>0.87750000000000006</v>
      </c>
      <c r="AT197" s="455">
        <f t="shared" si="74"/>
        <v>0.87750000000000006</v>
      </c>
      <c r="AU197" s="455">
        <f t="shared" si="74"/>
        <v>0.87750000000000006</v>
      </c>
      <c r="AV197" s="455">
        <f t="shared" si="74"/>
        <v>0.87750000000000006</v>
      </c>
      <c r="AW197" s="455">
        <f t="shared" si="74"/>
        <v>0.87750000000000006</v>
      </c>
      <c r="AX197" s="455">
        <f t="shared" si="74"/>
        <v>0.87750000000000006</v>
      </c>
      <c r="AY197" s="456">
        <f t="shared" si="74"/>
        <v>0.87750000000000006</v>
      </c>
    </row>
    <row r="198" spans="1:51">
      <c r="B198" s="433"/>
      <c r="C198" s="433"/>
      <c r="D198" s="433"/>
      <c r="E198" s="433"/>
      <c r="F198" s="433"/>
      <c r="G198" s="433"/>
      <c r="H198" s="433"/>
      <c r="I198" s="433"/>
      <c r="J198" s="433"/>
      <c r="K198" s="433"/>
      <c r="L198" s="433"/>
      <c r="M198" s="433"/>
      <c r="N198" s="433"/>
      <c r="O198" s="433"/>
      <c r="P198" s="433"/>
      <c r="Q198" s="433"/>
      <c r="R198" s="433"/>
      <c r="S198" s="433"/>
      <c r="T198" s="433"/>
      <c r="U198" s="433"/>
      <c r="V198" s="433"/>
      <c r="W198" s="433"/>
      <c r="X198" s="433"/>
      <c r="Y198" s="433"/>
      <c r="Z198" s="433"/>
      <c r="AA198" s="433"/>
      <c r="AB198" s="433"/>
      <c r="AC198" s="433"/>
      <c r="AD198" s="433"/>
      <c r="AE198" s="433"/>
    </row>
    <row r="199" spans="1:51" ht="15.75" thickBot="1">
      <c r="A199" s="437" t="s">
        <v>2937</v>
      </c>
      <c r="B199" s="433"/>
      <c r="C199" s="433"/>
      <c r="D199" s="433"/>
      <c r="E199" s="433"/>
      <c r="F199" s="433"/>
      <c r="G199" s="433"/>
      <c r="H199" s="433"/>
      <c r="I199" s="433"/>
      <c r="J199" s="433"/>
      <c r="K199" s="433"/>
      <c r="L199" s="433"/>
      <c r="M199" s="433"/>
      <c r="N199" s="433"/>
      <c r="O199" s="433"/>
      <c r="P199" s="433"/>
      <c r="Q199" s="433"/>
      <c r="R199" s="433"/>
      <c r="S199" s="433"/>
      <c r="T199" s="433"/>
      <c r="U199" s="433"/>
      <c r="V199" s="433"/>
      <c r="W199" s="433"/>
      <c r="X199" s="433"/>
      <c r="Y199" s="433"/>
      <c r="Z199" s="433"/>
      <c r="AA199" s="433"/>
      <c r="AB199" s="433"/>
      <c r="AC199" s="433"/>
      <c r="AD199" s="433"/>
      <c r="AE199" s="433"/>
    </row>
    <row r="200" spans="1:51" ht="12.75" thickBot="1">
      <c r="A200" s="438" t="s">
        <v>2932</v>
      </c>
      <c r="B200" s="439">
        <v>1</v>
      </c>
      <c r="C200" s="440">
        <v>2</v>
      </c>
      <c r="D200" s="440">
        <v>3</v>
      </c>
      <c r="E200" s="440">
        <v>4</v>
      </c>
      <c r="F200" s="440">
        <v>5</v>
      </c>
      <c r="G200" s="440">
        <v>6</v>
      </c>
      <c r="H200" s="440">
        <v>7</v>
      </c>
      <c r="I200" s="440">
        <v>8</v>
      </c>
      <c r="J200" s="440">
        <v>9</v>
      </c>
      <c r="K200" s="440">
        <v>10</v>
      </c>
      <c r="L200" s="440">
        <v>11</v>
      </c>
      <c r="M200" s="440">
        <v>12</v>
      </c>
      <c r="N200" s="440">
        <v>13</v>
      </c>
      <c r="O200" s="440">
        <v>14</v>
      </c>
      <c r="P200" s="440">
        <v>15</v>
      </c>
      <c r="Q200" s="440">
        <v>16</v>
      </c>
      <c r="R200" s="440">
        <v>17</v>
      </c>
      <c r="S200" s="440">
        <v>18</v>
      </c>
      <c r="T200" s="440">
        <v>19</v>
      </c>
      <c r="U200" s="440">
        <v>20</v>
      </c>
      <c r="V200" s="440">
        <v>21</v>
      </c>
      <c r="W200" s="440">
        <v>22</v>
      </c>
      <c r="X200" s="440">
        <v>23</v>
      </c>
      <c r="Y200" s="440">
        <v>24</v>
      </c>
      <c r="Z200" s="440">
        <v>25</v>
      </c>
      <c r="AA200" s="440">
        <v>26</v>
      </c>
      <c r="AB200" s="440">
        <v>27</v>
      </c>
      <c r="AC200" s="440">
        <v>28</v>
      </c>
      <c r="AD200" s="440">
        <v>29</v>
      </c>
      <c r="AE200" s="440">
        <v>30</v>
      </c>
      <c r="AF200" s="440">
        <f t="shared" ref="AF200:AY200" si="75">AE200+1</f>
        <v>31</v>
      </c>
      <c r="AG200" s="440">
        <f t="shared" si="75"/>
        <v>32</v>
      </c>
      <c r="AH200" s="440">
        <f t="shared" si="75"/>
        <v>33</v>
      </c>
      <c r="AI200" s="440">
        <f t="shared" si="75"/>
        <v>34</v>
      </c>
      <c r="AJ200" s="440">
        <f t="shared" si="75"/>
        <v>35</v>
      </c>
      <c r="AK200" s="440">
        <f t="shared" si="75"/>
        <v>36</v>
      </c>
      <c r="AL200" s="440">
        <f t="shared" si="75"/>
        <v>37</v>
      </c>
      <c r="AM200" s="440">
        <f t="shared" si="75"/>
        <v>38</v>
      </c>
      <c r="AN200" s="440">
        <f t="shared" si="75"/>
        <v>39</v>
      </c>
      <c r="AO200" s="440">
        <f t="shared" si="75"/>
        <v>40</v>
      </c>
      <c r="AP200" s="440">
        <f t="shared" si="75"/>
        <v>41</v>
      </c>
      <c r="AQ200" s="440">
        <f t="shared" si="75"/>
        <v>42</v>
      </c>
      <c r="AR200" s="440">
        <f t="shared" si="75"/>
        <v>43</v>
      </c>
      <c r="AS200" s="440">
        <f t="shared" si="75"/>
        <v>44</v>
      </c>
      <c r="AT200" s="440">
        <f t="shared" si="75"/>
        <v>45</v>
      </c>
      <c r="AU200" s="440">
        <f t="shared" si="75"/>
        <v>46</v>
      </c>
      <c r="AV200" s="440">
        <f t="shared" si="75"/>
        <v>47</v>
      </c>
      <c r="AW200" s="440">
        <f t="shared" si="75"/>
        <v>48</v>
      </c>
      <c r="AX200" s="440">
        <f t="shared" si="75"/>
        <v>49</v>
      </c>
      <c r="AY200" s="441">
        <f t="shared" si="75"/>
        <v>50</v>
      </c>
    </row>
    <row r="201" spans="1:51">
      <c r="A201" s="442" t="s">
        <v>2955</v>
      </c>
      <c r="B201" s="443">
        <f t="shared" ref="B201:B208" si="76">B190/(1+$C$3)^(B$16-0.5)</f>
        <v>8.553915763059429E-2</v>
      </c>
      <c r="C201" s="444">
        <f t="shared" ref="C201:AY206" si="77">(C190/(1+$C$3)^(C$16-0.5)+B201)</f>
        <v>0.1651239446524122</v>
      </c>
      <c r="D201" s="444">
        <f t="shared" si="77"/>
        <v>0.23916895759322859</v>
      </c>
      <c r="E201" s="444">
        <f t="shared" si="77"/>
        <v>0.30909677737446839</v>
      </c>
      <c r="F201" s="444">
        <f t="shared" si="77"/>
        <v>0.37512758494998666</v>
      </c>
      <c r="G201" s="444">
        <f t="shared" si="77"/>
        <v>0.43748510197252627</v>
      </c>
      <c r="H201" s="444">
        <f t="shared" si="77"/>
        <v>0.49674003172075459</v>
      </c>
      <c r="I201" s="444">
        <f t="shared" si="77"/>
        <v>0.55303969750966853</v>
      </c>
      <c r="J201" s="444">
        <f t="shared" si="77"/>
        <v>0.60653753084614692</v>
      </c>
      <c r="K201" s="444">
        <f t="shared" si="77"/>
        <v>0.65736664049867444</v>
      </c>
      <c r="L201" s="444">
        <f t="shared" si="77"/>
        <v>0.7056655842759495</v>
      </c>
      <c r="M201" s="444">
        <f t="shared" si="77"/>
        <v>0.75156002664473986</v>
      </c>
      <c r="N201" s="444">
        <f t="shared" si="77"/>
        <v>0.795169406147332</v>
      </c>
      <c r="O201" s="444">
        <f t="shared" si="77"/>
        <v>0.83660724301683542</v>
      </c>
      <c r="P201" s="444">
        <f t="shared" si="77"/>
        <v>0.87598143163978648</v>
      </c>
      <c r="Q201" s="444">
        <f t="shared" si="77"/>
        <v>0.91330293744353153</v>
      </c>
      <c r="R201" s="444">
        <f t="shared" si="77"/>
        <v>0.94867877232859799</v>
      </c>
      <c r="S201" s="444">
        <f t="shared" si="77"/>
        <v>0.98221036937605433</v>
      </c>
      <c r="T201" s="444">
        <f t="shared" si="77"/>
        <v>1.0139938736864396</v>
      </c>
      <c r="U201" s="444">
        <f t="shared" si="77"/>
        <v>1.0441204180564729</v>
      </c>
      <c r="V201" s="444">
        <f t="shared" si="77"/>
        <v>1.0726763842839926</v>
      </c>
      <c r="W201" s="444">
        <f t="shared" si="77"/>
        <v>1.099743650850362</v>
      </c>
      <c r="X201" s="444">
        <f t="shared" si="77"/>
        <v>1.1253998276905226</v>
      </c>
      <c r="Y201" s="444">
        <f t="shared" si="77"/>
        <v>1.1497184787238501</v>
      </c>
      <c r="Z201" s="444">
        <f t="shared" si="77"/>
        <v>1.1727693327838762</v>
      </c>
      <c r="AA201" s="444">
        <f t="shared" si="77"/>
        <v>1.1946184835516735</v>
      </c>
      <c r="AB201" s="444">
        <f t="shared" si="77"/>
        <v>1.2153285790661734</v>
      </c>
      <c r="AC201" s="444">
        <f t="shared" si="77"/>
        <v>1.2349590013547989</v>
      </c>
      <c r="AD201" s="444">
        <f t="shared" si="77"/>
        <v>1.2535660366994674</v>
      </c>
      <c r="AE201" s="444">
        <f t="shared" si="77"/>
        <v>1.2712030370261675</v>
      </c>
      <c r="AF201" s="444">
        <f t="shared" si="77"/>
        <v>1.2879205728808596</v>
      </c>
      <c r="AG201" s="444">
        <f t="shared" si="77"/>
        <v>1.3037665784303307</v>
      </c>
      <c r="AH201" s="444">
        <f t="shared" si="77"/>
        <v>1.318786488903763</v>
      </c>
      <c r="AI201" s="444">
        <f t="shared" si="77"/>
        <v>1.3330233708691017</v>
      </c>
      <c r="AJ201" s="444">
        <f t="shared" si="77"/>
        <v>1.3465180457177641</v>
      </c>
      <c r="AK201" s="444">
        <f t="shared" si="77"/>
        <v>1.3593092067117569</v>
      </c>
      <c r="AL201" s="444">
        <f t="shared" si="77"/>
        <v>1.3714335299288116</v>
      </c>
      <c r="AM201" s="444">
        <f t="shared" si="77"/>
        <v>1.3829257794236502</v>
      </c>
      <c r="AN201" s="444">
        <f t="shared" si="77"/>
        <v>1.3938189069069096</v>
      </c>
      <c r="AO201" s="444">
        <f t="shared" si="77"/>
        <v>1.4041441462275346</v>
      </c>
      <c r="AP201" s="444">
        <f t="shared" si="77"/>
        <v>1.4139311029295487</v>
      </c>
      <c r="AQ201" s="444">
        <f t="shared" si="77"/>
        <v>1.4232078391399887</v>
      </c>
      <c r="AR201" s="444">
        <f t="shared" si="77"/>
        <v>1.4320009540314009</v>
      </c>
      <c r="AS201" s="444">
        <f t="shared" si="77"/>
        <v>1.4403356600896116</v>
      </c>
      <c r="AT201" s="444">
        <f t="shared" si="77"/>
        <v>1.4482358554054511</v>
      </c>
      <c r="AU201" s="444">
        <f t="shared" si="77"/>
        <v>1.455724192197716</v>
      </c>
      <c r="AV201" s="444">
        <f t="shared" si="77"/>
        <v>1.4628221417638438</v>
      </c>
      <c r="AW201" s="444">
        <f t="shared" si="77"/>
        <v>1.4695500560445338</v>
      </c>
      <c r="AX201" s="444">
        <f t="shared" si="77"/>
        <v>1.4759272259788372</v>
      </c>
      <c r="AY201" s="445">
        <f t="shared" si="77"/>
        <v>1.4819719368170394</v>
      </c>
    </row>
    <row r="202" spans="1:51">
      <c r="A202" s="446" t="s">
        <v>2956</v>
      </c>
      <c r="B202" s="450">
        <f t="shared" si="76"/>
        <v>231.03750672303451</v>
      </c>
      <c r="C202" s="451">
        <f t="shared" si="77"/>
        <v>449.55330141354057</v>
      </c>
      <c r="D202" s="451">
        <f t="shared" si="77"/>
        <v>656.18655973584623</v>
      </c>
      <c r="E202" s="451">
        <f t="shared" si="77"/>
        <v>857.28334884186052</v>
      </c>
      <c r="F202" s="451">
        <f t="shared" si="77"/>
        <v>1044.4754228291577</v>
      </c>
      <c r="G202" s="451">
        <f t="shared" si="77"/>
        <v>1215.7436843118976</v>
      </c>
      <c r="H202" s="451">
        <f t="shared" si="77"/>
        <v>1384.8779563221617</v>
      </c>
      <c r="I202" s="451">
        <f t="shared" si="77"/>
        <v>1555.1402729852898</v>
      </c>
      <c r="J202" s="451">
        <f t="shared" si="77"/>
        <v>1717.2578030355335</v>
      </c>
      <c r="K202" s="451">
        <f t="shared" si="77"/>
        <v>1871.545467427869</v>
      </c>
      <c r="L202" s="451">
        <f t="shared" si="77"/>
        <v>2018.3243274634065</v>
      </c>
      <c r="M202" s="451">
        <f t="shared" si="77"/>
        <v>2157.9050210394562</v>
      </c>
      <c r="N202" s="451">
        <f t="shared" si="77"/>
        <v>2290.2089959930577</v>
      </c>
      <c r="O202" s="451">
        <f t="shared" si="77"/>
        <v>2415.6156073234856</v>
      </c>
      <c r="P202" s="451">
        <f t="shared" si="77"/>
        <v>2534.4844332291045</v>
      </c>
      <c r="Q202" s="451">
        <f t="shared" si="77"/>
        <v>2647.156306125426</v>
      </c>
      <c r="R202" s="451">
        <f t="shared" si="77"/>
        <v>2753.9542899134085</v>
      </c>
      <c r="S202" s="451">
        <f t="shared" si="77"/>
        <v>2855.1846063001217</v>
      </c>
      <c r="T202" s="451">
        <f t="shared" si="77"/>
        <v>2951.1375128278119</v>
      </c>
      <c r="U202" s="451">
        <f t="shared" si="77"/>
        <v>3042.0881351289399</v>
      </c>
      <c r="V202" s="451">
        <f t="shared" si="77"/>
        <v>3128.2972557935163</v>
      </c>
      <c r="W202" s="451">
        <f t="shared" si="77"/>
        <v>3210.0120621106503</v>
      </c>
      <c r="X202" s="451">
        <f t="shared" si="77"/>
        <v>3287.466854828313</v>
      </c>
      <c r="Y202" s="451">
        <f t="shared" si="77"/>
        <v>3360.8837199635382</v>
      </c>
      <c r="Z202" s="451">
        <f t="shared" si="77"/>
        <v>3430.4731655893443</v>
      </c>
      <c r="AA202" s="451">
        <f t="shared" si="77"/>
        <v>3496.4347254242316</v>
      </c>
      <c r="AB202" s="451">
        <f t="shared" si="77"/>
        <v>3558.9575309549305</v>
      </c>
      <c r="AC202" s="451">
        <f t="shared" si="77"/>
        <v>3618.2208537328438</v>
      </c>
      <c r="AD202" s="451">
        <f t="shared" si="77"/>
        <v>3674.3946193991123</v>
      </c>
      <c r="AE202" s="451">
        <f t="shared" si="77"/>
        <v>3727.6398949121631</v>
      </c>
      <c r="AF202" s="451">
        <f t="shared" si="77"/>
        <v>3778.1093503747707</v>
      </c>
      <c r="AG202" s="451">
        <f t="shared" si="77"/>
        <v>3825.947696784825</v>
      </c>
      <c r="AH202" s="451">
        <f t="shared" si="77"/>
        <v>3871.2921009649713</v>
      </c>
      <c r="AI202" s="451">
        <f t="shared" si="77"/>
        <v>3914.2725788608445</v>
      </c>
      <c r="AJ202" s="451">
        <f t="shared" si="77"/>
        <v>3955.012368335606</v>
      </c>
      <c r="AK202" s="451">
        <f t="shared" si="77"/>
        <v>3993.6282825296926</v>
      </c>
      <c r="AL202" s="451">
        <f t="shared" si="77"/>
        <v>4030.2310447989689</v>
      </c>
      <c r="AM202" s="451">
        <f t="shared" si="77"/>
        <v>4064.9256061916481</v>
      </c>
      <c r="AN202" s="451">
        <f t="shared" si="77"/>
        <v>4097.8114463742822</v>
      </c>
      <c r="AO202" s="451">
        <f t="shared" si="77"/>
        <v>4128.9828588696701</v>
      </c>
      <c r="AP202" s="451">
        <f t="shared" si="77"/>
        <v>4158.5292214245401</v>
      </c>
      <c r="AQ202" s="451">
        <f t="shared" si="77"/>
        <v>4186.5352522822368</v>
      </c>
      <c r="AR202" s="451">
        <f t="shared" si="77"/>
        <v>4213.0812530952198</v>
      </c>
      <c r="AS202" s="451">
        <f t="shared" si="77"/>
        <v>4238.2433391738768</v>
      </c>
      <c r="AT202" s="451">
        <f t="shared" si="77"/>
        <v>4262.0936577318453</v>
      </c>
      <c r="AU202" s="451">
        <f t="shared" si="77"/>
        <v>4284.7005947536163</v>
      </c>
      <c r="AV202" s="451">
        <f t="shared" si="77"/>
        <v>4306.12897107757</v>
      </c>
      <c r="AW202" s="451">
        <f t="shared" si="77"/>
        <v>4326.4402282566725</v>
      </c>
      <c r="AX202" s="451">
        <f t="shared" si="77"/>
        <v>4345.6926047297557</v>
      </c>
      <c r="AY202" s="452">
        <f t="shared" si="77"/>
        <v>4363.9413028085073</v>
      </c>
    </row>
    <row r="203" spans="1:51">
      <c r="A203" s="446" t="s">
        <v>2957</v>
      </c>
      <c r="B203" s="450">
        <f t="shared" si="76"/>
        <v>13.279696222186503</v>
      </c>
      <c r="C203" s="451">
        <f t="shared" si="77"/>
        <v>25.654835298747013</v>
      </c>
      <c r="D203" s="451">
        <f t="shared" si="77"/>
        <v>37.192386635892532</v>
      </c>
      <c r="E203" s="451">
        <f t="shared" si="77"/>
        <v>48.128454254039944</v>
      </c>
      <c r="F203" s="451">
        <f t="shared" si="77"/>
        <v>58.494395124321855</v>
      </c>
      <c r="G203" s="451">
        <f t="shared" si="77"/>
        <v>68.319931494257318</v>
      </c>
      <c r="H203" s="451">
        <f t="shared" si="77"/>
        <v>77.689723173940223</v>
      </c>
      <c r="I203" s="451">
        <f t="shared" si="77"/>
        <v>86.617891761958674</v>
      </c>
      <c r="J203" s="451">
        <f t="shared" si="77"/>
        <v>95.131361741509721</v>
      </c>
      <c r="K203" s="451">
        <f t="shared" si="77"/>
        <v>103.20100153255336</v>
      </c>
      <c r="L203" s="451">
        <f t="shared" si="77"/>
        <v>110.84994920178904</v>
      </c>
      <c r="M203" s="451">
        <f t="shared" si="77"/>
        <v>118.10013656599348</v>
      </c>
      <c r="N203" s="451">
        <f t="shared" si="77"/>
        <v>124.97235207708773</v>
      </c>
      <c r="O203" s="451">
        <f t="shared" si="77"/>
        <v>131.48630042883585</v>
      </c>
      <c r="P203" s="451">
        <f t="shared" si="77"/>
        <v>137.66065905608525</v>
      </c>
      <c r="Q203" s="451">
        <f t="shared" si="77"/>
        <v>143.51313168854912</v>
      </c>
      <c r="R203" s="451">
        <f t="shared" si="77"/>
        <v>149.06049911268551</v>
      </c>
      <c r="S203" s="451">
        <f t="shared" si="77"/>
        <v>154.31866728722235</v>
      </c>
      <c r="T203" s="451">
        <f t="shared" si="77"/>
        <v>159.30271295029047</v>
      </c>
      <c r="U203" s="451">
        <f t="shared" si="77"/>
        <v>164.02692684893321</v>
      </c>
      <c r="V203" s="451">
        <f t="shared" si="77"/>
        <v>168.50485471494531</v>
      </c>
      <c r="W203" s="451">
        <f t="shared" si="77"/>
        <v>172.74933610453024</v>
      </c>
      <c r="X203" s="451">
        <f t="shared" si="77"/>
        <v>176.77254121314155</v>
      </c>
      <c r="Y203" s="451">
        <f t="shared" si="77"/>
        <v>180.58600577106697</v>
      </c>
      <c r="Z203" s="451">
        <f t="shared" si="77"/>
        <v>184.20066411981142</v>
      </c>
      <c r="AA203" s="451">
        <f t="shared" si="77"/>
        <v>187.62688056411898</v>
      </c>
      <c r="AB203" s="451">
        <f t="shared" si="77"/>
        <v>190.87447908952896</v>
      </c>
      <c r="AC203" s="451">
        <f t="shared" si="77"/>
        <v>193.95277153067588</v>
      </c>
      <c r="AD203" s="451">
        <f t="shared" si="77"/>
        <v>196.87058427109949</v>
      </c>
      <c r="AE203" s="451">
        <f t="shared" si="77"/>
        <v>199.63628355112186</v>
      </c>
      <c r="AF203" s="451">
        <f t="shared" si="77"/>
        <v>202.25779945635634</v>
      </c>
      <c r="AG203" s="451">
        <f t="shared" si="77"/>
        <v>204.74264865563075</v>
      </c>
      <c r="AH203" s="451">
        <f t="shared" si="77"/>
        <v>207.09795595352116</v>
      </c>
      <c r="AI203" s="451">
        <f t="shared" si="77"/>
        <v>209.33047471929407</v>
      </c>
      <c r="AJ203" s="451">
        <f t="shared" si="77"/>
        <v>211.44660625083239</v>
      </c>
      <c r="AK203" s="451">
        <f t="shared" si="77"/>
        <v>213.45241812906775</v>
      </c>
      <c r="AL203" s="451">
        <f t="shared" si="77"/>
        <v>215.35366161554677</v>
      </c>
      <c r="AM203" s="451">
        <f t="shared" si="77"/>
        <v>217.15578814301503</v>
      </c>
      <c r="AN203" s="451">
        <f t="shared" si="77"/>
        <v>218.86396494630247</v>
      </c>
      <c r="AO203" s="451">
        <f t="shared" si="77"/>
        <v>220.48308987832849</v>
      </c>
      <c r="AP203" s="451">
        <f t="shared" si="77"/>
        <v>222.0178054537086</v>
      </c>
      <c r="AQ203" s="451">
        <f t="shared" si="77"/>
        <v>223.47251216023005</v>
      </c>
      <c r="AR203" s="451">
        <f t="shared" si="77"/>
        <v>224.85138107636411</v>
      </c>
      <c r="AS203" s="451">
        <f t="shared" si="77"/>
        <v>226.15836583099355</v>
      </c>
      <c r="AT203" s="451">
        <f t="shared" si="77"/>
        <v>227.39721393964706</v>
      </c>
      <c r="AU203" s="451">
        <f t="shared" si="77"/>
        <v>228.57147754974517</v>
      </c>
      <c r="AV203" s="451">
        <f t="shared" si="77"/>
        <v>229.68452362566754</v>
      </c>
      <c r="AW203" s="451">
        <f t="shared" si="77"/>
        <v>230.73954360284515</v>
      </c>
      <c r="AX203" s="451">
        <f t="shared" si="77"/>
        <v>231.73956253855852</v>
      </c>
      <c r="AY203" s="452">
        <f t="shared" si="77"/>
        <v>232.68744778568021</v>
      </c>
    </row>
    <row r="204" spans="1:51">
      <c r="A204" s="446" t="s">
        <v>2958</v>
      </c>
      <c r="B204" s="450">
        <f t="shared" si="76"/>
        <v>11.695187013857431</v>
      </c>
      <c r="C204" s="451">
        <f t="shared" si="77"/>
        <v>22.579187967782417</v>
      </c>
      <c r="D204" s="451">
        <f t="shared" si="77"/>
        <v>32.713543302653164</v>
      </c>
      <c r="E204" s="451">
        <f t="shared" si="77"/>
        <v>42.31956731674866</v>
      </c>
      <c r="F204" s="451">
        <f t="shared" si="77"/>
        <v>51.424803349066664</v>
      </c>
      <c r="G204" s="451">
        <f t="shared" si="77"/>
        <v>60.055358829936814</v>
      </c>
      <c r="H204" s="451">
        <f t="shared" si="77"/>
        <v>68.288348354059096</v>
      </c>
      <c r="I204" s="451">
        <f t="shared" si="77"/>
        <v>76.138979353868422</v>
      </c>
      <c r="J204" s="451">
        <f t="shared" si="77"/>
        <v>83.627386101281516</v>
      </c>
      <c r="K204" s="451">
        <f t="shared" si="77"/>
        <v>90.725401975606729</v>
      </c>
      <c r="L204" s="451">
        <f t="shared" si="77"/>
        <v>97.453379107668539</v>
      </c>
      <c r="M204" s="451">
        <f t="shared" si="77"/>
        <v>103.83060861673187</v>
      </c>
      <c r="N204" s="451">
        <f t="shared" si="77"/>
        <v>109.8753759239009</v>
      </c>
      <c r="O204" s="451">
        <f t="shared" si="77"/>
        <v>115.60501318188103</v>
      </c>
      <c r="P204" s="451">
        <f t="shared" si="77"/>
        <v>121.03594897143566</v>
      </c>
      <c r="Q204" s="451">
        <f t="shared" si="77"/>
        <v>126.18375540703246</v>
      </c>
      <c r="R204" s="451">
        <f t="shared" si="77"/>
        <v>131.06319278674508</v>
      </c>
      <c r="S204" s="451">
        <f t="shared" si="77"/>
        <v>135.68825191443474</v>
      </c>
      <c r="T204" s="451">
        <f t="shared" si="77"/>
        <v>140.0721942155624</v>
      </c>
      <c r="U204" s="451">
        <f t="shared" si="77"/>
        <v>144.22758976165497</v>
      </c>
      <c r="V204" s="451">
        <f t="shared" si="77"/>
        <v>148.16635331245359</v>
      </c>
      <c r="W204" s="451">
        <f t="shared" si="77"/>
        <v>151.89977847908739</v>
      </c>
      <c r="X204" s="451">
        <f t="shared" si="77"/>
        <v>155.43857010622841</v>
      </c>
      <c r="Y204" s="451">
        <f t="shared" si="77"/>
        <v>158.79287496607773</v>
      </c>
      <c r="Z204" s="451">
        <f t="shared" si="77"/>
        <v>161.97231085219082</v>
      </c>
      <c r="AA204" s="451">
        <f t="shared" si="77"/>
        <v>164.98599415656341</v>
      </c>
      <c r="AB204" s="451">
        <f t="shared" si="77"/>
        <v>167.84256600904928</v>
      </c>
      <c r="AC204" s="451">
        <f t="shared" si="77"/>
        <v>170.5502170540596</v>
      </c>
      <c r="AD204" s="451">
        <f t="shared" si="77"/>
        <v>173.11671093558596</v>
      </c>
      <c r="AE204" s="451">
        <f t="shared" si="77"/>
        <v>175.54940655788582</v>
      </c>
      <c r="AF204" s="451">
        <f t="shared" si="77"/>
        <v>177.85527918565819</v>
      </c>
      <c r="AG204" s="451">
        <f t="shared" si="77"/>
        <v>180.04094044421021</v>
      </c>
      <c r="AH204" s="451">
        <f t="shared" si="77"/>
        <v>182.11265727696093</v>
      </c>
      <c r="AI204" s="451">
        <f t="shared" si="77"/>
        <v>184.07636991463934</v>
      </c>
      <c r="AJ204" s="451">
        <f t="shared" si="77"/>
        <v>185.93770890769946</v>
      </c>
      <c r="AK204" s="451">
        <f t="shared" si="77"/>
        <v>187.70201127078963</v>
      </c>
      <c r="AL204" s="451">
        <f t="shared" si="77"/>
        <v>189.37433578556704</v>
      </c>
      <c r="AM204" s="451">
        <f t="shared" si="77"/>
        <v>190.95947750573518</v>
      </c>
      <c r="AN204" s="451">
        <f t="shared" si="77"/>
        <v>192.46198150589456</v>
      </c>
      <c r="AO204" s="451">
        <f t="shared" si="77"/>
        <v>193.88615591362858</v>
      </c>
      <c r="AP204" s="451">
        <f t="shared" si="77"/>
        <v>195.23608426219164</v>
      </c>
      <c r="AQ204" s="451">
        <f t="shared" si="77"/>
        <v>196.51563719921822</v>
      </c>
      <c r="AR204" s="451">
        <f t="shared" si="77"/>
        <v>197.7284835850254</v>
      </c>
      <c r="AS204" s="451">
        <f t="shared" si="77"/>
        <v>198.8781010123308</v>
      </c>
      <c r="AT204" s="451">
        <f t="shared" si="77"/>
        <v>199.96778577754918</v>
      </c>
      <c r="AU204" s="451">
        <f t="shared" si="77"/>
        <v>201.00066233225854</v>
      </c>
      <c r="AV204" s="451">
        <f t="shared" si="77"/>
        <v>201.97969224193568</v>
      </c>
      <c r="AW204" s="451">
        <f t="shared" si="77"/>
        <v>202.90768267764861</v>
      </c>
      <c r="AX204" s="451">
        <f t="shared" si="77"/>
        <v>203.78729446505423</v>
      </c>
      <c r="AY204" s="452">
        <f t="shared" si="77"/>
        <v>204.62104971377994</v>
      </c>
    </row>
    <row r="205" spans="1:51">
      <c r="A205" s="446" t="s">
        <v>2959</v>
      </c>
      <c r="B205" s="450">
        <f t="shared" si="76"/>
        <v>7.0689328859713552</v>
      </c>
      <c r="C205" s="451">
        <f t="shared" si="77"/>
        <v>14.369698136716529</v>
      </c>
      <c r="D205" s="451">
        <f t="shared" si="77"/>
        <v>21.541967331637562</v>
      </c>
      <c r="E205" s="451">
        <f t="shared" si="77"/>
        <v>28.51267627318699</v>
      </c>
      <c r="F205" s="451">
        <f t="shared" si="77"/>
        <v>35.250642077004798</v>
      </c>
      <c r="G205" s="451">
        <f t="shared" si="77"/>
        <v>41.746987388541662</v>
      </c>
      <c r="H205" s="451">
        <f t="shared" si="77"/>
        <v>47.980700711127561</v>
      </c>
      <c r="I205" s="451">
        <f t="shared" si="77"/>
        <v>53.925864208141782</v>
      </c>
      <c r="J205" s="451">
        <f t="shared" si="77"/>
        <v>59.641723748881354</v>
      </c>
      <c r="K205" s="451">
        <f t="shared" si="77"/>
        <v>65.083644011797688</v>
      </c>
      <c r="L205" s="451">
        <f t="shared" si="77"/>
        <v>70.302178243051259</v>
      </c>
      <c r="M205" s="451">
        <f t="shared" si="77"/>
        <v>75.296787022973902</v>
      </c>
      <c r="N205" s="451">
        <f t="shared" si="77"/>
        <v>80.02975889547298</v>
      </c>
      <c r="O205" s="451">
        <f t="shared" si="77"/>
        <v>84.55046652586843</v>
      </c>
      <c r="P205" s="451">
        <f t="shared" si="77"/>
        <v>88.867652559080511</v>
      </c>
      <c r="Q205" s="451">
        <f t="shared" si="77"/>
        <v>92.986957075656932</v>
      </c>
      <c r="R205" s="451">
        <f t="shared" si="77"/>
        <v>96.884761614834133</v>
      </c>
      <c r="S205" s="451">
        <f t="shared" si="77"/>
        <v>100.57041386849632</v>
      </c>
      <c r="T205" s="451">
        <f t="shared" si="77"/>
        <v>104.05103570691571</v>
      </c>
      <c r="U205" s="451">
        <f t="shared" si="77"/>
        <v>107.35020332627059</v>
      </c>
      <c r="V205" s="451">
        <f t="shared" si="77"/>
        <v>110.47737642518516</v>
      </c>
      <c r="W205" s="451">
        <f t="shared" si="77"/>
        <v>113.44152154263973</v>
      </c>
      <c r="X205" s="451">
        <f t="shared" si="77"/>
        <v>116.25113776771516</v>
      </c>
      <c r="Y205" s="451">
        <f t="shared" si="77"/>
        <v>118.91428110901889</v>
      </c>
      <c r="Z205" s="451">
        <f t="shared" si="77"/>
        <v>121.43858759366697</v>
      </c>
      <c r="AA205" s="451">
        <f t="shared" si="77"/>
        <v>123.83129516205376</v>
      </c>
      <c r="AB205" s="451">
        <f t="shared" si="77"/>
        <v>126.09926442118817</v>
      </c>
      <c r="AC205" s="451">
        <f t="shared" si="77"/>
        <v>128.2489983161023</v>
      </c>
      <c r="AD205" s="451">
        <f t="shared" si="77"/>
        <v>130.28666077573655</v>
      </c>
      <c r="AE205" s="451">
        <f t="shared" si="77"/>
        <v>132.21809438676428</v>
      </c>
      <c r="AF205" s="451">
        <f t="shared" si="77"/>
        <v>134.04883714603227</v>
      </c>
      <c r="AG205" s="451">
        <f t="shared" si="77"/>
        <v>135.78413833965121</v>
      </c>
      <c r="AH205" s="451">
        <f t="shared" si="77"/>
        <v>137.42897359426632</v>
      </c>
      <c r="AI205" s="451">
        <f t="shared" si="77"/>
        <v>138.98805914366454</v>
      </c>
      <c r="AJ205" s="451">
        <f t="shared" si="77"/>
        <v>140.46586535162493</v>
      </c>
      <c r="AK205" s="451">
        <f t="shared" si="77"/>
        <v>141.86662952978642</v>
      </c>
      <c r="AL205" s="451">
        <f t="shared" si="77"/>
        <v>143.19436808728548</v>
      </c>
      <c r="AM205" s="451">
        <f t="shared" si="77"/>
        <v>144.45288804700024</v>
      </c>
      <c r="AN205" s="451">
        <f t="shared" si="77"/>
        <v>145.64579796142181</v>
      </c>
      <c r="AO205" s="451">
        <f t="shared" si="77"/>
        <v>146.77651825945173</v>
      </c>
      <c r="AP205" s="451">
        <f t="shared" si="77"/>
        <v>147.84829105379288</v>
      </c>
      <c r="AQ205" s="451">
        <f t="shared" si="77"/>
        <v>148.86418943705462</v>
      </c>
      <c r="AR205" s="451">
        <f t="shared" si="77"/>
        <v>149.82712629322691</v>
      </c>
      <c r="AS205" s="451">
        <f t="shared" si="77"/>
        <v>150.73986264978831</v>
      </c>
      <c r="AT205" s="451">
        <f t="shared" si="77"/>
        <v>151.60501559439626</v>
      </c>
      <c r="AU205" s="451">
        <f t="shared" si="77"/>
        <v>152.42506577885879</v>
      </c>
      <c r="AV205" s="451">
        <f t="shared" si="77"/>
        <v>153.20236453190384</v>
      </c>
      <c r="AW205" s="451">
        <f t="shared" si="77"/>
        <v>153.93914060114085</v>
      </c>
      <c r="AX205" s="451">
        <f t="shared" si="77"/>
        <v>154.63750654354561</v>
      </c>
      <c r="AY205" s="452">
        <f t="shared" si="77"/>
        <v>155.29946478279183</v>
      </c>
    </row>
    <row r="206" spans="1:51">
      <c r="A206" s="446" t="s">
        <v>2938</v>
      </c>
      <c r="B206" s="447">
        <f t="shared" si="76"/>
        <v>6.1141123369011178E-3</v>
      </c>
      <c r="C206" s="448">
        <f t="shared" si="77"/>
        <v>1.1835653147838862E-2</v>
      </c>
      <c r="D206" s="448">
        <f t="shared" si="77"/>
        <v>1.718893701314065E-2</v>
      </c>
      <c r="E206" s="448">
        <f t="shared" si="77"/>
        <v>2.2163645558166009E-2</v>
      </c>
      <c r="F206" s="448">
        <f t="shared" si="77"/>
        <v>2.6784701836957338E-2</v>
      </c>
      <c r="G206" s="448">
        <f t="shared" si="77"/>
        <v>3.1082908421834338E-2</v>
      </c>
      <c r="H206" s="448">
        <f t="shared" si="77"/>
        <v>3.5157037886172721E-2</v>
      </c>
      <c r="I206" s="448">
        <f t="shared" si="77"/>
        <v>3.9012079195542004E-2</v>
      </c>
      <c r="J206" s="448">
        <f t="shared" si="77"/>
        <v>4.2666146787361234E-2</v>
      </c>
      <c r="K206" s="448">
        <f t="shared" si="77"/>
        <v>4.6123704820036415E-2</v>
      </c>
      <c r="L206" s="448">
        <f t="shared" si="77"/>
        <v>4.9401011012145592E-2</v>
      </c>
      <c r="M206" s="448">
        <f t="shared" ref="M206:AY206" si="78">(M195/(1+$C$3)^(M$16-0.5)+L206)</f>
        <v>5.2507462379073722E-2</v>
      </c>
      <c r="N206" s="448">
        <f t="shared" si="78"/>
        <v>5.5446845168468734E-2</v>
      </c>
      <c r="O206" s="448">
        <f t="shared" si="78"/>
        <v>5.8232989992539834E-2</v>
      </c>
      <c r="P206" s="448">
        <f t="shared" si="78"/>
        <v>6.0869284697021131E-2</v>
      </c>
      <c r="Q206" s="448">
        <f t="shared" si="78"/>
        <v>6.3368142236813835E-2</v>
      </c>
      <c r="R206" s="448">
        <f t="shared" si="78"/>
        <v>6.5736727582588902E-2</v>
      </c>
      <c r="S206" s="448">
        <f t="shared" si="78"/>
        <v>6.7981832175740636E-2</v>
      </c>
      <c r="T206" s="448">
        <f t="shared" si="78"/>
        <v>7.0109893401476872E-2</v>
      </c>
      <c r="U206" s="448">
        <f t="shared" si="78"/>
        <v>7.2127013046724489E-2</v>
      </c>
      <c r="V206" s="448">
        <f t="shared" si="78"/>
        <v>7.4038974795774357E-2</v>
      </c>
      <c r="W206" s="448">
        <f t="shared" si="78"/>
        <v>7.5851260813831103E-2</v>
      </c>
      <c r="X206" s="448">
        <f t="shared" si="78"/>
        <v>7.7569067466017591E-2</v>
      </c>
      <c r="Y206" s="448">
        <f t="shared" si="78"/>
        <v>7.9197320216905259E-2</v>
      </c>
      <c r="Z206" s="448">
        <f t="shared" si="78"/>
        <v>8.0740687753291684E-2</v>
      </c>
      <c r="AA206" s="448">
        <f t="shared" si="78"/>
        <v>8.220359537071957E-2</v>
      </c>
      <c r="AB206" s="448">
        <f t="shared" si="78"/>
        <v>8.3590237662120412E-2</v>
      </c>
      <c r="AC206" s="448">
        <f t="shared" si="78"/>
        <v>8.4904590544964811E-2</v>
      </c>
      <c r="AD206" s="448">
        <f t="shared" si="78"/>
        <v>8.6150422661405004E-2</v>
      </c>
      <c r="AE206" s="448">
        <f t="shared" si="78"/>
        <v>8.7331306184097124E-2</v>
      </c>
      <c r="AF206" s="448">
        <f t="shared" si="78"/>
        <v>8.8450627058686809E-2</v>
      </c>
      <c r="AG206" s="448">
        <f t="shared" si="78"/>
        <v>8.9511594712326323E-2</v>
      </c>
      <c r="AH206" s="448">
        <f t="shared" si="78"/>
        <v>9.0517251256060458E-2</v>
      </c>
      <c r="AI206" s="448">
        <f t="shared" si="78"/>
        <v>9.1470480207467217E-2</v>
      </c>
      <c r="AJ206" s="448">
        <f t="shared" si="78"/>
        <v>9.2374014758563674E-2</v>
      </c>
      <c r="AK206" s="448">
        <f t="shared" si="78"/>
        <v>9.3230445612683538E-2</v>
      </c>
      <c r="AL206" s="448">
        <f t="shared" si="78"/>
        <v>9.4042228412797163E-2</v>
      </c>
      <c r="AM206" s="448">
        <f t="shared" si="78"/>
        <v>9.4811690782573108E-2</v>
      </c>
      <c r="AN206" s="448">
        <f t="shared" si="78"/>
        <v>9.5541039000370212E-2</v>
      </c>
      <c r="AO206" s="448">
        <f t="shared" si="78"/>
        <v>9.6232364325296374E-2</v>
      </c>
      <c r="AP206" s="448">
        <f t="shared" si="78"/>
        <v>9.6887648993472825E-2</v>
      </c>
      <c r="AQ206" s="448">
        <f t="shared" si="78"/>
        <v>9.7508771901696961E-2</v>
      </c>
      <c r="AR206" s="448">
        <f t="shared" si="78"/>
        <v>9.8097513994800406E-2</v>
      </c>
      <c r="AS206" s="448">
        <f t="shared" si="78"/>
        <v>9.8655563372149632E-2</v>
      </c>
      <c r="AT206" s="448">
        <f t="shared" si="78"/>
        <v>9.91845201279309E-2</v>
      </c>
      <c r="AU206" s="448">
        <f t="shared" si="78"/>
        <v>9.9685900939097974E-2</v>
      </c>
      <c r="AV206" s="448">
        <f t="shared" si="78"/>
        <v>0.10016114341413786</v>
      </c>
      <c r="AW206" s="448">
        <f t="shared" si="78"/>
        <v>0.10061161021512352</v>
      </c>
      <c r="AX206" s="448">
        <f t="shared" si="78"/>
        <v>0.10103859296487297</v>
      </c>
      <c r="AY206" s="449">
        <f t="shared" si="78"/>
        <v>0.10144331595041747</v>
      </c>
    </row>
    <row r="207" spans="1:51">
      <c r="A207" s="446" t="s">
        <v>2939</v>
      </c>
      <c r="B207" s="450">
        <f t="shared" si="76"/>
        <v>0.85432063306221828</v>
      </c>
      <c r="C207" s="451">
        <f t="shared" ref="C207:L207" si="79">(C196/(1+$C$3)^(C$16-0.5)+B207)</f>
        <v>1.6641032236425202</v>
      </c>
      <c r="D207" s="451">
        <f t="shared" si="79"/>
        <v>2.4316696602115266</v>
      </c>
      <c r="E207" s="451">
        <f t="shared" si="79"/>
        <v>3.1592207849214855</v>
      </c>
      <c r="F207" s="451">
        <f t="shared" si="79"/>
        <v>3.8488427040778443</v>
      </c>
      <c r="G207" s="451">
        <f t="shared" si="79"/>
        <v>4.502512769628896</v>
      </c>
      <c r="H207" s="451">
        <f t="shared" si="79"/>
        <v>5.1221052488242051</v>
      </c>
      <c r="I207" s="451">
        <f t="shared" si="79"/>
        <v>5.7093966982984323</v>
      </c>
      <c r="J207" s="451">
        <f t="shared" si="79"/>
        <v>6.2660710579896426</v>
      </c>
      <c r="K207" s="451">
        <f t="shared" si="79"/>
        <v>6.7937244794978984</v>
      </c>
      <c r="L207" s="451">
        <f t="shared" si="79"/>
        <v>7.2938699027284732</v>
      </c>
      <c r="M207" s="451">
        <f t="shared" ref="M207:AY207" si="80">(M196/(1+$C$3)^(M$16-0.5)+L207)</f>
        <v>7.7679413939422881</v>
      </c>
      <c r="N207" s="451">
        <f t="shared" si="80"/>
        <v>8.2172982576520646</v>
      </c>
      <c r="O207" s="451">
        <f t="shared" si="80"/>
        <v>8.643228934154223</v>
      </c>
      <c r="P207" s="451">
        <f t="shared" si="80"/>
        <v>9.0469546938719088</v>
      </c>
      <c r="Q207" s="451">
        <f t="shared" si="80"/>
        <v>9.4296331391019432</v>
      </c>
      <c r="R207" s="451">
        <f t="shared" si="80"/>
        <v>9.7923615232062406</v>
      </c>
      <c r="S207" s="451">
        <f t="shared" si="80"/>
        <v>10.136179896764817</v>
      </c>
      <c r="T207" s="451">
        <f t="shared" si="80"/>
        <v>10.462074089711335</v>
      </c>
      <c r="U207" s="451">
        <f t="shared" si="80"/>
        <v>10.770978538001872</v>
      </c>
      <c r="V207" s="451">
        <f t="shared" si="80"/>
        <v>11.063778962921813</v>
      </c>
      <c r="W207" s="451">
        <f t="shared" si="80"/>
        <v>11.341314910713226</v>
      </c>
      <c r="X207" s="451">
        <f t="shared" si="80"/>
        <v>11.604382159804613</v>
      </c>
      <c r="Y207" s="451">
        <f t="shared" si="80"/>
        <v>11.853735002545264</v>
      </c>
      <c r="Z207" s="451">
        <f t="shared" si="80"/>
        <v>12.09008840798664</v>
      </c>
      <c r="AA207" s="451">
        <f t="shared" si="80"/>
        <v>12.314120071912114</v>
      </c>
      <c r="AB207" s="451">
        <f t="shared" si="80"/>
        <v>12.526472359993132</v>
      </c>
      <c r="AC207" s="451">
        <f t="shared" si="80"/>
        <v>12.727754149643387</v>
      </c>
      <c r="AD207" s="451">
        <f t="shared" si="80"/>
        <v>12.918542575852159</v>
      </c>
      <c r="AE207" s="451">
        <f t="shared" si="80"/>
        <v>13.099384686002654</v>
      </c>
      <c r="AF207" s="451">
        <f t="shared" si="80"/>
        <v>13.270799008420186</v>
      </c>
      <c r="AG207" s="451">
        <f t="shared" si="80"/>
        <v>13.433277039147702</v>
      </c>
      <c r="AH207" s="451">
        <f t="shared" si="80"/>
        <v>13.5872846512117</v>
      </c>
      <c r="AI207" s="451">
        <f t="shared" si="80"/>
        <v>13.73326343041928</v>
      </c>
      <c r="AJ207" s="451">
        <f t="shared" si="80"/>
        <v>13.871631941516512</v>
      </c>
      <c r="AK207" s="451">
        <f t="shared" si="80"/>
        <v>14.002786928338534</v>
      </c>
      <c r="AL207" s="451">
        <f t="shared" si="80"/>
        <v>14.127104451392583</v>
      </c>
      <c r="AM207" s="451">
        <f t="shared" si="80"/>
        <v>14.244940966135758</v>
      </c>
      <c r="AN207" s="451">
        <f t="shared" si="80"/>
        <v>14.356634345039241</v>
      </c>
      <c r="AO207" s="451">
        <f t="shared" si="80"/>
        <v>14.462504846369557</v>
      </c>
      <c r="AP207" s="451">
        <f t="shared" si="80"/>
        <v>14.562856032464643</v>
      </c>
      <c r="AQ207" s="451">
        <f t="shared" si="80"/>
        <v>14.65797564013771</v>
      </c>
      <c r="AR207" s="451">
        <f t="shared" si="80"/>
        <v>14.748136405704599</v>
      </c>
      <c r="AS207" s="451">
        <f t="shared" si="80"/>
        <v>14.833596847000228</v>
      </c>
      <c r="AT207" s="451">
        <f t="shared" si="80"/>
        <v>14.914602004626417</v>
      </c>
      <c r="AU207" s="451">
        <f t="shared" si="80"/>
        <v>14.991384144556454</v>
      </c>
      <c r="AV207" s="451">
        <f t="shared" si="80"/>
        <v>15.064163424110991</v>
      </c>
      <c r="AW207" s="451">
        <f t="shared" si="80"/>
        <v>15.133148523214818</v>
      </c>
      <c r="AX207" s="451">
        <f t="shared" si="80"/>
        <v>15.198537242744511</v>
      </c>
      <c r="AY207" s="452">
        <f t="shared" si="80"/>
        <v>15.260517071682608</v>
      </c>
    </row>
    <row r="208" spans="1:51" ht="12.75" thickBot="1">
      <c r="A208" s="453" t="s">
        <v>2940</v>
      </c>
      <c r="B208" s="454">
        <f t="shared" si="76"/>
        <v>0.85432063306221828</v>
      </c>
      <c r="C208" s="455">
        <f t="shared" ref="C208:L208" si="81">(C197/(1+$C$3)^(C$16-0.5)+B208)</f>
        <v>1.6641032236425202</v>
      </c>
      <c r="D208" s="455">
        <f t="shared" si="81"/>
        <v>2.4316696602115266</v>
      </c>
      <c r="E208" s="455">
        <f t="shared" si="81"/>
        <v>3.1592207849214855</v>
      </c>
      <c r="F208" s="455">
        <f t="shared" si="81"/>
        <v>3.8488427040778443</v>
      </c>
      <c r="G208" s="455">
        <f t="shared" si="81"/>
        <v>4.502512769628896</v>
      </c>
      <c r="H208" s="455">
        <f t="shared" si="81"/>
        <v>5.1221052488242051</v>
      </c>
      <c r="I208" s="455">
        <f t="shared" si="81"/>
        <v>5.7093966982984323</v>
      </c>
      <c r="J208" s="455">
        <f t="shared" si="81"/>
        <v>6.2660710579896426</v>
      </c>
      <c r="K208" s="455">
        <f t="shared" si="81"/>
        <v>6.7937244794978984</v>
      </c>
      <c r="L208" s="455">
        <f t="shared" si="81"/>
        <v>7.2938699027284732</v>
      </c>
      <c r="M208" s="455">
        <f t="shared" ref="M208:AY208" si="82">(M197/(1+$C$3)^(M$16-0.5)+L208)</f>
        <v>7.7679413939422881</v>
      </c>
      <c r="N208" s="455">
        <f t="shared" si="82"/>
        <v>8.2172982576520646</v>
      </c>
      <c r="O208" s="455">
        <f t="shared" si="82"/>
        <v>8.643228934154223</v>
      </c>
      <c r="P208" s="455">
        <f t="shared" si="82"/>
        <v>9.0469546938719088</v>
      </c>
      <c r="Q208" s="455">
        <f t="shared" si="82"/>
        <v>9.4296331391019432</v>
      </c>
      <c r="R208" s="455">
        <f t="shared" si="82"/>
        <v>9.7923615232062406</v>
      </c>
      <c r="S208" s="455">
        <f t="shared" si="82"/>
        <v>10.136179896764817</v>
      </c>
      <c r="T208" s="455">
        <f t="shared" si="82"/>
        <v>10.462074089711335</v>
      </c>
      <c r="U208" s="455">
        <f t="shared" si="82"/>
        <v>10.770978538001872</v>
      </c>
      <c r="V208" s="455">
        <f t="shared" si="82"/>
        <v>11.063778962921813</v>
      </c>
      <c r="W208" s="455">
        <f t="shared" si="82"/>
        <v>11.341314910713226</v>
      </c>
      <c r="X208" s="455">
        <f t="shared" si="82"/>
        <v>11.604382159804613</v>
      </c>
      <c r="Y208" s="455">
        <f t="shared" si="82"/>
        <v>11.853735002545264</v>
      </c>
      <c r="Z208" s="455">
        <f t="shared" si="82"/>
        <v>12.09008840798664</v>
      </c>
      <c r="AA208" s="455">
        <f t="shared" si="82"/>
        <v>12.314120071912114</v>
      </c>
      <c r="AB208" s="455">
        <f t="shared" si="82"/>
        <v>12.526472359993132</v>
      </c>
      <c r="AC208" s="455">
        <f t="shared" si="82"/>
        <v>12.727754149643387</v>
      </c>
      <c r="AD208" s="455">
        <f t="shared" si="82"/>
        <v>12.918542575852159</v>
      </c>
      <c r="AE208" s="455">
        <f t="shared" si="82"/>
        <v>13.099384686002654</v>
      </c>
      <c r="AF208" s="455">
        <f t="shared" si="82"/>
        <v>13.270799008420186</v>
      </c>
      <c r="AG208" s="455">
        <f t="shared" si="82"/>
        <v>13.433277039147702</v>
      </c>
      <c r="AH208" s="455">
        <f t="shared" si="82"/>
        <v>13.5872846512117</v>
      </c>
      <c r="AI208" s="455">
        <f t="shared" si="82"/>
        <v>13.73326343041928</v>
      </c>
      <c r="AJ208" s="455">
        <f t="shared" si="82"/>
        <v>13.871631941516512</v>
      </c>
      <c r="AK208" s="455">
        <f t="shared" si="82"/>
        <v>14.002786928338534</v>
      </c>
      <c r="AL208" s="455">
        <f t="shared" si="82"/>
        <v>14.127104451392583</v>
      </c>
      <c r="AM208" s="455">
        <f t="shared" si="82"/>
        <v>14.244940966135758</v>
      </c>
      <c r="AN208" s="455">
        <f t="shared" si="82"/>
        <v>14.356634345039241</v>
      </c>
      <c r="AO208" s="455">
        <f t="shared" si="82"/>
        <v>14.462504846369557</v>
      </c>
      <c r="AP208" s="455">
        <f t="shared" si="82"/>
        <v>14.562856032464643</v>
      </c>
      <c r="AQ208" s="455">
        <f t="shared" si="82"/>
        <v>14.65797564013771</v>
      </c>
      <c r="AR208" s="455">
        <f t="shared" si="82"/>
        <v>14.748136405704599</v>
      </c>
      <c r="AS208" s="455">
        <f t="shared" si="82"/>
        <v>14.833596847000228</v>
      </c>
      <c r="AT208" s="455">
        <f t="shared" si="82"/>
        <v>14.914602004626417</v>
      </c>
      <c r="AU208" s="455">
        <f t="shared" si="82"/>
        <v>14.991384144556454</v>
      </c>
      <c r="AV208" s="455">
        <f t="shared" si="82"/>
        <v>15.064163424110991</v>
      </c>
      <c r="AW208" s="455">
        <f t="shared" si="82"/>
        <v>15.133148523214818</v>
      </c>
      <c r="AX208" s="455">
        <f t="shared" si="82"/>
        <v>15.198537242744511</v>
      </c>
      <c r="AY208" s="456">
        <f t="shared" si="82"/>
        <v>15.260517071682608</v>
      </c>
    </row>
    <row r="210" spans="2:51">
      <c r="B210" s="433">
        <v>2</v>
      </c>
      <c r="C210" s="433">
        <f>B210+1</f>
        <v>3</v>
      </c>
      <c r="D210" s="433">
        <f t="shared" ref="D210:AY210" si="83">C210+1</f>
        <v>4</v>
      </c>
      <c r="E210" s="433">
        <f t="shared" si="83"/>
        <v>5</v>
      </c>
      <c r="F210" s="433">
        <f t="shared" si="83"/>
        <v>6</v>
      </c>
      <c r="G210" s="433">
        <f t="shared" si="83"/>
        <v>7</v>
      </c>
      <c r="H210" s="433">
        <f t="shared" si="83"/>
        <v>8</v>
      </c>
      <c r="I210" s="433">
        <f t="shared" si="83"/>
        <v>9</v>
      </c>
      <c r="J210" s="433">
        <f t="shared" si="83"/>
        <v>10</v>
      </c>
      <c r="K210" s="433">
        <f t="shared" si="83"/>
        <v>11</v>
      </c>
      <c r="L210" s="433">
        <f t="shared" si="83"/>
        <v>12</v>
      </c>
      <c r="M210" s="433">
        <f t="shared" si="83"/>
        <v>13</v>
      </c>
      <c r="N210" s="433">
        <f t="shared" si="83"/>
        <v>14</v>
      </c>
      <c r="O210" s="433">
        <f t="shared" si="83"/>
        <v>15</v>
      </c>
      <c r="P210" s="433">
        <f t="shared" si="83"/>
        <v>16</v>
      </c>
      <c r="Q210" s="433">
        <f t="shared" si="83"/>
        <v>17</v>
      </c>
      <c r="R210" s="433">
        <f t="shared" si="83"/>
        <v>18</v>
      </c>
      <c r="S210" s="433">
        <f t="shared" si="83"/>
        <v>19</v>
      </c>
      <c r="T210" s="433">
        <f t="shared" si="83"/>
        <v>20</v>
      </c>
      <c r="U210" s="433">
        <f t="shared" si="83"/>
        <v>21</v>
      </c>
      <c r="V210" s="433">
        <f t="shared" si="83"/>
        <v>22</v>
      </c>
      <c r="W210" s="433">
        <f t="shared" si="83"/>
        <v>23</v>
      </c>
      <c r="X210" s="433">
        <f t="shared" si="83"/>
        <v>24</v>
      </c>
      <c r="Y210" s="433">
        <f t="shared" si="83"/>
        <v>25</v>
      </c>
      <c r="Z210" s="433">
        <f t="shared" si="83"/>
        <v>26</v>
      </c>
      <c r="AA210" s="433">
        <f t="shared" si="83"/>
        <v>27</v>
      </c>
      <c r="AB210" s="433">
        <f t="shared" si="83"/>
        <v>28</v>
      </c>
      <c r="AC210" s="433">
        <f t="shared" si="83"/>
        <v>29</v>
      </c>
      <c r="AD210" s="433">
        <f t="shared" si="83"/>
        <v>30</v>
      </c>
      <c r="AE210" s="433">
        <f t="shared" si="83"/>
        <v>31</v>
      </c>
      <c r="AF210" s="433">
        <f t="shared" si="83"/>
        <v>32</v>
      </c>
      <c r="AG210" s="433">
        <f t="shared" si="83"/>
        <v>33</v>
      </c>
      <c r="AH210" s="433">
        <f t="shared" si="83"/>
        <v>34</v>
      </c>
      <c r="AI210" s="433">
        <f t="shared" si="83"/>
        <v>35</v>
      </c>
      <c r="AJ210" s="433">
        <f t="shared" si="83"/>
        <v>36</v>
      </c>
      <c r="AK210" s="433">
        <f t="shared" si="83"/>
        <v>37</v>
      </c>
      <c r="AL210" s="433">
        <f t="shared" si="83"/>
        <v>38</v>
      </c>
      <c r="AM210" s="433">
        <f t="shared" si="83"/>
        <v>39</v>
      </c>
      <c r="AN210" s="433">
        <f t="shared" si="83"/>
        <v>40</v>
      </c>
      <c r="AO210" s="433">
        <f t="shared" si="83"/>
        <v>41</v>
      </c>
      <c r="AP210" s="433">
        <f t="shared" si="83"/>
        <v>42</v>
      </c>
      <c r="AQ210" s="433">
        <f t="shared" si="83"/>
        <v>43</v>
      </c>
      <c r="AR210" s="433">
        <f t="shared" si="83"/>
        <v>44</v>
      </c>
      <c r="AS210" s="433">
        <f t="shared" si="83"/>
        <v>45</v>
      </c>
      <c r="AT210" s="433">
        <f t="shared" si="83"/>
        <v>46</v>
      </c>
      <c r="AU210" s="433">
        <f t="shared" si="83"/>
        <v>47</v>
      </c>
      <c r="AV210" s="433">
        <f t="shared" si="83"/>
        <v>48</v>
      </c>
      <c r="AW210" s="433">
        <f t="shared" si="83"/>
        <v>49</v>
      </c>
      <c r="AX210" s="433">
        <f t="shared" si="83"/>
        <v>50</v>
      </c>
      <c r="AY210" s="433">
        <f t="shared" si="83"/>
        <v>51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27" enableFormatConditionsCalculation="0">
    <tabColor theme="0" tint="-0.34998626667073579"/>
  </sheetPr>
  <dimension ref="A1:AX209"/>
  <sheetViews>
    <sheetView showGridLines="0" zoomScale="90" zoomScaleNormal="90" workbookViewId="0">
      <selection activeCell="D10" sqref="D10"/>
    </sheetView>
  </sheetViews>
  <sheetFormatPr defaultRowHeight="12"/>
  <cols>
    <col min="1" max="1" width="3" style="511" bestFit="1" customWidth="1"/>
    <col min="2" max="2" width="16.28515625" style="511" customWidth="1"/>
    <col min="3" max="3" width="19.85546875" style="511" customWidth="1"/>
    <col min="4" max="4" width="20" style="511" customWidth="1"/>
    <col min="5" max="5" width="10.28515625" style="511" customWidth="1"/>
    <col min="6" max="6" width="11.7109375" style="511" customWidth="1"/>
    <col min="7" max="7" width="20" style="511" customWidth="1"/>
    <col min="8" max="8" width="9" style="511" customWidth="1"/>
    <col min="9" max="9" width="11.7109375" style="511" customWidth="1"/>
    <col min="10" max="10" width="9.28515625" style="511" customWidth="1"/>
    <col min="11" max="11" width="13.5703125" style="511" customWidth="1"/>
    <col min="12" max="13" width="9.28515625" style="511" customWidth="1"/>
    <col min="14" max="16" width="9.7109375" style="511" customWidth="1"/>
    <col min="17" max="17" width="10" style="511" customWidth="1"/>
    <col min="18" max="18" width="8.5703125" style="511" customWidth="1"/>
    <col min="19" max="20" width="9.5703125" style="511" customWidth="1"/>
    <col min="21" max="21" width="9.7109375" style="511" customWidth="1"/>
    <col min="22" max="22" width="10.28515625" style="511" customWidth="1"/>
    <col min="23" max="23" width="8.7109375" style="511" bestFit="1" customWidth="1"/>
    <col min="24" max="24" width="8.5703125" style="511" customWidth="1"/>
    <col min="25" max="25" width="10.28515625" style="511" customWidth="1"/>
    <col min="26" max="26" width="10.7109375" style="511" customWidth="1"/>
    <col min="27" max="27" width="9.7109375" style="511" customWidth="1"/>
    <col min="28" max="28" width="6.5703125" style="511" customWidth="1"/>
    <col min="29" max="29" width="9.140625" style="511" hidden="1" customWidth="1"/>
    <col min="30" max="30" width="12.42578125" style="511" hidden="1" customWidth="1"/>
    <col min="31" max="31" width="13.42578125" style="511" hidden="1" customWidth="1"/>
    <col min="32" max="32" width="12" style="511" hidden="1" customWidth="1"/>
    <col min="33" max="33" width="13.28515625" style="511" hidden="1" customWidth="1"/>
    <col min="34" max="35" width="9.140625" style="511" hidden="1" customWidth="1"/>
    <col min="36" max="36" width="10.7109375" style="511" hidden="1" customWidth="1"/>
    <col min="37" max="37" width="10" style="511" hidden="1" customWidth="1"/>
    <col min="38" max="39" width="9.140625" style="511" hidden="1" customWidth="1"/>
    <col min="40" max="40" width="11.5703125" style="511" hidden="1" customWidth="1"/>
    <col min="41" max="48" width="9.140625" style="511" hidden="1" customWidth="1"/>
    <col min="49" max="49" width="9.140625" style="511"/>
    <col min="50" max="50" width="49.140625" style="511" customWidth="1"/>
    <col min="51" max="16384" width="9.140625" style="511"/>
  </cols>
  <sheetData>
    <row r="1" spans="1:50" ht="18.75">
      <c r="B1" s="564" t="s">
        <v>2527</v>
      </c>
    </row>
    <row r="2" spans="1:50">
      <c r="Z2" s="563" t="s">
        <v>2517</v>
      </c>
      <c r="AA2" s="605">
        <v>0.03</v>
      </c>
    </row>
    <row r="3" spans="1:50">
      <c r="A3" s="480"/>
      <c r="B3" s="480" t="s">
        <v>2998</v>
      </c>
      <c r="C3" s="480"/>
      <c r="AW3" s="513"/>
    </row>
    <row r="4" spans="1:50" ht="12.75" thickBot="1">
      <c r="A4" s="512"/>
      <c r="B4" s="512"/>
      <c r="C4" s="512"/>
      <c r="D4" s="512"/>
      <c r="E4" s="512"/>
      <c r="F4" s="512"/>
      <c r="G4" s="512"/>
      <c r="H4" s="512"/>
      <c r="I4" s="512"/>
      <c r="J4" s="512"/>
      <c r="K4" s="512"/>
      <c r="L4" s="512"/>
      <c r="M4" s="512"/>
      <c r="N4" s="512"/>
      <c r="O4" s="512"/>
      <c r="P4" s="512"/>
      <c r="Q4" s="512"/>
      <c r="R4" s="512"/>
      <c r="S4" s="512"/>
      <c r="T4" s="512"/>
      <c r="U4" s="512"/>
      <c r="V4" s="512"/>
      <c r="W4" s="512"/>
      <c r="X4" s="512"/>
      <c r="Y4" s="512"/>
      <c r="Z4" s="512"/>
      <c r="AA4" s="512"/>
      <c r="AB4" s="512"/>
      <c r="AD4" s="513"/>
      <c r="AE4" s="513"/>
      <c r="AF4" s="513"/>
      <c r="AG4" s="513"/>
      <c r="AH4" s="513"/>
      <c r="AI4" s="513"/>
      <c r="AJ4" s="513"/>
      <c r="AK4" s="513"/>
      <c r="AL4" s="513"/>
      <c r="AM4" s="513"/>
      <c r="AN4" s="513"/>
      <c r="AO4" s="513"/>
      <c r="AP4" s="513"/>
      <c r="AQ4" s="513"/>
      <c r="AR4" s="513"/>
      <c r="AS4" s="513"/>
      <c r="AT4" s="513"/>
      <c r="AU4" s="513"/>
      <c r="AW4" s="513"/>
    </row>
    <row r="5" spans="1:50" s="513" customFormat="1" ht="12.75" customHeight="1">
      <c r="A5" s="2208" t="s">
        <v>2292</v>
      </c>
      <c r="B5" s="2223" t="s">
        <v>2602</v>
      </c>
      <c r="C5" s="2221" t="s">
        <v>2743</v>
      </c>
      <c r="D5" s="2217" t="s">
        <v>2518</v>
      </c>
      <c r="E5" s="2218"/>
      <c r="F5" s="2219"/>
      <c r="G5" s="2217" t="s">
        <v>2519</v>
      </c>
      <c r="H5" s="2218"/>
      <c r="I5" s="2218"/>
      <c r="J5" s="2218"/>
      <c r="K5" s="2218"/>
      <c r="L5" s="2218"/>
      <c r="M5" s="2220"/>
      <c r="N5" s="2225" t="s">
        <v>2520</v>
      </c>
      <c r="O5" s="2218"/>
      <c r="P5" s="2218"/>
      <c r="Q5" s="2218"/>
      <c r="R5" s="2218"/>
      <c r="S5" s="2218"/>
      <c r="T5" s="2218"/>
      <c r="U5" s="2218"/>
      <c r="V5" s="2218"/>
      <c r="W5" s="2218"/>
      <c r="X5" s="2218"/>
      <c r="Y5" s="2218"/>
      <c r="Z5" s="2218"/>
      <c r="AA5" s="2226"/>
      <c r="AD5" s="2250" t="s">
        <v>2963</v>
      </c>
      <c r="AE5" s="2205" t="s">
        <v>2964</v>
      </c>
      <c r="AF5" s="2205" t="s">
        <v>2965</v>
      </c>
      <c r="AG5" s="2205" t="s">
        <v>2966</v>
      </c>
      <c r="AH5" s="2202" t="s">
        <v>2967</v>
      </c>
      <c r="AI5" s="583"/>
      <c r="AJ5" s="2250" t="s">
        <v>2968</v>
      </c>
      <c r="AK5" s="2205" t="s">
        <v>2969</v>
      </c>
      <c r="AL5" s="2205" t="s">
        <v>2970</v>
      </c>
      <c r="AM5" s="2205" t="s">
        <v>2971</v>
      </c>
      <c r="AN5" s="2205" t="s">
        <v>2972</v>
      </c>
      <c r="AO5" s="2205" t="s">
        <v>2973</v>
      </c>
      <c r="AP5" s="2205" t="s">
        <v>2974</v>
      </c>
      <c r="AQ5" s="2205" t="s">
        <v>2976</v>
      </c>
      <c r="AR5" s="2205" t="s">
        <v>2977</v>
      </c>
      <c r="AS5" s="2205" t="s">
        <v>2975</v>
      </c>
      <c r="AT5" s="2205" t="s">
        <v>4609</v>
      </c>
      <c r="AU5" s="2205" t="s">
        <v>4608</v>
      </c>
      <c r="AV5" s="2202" t="s">
        <v>4597</v>
      </c>
    </row>
    <row r="6" spans="1:50" s="513" customFormat="1" ht="12.75" customHeight="1" thickBot="1">
      <c r="A6" s="2209"/>
      <c r="B6" s="2224"/>
      <c r="C6" s="2222"/>
      <c r="D6" s="2215" t="s">
        <v>2523</v>
      </c>
      <c r="E6" s="2211" t="s">
        <v>2597</v>
      </c>
      <c r="F6" s="2211" t="s">
        <v>2742</v>
      </c>
      <c r="G6" s="2215" t="s">
        <v>2523</v>
      </c>
      <c r="H6" s="2213" t="s">
        <v>2597</v>
      </c>
      <c r="I6" s="2211" t="s">
        <v>2742</v>
      </c>
      <c r="J6" s="2211" t="s">
        <v>3008</v>
      </c>
      <c r="K6" s="2211" t="s">
        <v>4429</v>
      </c>
      <c r="L6" s="2211" t="s">
        <v>2745</v>
      </c>
      <c r="M6" s="2211" t="s">
        <v>528</v>
      </c>
      <c r="N6" s="2231" t="s">
        <v>2525</v>
      </c>
      <c r="O6" s="2231"/>
      <c r="P6" s="2231"/>
      <c r="Q6" s="2222"/>
      <c r="R6" s="2234" t="s">
        <v>3005</v>
      </c>
      <c r="S6" s="2236" t="s">
        <v>3006</v>
      </c>
      <c r="T6" s="2257" t="s">
        <v>3007</v>
      </c>
      <c r="U6" s="2232" t="s">
        <v>3001</v>
      </c>
      <c r="V6" s="2232" t="s">
        <v>3002</v>
      </c>
      <c r="W6" s="2232" t="s">
        <v>3003</v>
      </c>
      <c r="X6" s="2232" t="s">
        <v>3000</v>
      </c>
      <c r="Y6" s="2232" t="s">
        <v>2978</v>
      </c>
      <c r="Z6" s="2227" t="s">
        <v>2521</v>
      </c>
      <c r="AA6" s="2229" t="s">
        <v>2522</v>
      </c>
      <c r="AD6" s="2251"/>
      <c r="AE6" s="2206"/>
      <c r="AF6" s="2206"/>
      <c r="AG6" s="2206"/>
      <c r="AH6" s="2203"/>
      <c r="AI6" s="583"/>
      <c r="AJ6" s="2251"/>
      <c r="AK6" s="2206"/>
      <c r="AL6" s="2206"/>
      <c r="AM6" s="2206"/>
      <c r="AN6" s="2206"/>
      <c r="AO6" s="2206"/>
      <c r="AP6" s="2206"/>
      <c r="AQ6" s="2206"/>
      <c r="AR6" s="2206"/>
      <c r="AS6" s="2206"/>
      <c r="AT6" s="2206"/>
      <c r="AU6" s="2206"/>
      <c r="AV6" s="2203"/>
    </row>
    <row r="7" spans="1:50" s="513" customFormat="1" ht="27" customHeight="1" thickBot="1">
      <c r="A7" s="2210"/>
      <c r="B7" s="2224"/>
      <c r="C7" s="2222"/>
      <c r="D7" s="2216"/>
      <c r="E7" s="2212"/>
      <c r="F7" s="2212"/>
      <c r="G7" s="2216"/>
      <c r="H7" s="2214"/>
      <c r="I7" s="2212"/>
      <c r="J7" s="2212"/>
      <c r="K7" s="2212"/>
      <c r="L7" s="2212"/>
      <c r="M7" s="2212"/>
      <c r="N7" s="591" t="s">
        <v>2912</v>
      </c>
      <c r="O7" s="585" t="s">
        <v>2915</v>
      </c>
      <c r="P7" s="585" t="s">
        <v>2913</v>
      </c>
      <c r="Q7" s="585" t="s">
        <v>2914</v>
      </c>
      <c r="R7" s="2235"/>
      <c r="S7" s="2237"/>
      <c r="T7" s="2258"/>
      <c r="U7" s="2233"/>
      <c r="V7" s="2233"/>
      <c r="W7" s="2233"/>
      <c r="X7" s="2233"/>
      <c r="Y7" s="2233"/>
      <c r="Z7" s="2228"/>
      <c r="AA7" s="2230"/>
      <c r="AD7" s="2252"/>
      <c r="AE7" s="2207"/>
      <c r="AF7" s="2207"/>
      <c r="AG7" s="2207"/>
      <c r="AH7" s="2204"/>
      <c r="AI7" s="466"/>
      <c r="AJ7" s="2252"/>
      <c r="AK7" s="2207"/>
      <c r="AL7" s="2207"/>
      <c r="AM7" s="2207"/>
      <c r="AN7" s="2207"/>
      <c r="AO7" s="2207"/>
      <c r="AP7" s="2207"/>
      <c r="AQ7" s="2207"/>
      <c r="AR7" s="2207"/>
      <c r="AS7" s="2207"/>
      <c r="AT7" s="2207"/>
      <c r="AU7" s="2207"/>
      <c r="AV7" s="2204"/>
      <c r="AW7" s="511"/>
      <c r="AX7" s="1853" t="s">
        <v>4448</v>
      </c>
    </row>
    <row r="8" spans="1:50" s="513" customFormat="1" ht="12.75" customHeight="1" thickBot="1">
      <c r="A8" s="565"/>
      <c r="B8" s="566"/>
      <c r="C8" s="566"/>
      <c r="D8" s="569"/>
      <c r="E8" s="566"/>
      <c r="F8" s="566"/>
      <c r="G8" s="569"/>
      <c r="H8" s="566"/>
      <c r="I8" s="566"/>
      <c r="J8" s="566"/>
      <c r="K8" s="566"/>
      <c r="L8" s="566"/>
      <c r="M8" s="566"/>
      <c r="N8" s="566"/>
      <c r="O8" s="566"/>
      <c r="P8" s="566"/>
      <c r="Q8" s="566"/>
      <c r="R8" s="566"/>
      <c r="S8" s="566"/>
      <c r="T8" s="566"/>
      <c r="U8" s="566"/>
      <c r="V8" s="567"/>
      <c r="W8" s="567"/>
      <c r="X8" s="568"/>
      <c r="Y8" s="568"/>
      <c r="Z8" s="566"/>
      <c r="AA8" s="570"/>
      <c r="AD8" s="1449"/>
      <c r="AE8" s="1450"/>
      <c r="AF8" s="1450"/>
      <c r="AG8" s="1450"/>
      <c r="AH8" s="1451"/>
      <c r="AI8" s="466"/>
      <c r="AJ8" s="1446"/>
      <c r="AK8" s="1447"/>
      <c r="AL8" s="1447"/>
      <c r="AM8" s="1447"/>
      <c r="AN8" s="1447"/>
      <c r="AO8" s="1447"/>
      <c r="AP8" s="1447"/>
      <c r="AQ8" s="1447"/>
      <c r="AR8" s="1447"/>
      <c r="AS8" s="1447"/>
      <c r="AT8" s="1447"/>
      <c r="AU8" s="1447"/>
      <c r="AV8" s="1448"/>
      <c r="AW8" s="511"/>
      <c r="AX8" s="1854"/>
    </row>
    <row r="9" spans="1:50">
      <c r="A9" s="515">
        <v>1</v>
      </c>
      <c r="B9" s="516">
        <f>'Results from eQUEST'!K29</f>
        <v>0</v>
      </c>
      <c r="C9" s="559"/>
      <c r="D9" s="1561" t="e">
        <f>INDEX(ERMs!$B$11:$E$83,MATCH(A9,ERMs!$B$11:$B$83,0),4)</f>
        <v>#N/A</v>
      </c>
      <c r="E9" s="560"/>
      <c r="F9" s="561"/>
      <c r="G9" s="1561" t="e">
        <f>INDEX(ERMs!$B$11:$E$83,MATCH(A9,ERMs!$B$11:$B$83,0),2)</f>
        <v>#N/A</v>
      </c>
      <c r="H9" s="560"/>
      <c r="I9" s="559"/>
      <c r="J9" s="592" t="str">
        <f>IF(C9="","",VLOOKUP(C9,'Demand Savings Lookup'!$A$3:$G$42,6,FALSE))</f>
        <v/>
      </c>
      <c r="K9" s="562"/>
      <c r="L9" s="562"/>
      <c r="M9" s="592" t="str">
        <f>IF(C9="","",VLOOKUP(C9,'Demand Savings Lookup'!$A$1:$G$42,7,FALSE))</f>
        <v/>
      </c>
      <c r="N9" s="517">
        <f>IF(B9=0,0,(('Results from eQUEST'!BB18+'Results from eQUEST'!BH18)/10-('Results from eQUEST'!BB29+'Results from eQUEST'!BH29)/10))</f>
        <v>0</v>
      </c>
      <c r="O9" s="517">
        <f>IF(B9=0,0,('Results from eQUEST'!BK18-'Results from eQUEST'!BK29)/10-N9)</f>
        <v>0</v>
      </c>
      <c r="P9" s="517">
        <f>IF(B9=0,0,(('Results from eQUEST'!Q18+'Results from eQUEST'!R18)-('Results from eQUEST'!Q29+'Results from eQUEST'!R29)))</f>
        <v>0</v>
      </c>
      <c r="Q9" s="518">
        <f>IF(B9=0,0,'Results from eQUEST'!Y18-'Results from eQUEST'!Y29-P9)</f>
        <v>0</v>
      </c>
      <c r="R9" s="519">
        <f>IF(P9+Q9&lt;=0,0,IF(AND(P9=0,Q9=0),0,IF(B9=0,0,P9*VLOOKUP(C9,'Demand Savings Lookup'!$A$3:$E$42,IF('Basic Info'!$C$52=4,5,3),FALSE)+Q9*VLOOKUP(C9,'Demand Savings Lookup'!$A$3:$E$42,IF('Basic Info'!$C$52=4,4,2),FALSE))))</f>
        <v>0</v>
      </c>
      <c r="S9" s="520"/>
      <c r="T9" s="520"/>
      <c r="U9" s="595" t="str">
        <f>IF(H9="","",H9-E9)</f>
        <v/>
      </c>
      <c r="V9" s="596" t="str">
        <f>IF(B9=0,"",(P9+Q9)*'Reporting Summary'!$C$114+(N9+O9)*'Reporting Summary'!$C$115*10+0.00309*S9*1000)</f>
        <v/>
      </c>
      <c r="W9" s="597" t="str">
        <f>IF(V9="","",IF(V9&gt;0,U9/V9,0))</f>
        <v/>
      </c>
      <c r="X9" s="597" t="str">
        <f>IF(V9="","",IF(V9&gt;0, -PV($AA$2, J9, V9)/U9, 0))</f>
        <v/>
      </c>
      <c r="Y9" s="594" t="str">
        <f>IF(K9="","",IF(OR(AND((P9+Q9)=0,K9="steam")=TRUE,AND((P9+Q9)=0,K9="propane"))=TRUE,0,IF(U9=0,0,AS9/U9)))</f>
        <v/>
      </c>
      <c r="Z9" s="598" t="str">
        <f>IF(X9="","",(X9-1)*U9)</f>
        <v/>
      </c>
      <c r="AA9" s="599" t="str">
        <f>IF(V9="","",IF(V9=0,0,J9*V9))</f>
        <v/>
      </c>
      <c r="AD9" s="1453"/>
      <c r="AE9" s="521">
        <f>IF(Y9="N/A",0,IF(OR(AD9="no",Y9&lt;0.95)=TRUE,0,IF(OR(AG9="EEPS-Gas",AG9="EEPS-Electric")=FALSE,0,AS9)))</f>
        <v>0</v>
      </c>
      <c r="AF9" s="521">
        <f>IF(Y9="N/A",0,IF(OR(AD9="no",Y9&lt;0.95)=TRUE,0,IF(OR(AG9="EEPS-Gas",AG9="EEPS-Electric")=FALSE,0,(U9))))</f>
        <v>0</v>
      </c>
      <c r="AG9" s="580"/>
      <c r="AH9" s="1454" t="str">
        <f>IF(K9="","",K9)</f>
        <v/>
      </c>
      <c r="AI9" s="467"/>
      <c r="AJ9" s="1459">
        <f t="shared" ref="AJ9:AJ28" si="0">IF(OR(N(P9)=0,N(J9)=0)=TRUE,0,1.2*P9*HLOOKUP(J9,AvoidedCostTable,2,FALSE))</f>
        <v>0</v>
      </c>
      <c r="AK9" s="522">
        <f t="shared" ref="AK9:AK28" si="1">IF(OR(N(Q9)=0,N(J9)=0)=TRUE,0,Q9*HLOOKUP(J9,AvoidedCostTable,2,FALSE))</f>
        <v>0</v>
      </c>
      <c r="AL9" s="522">
        <f t="shared" ref="AL9:AL28" si="2">IF(OR(N(R9)=0,N(J9)=0)=TRUE,0,R9*HLOOKUP(J9,AvoidedCostTable,3,FALSE))</f>
        <v>0</v>
      </c>
      <c r="AM9" s="522">
        <f>IF(OR(N(J9)=0,N(N9)=0)=TRUE,0,IF(AND(K9&lt;&gt;"gas - firm",K9&lt;&gt;"gas - non firm")=TRUE,0,N9*HLOOKUP(J9,AvoidedCostTable,4,FALSE)))</f>
        <v>0</v>
      </c>
      <c r="AN9" s="522">
        <f>IF(OR(N(J9)=0,N(O9)=0)=TRUE,0,IF(AND(K9&lt;&gt;"gas - firm",K9&lt;&gt;"gas - non firm")=TRUE,0,O9*HLOOKUP(J9,AvoidedCostTable,5,FALSE)))</f>
        <v>0</v>
      </c>
      <c r="AO9" s="522">
        <f>IF(OR(N(S9)=0,N(J9)=0)=TRUE,0,-PV('Avoided Costs'!$C$3,J9,S9*0.00309*1000))</f>
        <v>0</v>
      </c>
      <c r="AP9" s="523">
        <f>IF(N(J9)=0,0,-PV('Avoided Costs'!$C$3,J9,T9))</f>
        <v>0</v>
      </c>
      <c r="AQ9" s="523">
        <f t="shared" ref="AQ9:AQ28" si="3">IF(OR(N(P9+Q9)=0,N(J9)=0)=TRUE,0,HLOOKUP(J9,AvoidedCostTable,7,FALSE)*(P9+Q9))</f>
        <v>0</v>
      </c>
      <c r="AR9" s="523">
        <f t="shared" ref="AR9:AR28" si="4">IF(OR(K9&lt;&gt;"gas - firm",N(N9+O9)=0,N(J9)=0)=TRUE,0,HLOOKUP(J9,AvoidedCostTable,8,FALSE)*(N9+O9))</f>
        <v>0</v>
      </c>
      <c r="AS9" s="523">
        <f>SUM(AJ9:AR9)</f>
        <v>0</v>
      </c>
      <c r="AT9" s="1869">
        <f>MAX(N9+O9,0)</f>
        <v>0</v>
      </c>
      <c r="AU9" s="1869">
        <f>MAX(P9+Q9,0)*3412/1000000</f>
        <v>0</v>
      </c>
      <c r="AV9" s="1460">
        <f>AT9+AU9</f>
        <v>0</v>
      </c>
      <c r="AX9" s="1851"/>
    </row>
    <row r="10" spans="1:50">
      <c r="A10" s="515">
        <v>2</v>
      </c>
      <c r="B10" s="516">
        <f>'Results from eQUEST'!K30</f>
        <v>0</v>
      </c>
      <c r="C10" s="559"/>
      <c r="D10" s="1561" t="e">
        <f>INDEX(ERMs!$B$11:$E$83,MATCH(A10,ERMs!$B$11:$B$83,0),4)</f>
        <v>#N/A</v>
      </c>
      <c r="E10" s="560"/>
      <c r="F10" s="561"/>
      <c r="G10" s="1561" t="e">
        <f>INDEX(ERMs!$B$11:$E$83,MATCH(A10,ERMs!$B$11:$B$83,0),2)</f>
        <v>#N/A</v>
      </c>
      <c r="H10" s="560"/>
      <c r="I10" s="559"/>
      <c r="J10" s="592" t="str">
        <f>IF(C10="","",VLOOKUP(C10,'Demand Savings Lookup'!$A$3:$G$42,6,FALSE))</f>
        <v/>
      </c>
      <c r="K10" s="562"/>
      <c r="L10" s="562"/>
      <c r="M10" s="592" t="str">
        <f>IF(C10="","",VLOOKUP(C10,'Demand Savings Lookup'!$A$1:$G$42,7,FALSE))</f>
        <v/>
      </c>
      <c r="N10" s="517">
        <f>IF(B10=0,0,(('Results from eQUEST'!BB29+'Results from eQUEST'!BH29)/10-('Results from eQUEST'!BB30+'Results from eQUEST'!BH30)/10))</f>
        <v>0</v>
      </c>
      <c r="O10" s="517">
        <f>IF(B10=0,0,('Results from eQUEST'!BK29-'Results from eQUEST'!BK30)/10-N10)</f>
        <v>0</v>
      </c>
      <c r="P10" s="517">
        <f>IF(B10=0,0,(('Results from eQUEST'!Q29+'Results from eQUEST'!R29)-('Results from eQUEST'!Q30+'Results from eQUEST'!R30)))</f>
        <v>0</v>
      </c>
      <c r="Q10" s="518">
        <f>IF(B10=0,0,'Results from eQUEST'!Y29-'Results from eQUEST'!Y30-P10)</f>
        <v>0</v>
      </c>
      <c r="R10" s="519">
        <f>IF(P10+Q10&lt;=0,0,IF(AND(P10=0,Q10=0),0,IF(B10=0,0,P10*VLOOKUP(C10,'Demand Savings Lookup'!$A$3:$E$42,IF('Basic Info'!$C$52=4,5,3),FALSE)+Q10*VLOOKUP(C10,'Demand Savings Lookup'!$A$3:$E$42,IF('Basic Info'!$C$52=4,4,2),FALSE))))</f>
        <v>0</v>
      </c>
      <c r="S10" s="520"/>
      <c r="T10" s="520"/>
      <c r="U10" s="595" t="str">
        <f t="shared" ref="U10:U28" si="5">IF(H10="","",H10-E10)</f>
        <v/>
      </c>
      <c r="V10" s="596" t="str">
        <f>IF(B10=0,"",(P10+Q10)*'Reporting Summary'!$C$114+(N10+O10)*'Reporting Summary'!$C$115*10+0.00309*S10*1000)</f>
        <v/>
      </c>
      <c r="W10" s="597" t="str">
        <f t="shared" ref="W10:W28" si="6">IF(V10="","",IF(V10&gt;0,U10/V10,0))</f>
        <v/>
      </c>
      <c r="X10" s="597" t="str">
        <f t="shared" ref="X10:X27" si="7">IF(V10="","",IF(V10&gt;0, -PV($AA$2, J10, V10)/U10, 0))</f>
        <v/>
      </c>
      <c r="Y10" s="594" t="str">
        <f t="shared" ref="Y10:Y28" si="8">IF(K10="","",IF(OR(AND((P10+Q10)=0,K10="steam")=TRUE,AND((P10+Q10)=0,K10="propane"))=TRUE,0,IF(U10=0,0,AS10/U10)))</f>
        <v/>
      </c>
      <c r="Z10" s="598" t="str">
        <f t="shared" ref="Z10:Z28" si="9">IF(X10="","",(X10-1)*U10)</f>
        <v/>
      </c>
      <c r="AA10" s="599" t="str">
        <f t="shared" ref="AA10:AA28" si="10">IF(V10="","",IF(V10=0,0,J10*V10))</f>
        <v/>
      </c>
      <c r="AD10" s="1453"/>
      <c r="AE10" s="521">
        <f t="shared" ref="AE10:AE28" si="11">IF(Y10="N/A",0,IF(OR(AD10="no",Y10&lt;0.95)=TRUE,0,IF(OR(AG10="EEPS-Gas",AG10="EEPS-Electric")=FALSE,0,AS10)))</f>
        <v>0</v>
      </c>
      <c r="AF10" s="521">
        <f t="shared" ref="AF10:AF28" si="12">IF(Y10="N/A",0,IF(OR(AD10="no",Y10&lt;0.95)=TRUE,0,IF(OR(AG10="EEPS-Gas",AG10="EEPS-Electric")=FALSE,0,(U10))))</f>
        <v>0</v>
      </c>
      <c r="AG10" s="581"/>
      <c r="AH10" s="1455" t="str">
        <f t="shared" ref="AH10:AH21" si="13">IF(K10="","",K10)</f>
        <v/>
      </c>
      <c r="AI10" s="467"/>
      <c r="AJ10" s="1459">
        <f t="shared" si="0"/>
        <v>0</v>
      </c>
      <c r="AK10" s="522">
        <f t="shared" si="1"/>
        <v>0</v>
      </c>
      <c r="AL10" s="522">
        <f t="shared" si="2"/>
        <v>0</v>
      </c>
      <c r="AM10" s="522">
        <f t="shared" ref="AM10:AM28" si="14">IF(OR(N(J10)=0,N(N10)=0)=TRUE,0,IF(AND(K10&lt;&gt;"gas - firm",K10&lt;&gt;"gas non - firm")=TRUE,0,N10*HLOOKUP(J10,AvoidedCostTable,4,FALSE)))</f>
        <v>0</v>
      </c>
      <c r="AN10" s="522">
        <f t="shared" ref="AN10:AN28" si="15">IF(OR(N(J10)=0,N(O10)=0)=TRUE,0,IF(AND(K10&lt;&gt;"gas - firm",K10&lt;&gt;"gas non - firm")=TRUE,0,O10*HLOOKUP(J10,AvoidedCostTable,5,FALSE)))</f>
        <v>0</v>
      </c>
      <c r="AO10" s="522">
        <f>IF(OR(N(S10)=0,N(J10)=0)=TRUE,0,-PV('Avoided Costs'!$C$3,J10,S10*0.00309*1000))</f>
        <v>0</v>
      </c>
      <c r="AP10" s="523">
        <f>IF(N(J10)=0,0,-PV('Avoided Costs'!$C$3,J10,T10))</f>
        <v>0</v>
      </c>
      <c r="AQ10" s="523">
        <f t="shared" si="3"/>
        <v>0</v>
      </c>
      <c r="AR10" s="523">
        <f t="shared" si="4"/>
        <v>0</v>
      </c>
      <c r="AS10" s="523">
        <f t="shared" ref="AS10:AS20" si="16">SUM(AJ10:AR10)</f>
        <v>0</v>
      </c>
      <c r="AT10" s="1869">
        <f t="shared" ref="AT10:AT28" si="17">MAX(N10+O10,0)</f>
        <v>0</v>
      </c>
      <c r="AU10" s="1869">
        <f t="shared" ref="AU10:AU28" si="18">MAX(P10+Q10,0)*3412/1000000</f>
        <v>0</v>
      </c>
      <c r="AV10" s="1460">
        <f t="shared" ref="AV10:AV28" si="19">AT10+AU10</f>
        <v>0</v>
      </c>
      <c r="AX10" s="584"/>
    </row>
    <row r="11" spans="1:50">
      <c r="A11" s="515">
        <v>3</v>
      </c>
      <c r="B11" s="516">
        <f>'Results from eQUEST'!K31</f>
        <v>0</v>
      </c>
      <c r="C11" s="559"/>
      <c r="D11" s="1561" t="e">
        <f>INDEX(ERMs!$B$11:$E$83,MATCH(A11,ERMs!$B$11:$B$83,0),4)</f>
        <v>#N/A</v>
      </c>
      <c r="E11" s="560"/>
      <c r="F11" s="561"/>
      <c r="G11" s="1561" t="e">
        <f>INDEX(ERMs!$B$11:$E$83,MATCH(A11,ERMs!$B$11:$B$83,0),2)</f>
        <v>#N/A</v>
      </c>
      <c r="H11" s="560"/>
      <c r="I11" s="559"/>
      <c r="J11" s="592" t="str">
        <f>IF(C11="","",VLOOKUP(C11,'Demand Savings Lookup'!$A$3:$G$42,6,FALSE))</f>
        <v/>
      </c>
      <c r="K11" s="562"/>
      <c r="L11" s="562"/>
      <c r="M11" s="592" t="str">
        <f>IF(C11="","",VLOOKUP(C11,'Demand Savings Lookup'!$A$1:$G$42,7,FALSE))</f>
        <v/>
      </c>
      <c r="N11" s="517">
        <f>IF(B11=0,0,(('Results from eQUEST'!BB30+'Results from eQUEST'!BH30)/10-('Results from eQUEST'!BB31+'Results from eQUEST'!BH31)/10))</f>
        <v>0</v>
      </c>
      <c r="O11" s="517">
        <f>IF(B11=0,0,('Results from eQUEST'!BK30-'Results from eQUEST'!BK31)/10-N11)</f>
        <v>0</v>
      </c>
      <c r="P11" s="517">
        <f>IF(B11=0,0,(('Results from eQUEST'!Q30+'Results from eQUEST'!R30)-('Results from eQUEST'!Q31+'Results from eQUEST'!R31)))</f>
        <v>0</v>
      </c>
      <c r="Q11" s="518">
        <f>IF(B11=0,0,'Results from eQUEST'!Y30-'Results from eQUEST'!Y31-P11)</f>
        <v>0</v>
      </c>
      <c r="R11" s="519">
        <f>IF(P11+Q11&lt;=0,0,IF(AND(P11=0,Q11=0),0,IF(B11=0,0,P11*VLOOKUP(C11,'Demand Savings Lookup'!$A$3:$E$42,IF('Basic Info'!$C$52=4,5,3),FALSE)+Q11*VLOOKUP(C11,'Demand Savings Lookup'!$A$3:$E$42,IF('Basic Info'!$C$52=4,4,2),FALSE))))</f>
        <v>0</v>
      </c>
      <c r="S11" s="520"/>
      <c r="T11" s="520"/>
      <c r="U11" s="595" t="str">
        <f t="shared" si="5"/>
        <v/>
      </c>
      <c r="V11" s="596" t="str">
        <f>IF(B11=0,"",(P11+Q11)*'Reporting Summary'!$C$114+(N11+O11)*'Reporting Summary'!$C$115*10+0.00309*S11*1000)</f>
        <v/>
      </c>
      <c r="W11" s="597" t="str">
        <f t="shared" si="6"/>
        <v/>
      </c>
      <c r="X11" s="597" t="str">
        <f t="shared" si="7"/>
        <v/>
      </c>
      <c r="Y11" s="594" t="str">
        <f t="shared" si="8"/>
        <v/>
      </c>
      <c r="Z11" s="598" t="str">
        <f t="shared" si="9"/>
        <v/>
      </c>
      <c r="AA11" s="599" t="str">
        <f t="shared" si="10"/>
        <v/>
      </c>
      <c r="AD11" s="1453"/>
      <c r="AE11" s="521">
        <f t="shared" si="11"/>
        <v>0</v>
      </c>
      <c r="AF11" s="521">
        <f t="shared" si="12"/>
        <v>0</v>
      </c>
      <c r="AG11" s="581"/>
      <c r="AH11" s="1455" t="str">
        <f t="shared" si="13"/>
        <v/>
      </c>
      <c r="AI11" s="467"/>
      <c r="AJ11" s="1459">
        <f t="shared" si="0"/>
        <v>0</v>
      </c>
      <c r="AK11" s="522">
        <f t="shared" si="1"/>
        <v>0</v>
      </c>
      <c r="AL11" s="522">
        <f t="shared" si="2"/>
        <v>0</v>
      </c>
      <c r="AM11" s="522">
        <f t="shared" si="14"/>
        <v>0</v>
      </c>
      <c r="AN11" s="522">
        <f t="shared" si="15"/>
        <v>0</v>
      </c>
      <c r="AO11" s="522">
        <f>IF(OR(N(S11)=0,N(J11)=0)=TRUE,0,-PV('Avoided Costs'!$C$3,J11,S11*0.00309*1000))</f>
        <v>0</v>
      </c>
      <c r="AP11" s="523">
        <f>IF(N(J11)=0,0,-PV('Avoided Costs'!$C$3,J11,T11))</f>
        <v>0</v>
      </c>
      <c r="AQ11" s="523">
        <f t="shared" si="3"/>
        <v>0</v>
      </c>
      <c r="AR11" s="523">
        <f t="shared" si="4"/>
        <v>0</v>
      </c>
      <c r="AS11" s="523">
        <f t="shared" si="16"/>
        <v>0</v>
      </c>
      <c r="AT11" s="1869">
        <f t="shared" si="17"/>
        <v>0</v>
      </c>
      <c r="AU11" s="1869">
        <f t="shared" si="18"/>
        <v>0</v>
      </c>
      <c r="AV11" s="1460">
        <f t="shared" si="19"/>
        <v>0</v>
      </c>
      <c r="AX11" s="584"/>
    </row>
    <row r="12" spans="1:50">
      <c r="A12" s="515">
        <v>4</v>
      </c>
      <c r="B12" s="516">
        <f>'Results from eQUEST'!K32</f>
        <v>0</v>
      </c>
      <c r="C12" s="559"/>
      <c r="D12" s="1561" t="e">
        <f>INDEX(ERMs!$B$11:$E$83,MATCH(A12,ERMs!$B$11:$B$83,0),4)</f>
        <v>#N/A</v>
      </c>
      <c r="E12" s="560"/>
      <c r="F12" s="561"/>
      <c r="G12" s="1561" t="e">
        <f>INDEX(ERMs!$B$11:$E$83,MATCH(A12,ERMs!$B$11:$B$83,0),2)</f>
        <v>#N/A</v>
      </c>
      <c r="H12" s="560"/>
      <c r="I12" s="559"/>
      <c r="J12" s="592" t="str">
        <f>IF(C12="","",VLOOKUP(C12,'Demand Savings Lookup'!$A$3:$G$42,6,FALSE))</f>
        <v/>
      </c>
      <c r="K12" s="562"/>
      <c r="L12" s="562"/>
      <c r="M12" s="592" t="str">
        <f>IF(C12="","",VLOOKUP(C12,'Demand Savings Lookup'!$A$1:$G$42,7,FALSE))</f>
        <v/>
      </c>
      <c r="N12" s="517">
        <f>IF(B12=0,0,(('Results from eQUEST'!BB31+'Results from eQUEST'!BH31)/10-('Results from eQUEST'!BB32+'Results from eQUEST'!BH32)/10))</f>
        <v>0</v>
      </c>
      <c r="O12" s="517">
        <f>IF(B12=0,0,('Results from eQUEST'!BK31-'Results from eQUEST'!BK32)/10-N12)</f>
        <v>0</v>
      </c>
      <c r="P12" s="517">
        <f>IF(B12=0,0,(('Results from eQUEST'!Q31+'Results from eQUEST'!R31)-('Results from eQUEST'!Q32+'Results from eQUEST'!R32)))</f>
        <v>0</v>
      </c>
      <c r="Q12" s="518">
        <f>IF(B12=0,0,'Results from eQUEST'!Y31-'Results from eQUEST'!Y32-P12)</f>
        <v>0</v>
      </c>
      <c r="R12" s="519">
        <f>IF(P12+Q12&lt;=0,0,IF(AND(P12=0,Q12=0),0,IF(B12=0,0,P12*VLOOKUP(C12,'Demand Savings Lookup'!$A$3:$E$42,IF('Basic Info'!$C$52=4,5,3),FALSE)+Q12*VLOOKUP(C12,'Demand Savings Lookup'!$A$3:$E$42,IF('Basic Info'!$C$52=4,4,2),FALSE))))</f>
        <v>0</v>
      </c>
      <c r="S12" s="520"/>
      <c r="T12" s="520"/>
      <c r="U12" s="595" t="str">
        <f t="shared" si="5"/>
        <v/>
      </c>
      <c r="V12" s="596" t="str">
        <f>IF(B12=0,"",(P12+Q12)*'Reporting Summary'!$C$114+(N12+O12)*'Reporting Summary'!$C$115*10+0.00309*S12*1000)</f>
        <v/>
      </c>
      <c r="W12" s="597" t="str">
        <f t="shared" si="6"/>
        <v/>
      </c>
      <c r="X12" s="597" t="str">
        <f t="shared" si="7"/>
        <v/>
      </c>
      <c r="Y12" s="594" t="str">
        <f t="shared" si="8"/>
        <v/>
      </c>
      <c r="Z12" s="598" t="str">
        <f t="shared" si="9"/>
        <v/>
      </c>
      <c r="AA12" s="599" t="str">
        <f t="shared" si="10"/>
        <v/>
      </c>
      <c r="AD12" s="1453"/>
      <c r="AE12" s="521">
        <f t="shared" si="11"/>
        <v>0</v>
      </c>
      <c r="AF12" s="521">
        <f t="shared" si="12"/>
        <v>0</v>
      </c>
      <c r="AG12" s="581"/>
      <c r="AH12" s="1455" t="str">
        <f t="shared" si="13"/>
        <v/>
      </c>
      <c r="AI12" s="467"/>
      <c r="AJ12" s="1459">
        <f t="shared" si="0"/>
        <v>0</v>
      </c>
      <c r="AK12" s="522">
        <f t="shared" si="1"/>
        <v>0</v>
      </c>
      <c r="AL12" s="522">
        <f t="shared" si="2"/>
        <v>0</v>
      </c>
      <c r="AM12" s="522">
        <f t="shared" si="14"/>
        <v>0</v>
      </c>
      <c r="AN12" s="522">
        <f t="shared" si="15"/>
        <v>0</v>
      </c>
      <c r="AO12" s="522">
        <f>IF(OR(N(S12)=0,N(J12)=0)=TRUE,0,-PV('Avoided Costs'!$C$3,J12,S12*0.00309*1000))</f>
        <v>0</v>
      </c>
      <c r="AP12" s="523">
        <f>IF(N(J12)=0,0,-PV('Avoided Costs'!$C$3,J12,T12))</f>
        <v>0</v>
      </c>
      <c r="AQ12" s="523">
        <f t="shared" si="3"/>
        <v>0</v>
      </c>
      <c r="AR12" s="523">
        <f t="shared" si="4"/>
        <v>0</v>
      </c>
      <c r="AS12" s="523">
        <f t="shared" si="16"/>
        <v>0</v>
      </c>
      <c r="AT12" s="1869">
        <f t="shared" si="17"/>
        <v>0</v>
      </c>
      <c r="AU12" s="1869">
        <f t="shared" si="18"/>
        <v>0</v>
      </c>
      <c r="AV12" s="1460">
        <f t="shared" si="19"/>
        <v>0</v>
      </c>
      <c r="AX12" s="584"/>
    </row>
    <row r="13" spans="1:50">
      <c r="A13" s="515">
        <v>5</v>
      </c>
      <c r="B13" s="516">
        <f>'Results from eQUEST'!K33</f>
        <v>0</v>
      </c>
      <c r="C13" s="559"/>
      <c r="D13" s="1561" t="e">
        <f>INDEX(ERMs!$B$11:$E$83,MATCH(A13,ERMs!$B$11:$B$83,0),4)</f>
        <v>#N/A</v>
      </c>
      <c r="E13" s="560"/>
      <c r="F13" s="561"/>
      <c r="G13" s="1561" t="e">
        <f>INDEX(ERMs!$B$11:$E$83,MATCH(A13,ERMs!$B$11:$B$83,0),2)</f>
        <v>#N/A</v>
      </c>
      <c r="H13" s="560"/>
      <c r="I13" s="559"/>
      <c r="J13" s="592" t="str">
        <f>IF(C13="","",VLOOKUP(C13,'Demand Savings Lookup'!$A$3:$G$42,6,FALSE))</f>
        <v/>
      </c>
      <c r="K13" s="562"/>
      <c r="L13" s="562"/>
      <c r="M13" s="592" t="str">
        <f>IF(C13="","",VLOOKUP(C13,'Demand Savings Lookup'!$A$1:$G$42,7,FALSE))</f>
        <v/>
      </c>
      <c r="N13" s="517">
        <f>IF(B13=0,0,(('Results from eQUEST'!BB32+'Results from eQUEST'!BH32)/10-('Results from eQUEST'!BB33+'Results from eQUEST'!BH33)/10))</f>
        <v>0</v>
      </c>
      <c r="O13" s="517">
        <f>IF(B13=0,0,('Results from eQUEST'!BK32-'Results from eQUEST'!BK33)/10-N13)</f>
        <v>0</v>
      </c>
      <c r="P13" s="517">
        <f>IF(B13=0,0,(('Results from eQUEST'!Q32+'Results from eQUEST'!R32)-('Results from eQUEST'!Q33+'Results from eQUEST'!R33)))</f>
        <v>0</v>
      </c>
      <c r="Q13" s="518">
        <f>IF(B13=0,0,'Results from eQUEST'!Y32-'Results from eQUEST'!Y33-P13)</f>
        <v>0</v>
      </c>
      <c r="R13" s="519">
        <f>IF(P13+Q13&lt;=0,0,IF(AND(P13=0,Q13=0),0,IF(B13=0,0,P13*VLOOKUP(C13,'Demand Savings Lookup'!$A$3:$E$42,IF('Basic Info'!$C$52=4,5,3),FALSE)+Q13*VLOOKUP(C13,'Demand Savings Lookup'!$A$3:$E$42,IF('Basic Info'!$C$52=4,4,2),FALSE))))</f>
        <v>0</v>
      </c>
      <c r="S13" s="520"/>
      <c r="T13" s="520"/>
      <c r="U13" s="595" t="str">
        <f t="shared" si="5"/>
        <v/>
      </c>
      <c r="V13" s="596" t="str">
        <f>IF(B13=0,"",(P13+Q13)*'Reporting Summary'!$C$114+(N13+O13)*'Reporting Summary'!$C$115*10+0.00309*S13*1000)</f>
        <v/>
      </c>
      <c r="W13" s="597" t="str">
        <f t="shared" si="6"/>
        <v/>
      </c>
      <c r="X13" s="597" t="str">
        <f t="shared" si="7"/>
        <v/>
      </c>
      <c r="Y13" s="594" t="str">
        <f t="shared" si="8"/>
        <v/>
      </c>
      <c r="Z13" s="598" t="str">
        <f t="shared" si="9"/>
        <v/>
      </c>
      <c r="AA13" s="599" t="str">
        <f t="shared" si="10"/>
        <v/>
      </c>
      <c r="AD13" s="1453"/>
      <c r="AE13" s="521">
        <f t="shared" si="11"/>
        <v>0</v>
      </c>
      <c r="AF13" s="521">
        <f t="shared" si="12"/>
        <v>0</v>
      </c>
      <c r="AG13" s="581"/>
      <c r="AH13" s="1455" t="str">
        <f t="shared" si="13"/>
        <v/>
      </c>
      <c r="AI13" s="467"/>
      <c r="AJ13" s="1459">
        <f t="shared" si="0"/>
        <v>0</v>
      </c>
      <c r="AK13" s="522">
        <f t="shared" si="1"/>
        <v>0</v>
      </c>
      <c r="AL13" s="522">
        <f t="shared" si="2"/>
        <v>0</v>
      </c>
      <c r="AM13" s="522">
        <f t="shared" si="14"/>
        <v>0</v>
      </c>
      <c r="AN13" s="522">
        <f t="shared" si="15"/>
        <v>0</v>
      </c>
      <c r="AO13" s="522">
        <f>IF(OR(N(S13)=0,N(J13)=0)=TRUE,0,-PV('Avoided Costs'!$C$3,J13,S13*0.00309*1000))</f>
        <v>0</v>
      </c>
      <c r="AP13" s="523">
        <f>IF(N(J13)=0,0,-PV('Avoided Costs'!$C$3,J13,T13))</f>
        <v>0</v>
      </c>
      <c r="AQ13" s="523">
        <f t="shared" si="3"/>
        <v>0</v>
      </c>
      <c r="AR13" s="523">
        <f t="shared" si="4"/>
        <v>0</v>
      </c>
      <c r="AS13" s="523">
        <f t="shared" si="16"/>
        <v>0</v>
      </c>
      <c r="AT13" s="1869">
        <f t="shared" si="17"/>
        <v>0</v>
      </c>
      <c r="AU13" s="1869">
        <f t="shared" si="18"/>
        <v>0</v>
      </c>
      <c r="AV13" s="1460">
        <f t="shared" si="19"/>
        <v>0</v>
      </c>
      <c r="AX13" s="584"/>
    </row>
    <row r="14" spans="1:50">
      <c r="A14" s="515">
        <v>6</v>
      </c>
      <c r="B14" s="516">
        <f>'Results from eQUEST'!K34</f>
        <v>0</v>
      </c>
      <c r="C14" s="559"/>
      <c r="D14" s="1561" t="e">
        <f>INDEX(ERMs!$B$11:$E$83,MATCH(A14,ERMs!$B$11:$B$83,0),4)</f>
        <v>#N/A</v>
      </c>
      <c r="E14" s="560"/>
      <c r="F14" s="561"/>
      <c r="G14" s="1561" t="e">
        <f>INDEX(ERMs!$B$11:$E$83,MATCH(A14,ERMs!$B$11:$B$83,0),2)</f>
        <v>#N/A</v>
      </c>
      <c r="H14" s="560"/>
      <c r="I14" s="559"/>
      <c r="J14" s="592" t="str">
        <f>IF(C14="","",VLOOKUP(C14,'Demand Savings Lookup'!$A$3:$G$42,6,FALSE))</f>
        <v/>
      </c>
      <c r="K14" s="562"/>
      <c r="L14" s="562"/>
      <c r="M14" s="592" t="str">
        <f>IF(C14="","",VLOOKUP(C14,'Demand Savings Lookup'!$A$1:$G$42,7,FALSE))</f>
        <v/>
      </c>
      <c r="N14" s="517">
        <f>IF(B14=0,0,(('Results from eQUEST'!BB33+'Results from eQUEST'!BH33)/10-('Results from eQUEST'!BB34+'Results from eQUEST'!BH34)/10))</f>
        <v>0</v>
      </c>
      <c r="O14" s="517">
        <f>IF(B14=0,0,('Results from eQUEST'!BK33-'Results from eQUEST'!BK34)/10-N14)</f>
        <v>0</v>
      </c>
      <c r="P14" s="517">
        <f>IF(B14=0,0,(('Results from eQUEST'!Q33+'Results from eQUEST'!R33)-('Results from eQUEST'!Q34+'Results from eQUEST'!R34)))</f>
        <v>0</v>
      </c>
      <c r="Q14" s="518">
        <f>IF(B14=0,0,'Results from eQUEST'!Y33-'Results from eQUEST'!Y34-P14)</f>
        <v>0</v>
      </c>
      <c r="R14" s="519">
        <f>IF(P14+Q14&lt;=0,0,IF(AND(P14=0,Q14=0),0,IF(B14=0,0,P14*VLOOKUP(C14,'Demand Savings Lookup'!$A$3:$E$42,IF('Basic Info'!$C$52=4,5,3),FALSE)+Q14*VLOOKUP(C14,'Demand Savings Lookup'!$A$3:$E$42,IF('Basic Info'!$C$52=4,4,2),FALSE))))</f>
        <v>0</v>
      </c>
      <c r="S14" s="520"/>
      <c r="T14" s="520"/>
      <c r="U14" s="595" t="str">
        <f t="shared" si="5"/>
        <v/>
      </c>
      <c r="V14" s="596" t="str">
        <f>IF(B14=0,"",(P14+Q14)*'Reporting Summary'!$C$114+(N14+O14)*'Reporting Summary'!$C$115*10+0.00309*S14*1000)</f>
        <v/>
      </c>
      <c r="W14" s="597" t="str">
        <f t="shared" si="6"/>
        <v/>
      </c>
      <c r="X14" s="597" t="str">
        <f t="shared" si="7"/>
        <v/>
      </c>
      <c r="Y14" s="594" t="str">
        <f t="shared" si="8"/>
        <v/>
      </c>
      <c r="Z14" s="598" t="str">
        <f t="shared" si="9"/>
        <v/>
      </c>
      <c r="AA14" s="599" t="str">
        <f t="shared" si="10"/>
        <v/>
      </c>
      <c r="AD14" s="1453"/>
      <c r="AE14" s="521">
        <f t="shared" si="11"/>
        <v>0</v>
      </c>
      <c r="AF14" s="521">
        <f t="shared" si="12"/>
        <v>0</v>
      </c>
      <c r="AG14" s="581"/>
      <c r="AH14" s="1455" t="str">
        <f t="shared" si="13"/>
        <v/>
      </c>
      <c r="AI14" s="467"/>
      <c r="AJ14" s="1459">
        <f t="shared" si="0"/>
        <v>0</v>
      </c>
      <c r="AK14" s="522">
        <f t="shared" si="1"/>
        <v>0</v>
      </c>
      <c r="AL14" s="522">
        <f t="shared" si="2"/>
        <v>0</v>
      </c>
      <c r="AM14" s="522">
        <f t="shared" si="14"/>
        <v>0</v>
      </c>
      <c r="AN14" s="522">
        <f t="shared" si="15"/>
        <v>0</v>
      </c>
      <c r="AO14" s="522">
        <f>IF(OR(N(S14)=0,N(J14)=0)=TRUE,0,-PV('Avoided Costs'!$C$3,J14,S14*0.00309*1000))</f>
        <v>0</v>
      </c>
      <c r="AP14" s="523">
        <f>IF(N(J14)=0,0,-PV('Avoided Costs'!$C$3,J14,T14))</f>
        <v>0</v>
      </c>
      <c r="AQ14" s="523">
        <f t="shared" si="3"/>
        <v>0</v>
      </c>
      <c r="AR14" s="523">
        <f t="shared" si="4"/>
        <v>0</v>
      </c>
      <c r="AS14" s="523">
        <f t="shared" si="16"/>
        <v>0</v>
      </c>
      <c r="AT14" s="1869">
        <f t="shared" si="17"/>
        <v>0</v>
      </c>
      <c r="AU14" s="1869">
        <f t="shared" si="18"/>
        <v>0</v>
      </c>
      <c r="AV14" s="1460">
        <f t="shared" si="19"/>
        <v>0</v>
      </c>
      <c r="AX14" s="584"/>
    </row>
    <row r="15" spans="1:50">
      <c r="A15" s="515">
        <v>7</v>
      </c>
      <c r="B15" s="516">
        <f>'Results from eQUEST'!K35</f>
        <v>0</v>
      </c>
      <c r="C15" s="559"/>
      <c r="D15" s="1561" t="e">
        <f>INDEX(ERMs!$B$11:$E$83,MATCH(A15,ERMs!$B$11:$B$83,0),4)</f>
        <v>#N/A</v>
      </c>
      <c r="E15" s="560"/>
      <c r="F15" s="561"/>
      <c r="G15" s="1561" t="e">
        <f>INDEX(ERMs!$B$11:$E$83,MATCH(A15,ERMs!$B$11:$B$83,0),2)</f>
        <v>#N/A</v>
      </c>
      <c r="H15" s="560"/>
      <c r="I15" s="559"/>
      <c r="J15" s="592" t="str">
        <f>IF(C15="","",VLOOKUP(C15,'Demand Savings Lookup'!$A$3:$G$42,6,FALSE))</f>
        <v/>
      </c>
      <c r="K15" s="562"/>
      <c r="L15" s="562"/>
      <c r="M15" s="592" t="str">
        <f>IF(C15="","",VLOOKUP(C15,'Demand Savings Lookup'!$A$1:$G$42,7,FALSE))</f>
        <v/>
      </c>
      <c r="N15" s="517">
        <f>IF(B15=0,0,(('Results from eQUEST'!BB34+'Results from eQUEST'!BH34)/10-('Results from eQUEST'!BB35+'Results from eQUEST'!BH35)/10))</f>
        <v>0</v>
      </c>
      <c r="O15" s="517">
        <f>IF(B15=0,0,('Results from eQUEST'!BK34-'Results from eQUEST'!BK35)/10-N15)</f>
        <v>0</v>
      </c>
      <c r="P15" s="517">
        <f>IF(B15=0,0,(('Results from eQUEST'!Q34+'Results from eQUEST'!R34)-('Results from eQUEST'!Q35+'Results from eQUEST'!R35)))</f>
        <v>0</v>
      </c>
      <c r="Q15" s="518">
        <f>IF(B15=0,0,'Results from eQUEST'!Y34-'Results from eQUEST'!Y35-P15)</f>
        <v>0</v>
      </c>
      <c r="R15" s="519">
        <f>IF(P15+Q15&lt;=0,0,IF(AND(P15=0,Q15=0),0,IF(B15=0,0,P15*VLOOKUP(C15,'Demand Savings Lookup'!$A$3:$E$42,IF('Basic Info'!$C$52=4,5,3),FALSE)+Q15*VLOOKUP(C15,'Demand Savings Lookup'!$A$3:$E$42,IF('Basic Info'!$C$52=4,4,2),FALSE))))</f>
        <v>0</v>
      </c>
      <c r="S15" s="520"/>
      <c r="T15" s="520"/>
      <c r="U15" s="595" t="str">
        <f t="shared" si="5"/>
        <v/>
      </c>
      <c r="V15" s="596" t="str">
        <f>IF(B15=0,"",(P15+Q15)*'Reporting Summary'!$C$114+(N15+O15)*'Reporting Summary'!$C$115*10+0.00309*S15*1000)</f>
        <v/>
      </c>
      <c r="W15" s="597" t="str">
        <f t="shared" si="6"/>
        <v/>
      </c>
      <c r="X15" s="597" t="str">
        <f t="shared" si="7"/>
        <v/>
      </c>
      <c r="Y15" s="594" t="str">
        <f t="shared" si="8"/>
        <v/>
      </c>
      <c r="Z15" s="598" t="str">
        <f t="shared" si="9"/>
        <v/>
      </c>
      <c r="AA15" s="599" t="str">
        <f t="shared" si="10"/>
        <v/>
      </c>
      <c r="AD15" s="1453"/>
      <c r="AE15" s="521">
        <f t="shared" si="11"/>
        <v>0</v>
      </c>
      <c r="AF15" s="521">
        <f t="shared" si="12"/>
        <v>0</v>
      </c>
      <c r="AG15" s="581"/>
      <c r="AH15" s="1455" t="str">
        <f t="shared" si="13"/>
        <v/>
      </c>
      <c r="AI15" s="467"/>
      <c r="AJ15" s="1459">
        <f t="shared" si="0"/>
        <v>0</v>
      </c>
      <c r="AK15" s="522">
        <f t="shared" si="1"/>
        <v>0</v>
      </c>
      <c r="AL15" s="522">
        <f t="shared" si="2"/>
        <v>0</v>
      </c>
      <c r="AM15" s="522">
        <f t="shared" si="14"/>
        <v>0</v>
      </c>
      <c r="AN15" s="522">
        <f t="shared" si="15"/>
        <v>0</v>
      </c>
      <c r="AO15" s="522">
        <f>IF(OR(N(S15)=0,N(J15)=0)=TRUE,0,-PV('Avoided Costs'!$C$3,J15,S15*0.00309*1000))</f>
        <v>0</v>
      </c>
      <c r="AP15" s="523">
        <f>IF(N(J15)=0,0,-PV('Avoided Costs'!$C$3,J15,T15))</f>
        <v>0</v>
      </c>
      <c r="AQ15" s="523">
        <f t="shared" si="3"/>
        <v>0</v>
      </c>
      <c r="AR15" s="523">
        <f t="shared" si="4"/>
        <v>0</v>
      </c>
      <c r="AS15" s="523">
        <f t="shared" si="16"/>
        <v>0</v>
      </c>
      <c r="AT15" s="1869">
        <f t="shared" si="17"/>
        <v>0</v>
      </c>
      <c r="AU15" s="1869">
        <f t="shared" si="18"/>
        <v>0</v>
      </c>
      <c r="AV15" s="1460">
        <f t="shared" si="19"/>
        <v>0</v>
      </c>
      <c r="AX15" s="584"/>
    </row>
    <row r="16" spans="1:50">
      <c r="A16" s="515">
        <v>8</v>
      </c>
      <c r="B16" s="516">
        <f>'Results from eQUEST'!K36</f>
        <v>0</v>
      </c>
      <c r="C16" s="559"/>
      <c r="D16" s="1561" t="e">
        <f>INDEX(ERMs!$B$11:$E$83,MATCH(A16,ERMs!$B$11:$B$83,0),4)</f>
        <v>#N/A</v>
      </c>
      <c r="E16" s="560"/>
      <c r="F16" s="561"/>
      <c r="G16" s="1561" t="e">
        <f>INDEX(ERMs!$B$11:$E$83,MATCH(A16,ERMs!$B$11:$B$83,0),2)</f>
        <v>#N/A</v>
      </c>
      <c r="H16" s="560"/>
      <c r="I16" s="559"/>
      <c r="J16" s="592" t="str">
        <f>IF(C16="","",VLOOKUP(C16,'Demand Savings Lookup'!$A$3:$G$42,6,FALSE))</f>
        <v/>
      </c>
      <c r="K16" s="562"/>
      <c r="L16" s="562"/>
      <c r="M16" s="592" t="str">
        <f>IF(C16="","",VLOOKUP(C16,'Demand Savings Lookup'!$A$1:$G$42,7,FALSE))</f>
        <v/>
      </c>
      <c r="N16" s="517">
        <f>IF(B16=0,0,(('Results from eQUEST'!BB35+'Results from eQUEST'!BH35)/10-('Results from eQUEST'!BB36+'Results from eQUEST'!BH36)/10))</f>
        <v>0</v>
      </c>
      <c r="O16" s="517">
        <f>IF(B16=0,0,('Results from eQUEST'!BK35-'Results from eQUEST'!BK36)/10-N16)</f>
        <v>0</v>
      </c>
      <c r="P16" s="517">
        <f>IF(B16=0,0,(('Results from eQUEST'!Q35+'Results from eQUEST'!R35)-('Results from eQUEST'!Q36+'Results from eQUEST'!R36)))</f>
        <v>0</v>
      </c>
      <c r="Q16" s="518">
        <f>IF(B16=0,0,'Results from eQUEST'!Y35-'Results from eQUEST'!Y36-P16)</f>
        <v>0</v>
      </c>
      <c r="R16" s="519">
        <f>IF(P16+Q16&lt;=0,0,IF(AND(P16=0,Q16=0),0,IF(B16=0,0,P16*VLOOKUP(C16,'Demand Savings Lookup'!$A$3:$E$42,IF('Basic Info'!$C$52=4,5,3),FALSE)+Q16*VLOOKUP(C16,'Demand Savings Lookup'!$A$3:$E$42,IF('Basic Info'!$C$52=4,4,2),FALSE))))</f>
        <v>0</v>
      </c>
      <c r="S16" s="520"/>
      <c r="T16" s="520"/>
      <c r="U16" s="595" t="str">
        <f t="shared" si="5"/>
        <v/>
      </c>
      <c r="V16" s="596" t="str">
        <f>IF(B16=0,"",(P16+Q16)*'Reporting Summary'!$C$114+(N16+O16)*'Reporting Summary'!$C$115*10+0.00309*S16*1000)</f>
        <v/>
      </c>
      <c r="W16" s="597" t="str">
        <f t="shared" si="6"/>
        <v/>
      </c>
      <c r="X16" s="597" t="str">
        <f t="shared" si="7"/>
        <v/>
      </c>
      <c r="Y16" s="594" t="str">
        <f t="shared" si="8"/>
        <v/>
      </c>
      <c r="Z16" s="598" t="str">
        <f t="shared" si="9"/>
        <v/>
      </c>
      <c r="AA16" s="599" t="str">
        <f t="shared" si="10"/>
        <v/>
      </c>
      <c r="AD16" s="1453"/>
      <c r="AE16" s="521">
        <f t="shared" si="11"/>
        <v>0</v>
      </c>
      <c r="AF16" s="521">
        <f t="shared" si="12"/>
        <v>0</v>
      </c>
      <c r="AG16" s="581"/>
      <c r="AH16" s="1455" t="str">
        <f t="shared" si="13"/>
        <v/>
      </c>
      <c r="AI16" s="467"/>
      <c r="AJ16" s="1459">
        <f t="shared" si="0"/>
        <v>0</v>
      </c>
      <c r="AK16" s="522">
        <f t="shared" si="1"/>
        <v>0</v>
      </c>
      <c r="AL16" s="522">
        <f t="shared" si="2"/>
        <v>0</v>
      </c>
      <c r="AM16" s="522">
        <f t="shared" si="14"/>
        <v>0</v>
      </c>
      <c r="AN16" s="522">
        <f t="shared" si="15"/>
        <v>0</v>
      </c>
      <c r="AO16" s="522">
        <f>IF(OR(N(S16)=0,N(J16)=0)=TRUE,0,-PV('Avoided Costs'!$C$3,J16,S16*0.00309*1000))</f>
        <v>0</v>
      </c>
      <c r="AP16" s="523">
        <f>IF(N(J16)=0,0,-PV('Avoided Costs'!$C$3,J16,T16))</f>
        <v>0</v>
      </c>
      <c r="AQ16" s="523">
        <f t="shared" si="3"/>
        <v>0</v>
      </c>
      <c r="AR16" s="523">
        <f t="shared" si="4"/>
        <v>0</v>
      </c>
      <c r="AS16" s="523">
        <f t="shared" si="16"/>
        <v>0</v>
      </c>
      <c r="AT16" s="1869">
        <f t="shared" si="17"/>
        <v>0</v>
      </c>
      <c r="AU16" s="1869">
        <f t="shared" si="18"/>
        <v>0</v>
      </c>
      <c r="AV16" s="1460">
        <f t="shared" si="19"/>
        <v>0</v>
      </c>
      <c r="AX16" s="584"/>
    </row>
    <row r="17" spans="1:50">
      <c r="A17" s="515">
        <v>9</v>
      </c>
      <c r="B17" s="516">
        <f>'Results from eQUEST'!K37</f>
        <v>0</v>
      </c>
      <c r="C17" s="559"/>
      <c r="D17" s="1561" t="e">
        <f>INDEX(ERMs!$B$11:$E$83,MATCH(A17,ERMs!$B$11:$B$83,0),4)</f>
        <v>#N/A</v>
      </c>
      <c r="E17" s="560"/>
      <c r="F17" s="561"/>
      <c r="G17" s="1561" t="e">
        <f>INDEX(ERMs!$B$11:$E$83,MATCH(A17,ERMs!$B$11:$B$83,0),2)</f>
        <v>#N/A</v>
      </c>
      <c r="H17" s="560"/>
      <c r="I17" s="559"/>
      <c r="J17" s="592" t="str">
        <f>IF(C17="","",VLOOKUP(C17,'Demand Savings Lookup'!$A$3:$G$42,6,FALSE))</f>
        <v/>
      </c>
      <c r="K17" s="562"/>
      <c r="L17" s="562"/>
      <c r="M17" s="592" t="str">
        <f>IF(C17="","",VLOOKUP(C17,'Demand Savings Lookup'!$A$1:$G$42,7,FALSE))</f>
        <v/>
      </c>
      <c r="N17" s="517">
        <f>IF(B17=0,0,(('Results from eQUEST'!BB36+'Results from eQUEST'!BH36)/10-('Results from eQUEST'!BB37+'Results from eQUEST'!BH37)/10))</f>
        <v>0</v>
      </c>
      <c r="O17" s="517">
        <f>IF(B17=0,0,('Results from eQUEST'!BK36-'Results from eQUEST'!BK37)/10-N17)</f>
        <v>0</v>
      </c>
      <c r="P17" s="517">
        <f>IF(B17=0,0,(('Results from eQUEST'!Q36+'Results from eQUEST'!R36)-('Results from eQUEST'!Q37+'Results from eQUEST'!R37)))</f>
        <v>0</v>
      </c>
      <c r="Q17" s="518">
        <f>IF(B17=0,0,'Results from eQUEST'!Y36-'Results from eQUEST'!Y37-P17)</f>
        <v>0</v>
      </c>
      <c r="R17" s="519">
        <f>IF(P17+Q17&lt;=0,0,IF(AND(P17=0,Q17=0),0,IF(B17=0,0,P17*VLOOKUP(C17,'Demand Savings Lookup'!$A$3:$E$42,IF('Basic Info'!$C$52=4,5,3),FALSE)+Q17*VLOOKUP(C17,'Demand Savings Lookup'!$A$3:$E$42,IF('Basic Info'!$C$52=4,4,2),FALSE))))</f>
        <v>0</v>
      </c>
      <c r="S17" s="520"/>
      <c r="T17" s="520"/>
      <c r="U17" s="595" t="str">
        <f t="shared" si="5"/>
        <v/>
      </c>
      <c r="V17" s="596" t="str">
        <f>IF(B17=0,"",(P17+Q17)*'Reporting Summary'!$C$114+(N17+O17)*'Reporting Summary'!$C$115*10+0.00309*S17*1000)</f>
        <v/>
      </c>
      <c r="W17" s="597" t="str">
        <f t="shared" si="6"/>
        <v/>
      </c>
      <c r="X17" s="597" t="str">
        <f t="shared" si="7"/>
        <v/>
      </c>
      <c r="Y17" s="594" t="str">
        <f t="shared" si="8"/>
        <v/>
      </c>
      <c r="Z17" s="598" t="str">
        <f t="shared" si="9"/>
        <v/>
      </c>
      <c r="AA17" s="599" t="str">
        <f t="shared" si="10"/>
        <v/>
      </c>
      <c r="AD17" s="1453"/>
      <c r="AE17" s="521">
        <f t="shared" si="11"/>
        <v>0</v>
      </c>
      <c r="AF17" s="521">
        <f t="shared" si="12"/>
        <v>0</v>
      </c>
      <c r="AG17" s="581"/>
      <c r="AH17" s="1455" t="str">
        <f t="shared" si="13"/>
        <v/>
      </c>
      <c r="AI17" s="467"/>
      <c r="AJ17" s="1459">
        <f t="shared" si="0"/>
        <v>0</v>
      </c>
      <c r="AK17" s="522">
        <f t="shared" si="1"/>
        <v>0</v>
      </c>
      <c r="AL17" s="522">
        <f t="shared" si="2"/>
        <v>0</v>
      </c>
      <c r="AM17" s="522">
        <f t="shared" si="14"/>
        <v>0</v>
      </c>
      <c r="AN17" s="522">
        <f t="shared" si="15"/>
        <v>0</v>
      </c>
      <c r="AO17" s="522">
        <f>IF(OR(N(S17)=0,N(J17)=0)=TRUE,0,-PV('Avoided Costs'!$C$3,J17,S17*0.00309*1000))</f>
        <v>0</v>
      </c>
      <c r="AP17" s="523">
        <f>IF(N(J17)=0,0,-PV('Avoided Costs'!$C$3,J17,T17))</f>
        <v>0</v>
      </c>
      <c r="AQ17" s="523">
        <f t="shared" si="3"/>
        <v>0</v>
      </c>
      <c r="AR17" s="523">
        <f t="shared" si="4"/>
        <v>0</v>
      </c>
      <c r="AS17" s="523">
        <f t="shared" si="16"/>
        <v>0</v>
      </c>
      <c r="AT17" s="1869">
        <f t="shared" si="17"/>
        <v>0</v>
      </c>
      <c r="AU17" s="1869">
        <f t="shared" si="18"/>
        <v>0</v>
      </c>
      <c r="AV17" s="1460">
        <f t="shared" si="19"/>
        <v>0</v>
      </c>
      <c r="AX17" s="584"/>
    </row>
    <row r="18" spans="1:50">
      <c r="A18" s="515">
        <v>10</v>
      </c>
      <c r="B18" s="516">
        <f>'Results from eQUEST'!K38</f>
        <v>0</v>
      </c>
      <c r="C18" s="559"/>
      <c r="D18" s="1561" t="e">
        <f>INDEX(ERMs!$B$11:$E$83,MATCH(A18,ERMs!$B$11:$B$83,0),4)</f>
        <v>#N/A</v>
      </c>
      <c r="E18" s="560"/>
      <c r="F18" s="561"/>
      <c r="G18" s="1561" t="e">
        <f>INDEX(ERMs!$B$11:$E$83,MATCH(A18,ERMs!$B$11:$B$83,0),2)</f>
        <v>#N/A</v>
      </c>
      <c r="H18" s="560"/>
      <c r="I18" s="559"/>
      <c r="J18" s="592" t="str">
        <f>IF(C18="","",VLOOKUP(C18,'Demand Savings Lookup'!$A$3:$G$42,6,FALSE))</f>
        <v/>
      </c>
      <c r="K18" s="562"/>
      <c r="L18" s="562"/>
      <c r="M18" s="592" t="str">
        <f>IF(C18="","",VLOOKUP(C18,'Demand Savings Lookup'!$A$1:$G$42,7,FALSE))</f>
        <v/>
      </c>
      <c r="N18" s="517">
        <f>IF(B18=0,0,(('Results from eQUEST'!BB37+'Results from eQUEST'!BH37)/10-('Results from eQUEST'!BB38+'Results from eQUEST'!BH38)/10))</f>
        <v>0</v>
      </c>
      <c r="O18" s="517">
        <f>IF(B18=0,0,('Results from eQUEST'!BK37-'Results from eQUEST'!BK38)/10-N18)</f>
        <v>0</v>
      </c>
      <c r="P18" s="517">
        <f>IF(B18=0,0,(('Results from eQUEST'!Q37+'Results from eQUEST'!R37)-('Results from eQUEST'!Q38+'Results from eQUEST'!R38)))</f>
        <v>0</v>
      </c>
      <c r="Q18" s="518">
        <f>IF(B18=0,0,'Results from eQUEST'!Y37-'Results from eQUEST'!Y38-P18)</f>
        <v>0</v>
      </c>
      <c r="R18" s="519">
        <f>IF(P18+Q18&lt;=0,0,IF(AND(P18=0,Q18=0),0,IF(B18=0,0,P18*VLOOKUP(C18,'Demand Savings Lookup'!$A$3:$E$42,IF('Basic Info'!$C$52=4,5,3),FALSE)+Q18*VLOOKUP(C18,'Demand Savings Lookup'!$A$3:$E$42,IF('Basic Info'!$C$52=4,4,2),FALSE))))</f>
        <v>0</v>
      </c>
      <c r="S18" s="520"/>
      <c r="T18" s="520"/>
      <c r="U18" s="595" t="str">
        <f t="shared" si="5"/>
        <v/>
      </c>
      <c r="V18" s="596" t="str">
        <f>IF(B18=0,"",(P18+Q18)*'Reporting Summary'!$C$114+(N18+O18)*'Reporting Summary'!$C$115*10+0.00309*S18*1000)</f>
        <v/>
      </c>
      <c r="W18" s="597" t="str">
        <f t="shared" si="6"/>
        <v/>
      </c>
      <c r="X18" s="597" t="str">
        <f t="shared" si="7"/>
        <v/>
      </c>
      <c r="Y18" s="594" t="str">
        <f t="shared" si="8"/>
        <v/>
      </c>
      <c r="Z18" s="598" t="str">
        <f t="shared" si="9"/>
        <v/>
      </c>
      <c r="AA18" s="599" t="str">
        <f t="shared" si="10"/>
        <v/>
      </c>
      <c r="AD18" s="1453"/>
      <c r="AE18" s="521">
        <f t="shared" si="11"/>
        <v>0</v>
      </c>
      <c r="AF18" s="521">
        <f t="shared" si="12"/>
        <v>0</v>
      </c>
      <c r="AG18" s="581"/>
      <c r="AH18" s="1455" t="str">
        <f t="shared" si="13"/>
        <v/>
      </c>
      <c r="AI18" s="467"/>
      <c r="AJ18" s="1459">
        <f t="shared" si="0"/>
        <v>0</v>
      </c>
      <c r="AK18" s="522">
        <f t="shared" si="1"/>
        <v>0</v>
      </c>
      <c r="AL18" s="522">
        <f t="shared" si="2"/>
        <v>0</v>
      </c>
      <c r="AM18" s="522">
        <f t="shared" si="14"/>
        <v>0</v>
      </c>
      <c r="AN18" s="522">
        <f t="shared" si="15"/>
        <v>0</v>
      </c>
      <c r="AO18" s="522">
        <f>IF(OR(N(S18)=0,N(J18)=0)=TRUE,0,-PV('Avoided Costs'!$C$3,J18,S18*0.00309*1000))</f>
        <v>0</v>
      </c>
      <c r="AP18" s="523">
        <f>IF(N(J18)=0,0,-PV('Avoided Costs'!$C$3,J18,T18))</f>
        <v>0</v>
      </c>
      <c r="AQ18" s="523">
        <f t="shared" si="3"/>
        <v>0</v>
      </c>
      <c r="AR18" s="523">
        <f t="shared" si="4"/>
        <v>0</v>
      </c>
      <c r="AS18" s="523">
        <f t="shared" si="16"/>
        <v>0</v>
      </c>
      <c r="AT18" s="1869">
        <f t="shared" si="17"/>
        <v>0</v>
      </c>
      <c r="AU18" s="1869">
        <f t="shared" si="18"/>
        <v>0</v>
      </c>
      <c r="AV18" s="1460">
        <f t="shared" si="19"/>
        <v>0</v>
      </c>
      <c r="AX18" s="584"/>
    </row>
    <row r="19" spans="1:50">
      <c r="A19" s="515">
        <v>11</v>
      </c>
      <c r="B19" s="516">
        <f>'Results from eQUEST'!K39</f>
        <v>0</v>
      </c>
      <c r="C19" s="559"/>
      <c r="D19" s="1561" t="e">
        <f>INDEX(ERMs!$B$11:$E$83,MATCH(A19,ERMs!$B$11:$B$83,0),4)</f>
        <v>#N/A</v>
      </c>
      <c r="E19" s="560"/>
      <c r="F19" s="561"/>
      <c r="G19" s="1561" t="e">
        <f>INDEX(ERMs!$B$11:$E$83,MATCH(A19,ERMs!$B$11:$B$83,0),2)</f>
        <v>#N/A</v>
      </c>
      <c r="H19" s="560"/>
      <c r="I19" s="559"/>
      <c r="J19" s="592" t="str">
        <f>IF(C19="","",VLOOKUP(C19,'Demand Savings Lookup'!$A$3:$G$42,6,FALSE))</f>
        <v/>
      </c>
      <c r="K19" s="562"/>
      <c r="L19" s="562"/>
      <c r="M19" s="592" t="str">
        <f>IF(C19="","",VLOOKUP(C19,'Demand Savings Lookup'!$A$1:$G$42,7,FALSE))</f>
        <v/>
      </c>
      <c r="N19" s="517">
        <f>IF(B19=0,0,(('Results from eQUEST'!BB38+'Results from eQUEST'!BH38)/10-('Results from eQUEST'!BB39+'Results from eQUEST'!BH39)/10))</f>
        <v>0</v>
      </c>
      <c r="O19" s="517">
        <f>IF(B19=0,0,('Results from eQUEST'!BK38-'Results from eQUEST'!BK39)/10-N19)</f>
        <v>0</v>
      </c>
      <c r="P19" s="517">
        <f>IF(B19=0,0,(('Results from eQUEST'!Q38+'Results from eQUEST'!R38)-('Results from eQUEST'!Q39+'Results from eQUEST'!R39)))</f>
        <v>0</v>
      </c>
      <c r="Q19" s="518">
        <f>IF(B19=0,0,'Results from eQUEST'!Y38-'Results from eQUEST'!Y39-P19)</f>
        <v>0</v>
      </c>
      <c r="R19" s="519">
        <f>IF(P19+Q19&lt;=0,0,IF(AND(P19=0,Q19=0),0,IF(B19=0,0,P19*VLOOKUP(C19,'Demand Savings Lookup'!$A$3:$E$42,IF('Basic Info'!$C$52=4,5,3),FALSE)+Q19*VLOOKUP(C19,'Demand Savings Lookup'!$A$3:$E$42,IF('Basic Info'!$C$52=4,4,2),FALSE))))</f>
        <v>0</v>
      </c>
      <c r="S19" s="520"/>
      <c r="T19" s="520"/>
      <c r="U19" s="595" t="str">
        <f t="shared" si="5"/>
        <v/>
      </c>
      <c r="V19" s="596" t="str">
        <f>IF(B19=0,"",(P19+Q19)*'Reporting Summary'!$C$114+(N19+O19)*'Reporting Summary'!$C$115*10+0.00309*S19*1000)</f>
        <v/>
      </c>
      <c r="W19" s="597" t="str">
        <f t="shared" si="6"/>
        <v/>
      </c>
      <c r="X19" s="597" t="str">
        <f t="shared" si="7"/>
        <v/>
      </c>
      <c r="Y19" s="594" t="str">
        <f t="shared" si="8"/>
        <v/>
      </c>
      <c r="Z19" s="598" t="str">
        <f t="shared" si="9"/>
        <v/>
      </c>
      <c r="AA19" s="599" t="str">
        <f t="shared" si="10"/>
        <v/>
      </c>
      <c r="AD19" s="1453"/>
      <c r="AE19" s="521">
        <f t="shared" si="11"/>
        <v>0</v>
      </c>
      <c r="AF19" s="521">
        <f t="shared" si="12"/>
        <v>0</v>
      </c>
      <c r="AG19" s="581"/>
      <c r="AH19" s="1455" t="str">
        <f t="shared" si="13"/>
        <v/>
      </c>
      <c r="AI19" s="467"/>
      <c r="AJ19" s="1459">
        <f t="shared" si="0"/>
        <v>0</v>
      </c>
      <c r="AK19" s="522">
        <f t="shared" si="1"/>
        <v>0</v>
      </c>
      <c r="AL19" s="522">
        <f t="shared" si="2"/>
        <v>0</v>
      </c>
      <c r="AM19" s="522">
        <f t="shared" si="14"/>
        <v>0</v>
      </c>
      <c r="AN19" s="522">
        <f t="shared" si="15"/>
        <v>0</v>
      </c>
      <c r="AO19" s="522">
        <f>IF(OR(N(S19)=0,N(J19)=0)=TRUE,0,-PV('Avoided Costs'!$C$3,J19,S19*0.00309*1000))</f>
        <v>0</v>
      </c>
      <c r="AP19" s="523">
        <f>IF(N(J19)=0,0,-PV('Avoided Costs'!$C$3,J19,T19))</f>
        <v>0</v>
      </c>
      <c r="AQ19" s="523">
        <f t="shared" si="3"/>
        <v>0</v>
      </c>
      <c r="AR19" s="523">
        <f t="shared" si="4"/>
        <v>0</v>
      </c>
      <c r="AS19" s="523">
        <f t="shared" si="16"/>
        <v>0</v>
      </c>
      <c r="AT19" s="1869">
        <f t="shared" si="17"/>
        <v>0</v>
      </c>
      <c r="AU19" s="1869">
        <f t="shared" si="18"/>
        <v>0</v>
      </c>
      <c r="AV19" s="1460">
        <f t="shared" si="19"/>
        <v>0</v>
      </c>
      <c r="AX19" s="584"/>
    </row>
    <row r="20" spans="1:50">
      <c r="A20" s="515">
        <v>12</v>
      </c>
      <c r="B20" s="516">
        <f>'Results from eQUEST'!K40</f>
        <v>0</v>
      </c>
      <c r="C20" s="559"/>
      <c r="D20" s="1561" t="e">
        <f>INDEX(ERMs!$B$11:$E$83,MATCH(A20,ERMs!$B$11:$B$83,0),4)</f>
        <v>#N/A</v>
      </c>
      <c r="E20" s="560"/>
      <c r="F20" s="561"/>
      <c r="G20" s="1561" t="e">
        <f>INDEX(ERMs!$B$11:$E$83,MATCH(A20,ERMs!$B$11:$B$83,0),2)</f>
        <v>#N/A</v>
      </c>
      <c r="H20" s="560"/>
      <c r="I20" s="559"/>
      <c r="J20" s="592" t="str">
        <f>IF(C20="","",VLOOKUP(C20,'Demand Savings Lookup'!$A$3:$G$42,6,FALSE))</f>
        <v/>
      </c>
      <c r="K20" s="562"/>
      <c r="L20" s="562"/>
      <c r="M20" s="592" t="str">
        <f>IF(C20="","",VLOOKUP(C20,'Demand Savings Lookup'!$A$1:$G$42,7,FALSE))</f>
        <v/>
      </c>
      <c r="N20" s="517">
        <f>IF(B20=0,0,(('Results from eQUEST'!BB39+'Results from eQUEST'!BH39)/10-('Results from eQUEST'!BB40+'Results from eQUEST'!BH40)/10))</f>
        <v>0</v>
      </c>
      <c r="O20" s="517">
        <f>IF(B20=0,0,('Results from eQUEST'!BK39-'Results from eQUEST'!BK40)/10-N20)</f>
        <v>0</v>
      </c>
      <c r="P20" s="517">
        <f>IF(B20=0,0,(('Results from eQUEST'!Q39+'Results from eQUEST'!R39)-('Results from eQUEST'!Q40+'Results from eQUEST'!R40)))</f>
        <v>0</v>
      </c>
      <c r="Q20" s="518">
        <f>IF(B20=0,0,'Results from eQUEST'!Y39-'Results from eQUEST'!Y40-P20)</f>
        <v>0</v>
      </c>
      <c r="R20" s="519">
        <f>IF(P20+Q20&lt;=0,0,IF(AND(P20=0,Q20=0),0,IF(B20=0,0,P20*VLOOKUP(C20,'Demand Savings Lookup'!$A$3:$E$42,IF('Basic Info'!$C$52=4,5,3),FALSE)+Q20*VLOOKUP(C20,'Demand Savings Lookup'!$A$3:$E$42,IF('Basic Info'!$C$52=4,4,2),FALSE))))</f>
        <v>0</v>
      </c>
      <c r="S20" s="520"/>
      <c r="T20" s="520"/>
      <c r="U20" s="595" t="str">
        <f t="shared" si="5"/>
        <v/>
      </c>
      <c r="V20" s="596" t="str">
        <f>IF(B20=0,"",(P20+Q20)*'Reporting Summary'!$C$114+(N20+O20)*'Reporting Summary'!$C$115*10+0.00309*S20*1000)</f>
        <v/>
      </c>
      <c r="W20" s="597" t="str">
        <f t="shared" si="6"/>
        <v/>
      </c>
      <c r="X20" s="597" t="str">
        <f t="shared" si="7"/>
        <v/>
      </c>
      <c r="Y20" s="594" t="str">
        <f t="shared" si="8"/>
        <v/>
      </c>
      <c r="Z20" s="598" t="str">
        <f t="shared" si="9"/>
        <v/>
      </c>
      <c r="AA20" s="599" t="str">
        <f t="shared" si="10"/>
        <v/>
      </c>
      <c r="AD20" s="1453"/>
      <c r="AE20" s="521">
        <f t="shared" si="11"/>
        <v>0</v>
      </c>
      <c r="AF20" s="521">
        <f t="shared" si="12"/>
        <v>0</v>
      </c>
      <c r="AG20" s="581"/>
      <c r="AH20" s="1455" t="str">
        <f t="shared" si="13"/>
        <v/>
      </c>
      <c r="AI20" s="467"/>
      <c r="AJ20" s="1459">
        <f t="shared" si="0"/>
        <v>0</v>
      </c>
      <c r="AK20" s="522">
        <f t="shared" si="1"/>
        <v>0</v>
      </c>
      <c r="AL20" s="522">
        <f t="shared" si="2"/>
        <v>0</v>
      </c>
      <c r="AM20" s="522">
        <f t="shared" si="14"/>
        <v>0</v>
      </c>
      <c r="AN20" s="522">
        <f t="shared" si="15"/>
        <v>0</v>
      </c>
      <c r="AO20" s="522">
        <f>IF(OR(N(S20)=0,N(J20)=0)=TRUE,0,-PV('Avoided Costs'!$C$3,J20,S20*0.00309*1000))</f>
        <v>0</v>
      </c>
      <c r="AP20" s="523">
        <f>IF(N(J20)=0,0,-PV('Avoided Costs'!$C$3,J20,T20))</f>
        <v>0</v>
      </c>
      <c r="AQ20" s="523">
        <f t="shared" si="3"/>
        <v>0</v>
      </c>
      <c r="AR20" s="523">
        <f t="shared" si="4"/>
        <v>0</v>
      </c>
      <c r="AS20" s="523">
        <f t="shared" si="16"/>
        <v>0</v>
      </c>
      <c r="AT20" s="1869">
        <f t="shared" si="17"/>
        <v>0</v>
      </c>
      <c r="AU20" s="1869">
        <f t="shared" si="18"/>
        <v>0</v>
      </c>
      <c r="AV20" s="1460">
        <f t="shared" si="19"/>
        <v>0</v>
      </c>
      <c r="AX20" s="584"/>
    </row>
    <row r="21" spans="1:50">
      <c r="A21" s="515">
        <v>13</v>
      </c>
      <c r="B21" s="516">
        <f>'Results from eQUEST'!K41</f>
        <v>0</v>
      </c>
      <c r="C21" s="559"/>
      <c r="D21" s="1561" t="e">
        <f>INDEX(ERMs!$B$11:$E$83,MATCH(A21,ERMs!$B$11:$B$83,0),4)</f>
        <v>#N/A</v>
      </c>
      <c r="E21" s="560"/>
      <c r="F21" s="561"/>
      <c r="G21" s="1561" t="e">
        <f>INDEX(ERMs!$B$11:$E$83,MATCH(A21,ERMs!$B$11:$B$83,0),2)</f>
        <v>#N/A</v>
      </c>
      <c r="H21" s="560"/>
      <c r="I21" s="559"/>
      <c r="J21" s="592" t="str">
        <f>IF(C21="","",VLOOKUP(C21,'Demand Savings Lookup'!$A$3:$G$42,6,FALSE))</f>
        <v/>
      </c>
      <c r="K21" s="562"/>
      <c r="L21" s="562"/>
      <c r="M21" s="592" t="str">
        <f>IF(C21="","",VLOOKUP(C21,'Demand Savings Lookup'!$A$1:$G$42,7,FALSE))</f>
        <v/>
      </c>
      <c r="N21" s="517">
        <f>IF(B21=0,0,(('Results from eQUEST'!BB40+'Results from eQUEST'!BH40)/10-('Results from eQUEST'!BB41+'Results from eQUEST'!BH41)/10))</f>
        <v>0</v>
      </c>
      <c r="O21" s="517">
        <f>IF(B21=0,0,('Results from eQUEST'!BK40-'Results from eQUEST'!BK41)/10-N21)</f>
        <v>0</v>
      </c>
      <c r="P21" s="517">
        <f>IF(B21=0,0,(('Results from eQUEST'!Q40+'Results from eQUEST'!R40)-('Results from eQUEST'!Q41+'Results from eQUEST'!R41)))</f>
        <v>0</v>
      </c>
      <c r="Q21" s="518">
        <f>IF(B21=0,0,'Results from eQUEST'!Y40-'Results from eQUEST'!Y41-P21)</f>
        <v>0</v>
      </c>
      <c r="R21" s="519">
        <f>IF(P21+Q21&lt;=0,0,IF(AND(P21=0,Q21=0),0,IF(B21=0,0,P21*VLOOKUP(C21,'Demand Savings Lookup'!$A$3:$E$42,IF('Basic Info'!$C$52=4,5,3),FALSE)+Q21*VLOOKUP(C21,'Demand Savings Lookup'!$A$3:$E$42,IF('Basic Info'!$C$52=4,4,2),FALSE))))</f>
        <v>0</v>
      </c>
      <c r="S21" s="520"/>
      <c r="T21" s="520"/>
      <c r="U21" s="595" t="str">
        <f t="shared" si="5"/>
        <v/>
      </c>
      <c r="V21" s="596" t="str">
        <f>IF(B21=0,"",(P21+Q21)*'Reporting Summary'!$C$114+(N21+O21)*'Reporting Summary'!$C$115*10+0.00309*S21*1000)</f>
        <v/>
      </c>
      <c r="W21" s="597" t="str">
        <f t="shared" si="6"/>
        <v/>
      </c>
      <c r="X21" s="597" t="str">
        <f t="shared" si="7"/>
        <v/>
      </c>
      <c r="Y21" s="594" t="str">
        <f t="shared" si="8"/>
        <v/>
      </c>
      <c r="Z21" s="598" t="str">
        <f t="shared" si="9"/>
        <v/>
      </c>
      <c r="AA21" s="599" t="str">
        <f t="shared" si="10"/>
        <v/>
      </c>
      <c r="AD21" s="1456"/>
      <c r="AE21" s="521">
        <f t="shared" si="11"/>
        <v>0</v>
      </c>
      <c r="AF21" s="521">
        <f t="shared" si="12"/>
        <v>0</v>
      </c>
      <c r="AG21" s="581"/>
      <c r="AH21" s="1455" t="str">
        <f t="shared" si="13"/>
        <v/>
      </c>
      <c r="AI21" s="467"/>
      <c r="AJ21" s="1459">
        <f>IF(OR(N(P21)=0,N(J21)=0)=TRUE,0,1.2*P21*HLOOKUP(J21,AvoidedCostTable,2,FALSE))</f>
        <v>0</v>
      </c>
      <c r="AK21" s="522">
        <f>IF(OR(N(Q21)=0,N(J21)=0)=TRUE,0,Q21*HLOOKUP(J21,AvoidedCostTable,2,FALSE))</f>
        <v>0</v>
      </c>
      <c r="AL21" s="522">
        <f>IF(OR(N(R21)=0,N(J21)=0)=TRUE,0,R21*HLOOKUP(J21,AvoidedCostTable,3,FALSE))</f>
        <v>0</v>
      </c>
      <c r="AM21" s="522">
        <f t="shared" si="14"/>
        <v>0</v>
      </c>
      <c r="AN21" s="522">
        <f t="shared" si="15"/>
        <v>0</v>
      </c>
      <c r="AO21" s="522">
        <f>IF(OR(N(S21)=0,N(J21)=0)=TRUE,0,-PV('Avoided Costs'!$C$3,J21,S21*0.00309*1000))</f>
        <v>0</v>
      </c>
      <c r="AP21" s="523">
        <f>IF(N(J21)=0,0,-PV('Avoided Costs'!$C$3,J21,T21))</f>
        <v>0</v>
      </c>
      <c r="AQ21" s="523">
        <f>IF(OR(N(P21+Q21)=0,N(J21)=0)=TRUE,0,HLOOKUP(J21,AvoidedCostTable,7,FALSE)*(P21+Q21))</f>
        <v>0</v>
      </c>
      <c r="AR21" s="523">
        <f t="shared" si="4"/>
        <v>0</v>
      </c>
      <c r="AS21" s="523">
        <f>SUM(AJ21:AR21)</f>
        <v>0</v>
      </c>
      <c r="AT21" s="1869">
        <f t="shared" si="17"/>
        <v>0</v>
      </c>
      <c r="AU21" s="1869">
        <f t="shared" si="18"/>
        <v>0</v>
      </c>
      <c r="AV21" s="1460">
        <f t="shared" si="19"/>
        <v>0</v>
      </c>
      <c r="AX21" s="584"/>
    </row>
    <row r="22" spans="1:50">
      <c r="A22" s="515">
        <v>14</v>
      </c>
      <c r="B22" s="516">
        <f>'Results from eQUEST'!K42</f>
        <v>0</v>
      </c>
      <c r="C22" s="559"/>
      <c r="D22" s="1561" t="e">
        <f>INDEX(ERMs!$B$11:$E$83,MATCH(A22,ERMs!$B$11:$B$83,0),4)</f>
        <v>#N/A</v>
      </c>
      <c r="E22" s="560"/>
      <c r="F22" s="561"/>
      <c r="G22" s="1561" t="e">
        <f>INDEX(ERMs!$B$11:$E$83,MATCH(A22,ERMs!$B$11:$B$83,0),2)</f>
        <v>#N/A</v>
      </c>
      <c r="H22" s="560"/>
      <c r="I22" s="559"/>
      <c r="J22" s="592" t="str">
        <f>IF(C22="","",VLOOKUP(C22,'Demand Savings Lookup'!$A$3:$G$42,6,FALSE))</f>
        <v/>
      </c>
      <c r="K22" s="562"/>
      <c r="L22" s="562"/>
      <c r="M22" s="592" t="str">
        <f>IF(C22="","",VLOOKUP(C22,'Demand Savings Lookup'!$A$1:$G$42,7,FALSE))</f>
        <v/>
      </c>
      <c r="N22" s="524">
        <f>IF(B22=0,0,(('Results from eQUEST'!BB41+'Results from eQUEST'!BH41)/10-('Results from eQUEST'!BB42+'Results from eQUEST'!BH42)/10))</f>
        <v>0</v>
      </c>
      <c r="O22" s="525">
        <f>IF(B22=0,0,('Results from eQUEST'!BK41-'Results from eQUEST'!BK42)/10-N22)</f>
        <v>0</v>
      </c>
      <c r="P22" s="525">
        <f>IF(B22=0,0,(('Results from eQUEST'!Q41+'Results from eQUEST'!R41)-('Results from eQUEST'!Q42+'Results from eQUEST'!R42)))</f>
        <v>0</v>
      </c>
      <c r="Q22" s="518">
        <f>IF(B22=0,0,'Results from eQUEST'!Y41-'Results from eQUEST'!Y42-P22)</f>
        <v>0</v>
      </c>
      <c r="R22" s="519">
        <f>IF(P22+Q22&lt;=0,0,IF(AND(P22=0,Q22=0),0,IF(B22=0,0,P22*VLOOKUP(C22,'Demand Savings Lookup'!$A$3:$E$42,IF('Basic Info'!$C$52=4,5,3),FALSE)+Q22*VLOOKUP(C22,'Demand Savings Lookup'!$A$3:$E$42,IF('Basic Info'!$C$52=4,4,2),FALSE))))</f>
        <v>0</v>
      </c>
      <c r="S22" s="520"/>
      <c r="T22" s="520"/>
      <c r="U22" s="595" t="str">
        <f t="shared" si="5"/>
        <v/>
      </c>
      <c r="V22" s="596" t="str">
        <f>IF(B22=0,"",(P22+Q22)*'Reporting Summary'!$C$114+(N22+O22)*'Reporting Summary'!$C$115*10+0.00309*S22*1000)</f>
        <v/>
      </c>
      <c r="W22" s="597" t="str">
        <f t="shared" si="6"/>
        <v/>
      </c>
      <c r="X22" s="597" t="str">
        <f t="shared" si="7"/>
        <v/>
      </c>
      <c r="Y22" s="594" t="str">
        <f t="shared" si="8"/>
        <v/>
      </c>
      <c r="Z22" s="598" t="str">
        <f t="shared" si="9"/>
        <v/>
      </c>
      <c r="AA22" s="599" t="str">
        <f t="shared" si="10"/>
        <v/>
      </c>
      <c r="AD22" s="1453"/>
      <c r="AE22" s="521">
        <f t="shared" si="11"/>
        <v>0</v>
      </c>
      <c r="AF22" s="521">
        <f t="shared" si="12"/>
        <v>0</v>
      </c>
      <c r="AG22" s="580"/>
      <c r="AH22" s="1454" t="str">
        <f t="shared" ref="AH22:AH28" si="20">IF(K22="","",K22)</f>
        <v/>
      </c>
      <c r="AI22" s="467"/>
      <c r="AJ22" s="1459">
        <f>IF(OR(N(P22)=0,N(J22)=0)=TRUE,0,1.2*P22*HLOOKUP(J22,AvoidedCostTable,2,FALSE))</f>
        <v>0</v>
      </c>
      <c r="AK22" s="522">
        <f>IF(OR(N(Q22)=0,N(J22)=0)=TRUE,0,Q22*HLOOKUP(J22,AvoidedCostTable,2,FALSE))</f>
        <v>0</v>
      </c>
      <c r="AL22" s="522">
        <f>IF(OR(N(R22)=0,N(J22)=0)=TRUE,0,R22*HLOOKUP(J22,AvoidedCostTable,3,FALSE))</f>
        <v>0</v>
      </c>
      <c r="AM22" s="522">
        <f t="shared" si="14"/>
        <v>0</v>
      </c>
      <c r="AN22" s="522">
        <f t="shared" si="15"/>
        <v>0</v>
      </c>
      <c r="AO22" s="522">
        <f>IF(OR(N(S22)=0,N(J22)=0)=TRUE,0,-PV('Avoided Costs'!$C$3,J22,S22*0.00309*1000))</f>
        <v>0</v>
      </c>
      <c r="AP22" s="523">
        <f>IF(N(J22)=0,0,-PV('Avoided Costs'!$C$3,J22,T22))</f>
        <v>0</v>
      </c>
      <c r="AQ22" s="523">
        <f>IF(OR(N(P22+Q22)=0,N(J22)=0)=TRUE,0,HLOOKUP(J22,AvoidedCostTable,7,FALSE)*(P22+Q22))</f>
        <v>0</v>
      </c>
      <c r="AR22" s="523">
        <f t="shared" si="4"/>
        <v>0</v>
      </c>
      <c r="AS22" s="523">
        <f>SUM(AJ22:AR22)</f>
        <v>0</v>
      </c>
      <c r="AT22" s="1869">
        <f t="shared" si="17"/>
        <v>0</v>
      </c>
      <c r="AU22" s="1869">
        <f t="shared" si="18"/>
        <v>0</v>
      </c>
      <c r="AV22" s="1460">
        <f t="shared" si="19"/>
        <v>0</v>
      </c>
      <c r="AX22" s="584"/>
    </row>
    <row r="23" spans="1:50">
      <c r="A23" s="515">
        <v>15</v>
      </c>
      <c r="B23" s="516">
        <f>'Results from eQUEST'!K43</f>
        <v>0</v>
      </c>
      <c r="C23" s="559"/>
      <c r="D23" s="1561" t="e">
        <f>INDEX(ERMs!$B$11:$E$83,MATCH(A23,ERMs!$B$11:$B$83,0),4)</f>
        <v>#N/A</v>
      </c>
      <c r="E23" s="560"/>
      <c r="F23" s="561"/>
      <c r="G23" s="1561" t="e">
        <f>INDEX(ERMs!$B$11:$E$83,MATCH(A23,ERMs!$B$11:$B$83,0),2)</f>
        <v>#N/A</v>
      </c>
      <c r="H23" s="560"/>
      <c r="I23" s="559"/>
      <c r="J23" s="592" t="str">
        <f>IF(C23="","",VLOOKUP(C23,'Demand Savings Lookup'!$A$3:$G$42,6,FALSE))</f>
        <v/>
      </c>
      <c r="K23" s="562"/>
      <c r="L23" s="562"/>
      <c r="M23" s="592" t="str">
        <f>IF(C23="","",VLOOKUP(C23,'Demand Savings Lookup'!$A$1:$G$42,7,FALSE))</f>
        <v/>
      </c>
      <c r="N23" s="524">
        <f>IF(B23=0,0,(('Results from eQUEST'!BB42+'Results from eQUEST'!BH42)/10-('Results from eQUEST'!BB43+'Results from eQUEST'!BH43)/10))</f>
        <v>0</v>
      </c>
      <c r="O23" s="526">
        <f>IF(B23=0,0,('Results from eQUEST'!BK42-'Results from eQUEST'!BK43)/10-N23)</f>
        <v>0</v>
      </c>
      <c r="P23" s="525">
        <f>IF(B23=0,0,(('Results from eQUEST'!Q42+'Results from eQUEST'!R42)-('Results from eQUEST'!Q43+'Results from eQUEST'!R43)))</f>
        <v>0</v>
      </c>
      <c r="Q23" s="518">
        <f>IF(B23=0,0,'Results from eQUEST'!Y42-'Results from eQUEST'!Y43-P23)</f>
        <v>0</v>
      </c>
      <c r="R23" s="519">
        <f>IF(P23+Q23&lt;=0,0,IF(AND(P23=0,Q23=0),0,IF(B23=0,0,P23*VLOOKUP(C23,'Demand Savings Lookup'!$A$3:$E$42,IF('Basic Info'!$C$52=4,5,3),FALSE)+Q23*VLOOKUP(C23,'Demand Savings Lookup'!$A$3:$E$42,IF('Basic Info'!$C$52=4,4,2),FALSE))))</f>
        <v>0</v>
      </c>
      <c r="S23" s="520"/>
      <c r="T23" s="520"/>
      <c r="U23" s="595" t="str">
        <f t="shared" si="5"/>
        <v/>
      </c>
      <c r="V23" s="596" t="str">
        <f>IF(B23=0,"",(P23+Q23)*'Reporting Summary'!$C$114+(N23+O23)*'Reporting Summary'!$C$115*10+0.00309*S23*1000)</f>
        <v/>
      </c>
      <c r="W23" s="597" t="str">
        <f t="shared" si="6"/>
        <v/>
      </c>
      <c r="X23" s="597" t="str">
        <f t="shared" si="7"/>
        <v/>
      </c>
      <c r="Y23" s="594" t="str">
        <f t="shared" si="8"/>
        <v/>
      </c>
      <c r="Z23" s="598" t="str">
        <f t="shared" si="9"/>
        <v/>
      </c>
      <c r="AA23" s="599" t="str">
        <f t="shared" si="10"/>
        <v/>
      </c>
      <c r="AD23" s="1453"/>
      <c r="AE23" s="521">
        <f t="shared" si="11"/>
        <v>0</v>
      </c>
      <c r="AF23" s="521">
        <f t="shared" si="12"/>
        <v>0</v>
      </c>
      <c r="AG23" s="581"/>
      <c r="AH23" s="1455" t="str">
        <f t="shared" si="20"/>
        <v/>
      </c>
      <c r="AI23" s="467"/>
      <c r="AJ23" s="1459">
        <f t="shared" si="0"/>
        <v>0</v>
      </c>
      <c r="AK23" s="522">
        <f t="shared" si="1"/>
        <v>0</v>
      </c>
      <c r="AL23" s="522">
        <f t="shared" si="2"/>
        <v>0</v>
      </c>
      <c r="AM23" s="522">
        <f t="shared" si="14"/>
        <v>0</v>
      </c>
      <c r="AN23" s="522">
        <f t="shared" si="15"/>
        <v>0</v>
      </c>
      <c r="AO23" s="522">
        <f>IF(OR(N(S23)=0,N(J23)=0)=TRUE,0,-PV('Avoided Costs'!$C$3,J23,S23*0.00309*1000))</f>
        <v>0</v>
      </c>
      <c r="AP23" s="523">
        <f>IF(N(J23)=0,0,-PV('Avoided Costs'!$C$3,J23,T23))</f>
        <v>0</v>
      </c>
      <c r="AQ23" s="523">
        <f t="shared" si="3"/>
        <v>0</v>
      </c>
      <c r="AR23" s="523">
        <f t="shared" si="4"/>
        <v>0</v>
      </c>
      <c r="AS23" s="523">
        <f t="shared" ref="AS23:AS28" si="21">SUM(AJ23:AR23)</f>
        <v>0</v>
      </c>
      <c r="AT23" s="1869">
        <f t="shared" si="17"/>
        <v>0</v>
      </c>
      <c r="AU23" s="1869">
        <f t="shared" si="18"/>
        <v>0</v>
      </c>
      <c r="AV23" s="1460">
        <f t="shared" si="19"/>
        <v>0</v>
      </c>
      <c r="AX23" s="584"/>
    </row>
    <row r="24" spans="1:50">
      <c r="A24" s="515">
        <v>16</v>
      </c>
      <c r="B24" s="516">
        <f>'Results from eQUEST'!K44</f>
        <v>0</v>
      </c>
      <c r="C24" s="559"/>
      <c r="D24" s="1561" t="e">
        <f>INDEX(ERMs!$B$11:$E$83,MATCH(A24,ERMs!$B$11:$B$83,0),4)</f>
        <v>#N/A</v>
      </c>
      <c r="E24" s="560"/>
      <c r="F24" s="561"/>
      <c r="G24" s="1561" t="e">
        <f>INDEX(ERMs!$B$11:$E$83,MATCH(A24,ERMs!$B$11:$B$83,0),2)</f>
        <v>#N/A</v>
      </c>
      <c r="H24" s="560"/>
      <c r="I24" s="559"/>
      <c r="J24" s="592" t="str">
        <f>IF(C24="","",VLOOKUP(C24,'Demand Savings Lookup'!$A$3:$G$42,6,FALSE))</f>
        <v/>
      </c>
      <c r="K24" s="562"/>
      <c r="L24" s="562"/>
      <c r="M24" s="592" t="str">
        <f>IF(C24="","",VLOOKUP(C24,'Demand Savings Lookup'!$A$1:$G$42,7,FALSE))</f>
        <v/>
      </c>
      <c r="N24" s="524">
        <f>IF(B24=0,0,(('Results from eQUEST'!BB43+'Results from eQUEST'!BH43)/10-('Results from eQUEST'!BB44+'Results from eQUEST'!BH44)/10))</f>
        <v>0</v>
      </c>
      <c r="O24" s="526">
        <f>IF(B24=0,0,('Results from eQUEST'!BK43-'Results from eQUEST'!BK44)/10-N24)</f>
        <v>0</v>
      </c>
      <c r="P24" s="525">
        <f>IF(B24=0,0,(('Results from eQUEST'!Q43+'Results from eQUEST'!R43)-('Results from eQUEST'!Q44+'Results from eQUEST'!R44)))</f>
        <v>0</v>
      </c>
      <c r="Q24" s="518">
        <f>IF(B24=0,0,'Results from eQUEST'!Y43-'Results from eQUEST'!Y44-P24)</f>
        <v>0</v>
      </c>
      <c r="R24" s="519">
        <f>IF(P24+Q24&lt;=0,0,IF(AND(P24=0,Q24=0),0,IF(B24=0,0,P24*VLOOKUP(C24,'Demand Savings Lookup'!$A$3:$E$42,IF('Basic Info'!$C$52=4,5,3),FALSE)+Q24*VLOOKUP(C24,'Demand Savings Lookup'!$A$3:$E$42,IF('Basic Info'!$C$52=4,4,2),FALSE))))</f>
        <v>0</v>
      </c>
      <c r="S24" s="520"/>
      <c r="T24" s="520"/>
      <c r="U24" s="595" t="str">
        <f t="shared" si="5"/>
        <v/>
      </c>
      <c r="V24" s="596" t="str">
        <f>IF(B24=0,"",(P24+Q24)*'Reporting Summary'!$C$114+(N24+O24)*'Reporting Summary'!$C$115*10+0.00309*S24*1000)</f>
        <v/>
      </c>
      <c r="W24" s="597" t="str">
        <f t="shared" si="6"/>
        <v/>
      </c>
      <c r="X24" s="597" t="str">
        <f t="shared" si="7"/>
        <v/>
      </c>
      <c r="Y24" s="594" t="str">
        <f t="shared" si="8"/>
        <v/>
      </c>
      <c r="Z24" s="598" t="str">
        <f t="shared" si="9"/>
        <v/>
      </c>
      <c r="AA24" s="599" t="str">
        <f t="shared" si="10"/>
        <v/>
      </c>
      <c r="AD24" s="1453"/>
      <c r="AE24" s="521">
        <f t="shared" si="11"/>
        <v>0</v>
      </c>
      <c r="AF24" s="521">
        <f t="shared" si="12"/>
        <v>0</v>
      </c>
      <c r="AG24" s="581"/>
      <c r="AH24" s="1455" t="str">
        <f t="shared" si="20"/>
        <v/>
      </c>
      <c r="AI24" s="467"/>
      <c r="AJ24" s="1459">
        <f t="shared" si="0"/>
        <v>0</v>
      </c>
      <c r="AK24" s="522">
        <f t="shared" si="1"/>
        <v>0</v>
      </c>
      <c r="AL24" s="522">
        <f t="shared" si="2"/>
        <v>0</v>
      </c>
      <c r="AM24" s="522">
        <f t="shared" si="14"/>
        <v>0</v>
      </c>
      <c r="AN24" s="522">
        <f t="shared" si="15"/>
        <v>0</v>
      </c>
      <c r="AO24" s="522">
        <f>IF(OR(N(S24)=0,N(J24)=0)=TRUE,0,-PV('Avoided Costs'!$C$3,J24,S24*0.00309*1000))</f>
        <v>0</v>
      </c>
      <c r="AP24" s="523">
        <f>IF(N(J24)=0,0,-PV('Avoided Costs'!$C$3,J24,T24))</f>
        <v>0</v>
      </c>
      <c r="AQ24" s="523">
        <f t="shared" si="3"/>
        <v>0</v>
      </c>
      <c r="AR24" s="523">
        <f t="shared" si="4"/>
        <v>0</v>
      </c>
      <c r="AS24" s="523">
        <f t="shared" si="21"/>
        <v>0</v>
      </c>
      <c r="AT24" s="1869">
        <f t="shared" si="17"/>
        <v>0</v>
      </c>
      <c r="AU24" s="1869">
        <f t="shared" si="18"/>
        <v>0</v>
      </c>
      <c r="AV24" s="1460">
        <f t="shared" si="19"/>
        <v>0</v>
      </c>
      <c r="AX24" s="584"/>
    </row>
    <row r="25" spans="1:50">
      <c r="A25" s="515">
        <v>17</v>
      </c>
      <c r="B25" s="516">
        <f>'Results from eQUEST'!K45</f>
        <v>0</v>
      </c>
      <c r="C25" s="559"/>
      <c r="D25" s="1561" t="e">
        <f>INDEX(ERMs!$B$11:$E$83,MATCH(A25,ERMs!$B$11:$B$83,0),4)</f>
        <v>#N/A</v>
      </c>
      <c r="E25" s="560"/>
      <c r="F25" s="561"/>
      <c r="G25" s="1561" t="e">
        <f>INDEX(ERMs!$B$11:$E$83,MATCH(A25,ERMs!$B$11:$B$83,0),2)</f>
        <v>#N/A</v>
      </c>
      <c r="H25" s="560"/>
      <c r="I25" s="559"/>
      <c r="J25" s="592" t="str">
        <f>IF(C25="","",VLOOKUP(C25,'Demand Savings Lookup'!$A$3:$G$42,6,FALSE))</f>
        <v/>
      </c>
      <c r="K25" s="562"/>
      <c r="L25" s="562"/>
      <c r="M25" s="592" t="str">
        <f>IF(C25="","",VLOOKUP(C25,'Demand Savings Lookup'!$A$1:$G$42,7,FALSE))</f>
        <v/>
      </c>
      <c r="N25" s="524">
        <f>IF(B25=0,0,(('Results from eQUEST'!BB44+'Results from eQUEST'!BH44)/10-('Results from eQUEST'!BB45+'Results from eQUEST'!BH45)/10))</f>
        <v>0</v>
      </c>
      <c r="O25" s="526">
        <f>IF(B25=0,0,('Results from eQUEST'!BK44-'Results from eQUEST'!BK45)/10-N25)</f>
        <v>0</v>
      </c>
      <c r="P25" s="525">
        <f>IF(B25=0,0,(('Results from eQUEST'!Q44+'Results from eQUEST'!R44)-('Results from eQUEST'!Q45+'Results from eQUEST'!R45)))</f>
        <v>0</v>
      </c>
      <c r="Q25" s="518">
        <f>IF(B25=0,0,'Results from eQUEST'!Y44-'Results from eQUEST'!Y45-P25)</f>
        <v>0</v>
      </c>
      <c r="R25" s="519">
        <f>IF(P25+Q25&lt;=0,0,IF(AND(P25=0,Q25=0),0,IF(B25=0,0,P25*VLOOKUP(C25,'Demand Savings Lookup'!$A$3:$E$42,IF('Basic Info'!$C$52=4,5,3),FALSE)+Q25*VLOOKUP(C25,'Demand Savings Lookup'!$A$3:$E$42,IF('Basic Info'!$C$52=4,4,2),FALSE))))</f>
        <v>0</v>
      </c>
      <c r="S25" s="520"/>
      <c r="T25" s="520"/>
      <c r="U25" s="595" t="str">
        <f t="shared" si="5"/>
        <v/>
      </c>
      <c r="V25" s="596" t="str">
        <f>IF(B25=0,"",(P25+Q25)*'Reporting Summary'!$C$114+(N25+O25)*'Reporting Summary'!$C$115*10+0.00309*S25*1000)</f>
        <v/>
      </c>
      <c r="W25" s="597" t="str">
        <f t="shared" si="6"/>
        <v/>
      </c>
      <c r="X25" s="597" t="str">
        <f t="shared" si="7"/>
        <v/>
      </c>
      <c r="Y25" s="594" t="str">
        <f t="shared" si="8"/>
        <v/>
      </c>
      <c r="Z25" s="598" t="str">
        <f t="shared" si="9"/>
        <v/>
      </c>
      <c r="AA25" s="599" t="str">
        <f t="shared" si="10"/>
        <v/>
      </c>
      <c r="AD25" s="1453"/>
      <c r="AE25" s="521">
        <f t="shared" si="11"/>
        <v>0</v>
      </c>
      <c r="AF25" s="521">
        <f t="shared" si="12"/>
        <v>0</v>
      </c>
      <c r="AG25" s="581"/>
      <c r="AH25" s="1455" t="str">
        <f t="shared" si="20"/>
        <v/>
      </c>
      <c r="AI25" s="467"/>
      <c r="AJ25" s="1459">
        <f t="shared" si="0"/>
        <v>0</v>
      </c>
      <c r="AK25" s="522">
        <f t="shared" si="1"/>
        <v>0</v>
      </c>
      <c r="AL25" s="522">
        <f t="shared" si="2"/>
        <v>0</v>
      </c>
      <c r="AM25" s="522">
        <f t="shared" si="14"/>
        <v>0</v>
      </c>
      <c r="AN25" s="522">
        <f t="shared" si="15"/>
        <v>0</v>
      </c>
      <c r="AO25" s="522">
        <f>IF(OR(N(S25)=0,N(J25)=0)=TRUE,0,-PV('Avoided Costs'!$C$3,J25,S25*0.00309*1000))</f>
        <v>0</v>
      </c>
      <c r="AP25" s="523">
        <f>IF(N(J25)=0,0,-PV('Avoided Costs'!$C$3,J25,T25))</f>
        <v>0</v>
      </c>
      <c r="AQ25" s="523">
        <f t="shared" si="3"/>
        <v>0</v>
      </c>
      <c r="AR25" s="523">
        <f t="shared" si="4"/>
        <v>0</v>
      </c>
      <c r="AS25" s="523">
        <f t="shared" si="21"/>
        <v>0</v>
      </c>
      <c r="AT25" s="1869">
        <f t="shared" si="17"/>
        <v>0</v>
      </c>
      <c r="AU25" s="1869">
        <f t="shared" si="18"/>
        <v>0</v>
      </c>
      <c r="AV25" s="1460">
        <f t="shared" si="19"/>
        <v>0</v>
      </c>
      <c r="AX25" s="584"/>
    </row>
    <row r="26" spans="1:50">
      <c r="A26" s="515">
        <v>18</v>
      </c>
      <c r="B26" s="516">
        <f>'Results from eQUEST'!K46</f>
        <v>0</v>
      </c>
      <c r="C26" s="559"/>
      <c r="D26" s="1561" t="e">
        <f>INDEX(ERMs!$B$11:$E$83,MATCH(A26,ERMs!$B$11:$B$83,0),4)</f>
        <v>#N/A</v>
      </c>
      <c r="E26" s="560"/>
      <c r="F26" s="561"/>
      <c r="G26" s="1561" t="e">
        <f>INDEX(ERMs!$B$11:$E$83,MATCH(A26,ERMs!$B$11:$B$83,0),2)</f>
        <v>#N/A</v>
      </c>
      <c r="H26" s="560"/>
      <c r="I26" s="559"/>
      <c r="J26" s="592" t="str">
        <f>IF(C26="","",VLOOKUP(C26,'Demand Savings Lookup'!$A$3:$G$42,6,FALSE))</f>
        <v/>
      </c>
      <c r="K26" s="562"/>
      <c r="L26" s="562"/>
      <c r="M26" s="592" t="str">
        <f>IF(C26="","",VLOOKUP(C26,'Demand Savings Lookup'!$A$1:$G$42,7,FALSE))</f>
        <v/>
      </c>
      <c r="N26" s="524">
        <f>IF(B26=0,0,(('Results from eQUEST'!BB45+'Results from eQUEST'!BH45)/10-('Results from eQUEST'!BB46+'Results from eQUEST'!BH46)/10))</f>
        <v>0</v>
      </c>
      <c r="O26" s="526">
        <f>IF(B26=0,0,('Results from eQUEST'!BK45-'Results from eQUEST'!BK46)/10-N26)</f>
        <v>0</v>
      </c>
      <c r="P26" s="525">
        <f>IF(B26=0,0,(('Results from eQUEST'!Q45+'Results from eQUEST'!R45)-('Results from eQUEST'!Q46+'Results from eQUEST'!R46)))</f>
        <v>0</v>
      </c>
      <c r="Q26" s="518">
        <f>IF(B26=0,0,'Results from eQUEST'!Y45-'Results from eQUEST'!Y46-P26)</f>
        <v>0</v>
      </c>
      <c r="R26" s="519">
        <f>IF(P26+Q26&lt;=0,0,IF(AND(P26=0,Q26=0),0,IF(B26=0,0,P26*VLOOKUP(C26,'Demand Savings Lookup'!$A$3:$E$42,IF('Basic Info'!$C$52=4,5,3),FALSE)+Q26*VLOOKUP(C26,'Demand Savings Lookup'!$A$3:$E$42,IF('Basic Info'!$C$52=4,4,2),FALSE))))</f>
        <v>0</v>
      </c>
      <c r="S26" s="520"/>
      <c r="T26" s="520"/>
      <c r="U26" s="595" t="str">
        <f t="shared" si="5"/>
        <v/>
      </c>
      <c r="V26" s="596" t="str">
        <f>IF(B26=0,"",(P26+Q26)*'Reporting Summary'!$C$114+(N26+O26)*'Reporting Summary'!$C$115*10+0.00309*S26*1000)</f>
        <v/>
      </c>
      <c r="W26" s="597" t="str">
        <f t="shared" si="6"/>
        <v/>
      </c>
      <c r="X26" s="597" t="str">
        <f t="shared" si="7"/>
        <v/>
      </c>
      <c r="Y26" s="594" t="str">
        <f t="shared" si="8"/>
        <v/>
      </c>
      <c r="Z26" s="598" t="str">
        <f t="shared" si="9"/>
        <v/>
      </c>
      <c r="AA26" s="599" t="str">
        <f t="shared" si="10"/>
        <v/>
      </c>
      <c r="AD26" s="1453"/>
      <c r="AE26" s="521">
        <f t="shared" si="11"/>
        <v>0</v>
      </c>
      <c r="AF26" s="521">
        <f t="shared" si="12"/>
        <v>0</v>
      </c>
      <c r="AG26" s="581"/>
      <c r="AH26" s="1455" t="str">
        <f t="shared" si="20"/>
        <v/>
      </c>
      <c r="AI26" s="467"/>
      <c r="AJ26" s="1459">
        <f t="shared" si="0"/>
        <v>0</v>
      </c>
      <c r="AK26" s="522">
        <f t="shared" si="1"/>
        <v>0</v>
      </c>
      <c r="AL26" s="522">
        <f t="shared" si="2"/>
        <v>0</v>
      </c>
      <c r="AM26" s="522">
        <f t="shared" si="14"/>
        <v>0</v>
      </c>
      <c r="AN26" s="522">
        <f t="shared" si="15"/>
        <v>0</v>
      </c>
      <c r="AO26" s="522">
        <f>IF(OR(N(S26)=0,N(J26)=0)=TRUE,0,-PV('Avoided Costs'!$C$3,J26,S26*0.00309*1000))</f>
        <v>0</v>
      </c>
      <c r="AP26" s="523">
        <f>IF(N(J26)=0,0,-PV('Avoided Costs'!$C$3,J26,T26))</f>
        <v>0</v>
      </c>
      <c r="AQ26" s="523">
        <f t="shared" si="3"/>
        <v>0</v>
      </c>
      <c r="AR26" s="523">
        <f t="shared" si="4"/>
        <v>0</v>
      </c>
      <c r="AS26" s="523">
        <f t="shared" si="21"/>
        <v>0</v>
      </c>
      <c r="AT26" s="1869">
        <f t="shared" si="17"/>
        <v>0</v>
      </c>
      <c r="AU26" s="1869">
        <f t="shared" si="18"/>
        <v>0</v>
      </c>
      <c r="AV26" s="1460">
        <f t="shared" si="19"/>
        <v>0</v>
      </c>
      <c r="AX26" s="584"/>
    </row>
    <row r="27" spans="1:50">
      <c r="A27" s="515">
        <v>19</v>
      </c>
      <c r="B27" s="516">
        <f>'Results from eQUEST'!K47</f>
        <v>0</v>
      </c>
      <c r="C27" s="559"/>
      <c r="D27" s="1561" t="e">
        <f>INDEX(ERMs!$B$11:$E$83,MATCH(A27,ERMs!$B$11:$B$83,0),4)</f>
        <v>#N/A</v>
      </c>
      <c r="E27" s="560"/>
      <c r="F27" s="561"/>
      <c r="G27" s="1561" t="e">
        <f>INDEX(ERMs!$B$11:$E$83,MATCH(A27,ERMs!$B$11:$B$83,0),2)</f>
        <v>#N/A</v>
      </c>
      <c r="H27" s="560"/>
      <c r="I27" s="559"/>
      <c r="J27" s="592" t="str">
        <f>IF(C27="","",VLOOKUP(C27,'Demand Savings Lookup'!$A$3:$G$42,6,FALSE))</f>
        <v/>
      </c>
      <c r="K27" s="562"/>
      <c r="L27" s="562"/>
      <c r="M27" s="592" t="str">
        <f>IF(C27="","",VLOOKUP(C27,'Demand Savings Lookup'!$A$1:$G$42,7,FALSE))</f>
        <v/>
      </c>
      <c r="N27" s="524">
        <f>IF(B27=0,0,(('Results from eQUEST'!BB46+'Results from eQUEST'!BH46)/10-('Results from eQUEST'!BB47+'Results from eQUEST'!BH47)/10))</f>
        <v>0</v>
      </c>
      <c r="O27" s="526">
        <f>IF(B27=0,0,('Results from eQUEST'!BK46-'Results from eQUEST'!BK47)/10-N27)</f>
        <v>0</v>
      </c>
      <c r="P27" s="525">
        <f>IF(B27=0,0,(('Results from eQUEST'!Q46+'Results from eQUEST'!R46)-('Results from eQUEST'!Q47+'Results from eQUEST'!R47)))</f>
        <v>0</v>
      </c>
      <c r="Q27" s="518">
        <f>IF(B27=0,0,'Results from eQUEST'!Y46-'Results from eQUEST'!Y47-P27)</f>
        <v>0</v>
      </c>
      <c r="R27" s="519">
        <f>IF(P27+Q27&lt;=0,0,IF(AND(P27=0,Q27=0),0,IF(B27=0,0,P27*VLOOKUP(C27,'Demand Savings Lookup'!$A$3:$E$42,IF('Basic Info'!$C$52=4,5,3),FALSE)+Q27*VLOOKUP(C27,'Demand Savings Lookup'!$A$3:$E$42,IF('Basic Info'!$C$52=4,4,2),FALSE))))</f>
        <v>0</v>
      </c>
      <c r="S27" s="520"/>
      <c r="T27" s="520"/>
      <c r="U27" s="595" t="str">
        <f t="shared" si="5"/>
        <v/>
      </c>
      <c r="V27" s="596" t="str">
        <f>IF(B27=0,"",(P27+Q27)*'Reporting Summary'!$C$114+(N27+O27)*'Reporting Summary'!$C$115*10+0.00309*S27*1000)</f>
        <v/>
      </c>
      <c r="W27" s="597" t="str">
        <f t="shared" si="6"/>
        <v/>
      </c>
      <c r="X27" s="597" t="str">
        <f t="shared" si="7"/>
        <v/>
      </c>
      <c r="Y27" s="594" t="str">
        <f t="shared" si="8"/>
        <v/>
      </c>
      <c r="Z27" s="598" t="str">
        <f t="shared" si="9"/>
        <v/>
      </c>
      <c r="AA27" s="599" t="str">
        <f t="shared" si="10"/>
        <v/>
      </c>
      <c r="AD27" s="1453"/>
      <c r="AE27" s="521">
        <f t="shared" si="11"/>
        <v>0</v>
      </c>
      <c r="AF27" s="521">
        <f t="shared" si="12"/>
        <v>0</v>
      </c>
      <c r="AG27" s="581"/>
      <c r="AH27" s="1455" t="str">
        <f t="shared" si="20"/>
        <v/>
      </c>
      <c r="AI27" s="467"/>
      <c r="AJ27" s="1459">
        <f t="shared" si="0"/>
        <v>0</v>
      </c>
      <c r="AK27" s="522">
        <f t="shared" si="1"/>
        <v>0</v>
      </c>
      <c r="AL27" s="522">
        <f t="shared" si="2"/>
        <v>0</v>
      </c>
      <c r="AM27" s="522">
        <f t="shared" si="14"/>
        <v>0</v>
      </c>
      <c r="AN27" s="522">
        <f t="shared" si="15"/>
        <v>0</v>
      </c>
      <c r="AO27" s="522">
        <f>IF(OR(N(S27)=0,N(J27)=0)=TRUE,0,-PV('Avoided Costs'!$C$3,J27,S27*0.00309*1000))</f>
        <v>0</v>
      </c>
      <c r="AP27" s="523">
        <f>IF(N(J27)=0,0,-PV('Avoided Costs'!$C$3,J27,T27))</f>
        <v>0</v>
      </c>
      <c r="AQ27" s="523">
        <f t="shared" si="3"/>
        <v>0</v>
      </c>
      <c r="AR27" s="523">
        <f t="shared" si="4"/>
        <v>0</v>
      </c>
      <c r="AS27" s="523">
        <f t="shared" si="21"/>
        <v>0</v>
      </c>
      <c r="AT27" s="1869">
        <f t="shared" si="17"/>
        <v>0</v>
      </c>
      <c r="AU27" s="1869">
        <f t="shared" si="18"/>
        <v>0</v>
      </c>
      <c r="AV27" s="1460">
        <f t="shared" si="19"/>
        <v>0</v>
      </c>
      <c r="AX27" s="584"/>
    </row>
    <row r="28" spans="1:50" ht="12.75" thickBot="1">
      <c r="A28" s="571">
        <v>20</v>
      </c>
      <c r="B28" s="516">
        <f>'Results from eQUEST'!K48</f>
        <v>0</v>
      </c>
      <c r="C28" s="572"/>
      <c r="D28" s="1561" t="e">
        <f>INDEX(ERMs!$B$11:$E$83,MATCH(A28,ERMs!$B$11:$B$83,0),4)</f>
        <v>#N/A</v>
      </c>
      <c r="E28" s="573"/>
      <c r="F28" s="574"/>
      <c r="G28" s="1561" t="e">
        <f>INDEX(ERMs!$B$11:$E$83,MATCH(A28,ERMs!$B$11:$B$83,0),2)</f>
        <v>#N/A</v>
      </c>
      <c r="H28" s="573"/>
      <c r="I28" s="572"/>
      <c r="J28" s="592" t="str">
        <f>IF(C28="","",VLOOKUP(C28,'Demand Savings Lookup'!$A$3:$G$42,6,FALSE))</f>
        <v/>
      </c>
      <c r="K28" s="575"/>
      <c r="L28" s="575"/>
      <c r="M28" s="592" t="str">
        <f>IF(C28="","",VLOOKUP(C28,'Demand Savings Lookup'!$A$1:$G$42,7,FALSE))</f>
        <v/>
      </c>
      <c r="N28" s="524">
        <f>IF(B28=0,0,(('Results from eQUEST'!BB47+'Results from eQUEST'!BH47)/10-('Results from eQUEST'!BB48+'Results from eQUEST'!BH48)/10))</f>
        <v>0</v>
      </c>
      <c r="O28" s="526">
        <f>IF(B28=0,0,('Results from eQUEST'!BK47-'Results from eQUEST'!BK48)/10-N28)</f>
        <v>0</v>
      </c>
      <c r="P28" s="525">
        <f>IF(B28=0,0,(('Results from eQUEST'!Q47+'Results from eQUEST'!R47)-('Results from eQUEST'!Q48+'Results from eQUEST'!R48)))</f>
        <v>0</v>
      </c>
      <c r="Q28" s="518">
        <f>IF(B28=0,0,'Results from eQUEST'!Y47-'Results from eQUEST'!Y48-P28)</f>
        <v>0</v>
      </c>
      <c r="R28" s="519">
        <f>IF(P28+Q28&lt;=0,0,IF(AND(P28=0,Q28=0),0,IF(B28=0,0,P28*VLOOKUP(C28,'Demand Savings Lookup'!$A$3:$E$42,IF('Basic Info'!$C$52=4,5,3),FALSE)+Q28*VLOOKUP(C28,'Demand Savings Lookup'!$A$3:$E$42,IF('Basic Info'!$C$52=4,4,2),FALSE))))</f>
        <v>0</v>
      </c>
      <c r="S28" s="576"/>
      <c r="T28" s="576"/>
      <c r="U28" s="595" t="str">
        <f t="shared" si="5"/>
        <v/>
      </c>
      <c r="V28" s="596" t="str">
        <f>IF(B28=0,"",(P28+Q28)*'Reporting Summary'!$C$114+(N28+O28)*'Reporting Summary'!$C$115*10+0.00309*S28*1000)</f>
        <v/>
      </c>
      <c r="W28" s="597" t="str">
        <f t="shared" si="6"/>
        <v/>
      </c>
      <c r="X28" s="597" t="str">
        <f>IF(V28="","",IF(V28&gt;0, -PV($AA$2, J28, V28)/U28, 0))</f>
        <v/>
      </c>
      <c r="Y28" s="594" t="str">
        <f t="shared" si="8"/>
        <v/>
      </c>
      <c r="Z28" s="598" t="str">
        <f t="shared" si="9"/>
        <v/>
      </c>
      <c r="AA28" s="599" t="str">
        <f t="shared" si="10"/>
        <v/>
      </c>
      <c r="AD28" s="1457"/>
      <c r="AE28" s="521">
        <f t="shared" si="11"/>
        <v>0</v>
      </c>
      <c r="AF28" s="521">
        <f t="shared" si="12"/>
        <v>0</v>
      </c>
      <c r="AG28" s="1452"/>
      <c r="AH28" s="1458" t="str">
        <f t="shared" si="20"/>
        <v/>
      </c>
      <c r="AI28" s="467"/>
      <c r="AJ28" s="1461">
        <f t="shared" si="0"/>
        <v>0</v>
      </c>
      <c r="AK28" s="1441">
        <f t="shared" si="1"/>
        <v>0</v>
      </c>
      <c r="AL28" s="1441">
        <f t="shared" si="2"/>
        <v>0</v>
      </c>
      <c r="AM28" s="522">
        <f t="shared" si="14"/>
        <v>0</v>
      </c>
      <c r="AN28" s="522">
        <f t="shared" si="15"/>
        <v>0</v>
      </c>
      <c r="AO28" s="1441">
        <f>IF(OR(N(S28)=0,N(J28)=0)=TRUE,0,-PV('Avoided Costs'!$C$3,J28,S28*0.00309*1000))</f>
        <v>0</v>
      </c>
      <c r="AP28" s="1442">
        <f>IF(N(J28)=0,0,-PV('Avoided Costs'!$C$3,J28,T28))</f>
        <v>0</v>
      </c>
      <c r="AQ28" s="1442">
        <f t="shared" si="3"/>
        <v>0</v>
      </c>
      <c r="AR28" s="523">
        <f t="shared" si="4"/>
        <v>0</v>
      </c>
      <c r="AS28" s="523">
        <f t="shared" si="21"/>
        <v>0</v>
      </c>
      <c r="AT28" s="1869">
        <f t="shared" si="17"/>
        <v>0</v>
      </c>
      <c r="AU28" s="1869">
        <f t="shared" si="18"/>
        <v>0</v>
      </c>
      <c r="AV28" s="1460">
        <f t="shared" si="19"/>
        <v>0</v>
      </c>
      <c r="AX28" s="1852"/>
    </row>
    <row r="29" spans="1:50" ht="12.75" thickBot="1">
      <c r="A29" s="577"/>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9"/>
      <c r="AD29" s="1443"/>
      <c r="AE29" s="1444"/>
      <c r="AF29" s="1444"/>
      <c r="AG29" s="1444"/>
      <c r="AH29" s="1445"/>
      <c r="AJ29" s="1443"/>
      <c r="AK29" s="1444"/>
      <c r="AL29" s="1444"/>
      <c r="AM29" s="1444"/>
      <c r="AN29" s="1444"/>
      <c r="AO29" s="1444"/>
      <c r="AP29" s="1444"/>
      <c r="AQ29" s="1444"/>
      <c r="AR29" s="1444"/>
      <c r="AS29" s="1444"/>
      <c r="AT29" s="1444"/>
      <c r="AU29" s="1444"/>
      <c r="AV29" s="1445"/>
      <c r="AX29" s="1855"/>
    </row>
    <row r="30" spans="1:50" ht="12.75" customHeight="1" thickBot="1">
      <c r="D30" s="527"/>
      <c r="E30" s="527"/>
      <c r="F30" s="527"/>
      <c r="G30" s="527"/>
      <c r="H30" s="527"/>
      <c r="I30" s="527"/>
      <c r="M30" s="563" t="s">
        <v>3004</v>
      </c>
      <c r="N30" s="528">
        <f>SUM(N8:N29)</f>
        <v>0</v>
      </c>
      <c r="O30" s="528">
        <f t="shared" ref="O30:T30" si="22">SUM(O8:O29)</f>
        <v>0</v>
      </c>
      <c r="P30" s="528">
        <f t="shared" si="22"/>
        <v>0</v>
      </c>
      <c r="Q30" s="528">
        <f t="shared" si="22"/>
        <v>0</v>
      </c>
      <c r="R30" s="528">
        <f t="shared" si="22"/>
        <v>0</v>
      </c>
      <c r="S30" s="528">
        <f t="shared" si="22"/>
        <v>0</v>
      </c>
      <c r="T30" s="528">
        <f t="shared" si="22"/>
        <v>0</v>
      </c>
      <c r="U30" s="529"/>
      <c r="V30" s="2238" t="s">
        <v>2763</v>
      </c>
      <c r="W30" s="2239"/>
      <c r="X30" s="2239"/>
      <c r="Y30" s="2239"/>
      <c r="Z30" s="2239"/>
      <c r="AA30" s="2240"/>
      <c r="AV30" s="1845">
        <f>SUMIF(AG8:AG27,"&lt;&gt;Owner",AV8:AV29)</f>
        <v>0</v>
      </c>
      <c r="AW30" s="513"/>
    </row>
    <row r="31" spans="1:50" ht="13.5" customHeight="1" thickBot="1">
      <c r="A31" s="527"/>
      <c r="B31" s="527"/>
      <c r="C31" s="527"/>
      <c r="D31" s="527"/>
      <c r="E31" s="527"/>
      <c r="F31" s="527"/>
      <c r="G31" s="527"/>
      <c r="H31" s="527"/>
      <c r="I31" s="527"/>
      <c r="J31" s="527"/>
      <c r="K31" s="527"/>
      <c r="L31" s="527"/>
      <c r="M31" s="527"/>
      <c r="N31" s="527"/>
      <c r="O31" s="527"/>
      <c r="P31" s="527"/>
      <c r="Q31" s="2244" t="s">
        <v>2754</v>
      </c>
      <c r="R31" s="2245"/>
      <c r="S31" s="2245"/>
      <c r="T31" s="2246"/>
      <c r="U31" s="530">
        <f>SUM(U8:U29)</f>
        <v>0</v>
      </c>
      <c r="V31" s="2241"/>
      <c r="W31" s="2242"/>
      <c r="X31" s="2242"/>
      <c r="Y31" s="2242"/>
      <c r="Z31" s="2242"/>
      <c r="AA31" s="2243"/>
      <c r="AB31" s="527"/>
      <c r="AE31" s="2271" t="s">
        <v>2979</v>
      </c>
      <c r="AF31" s="2272"/>
      <c r="AG31" s="2253" t="s">
        <v>2983</v>
      </c>
      <c r="AH31" s="2253"/>
      <c r="AW31" s="513"/>
    </row>
    <row r="32" spans="1:50" ht="12.75" customHeight="1">
      <c r="B32" s="506" t="s">
        <v>2996</v>
      </c>
      <c r="C32" s="492"/>
      <c r="D32" s="492"/>
      <c r="E32" s="492"/>
      <c r="F32" s="493"/>
      <c r="G32" s="494"/>
      <c r="H32" s="493"/>
      <c r="I32" s="493"/>
      <c r="J32" s="493"/>
      <c r="K32" s="493"/>
      <c r="L32" s="493"/>
      <c r="M32" s="493"/>
      <c r="N32" s="552"/>
      <c r="O32" s="527"/>
      <c r="P32" s="527"/>
      <c r="Q32" s="2247" t="s">
        <v>2758</v>
      </c>
      <c r="R32" s="2248"/>
      <c r="S32" s="2248"/>
      <c r="T32" s="2249"/>
      <c r="U32" s="530">
        <f>'Basic Info'!C55</f>
        <v>0</v>
      </c>
      <c r="V32" s="586" t="s">
        <v>2760</v>
      </c>
      <c r="W32" s="587" t="s">
        <v>2760</v>
      </c>
      <c r="X32" s="586" t="s">
        <v>2760</v>
      </c>
      <c r="Y32" s="586" t="s">
        <v>2760</v>
      </c>
      <c r="Z32" s="587" t="s">
        <v>2760</v>
      </c>
      <c r="AA32" s="586" t="s">
        <v>2764</v>
      </c>
      <c r="AB32" s="527"/>
      <c r="AE32" s="2273">
        <f>SUM(AF9:AF29)</f>
        <v>0</v>
      </c>
      <c r="AF32" s="2274"/>
      <c r="AG32" s="2253"/>
      <c r="AH32" s="2253"/>
    </row>
    <row r="33" spans="2:37" ht="12.75" customHeight="1">
      <c r="B33" s="507" t="s">
        <v>4451</v>
      </c>
      <c r="C33" s="495"/>
      <c r="D33" s="495"/>
      <c r="E33" s="495"/>
      <c r="F33" s="496"/>
      <c r="G33" s="497"/>
      <c r="H33" s="498"/>
      <c r="I33" s="498"/>
      <c r="J33" s="498"/>
      <c r="K33" s="498"/>
      <c r="L33" s="498"/>
      <c r="M33" s="498"/>
      <c r="N33" s="553"/>
      <c r="O33" s="527"/>
      <c r="P33" s="527"/>
      <c r="Q33" s="2247" t="s">
        <v>2759</v>
      </c>
      <c r="R33" s="2248"/>
      <c r="S33" s="2248"/>
      <c r="T33" s="2249"/>
      <c r="U33" s="530">
        <f>'Basic Info'!C56</f>
        <v>0</v>
      </c>
      <c r="V33" s="588" t="s">
        <v>2741</v>
      </c>
      <c r="W33" s="589" t="s">
        <v>2526</v>
      </c>
      <c r="X33" s="588" t="s">
        <v>3000</v>
      </c>
      <c r="Y33" s="588" t="s">
        <v>2999</v>
      </c>
      <c r="Z33" s="589" t="s">
        <v>2762</v>
      </c>
      <c r="AA33" s="588" t="s">
        <v>2765</v>
      </c>
      <c r="AB33" s="527"/>
      <c r="AE33" s="468" t="s">
        <v>2980</v>
      </c>
      <c r="AF33" s="582">
        <f>IF('Basic Info'!C40="Market Rate",15000+1.5*'Basic Info'!C25,IF('Basic Info'!C40="Affordable",20000+1.5*'Basic Info'!C25,0))</f>
        <v>0</v>
      </c>
      <c r="AG33" s="2275" t="e">
        <f>AE37/AF37</f>
        <v>#DIV/0!</v>
      </c>
      <c r="AH33" s="2275"/>
    </row>
    <row r="34" spans="2:37" s="531" customFormat="1" ht="12.75" customHeight="1">
      <c r="B34" s="507" t="s">
        <v>4443</v>
      </c>
      <c r="C34" s="495"/>
      <c r="D34" s="495"/>
      <c r="E34" s="495"/>
      <c r="F34" s="498"/>
      <c r="G34" s="497"/>
      <c r="H34" s="498"/>
      <c r="I34" s="498"/>
      <c r="J34" s="498"/>
      <c r="K34" s="498"/>
      <c r="L34" s="498"/>
      <c r="M34" s="498"/>
      <c r="N34" s="553"/>
      <c r="Q34" s="2247" t="str">
        <f>UPPER('Basic Info'!B57)</f>
        <v xml:space="preserve">PARTNER FEES - &lt;OTHER&gt; </v>
      </c>
      <c r="R34" s="2248"/>
      <c r="S34" s="2248"/>
      <c r="T34" s="2249"/>
      <c r="U34" s="530">
        <f>'Basic Info'!C57</f>
        <v>0</v>
      </c>
      <c r="V34" s="590" t="s">
        <v>2761</v>
      </c>
      <c r="W34" s="589"/>
      <c r="X34" s="590"/>
      <c r="Y34" s="590"/>
      <c r="Z34" s="589" t="s">
        <v>2761</v>
      </c>
      <c r="AA34" s="590" t="s">
        <v>2524</v>
      </c>
      <c r="AE34" s="467"/>
      <c r="AF34" s="466"/>
    </row>
    <row r="35" spans="2:37" s="531" customFormat="1" ht="12.75" customHeight="1">
      <c r="B35" s="507" t="s">
        <v>3009</v>
      </c>
      <c r="C35" s="495"/>
      <c r="D35" s="495"/>
      <c r="E35" s="495"/>
      <c r="F35" s="498"/>
      <c r="G35" s="497"/>
      <c r="H35" s="498"/>
      <c r="I35" s="498"/>
      <c r="J35" s="498"/>
      <c r="K35" s="498"/>
      <c r="L35" s="498"/>
      <c r="M35" s="498"/>
      <c r="N35" s="553"/>
      <c r="O35" s="532"/>
      <c r="P35" s="532"/>
      <c r="Q35" s="2268" t="s">
        <v>2755</v>
      </c>
      <c r="R35" s="2269"/>
      <c r="S35" s="2269"/>
      <c r="T35" s="2270"/>
      <c r="U35" s="604">
        <f>SUM(U31:U34)</f>
        <v>0</v>
      </c>
      <c r="V35" s="600">
        <f>SUM(V8:V29)</f>
        <v>0</v>
      </c>
      <c r="W35" s="601" t="e">
        <f>U31/V35</f>
        <v>#DIV/0!</v>
      </c>
      <c r="X35" s="602">
        <f>IF(V35&gt;0, -PV(AA2, AA35, V35)/U35, 0)</f>
        <v>0</v>
      </c>
      <c r="Y35" s="593"/>
      <c r="Z35" s="603">
        <f>SUM(Z8:Z29)</f>
        <v>0</v>
      </c>
      <c r="AA35" s="1440" t="e">
        <f>SUM(AA8:AA29)/V35</f>
        <v>#DIV/0!</v>
      </c>
      <c r="AB35" s="532"/>
      <c r="AE35" s="2255" t="s">
        <v>2981</v>
      </c>
      <c r="AF35" s="2255" t="s">
        <v>2982</v>
      </c>
    </row>
    <row r="36" spans="2:37" s="531" customFormat="1">
      <c r="B36" s="507" t="s">
        <v>3010</v>
      </c>
      <c r="C36" s="495"/>
      <c r="D36" s="495"/>
      <c r="E36" s="495"/>
      <c r="F36" s="498"/>
      <c r="G36" s="497"/>
      <c r="H36" s="498"/>
      <c r="I36" s="498"/>
      <c r="J36" s="498"/>
      <c r="K36" s="498"/>
      <c r="L36" s="498"/>
      <c r="M36" s="498"/>
      <c r="N36" s="553"/>
      <c r="O36" s="533"/>
      <c r="P36" s="533"/>
      <c r="Q36" s="533"/>
      <c r="R36" s="533"/>
      <c r="S36" s="533"/>
      <c r="T36" s="533"/>
      <c r="V36" s="533"/>
      <c r="W36" s="533"/>
      <c r="X36" s="533"/>
      <c r="Y36" s="533"/>
      <c r="Z36" s="534"/>
      <c r="AA36" s="534"/>
      <c r="AE36" s="2256"/>
      <c r="AF36" s="2256"/>
    </row>
    <row r="37" spans="2:37" s="531" customFormat="1">
      <c r="B37" s="507" t="s">
        <v>4444</v>
      </c>
      <c r="C37" s="495"/>
      <c r="D37" s="495"/>
      <c r="E37" s="495"/>
      <c r="F37" s="498"/>
      <c r="G37" s="497"/>
      <c r="H37" s="498"/>
      <c r="I37" s="498"/>
      <c r="J37" s="498"/>
      <c r="K37" s="498"/>
      <c r="L37" s="498"/>
      <c r="M37" s="498"/>
      <c r="N37" s="553"/>
      <c r="O37" s="533"/>
      <c r="P37" s="533"/>
      <c r="Q37" s="533"/>
      <c r="R37" s="533"/>
      <c r="S37" s="533"/>
      <c r="T37" s="533"/>
      <c r="V37" s="533"/>
      <c r="W37" s="533"/>
      <c r="X37" s="533"/>
      <c r="Y37" s="533"/>
      <c r="Z37" s="534"/>
      <c r="AA37" s="534"/>
      <c r="AE37" s="469">
        <f>SUMIF(AD9:AD29,"Yes",AS9:AS29)</f>
        <v>0</v>
      </c>
      <c r="AF37" s="469">
        <f>SUM(AF8:AF29)+0.22*MIN(AE32,AF33)</f>
        <v>0</v>
      </c>
    </row>
    <row r="38" spans="2:37" s="531" customFormat="1">
      <c r="B38" s="507" t="s">
        <v>4445</v>
      </c>
      <c r="C38" s="495"/>
      <c r="D38" s="495"/>
      <c r="E38" s="495"/>
      <c r="F38" s="498"/>
      <c r="G38" s="497"/>
      <c r="H38" s="498"/>
      <c r="I38" s="498"/>
      <c r="J38" s="498"/>
      <c r="K38" s="498"/>
      <c r="L38" s="498"/>
      <c r="M38" s="498"/>
      <c r="N38" s="553"/>
      <c r="O38" s="533"/>
      <c r="P38" s="533"/>
      <c r="Q38" s="533"/>
      <c r="R38" s="533"/>
      <c r="S38" s="533"/>
      <c r="T38" s="533"/>
      <c r="V38" s="533"/>
      <c r="W38" s="533"/>
      <c r="X38" s="533"/>
      <c r="Y38" s="533"/>
      <c r="Z38" s="534"/>
      <c r="AA38" s="534"/>
      <c r="AE38" s="1776"/>
      <c r="AF38" s="1777"/>
    </row>
    <row r="39" spans="2:37" s="531" customFormat="1">
      <c r="B39" s="507" t="s">
        <v>4446</v>
      </c>
      <c r="C39" s="495"/>
      <c r="D39" s="495"/>
      <c r="E39" s="495"/>
      <c r="F39" s="495"/>
      <c r="G39" s="495"/>
      <c r="H39" s="495"/>
      <c r="I39" s="495"/>
      <c r="J39" s="495"/>
      <c r="K39" s="495"/>
      <c r="L39" s="495"/>
      <c r="M39" s="495"/>
      <c r="N39" s="554"/>
      <c r="O39" s="498"/>
      <c r="P39" s="496"/>
      <c r="Q39" s="496"/>
      <c r="R39" s="496"/>
      <c r="S39" s="557"/>
      <c r="T39" s="535"/>
      <c r="U39" s="536"/>
      <c r="V39" s="536"/>
      <c r="W39" s="537"/>
      <c r="X39" s="538"/>
      <c r="Y39" s="538"/>
      <c r="Z39" s="536"/>
      <c r="AA39" s="536"/>
      <c r="AE39" s="470"/>
      <c r="AF39" s="470"/>
    </row>
    <row r="40" spans="2:37" s="531" customFormat="1">
      <c r="B40" s="507" t="s">
        <v>4447</v>
      </c>
      <c r="C40" s="495"/>
      <c r="D40" s="495"/>
      <c r="E40" s="495"/>
      <c r="F40" s="498"/>
      <c r="G40" s="497"/>
      <c r="H40" s="498"/>
      <c r="I40" s="498"/>
      <c r="J40" s="498"/>
      <c r="K40" s="498"/>
      <c r="L40" s="498"/>
      <c r="M40" s="498"/>
      <c r="N40" s="553"/>
      <c r="O40" s="498"/>
      <c r="P40" s="496"/>
      <c r="Q40" s="496"/>
      <c r="R40" s="496"/>
      <c r="S40" s="557"/>
      <c r="T40" s="535"/>
      <c r="U40" s="536"/>
      <c r="V40" s="536"/>
      <c r="W40" s="537"/>
      <c r="X40" s="538"/>
      <c r="Y40" s="538"/>
      <c r="Z40" s="536"/>
      <c r="AA40" s="536"/>
      <c r="AE40" s="2254"/>
      <c r="AF40" s="2254"/>
    </row>
    <row r="41" spans="2:37" s="531" customFormat="1">
      <c r="B41" s="507" t="s">
        <v>4449</v>
      </c>
      <c r="C41" s="495"/>
      <c r="D41" s="495"/>
      <c r="E41" s="495"/>
      <c r="F41" s="498"/>
      <c r="G41" s="497"/>
      <c r="H41" s="498"/>
      <c r="I41" s="498"/>
      <c r="J41" s="498"/>
      <c r="K41" s="498"/>
      <c r="L41" s="498"/>
      <c r="M41" s="498"/>
      <c r="N41" s="553"/>
      <c r="O41" s="498"/>
      <c r="P41" s="496"/>
      <c r="Q41" s="496"/>
      <c r="R41" s="496"/>
      <c r="S41" s="557"/>
      <c r="T41" s="535"/>
      <c r="U41" s="536"/>
      <c r="V41" s="536"/>
      <c r="W41" s="537"/>
      <c r="X41" s="538"/>
      <c r="Y41" s="538"/>
      <c r="Z41" s="536"/>
      <c r="AA41" s="536"/>
      <c r="AE41" s="2254"/>
      <c r="AF41" s="2254"/>
    </row>
    <row r="42" spans="2:37" s="531" customFormat="1">
      <c r="B42" s="507" t="s">
        <v>4450</v>
      </c>
      <c r="C42" s="495"/>
      <c r="D42" s="495"/>
      <c r="E42" s="495"/>
      <c r="F42" s="498"/>
      <c r="G42" s="497"/>
      <c r="H42" s="498"/>
      <c r="I42" s="498"/>
      <c r="J42" s="498"/>
      <c r="K42" s="498"/>
      <c r="L42" s="498"/>
      <c r="M42" s="498"/>
      <c r="N42" s="553"/>
      <c r="O42" s="498"/>
      <c r="P42" s="496"/>
      <c r="Q42" s="496"/>
      <c r="R42" s="496"/>
      <c r="S42" s="557"/>
      <c r="T42" s="535"/>
      <c r="U42" s="536"/>
      <c r="V42" s="536"/>
      <c r="W42" s="537"/>
      <c r="X42" s="538"/>
      <c r="Y42" s="538"/>
      <c r="Z42" s="536"/>
      <c r="AA42" s="536"/>
      <c r="AE42" s="2266"/>
      <c r="AF42" s="2267"/>
    </row>
    <row r="43" spans="2:37" s="531" customFormat="1" ht="16.5" thickBot="1">
      <c r="B43" s="507"/>
      <c r="C43" s="495"/>
      <c r="D43" s="495"/>
      <c r="E43" s="495"/>
      <c r="F43" s="498"/>
      <c r="G43" s="497"/>
      <c r="H43" s="498"/>
      <c r="I43" s="498"/>
      <c r="J43" s="498"/>
      <c r="K43" s="498"/>
      <c r="L43" s="498"/>
      <c r="M43" s="498"/>
      <c r="N43" s="553"/>
      <c r="O43" s="495"/>
      <c r="P43" s="495"/>
      <c r="Q43" s="495"/>
      <c r="R43" s="495"/>
      <c r="S43" s="557"/>
      <c r="T43" s="535"/>
      <c r="U43" s="536"/>
      <c r="V43" s="536"/>
      <c r="W43" s="537"/>
      <c r="X43" s="538"/>
      <c r="Y43" s="538"/>
      <c r="Z43" s="536"/>
      <c r="AA43" s="536"/>
      <c r="AD43" s="2261" t="s">
        <v>4598</v>
      </c>
      <c r="AE43" s="2261"/>
      <c r="AF43" s="2261"/>
      <c r="AG43" s="2261"/>
      <c r="AH43" s="2261"/>
      <c r="AI43" s="2261"/>
    </row>
    <row r="44" spans="2:37" s="531" customFormat="1" ht="12" customHeight="1">
      <c r="B44" s="509" t="s">
        <v>4442</v>
      </c>
      <c r="C44" s="495"/>
      <c r="D44" s="495"/>
      <c r="E44" s="499"/>
      <c r="F44" s="495"/>
      <c r="G44" s="500"/>
      <c r="H44" s="495"/>
      <c r="I44" s="495"/>
      <c r="J44" s="495"/>
      <c r="K44" s="495"/>
      <c r="L44" s="495"/>
      <c r="M44" s="495"/>
      <c r="N44" s="555"/>
      <c r="O44" s="495"/>
      <c r="P44" s="495"/>
      <c r="Q44" s="495"/>
      <c r="R44" s="495"/>
      <c r="S44" s="557"/>
      <c r="T44" s="535"/>
      <c r="U44" s="536"/>
      <c r="V44" s="536"/>
      <c r="W44" s="537"/>
      <c r="X44" s="538"/>
      <c r="Y44" s="538"/>
      <c r="Z44" s="536"/>
      <c r="AA44" s="536"/>
      <c r="AD44" s="2262" t="s">
        <v>4599</v>
      </c>
      <c r="AE44" s="2264" t="s">
        <v>4600</v>
      </c>
      <c r="AF44" s="2264" t="s">
        <v>4601</v>
      </c>
      <c r="AG44" s="2264" t="s">
        <v>4602</v>
      </c>
      <c r="AH44" s="2264" t="s">
        <v>4603</v>
      </c>
      <c r="AI44" s="2264"/>
      <c r="AJ44" s="2259" t="s">
        <v>4607</v>
      </c>
      <c r="AK44" s="1856"/>
    </row>
    <row r="45" spans="2:37" s="531" customFormat="1" ht="17.25" customHeight="1" thickBot="1">
      <c r="B45" s="510" t="s">
        <v>2997</v>
      </c>
      <c r="C45" s="495"/>
      <c r="D45" s="495"/>
      <c r="E45" s="502"/>
      <c r="F45" s="500"/>
      <c r="G45" s="500"/>
      <c r="H45" s="495"/>
      <c r="I45" s="495"/>
      <c r="J45" s="495"/>
      <c r="K45" s="495"/>
      <c r="L45" s="495"/>
      <c r="M45" s="495"/>
      <c r="N45" s="555"/>
      <c r="O45" s="498"/>
      <c r="P45" s="496"/>
      <c r="Q45" s="496"/>
      <c r="R45" s="496"/>
      <c r="S45" s="557"/>
      <c r="T45" s="535"/>
      <c r="U45" s="536"/>
      <c r="V45" s="536"/>
      <c r="W45" s="537"/>
      <c r="X45" s="538"/>
      <c r="Y45" s="538"/>
      <c r="Z45" s="536"/>
      <c r="AA45" s="536"/>
      <c r="AD45" s="2263"/>
      <c r="AE45" s="2265"/>
      <c r="AF45" s="2265"/>
      <c r="AG45" s="2265"/>
      <c r="AH45" s="2265"/>
      <c r="AI45" s="2265"/>
      <c r="AJ45" s="2260"/>
      <c r="AK45" s="1856"/>
    </row>
    <row r="46" spans="2:37" s="531" customFormat="1" ht="12.75">
      <c r="B46" s="508" t="s">
        <v>4441</v>
      </c>
      <c r="C46" s="495"/>
      <c r="D46" s="495"/>
      <c r="E46" s="495"/>
      <c r="F46" s="500"/>
      <c r="G46" s="500"/>
      <c r="H46" s="495"/>
      <c r="I46" s="495"/>
      <c r="J46" s="495"/>
      <c r="K46" s="495"/>
      <c r="L46" s="495"/>
      <c r="M46" s="495"/>
      <c r="N46" s="555"/>
      <c r="O46" s="498"/>
      <c r="P46" s="496"/>
      <c r="Q46" s="496"/>
      <c r="R46" s="496"/>
      <c r="S46" s="557"/>
      <c r="T46" s="535"/>
      <c r="U46" s="536"/>
      <c r="V46" s="536"/>
      <c r="W46" s="537"/>
      <c r="X46" s="538"/>
      <c r="Y46" s="538"/>
      <c r="Z46" s="536"/>
      <c r="AA46" s="536"/>
      <c r="AD46" s="1864"/>
      <c r="AE46" s="1865">
        <f>SUMIF($AG$8:$AG$27,$AD46,$U$8:$U$27)</f>
        <v>0</v>
      </c>
      <c r="AF46" s="1866">
        <f>SUMIF($AG$8:$AG$27,$AD46,$AV$8:$AV$27)</f>
        <v>0</v>
      </c>
      <c r="AG46" s="1867">
        <f>IF($AV$28=0,0,AF46/$AV$28)</f>
        <v>0</v>
      </c>
      <c r="AH46" s="2200">
        <f>AG46*$AF$33</f>
        <v>0</v>
      </c>
      <c r="AI46" s="2201"/>
      <c r="AJ46" s="1868"/>
    </row>
    <row r="47" spans="2:37" s="531" customFormat="1" ht="13.5" thickBot="1">
      <c r="B47" s="503"/>
      <c r="C47" s="504"/>
      <c r="D47" s="504"/>
      <c r="E47" s="504"/>
      <c r="F47" s="505"/>
      <c r="G47" s="504"/>
      <c r="H47" s="504"/>
      <c r="I47" s="504"/>
      <c r="J47" s="504"/>
      <c r="K47" s="504"/>
      <c r="L47" s="504"/>
      <c r="M47" s="504"/>
      <c r="N47" s="556"/>
      <c r="O47" s="498"/>
      <c r="P47" s="496"/>
      <c r="Q47" s="496"/>
      <c r="R47" s="496"/>
      <c r="S47" s="557"/>
      <c r="T47" s="535"/>
      <c r="U47" s="536"/>
      <c r="V47" s="536"/>
      <c r="W47" s="537"/>
      <c r="X47" s="538"/>
      <c r="Y47" s="538"/>
      <c r="Z47" s="536"/>
      <c r="AA47" s="536"/>
      <c r="AD47" s="1857"/>
      <c r="AE47" s="1846">
        <f t="shared" ref="AE47:AE53" si="23">SUMIF($AG$8:$AG$27,$AD47,$U$8:$U$27)</f>
        <v>0</v>
      </c>
      <c r="AF47" s="1847">
        <f t="shared" ref="AF47:AF53" si="24">SUMIF($AG$8:$AG$27,$AD47,$AV$8:$AV$27)</f>
        <v>0</v>
      </c>
      <c r="AG47" s="1848">
        <f t="shared" ref="AG47:AG53" si="25">IF($AV$28=0,0,AF47/$AV$28)</f>
        <v>0</v>
      </c>
      <c r="AH47" s="2196">
        <f t="shared" ref="AH47:AH53" si="26">AG47*$AF$33</f>
        <v>0</v>
      </c>
      <c r="AI47" s="2197"/>
      <c r="AJ47" s="1858"/>
    </row>
    <row r="48" spans="2:37" s="531" customFormat="1" ht="12.75">
      <c r="M48" s="514"/>
      <c r="N48" s="498"/>
      <c r="O48" s="498"/>
      <c r="P48" s="496"/>
      <c r="Q48" s="496"/>
      <c r="R48" s="496"/>
      <c r="S48" s="557"/>
      <c r="T48" s="535"/>
      <c r="U48" s="536"/>
      <c r="V48" s="536"/>
      <c r="W48" s="537"/>
      <c r="X48" s="538"/>
      <c r="Y48" s="538"/>
      <c r="Z48" s="536"/>
      <c r="AA48" s="536"/>
      <c r="AD48" s="1857"/>
      <c r="AE48" s="1846">
        <f t="shared" si="23"/>
        <v>0</v>
      </c>
      <c r="AF48" s="1847">
        <f t="shared" si="24"/>
        <v>0</v>
      </c>
      <c r="AG48" s="1848">
        <f t="shared" si="25"/>
        <v>0</v>
      </c>
      <c r="AH48" s="2196">
        <f t="shared" si="26"/>
        <v>0</v>
      </c>
      <c r="AI48" s="2197"/>
      <c r="AJ48" s="1858"/>
    </row>
    <row r="49" spans="1:36" s="531" customFormat="1" ht="12.75">
      <c r="N49" s="495"/>
      <c r="O49" s="498"/>
      <c r="P49" s="496"/>
      <c r="Q49" s="496"/>
      <c r="R49" s="496"/>
      <c r="S49" s="557"/>
      <c r="T49" s="535"/>
      <c r="U49" s="536"/>
      <c r="V49" s="536"/>
      <c r="W49" s="537"/>
      <c r="X49" s="538"/>
      <c r="Y49" s="538"/>
      <c r="Z49" s="536"/>
      <c r="AA49" s="536"/>
      <c r="AD49" s="1857"/>
      <c r="AE49" s="1846">
        <f t="shared" si="23"/>
        <v>0</v>
      </c>
      <c r="AF49" s="1847">
        <f t="shared" si="24"/>
        <v>0</v>
      </c>
      <c r="AG49" s="1848">
        <f t="shared" si="25"/>
        <v>0</v>
      </c>
      <c r="AH49" s="2196">
        <f t="shared" si="26"/>
        <v>0</v>
      </c>
      <c r="AI49" s="2197"/>
      <c r="AJ49" s="1858"/>
    </row>
    <row r="50" spans="1:36" s="531" customFormat="1" ht="12.75">
      <c r="N50" s="495"/>
      <c r="O50" s="498"/>
      <c r="P50" s="496"/>
      <c r="Q50" s="496"/>
      <c r="R50" s="496"/>
      <c r="S50" s="557"/>
      <c r="T50" s="535"/>
      <c r="U50" s="536"/>
      <c r="V50" s="536"/>
      <c r="W50" s="537"/>
      <c r="X50" s="538"/>
      <c r="Y50" s="538"/>
      <c r="Z50" s="536"/>
      <c r="AA50" s="536"/>
      <c r="AD50" s="1857"/>
      <c r="AE50" s="1846">
        <f t="shared" si="23"/>
        <v>0</v>
      </c>
      <c r="AF50" s="1847">
        <f t="shared" si="24"/>
        <v>0</v>
      </c>
      <c r="AG50" s="1848">
        <f t="shared" si="25"/>
        <v>0</v>
      </c>
      <c r="AH50" s="2196">
        <f t="shared" si="26"/>
        <v>0</v>
      </c>
      <c r="AI50" s="2197"/>
      <c r="AJ50" s="1858"/>
    </row>
    <row r="51" spans="1:36" s="531" customFormat="1" ht="12.75">
      <c r="N51" s="495"/>
      <c r="O51" s="498"/>
      <c r="P51" s="496"/>
      <c r="Q51" s="496"/>
      <c r="R51" s="496"/>
      <c r="S51" s="557"/>
      <c r="T51" s="535"/>
      <c r="U51" s="536"/>
      <c r="V51" s="536"/>
      <c r="W51" s="537"/>
      <c r="X51" s="538"/>
      <c r="Y51" s="538"/>
      <c r="Z51" s="536"/>
      <c r="AA51" s="536"/>
      <c r="AD51" s="1857"/>
      <c r="AE51" s="1846">
        <f t="shared" si="23"/>
        <v>0</v>
      </c>
      <c r="AF51" s="1847">
        <f t="shared" si="24"/>
        <v>0</v>
      </c>
      <c r="AG51" s="1848">
        <f t="shared" si="25"/>
        <v>0</v>
      </c>
      <c r="AH51" s="2196">
        <f t="shared" si="26"/>
        <v>0</v>
      </c>
      <c r="AI51" s="2197"/>
      <c r="AJ51" s="1858"/>
    </row>
    <row r="52" spans="1:36" s="531" customFormat="1" ht="12.75">
      <c r="N52" s="495"/>
      <c r="O52" s="498"/>
      <c r="P52" s="496"/>
      <c r="Q52" s="496"/>
      <c r="R52" s="496"/>
      <c r="S52" s="557"/>
      <c r="T52" s="535"/>
      <c r="U52" s="536"/>
      <c r="V52" s="536"/>
      <c r="W52" s="537"/>
      <c r="X52" s="538"/>
      <c r="Y52" s="538"/>
      <c r="Z52" s="536"/>
      <c r="AA52" s="536"/>
      <c r="AD52" s="1857"/>
      <c r="AE52" s="1846">
        <f t="shared" si="23"/>
        <v>0</v>
      </c>
      <c r="AF52" s="1847">
        <f t="shared" si="24"/>
        <v>0</v>
      </c>
      <c r="AG52" s="1848">
        <f t="shared" si="25"/>
        <v>0</v>
      </c>
      <c r="AH52" s="2196">
        <f t="shared" si="26"/>
        <v>0</v>
      </c>
      <c r="AI52" s="2197"/>
      <c r="AJ52" s="1858"/>
    </row>
    <row r="53" spans="1:36" s="531" customFormat="1" ht="12.75">
      <c r="N53" s="546"/>
      <c r="O53" s="498"/>
      <c r="P53" s="496"/>
      <c r="Q53" s="496"/>
      <c r="R53" s="496"/>
      <c r="S53" s="557"/>
      <c r="T53" s="539"/>
      <c r="U53" s="539"/>
      <c r="V53" s="539"/>
      <c r="W53" s="539"/>
      <c r="X53" s="539"/>
      <c r="Y53" s="539"/>
      <c r="Z53" s="536"/>
      <c r="AA53" s="540"/>
      <c r="AD53" s="1857"/>
      <c r="AE53" s="1846">
        <f t="shared" si="23"/>
        <v>0</v>
      </c>
      <c r="AF53" s="1847">
        <f t="shared" si="24"/>
        <v>0</v>
      </c>
      <c r="AG53" s="1848">
        <f t="shared" si="25"/>
        <v>0</v>
      </c>
      <c r="AH53" s="2196">
        <f t="shared" si="26"/>
        <v>0</v>
      </c>
      <c r="AI53" s="2197"/>
      <c r="AJ53" s="1858"/>
    </row>
    <row r="54" spans="1:36" s="531" customFormat="1" ht="13.5" thickBot="1">
      <c r="O54" s="498"/>
      <c r="P54" s="496"/>
      <c r="Q54" s="496"/>
      <c r="R54" s="496"/>
      <c r="S54" s="557"/>
      <c r="T54" s="541"/>
      <c r="U54" s="539"/>
      <c r="V54" s="542"/>
      <c r="W54" s="537"/>
      <c r="X54" s="538"/>
      <c r="Y54" s="538"/>
      <c r="Z54" s="536"/>
      <c r="AA54" s="540"/>
      <c r="AD54" s="1859" t="s">
        <v>4604</v>
      </c>
      <c r="AE54" s="1860">
        <f>SUM(AE46:AE53)</f>
        <v>0</v>
      </c>
      <c r="AF54" s="1861">
        <f>SUM(AF46:AF53)</f>
        <v>0</v>
      </c>
      <c r="AG54" s="1862">
        <f>SUM(AG46:AG53)</f>
        <v>0</v>
      </c>
      <c r="AH54" s="2198">
        <f>SUM(AH46:AI53)</f>
        <v>0</v>
      </c>
      <c r="AI54" s="2199"/>
      <c r="AJ54" s="1863"/>
    </row>
    <row r="55" spans="1:36" s="531" customFormat="1">
      <c r="B55" s="550"/>
      <c r="C55" s="550"/>
      <c r="D55" s="550"/>
      <c r="E55" s="550"/>
      <c r="F55" s="550"/>
      <c r="G55" s="550"/>
      <c r="H55" s="551"/>
      <c r="I55" s="551"/>
      <c r="J55" s="551"/>
      <c r="K55" s="551"/>
      <c r="L55" s="551"/>
      <c r="M55" s="551"/>
      <c r="N55" s="551"/>
      <c r="O55" s="495"/>
      <c r="P55" s="495"/>
      <c r="Q55" s="495"/>
      <c r="R55" s="501"/>
      <c r="S55" s="557"/>
      <c r="T55" s="541"/>
      <c r="U55" s="542"/>
      <c r="V55" s="542"/>
      <c r="W55" s="537"/>
      <c r="X55" s="538"/>
      <c r="Y55" s="538"/>
      <c r="Z55" s="543"/>
    </row>
    <row r="56" spans="1:36" s="531" customFormat="1">
      <c r="B56" s="550"/>
      <c r="C56" s="550"/>
      <c r="D56" s="550"/>
      <c r="E56" s="550"/>
      <c r="F56" s="550"/>
      <c r="G56" s="550"/>
      <c r="H56" s="551"/>
      <c r="I56" s="551"/>
      <c r="J56" s="551"/>
      <c r="K56" s="551"/>
      <c r="L56" s="551"/>
      <c r="M56" s="551"/>
      <c r="N56" s="551"/>
      <c r="O56" s="495"/>
      <c r="P56" s="495"/>
      <c r="Q56" s="495"/>
      <c r="R56" s="501"/>
      <c r="S56" s="557"/>
      <c r="T56" s="544"/>
      <c r="U56" s="542"/>
      <c r="V56" s="544"/>
      <c r="W56" s="544"/>
      <c r="X56" s="544"/>
      <c r="Y56" s="544"/>
      <c r="Z56" s="543"/>
    </row>
    <row r="57" spans="1:36" s="531" customFormat="1">
      <c r="B57" s="550"/>
      <c r="C57" s="550"/>
      <c r="D57" s="550"/>
      <c r="E57" s="550"/>
      <c r="F57" s="550"/>
      <c r="G57" s="550"/>
      <c r="H57" s="550"/>
      <c r="I57" s="550"/>
      <c r="J57" s="551"/>
      <c r="K57" s="551"/>
      <c r="L57" s="551"/>
      <c r="M57" s="551"/>
      <c r="N57" s="551"/>
      <c r="O57" s="495"/>
      <c r="P57" s="495"/>
      <c r="Q57" s="495"/>
      <c r="R57" s="501"/>
      <c r="S57" s="557"/>
      <c r="T57" s="544"/>
      <c r="U57" s="542"/>
      <c r="V57" s="544"/>
      <c r="W57" s="544"/>
      <c r="X57" s="544"/>
      <c r="Y57" s="544"/>
      <c r="Z57" s="543"/>
    </row>
    <row r="58" spans="1:36" s="531" customFormat="1">
      <c r="B58" s="550"/>
      <c r="C58" s="550"/>
      <c r="G58" s="550"/>
      <c r="H58" s="550"/>
      <c r="I58" s="550"/>
      <c r="J58" s="551"/>
      <c r="K58" s="551"/>
      <c r="L58" s="551"/>
      <c r="M58" s="551"/>
      <c r="N58" s="551"/>
      <c r="O58" s="495"/>
      <c r="P58" s="495"/>
      <c r="Q58" s="495"/>
      <c r="R58" s="501"/>
      <c r="S58" s="558"/>
      <c r="T58" s="544"/>
      <c r="U58" s="542"/>
      <c r="V58" s="544"/>
      <c r="W58" s="544"/>
      <c r="X58" s="544"/>
      <c r="Y58" s="544"/>
      <c r="Z58" s="545"/>
    </row>
    <row r="59" spans="1:36" s="531" customFormat="1">
      <c r="B59" s="550"/>
      <c r="C59" s="550"/>
      <c r="G59" s="550"/>
      <c r="H59" s="550"/>
      <c r="I59" s="550"/>
      <c r="J59" s="551"/>
      <c r="K59" s="551"/>
      <c r="L59" s="551"/>
      <c r="M59" s="551"/>
      <c r="N59" s="551"/>
      <c r="O59" s="546"/>
      <c r="P59" s="546"/>
      <c r="Q59" s="546"/>
      <c r="R59" s="546"/>
      <c r="S59" s="546"/>
      <c r="T59" s="546"/>
      <c r="U59" s="547"/>
      <c r="V59" s="546"/>
      <c r="W59" s="548"/>
      <c r="X59" s="548"/>
      <c r="Y59" s="548"/>
      <c r="Z59" s="549"/>
    </row>
    <row r="60" spans="1:36" s="531" customFormat="1">
      <c r="B60" s="550"/>
      <c r="C60" s="550"/>
      <c r="G60" s="550"/>
      <c r="H60" s="550"/>
      <c r="I60" s="550"/>
      <c r="J60" s="551"/>
      <c r="K60" s="551"/>
      <c r="L60" s="551"/>
      <c r="M60" s="551"/>
      <c r="N60" s="551"/>
      <c r="AE60" s="550"/>
      <c r="AF60" s="550"/>
    </row>
    <row r="61" spans="1:36" s="550" customFormat="1">
      <c r="A61" s="531"/>
      <c r="D61" s="531"/>
      <c r="E61" s="531"/>
      <c r="F61" s="531"/>
      <c r="J61" s="551"/>
      <c r="K61" s="551"/>
      <c r="L61" s="551"/>
      <c r="M61" s="551"/>
      <c r="N61" s="551"/>
      <c r="O61" s="551"/>
      <c r="P61" s="551"/>
      <c r="U61" s="551"/>
      <c r="V61" s="551"/>
    </row>
    <row r="62" spans="1:36" s="550" customFormat="1">
      <c r="D62" s="531"/>
      <c r="E62" s="531"/>
      <c r="F62" s="531"/>
      <c r="J62" s="551"/>
      <c r="K62" s="551"/>
      <c r="L62" s="551"/>
      <c r="M62" s="551"/>
      <c r="N62" s="551"/>
      <c r="O62" s="551"/>
      <c r="P62" s="551"/>
      <c r="U62" s="551"/>
      <c r="V62" s="551"/>
    </row>
    <row r="63" spans="1:36" s="550" customFormat="1">
      <c r="D63" s="531"/>
      <c r="E63" s="531"/>
      <c r="F63" s="531"/>
      <c r="J63" s="551"/>
      <c r="K63" s="551"/>
      <c r="L63" s="551"/>
      <c r="M63" s="551"/>
      <c r="N63" s="551"/>
      <c r="O63" s="551"/>
      <c r="P63" s="551"/>
      <c r="U63" s="551"/>
      <c r="V63" s="551"/>
    </row>
    <row r="64" spans="1:36" s="550" customFormat="1">
      <c r="D64" s="531"/>
      <c r="E64" s="531"/>
      <c r="F64" s="531"/>
      <c r="J64" s="551"/>
      <c r="K64" s="551"/>
      <c r="L64" s="551"/>
      <c r="M64" s="551"/>
      <c r="N64" s="551"/>
      <c r="O64" s="551"/>
      <c r="P64" s="551"/>
      <c r="U64" s="551"/>
      <c r="V64" s="551"/>
    </row>
    <row r="65" spans="1:32" s="550" customFormat="1">
      <c r="D65" s="531"/>
      <c r="E65" s="531"/>
      <c r="F65" s="531"/>
      <c r="J65" s="551"/>
      <c r="K65" s="551"/>
      <c r="L65" s="551"/>
      <c r="M65" s="551"/>
      <c r="N65" s="551"/>
      <c r="O65" s="551"/>
      <c r="P65" s="551"/>
      <c r="U65" s="551"/>
      <c r="V65" s="551"/>
    </row>
    <row r="66" spans="1:32" s="550" customFormat="1">
      <c r="D66" s="531"/>
      <c r="E66" s="531"/>
      <c r="F66" s="531"/>
      <c r="J66" s="551"/>
      <c r="K66" s="551"/>
      <c r="L66" s="551"/>
      <c r="M66" s="551"/>
      <c r="N66" s="551"/>
      <c r="O66" s="551"/>
      <c r="P66" s="551"/>
      <c r="U66" s="551"/>
      <c r="V66" s="551"/>
    </row>
    <row r="67" spans="1:32" s="550" customFormat="1">
      <c r="D67" s="531"/>
      <c r="E67" s="531"/>
      <c r="F67" s="531"/>
      <c r="J67" s="551"/>
      <c r="K67" s="551"/>
      <c r="L67" s="551"/>
      <c r="M67" s="551"/>
      <c r="N67" s="551"/>
      <c r="O67" s="551"/>
      <c r="P67" s="551"/>
      <c r="U67" s="551"/>
      <c r="V67" s="551"/>
    </row>
    <row r="68" spans="1:32" s="550" customFormat="1">
      <c r="D68" s="531"/>
      <c r="E68" s="531"/>
      <c r="F68" s="531"/>
      <c r="J68" s="551"/>
      <c r="K68" s="551"/>
      <c r="L68" s="551"/>
      <c r="M68" s="551"/>
      <c r="N68" s="551"/>
      <c r="O68" s="551"/>
      <c r="P68" s="551"/>
      <c r="Q68" s="551"/>
      <c r="R68" s="551"/>
      <c r="S68" s="551"/>
      <c r="T68" s="551"/>
      <c r="U68" s="551"/>
      <c r="V68" s="551"/>
    </row>
    <row r="69" spans="1:32" s="550" customFormat="1">
      <c r="B69" s="531"/>
      <c r="C69" s="531"/>
      <c r="D69" s="531"/>
      <c r="E69" s="531"/>
      <c r="F69" s="531"/>
      <c r="H69" s="531"/>
      <c r="I69" s="531"/>
      <c r="J69" s="531"/>
      <c r="K69" s="531"/>
      <c r="L69" s="531"/>
      <c r="M69" s="531"/>
      <c r="N69" s="531"/>
      <c r="O69" s="551"/>
      <c r="P69" s="551"/>
      <c r="Q69" s="551"/>
      <c r="R69" s="551"/>
      <c r="S69" s="551"/>
      <c r="T69" s="551"/>
      <c r="U69" s="551"/>
      <c r="V69" s="551"/>
    </row>
    <row r="70" spans="1:32" s="550" customFormat="1">
      <c r="B70" s="531"/>
      <c r="C70" s="531"/>
      <c r="D70" s="531"/>
      <c r="E70" s="531"/>
      <c r="F70" s="531"/>
      <c r="G70" s="531"/>
      <c r="H70" s="531"/>
      <c r="I70" s="531"/>
      <c r="J70" s="531"/>
      <c r="K70" s="531"/>
      <c r="L70" s="531"/>
      <c r="M70" s="531"/>
      <c r="N70" s="531"/>
      <c r="O70" s="551"/>
      <c r="P70" s="551"/>
      <c r="Q70" s="551"/>
      <c r="R70" s="551"/>
      <c r="S70" s="551"/>
      <c r="T70" s="551"/>
      <c r="U70" s="551"/>
      <c r="V70" s="551"/>
    </row>
    <row r="71" spans="1:32" s="550" customFormat="1">
      <c r="B71" s="531"/>
      <c r="C71" s="531"/>
      <c r="D71" s="531"/>
      <c r="E71" s="531"/>
      <c r="F71" s="531"/>
      <c r="G71" s="531"/>
      <c r="H71" s="531"/>
      <c r="I71" s="531"/>
      <c r="J71" s="531"/>
      <c r="K71" s="531"/>
      <c r="L71" s="531"/>
      <c r="M71" s="531"/>
      <c r="N71" s="531"/>
      <c r="O71" s="551"/>
      <c r="P71" s="551"/>
      <c r="Q71" s="551"/>
      <c r="R71" s="551"/>
      <c r="S71" s="551"/>
      <c r="T71" s="551"/>
      <c r="U71" s="551"/>
      <c r="V71" s="551"/>
    </row>
    <row r="72" spans="1:32" s="550" customFormat="1">
      <c r="B72" s="531"/>
      <c r="C72" s="531"/>
      <c r="D72" s="531"/>
      <c r="E72" s="531"/>
      <c r="F72" s="531"/>
      <c r="G72" s="531"/>
      <c r="H72" s="531"/>
      <c r="I72" s="531"/>
      <c r="J72" s="531"/>
      <c r="K72" s="531"/>
      <c r="L72" s="531"/>
      <c r="M72" s="531"/>
      <c r="N72" s="531"/>
      <c r="O72" s="551"/>
      <c r="P72" s="551"/>
      <c r="Q72" s="551"/>
      <c r="R72" s="551"/>
      <c r="S72" s="551"/>
      <c r="T72" s="551"/>
      <c r="U72" s="551"/>
      <c r="V72" s="551"/>
    </row>
    <row r="73" spans="1:32" s="550" customFormat="1">
      <c r="B73" s="531"/>
      <c r="C73" s="531"/>
      <c r="D73" s="531"/>
      <c r="E73" s="531"/>
      <c r="F73" s="531"/>
      <c r="G73" s="531"/>
      <c r="H73" s="531"/>
      <c r="I73" s="531"/>
      <c r="J73" s="531"/>
      <c r="K73" s="531"/>
      <c r="L73" s="531"/>
      <c r="M73" s="531"/>
      <c r="N73" s="531"/>
      <c r="O73" s="551"/>
      <c r="P73" s="551"/>
      <c r="Q73" s="551"/>
      <c r="R73" s="551"/>
      <c r="S73" s="551"/>
      <c r="T73" s="551"/>
      <c r="U73" s="551"/>
      <c r="V73" s="551"/>
    </row>
    <row r="74" spans="1:32" s="550" customFormat="1">
      <c r="B74" s="531"/>
      <c r="C74" s="531"/>
      <c r="D74" s="531"/>
      <c r="E74" s="531"/>
      <c r="F74" s="531"/>
      <c r="G74" s="531"/>
      <c r="H74" s="531"/>
      <c r="I74" s="531"/>
      <c r="J74" s="531"/>
      <c r="K74" s="531"/>
      <c r="L74" s="531"/>
      <c r="M74" s="531"/>
      <c r="N74" s="531"/>
      <c r="O74" s="551"/>
      <c r="P74" s="551"/>
      <c r="U74" s="551"/>
      <c r="V74" s="551"/>
      <c r="AE74" s="531"/>
      <c r="AF74" s="531"/>
    </row>
    <row r="75" spans="1:32" s="531" customFormat="1">
      <c r="A75" s="550"/>
    </row>
    <row r="76" spans="1:32" s="531" customFormat="1"/>
    <row r="77" spans="1:32" s="531" customFormat="1"/>
    <row r="78" spans="1:32" s="531" customFormat="1"/>
    <row r="79" spans="1:32" s="531" customFormat="1"/>
    <row r="80" spans="1:32" s="531" customFormat="1"/>
    <row r="81" s="531" customFormat="1"/>
    <row r="82" s="531" customFormat="1"/>
    <row r="83" s="531" customFormat="1"/>
    <row r="84" s="531" customFormat="1"/>
    <row r="85" s="531" customFormat="1"/>
    <row r="86" s="531" customFormat="1"/>
    <row r="87" s="531" customFormat="1"/>
    <row r="88" s="531" customFormat="1"/>
    <row r="89" s="531" customFormat="1"/>
    <row r="90" s="531" customFormat="1"/>
    <row r="91" s="531" customFormat="1"/>
    <row r="92" s="531" customFormat="1"/>
    <row r="93" s="531" customFormat="1"/>
    <row r="94" s="531" customFormat="1"/>
    <row r="95" s="531" customFormat="1"/>
    <row r="96" s="531" customFormat="1"/>
    <row r="97" s="531" customFormat="1"/>
    <row r="98" s="531" customFormat="1"/>
    <row r="99" s="531" customFormat="1"/>
    <row r="100" s="531" customFormat="1"/>
    <row r="101" s="531" customFormat="1"/>
    <row r="102" s="531" customFormat="1"/>
    <row r="103" s="531" customFormat="1"/>
    <row r="104" s="531" customFormat="1"/>
    <row r="105" s="531" customFormat="1"/>
    <row r="106" s="531" customFormat="1"/>
    <row r="107" s="531" customFormat="1"/>
    <row r="108" s="531" customFormat="1"/>
    <row r="109" s="531" customFormat="1"/>
    <row r="110" s="531" customFormat="1"/>
    <row r="111" s="531" customFormat="1"/>
    <row r="112" s="531" customFormat="1"/>
    <row r="113" s="531" customFormat="1"/>
    <row r="114" s="531" customFormat="1"/>
    <row r="115" s="531" customFormat="1"/>
    <row r="116" s="531" customFormat="1"/>
    <row r="117" s="531" customFormat="1"/>
    <row r="118" s="531" customFormat="1"/>
    <row r="119" s="531" customFormat="1"/>
    <row r="120" s="531" customFormat="1"/>
    <row r="121" s="531" customFormat="1"/>
    <row r="122" s="531" customFormat="1"/>
    <row r="123" s="531" customFormat="1"/>
    <row r="124" s="531" customFormat="1"/>
    <row r="125" s="531" customFormat="1"/>
    <row r="126" s="531" customFormat="1"/>
    <row r="127" s="531" customFormat="1"/>
    <row r="128" s="531" customFormat="1"/>
    <row r="129" s="531" customFormat="1"/>
    <row r="130" s="531" customFormat="1"/>
    <row r="131" s="531" customFormat="1"/>
    <row r="132" s="531" customFormat="1"/>
    <row r="133" s="531" customFormat="1"/>
    <row r="134" s="531" customFormat="1"/>
    <row r="135" s="531" customFormat="1"/>
    <row r="136" s="531" customFormat="1"/>
    <row r="137" s="531" customFormat="1"/>
    <row r="138" s="531" customFormat="1"/>
    <row r="139" s="531" customFormat="1"/>
    <row r="140" s="531" customFormat="1"/>
    <row r="141" s="531" customFormat="1"/>
    <row r="142" s="531" customFormat="1"/>
    <row r="143" s="531" customFormat="1"/>
    <row r="144" s="531" customFormat="1"/>
    <row r="145" s="531" customFormat="1"/>
    <row r="146" s="531" customFormat="1"/>
    <row r="147" s="531" customFormat="1"/>
    <row r="148" s="531" customFormat="1"/>
    <row r="149" s="531" customFormat="1"/>
    <row r="150" s="531" customFormat="1"/>
    <row r="151" s="531" customFormat="1"/>
    <row r="152" s="531" customFormat="1"/>
    <row r="153" s="531" customFormat="1"/>
    <row r="154" s="531" customFormat="1"/>
    <row r="155" s="531" customFormat="1"/>
    <row r="156" s="531" customFormat="1"/>
    <row r="157" s="531" customFormat="1"/>
    <row r="158" s="531" customFormat="1"/>
    <row r="159" s="531" customFormat="1"/>
    <row r="160" s="531" customFormat="1"/>
    <row r="161" s="531" customFormat="1"/>
    <row r="162" s="531" customFormat="1"/>
    <row r="163" s="531" customFormat="1"/>
    <row r="164" s="531" customFormat="1"/>
    <row r="165" s="531" customFormat="1"/>
    <row r="166" s="531" customFormat="1"/>
    <row r="167" s="531" customFormat="1"/>
    <row r="168" s="531" customFormat="1"/>
    <row r="169" s="531" customFormat="1"/>
    <row r="170" s="531" customFormat="1"/>
    <row r="171" s="531" customFormat="1"/>
    <row r="172" s="531" customFormat="1"/>
    <row r="173" s="531" customFormat="1"/>
    <row r="174" s="531" customFormat="1"/>
    <row r="175" s="531" customFormat="1"/>
    <row r="176" s="531" customFormat="1"/>
    <row r="177" s="531" customFormat="1"/>
    <row r="178" s="531" customFormat="1"/>
    <row r="179" s="531" customFormat="1"/>
    <row r="180" s="531" customFormat="1"/>
    <row r="181" s="531" customFormat="1"/>
    <row r="182" s="531" customFormat="1"/>
    <row r="183" s="531" customFormat="1"/>
    <row r="184" s="531" customFormat="1"/>
    <row r="185" s="531" customFormat="1"/>
    <row r="186" s="531" customFormat="1"/>
    <row r="187" s="531" customFormat="1"/>
    <row r="188" s="531" customFormat="1"/>
    <row r="189" s="531" customFormat="1"/>
    <row r="190" s="531" customFormat="1"/>
    <row r="191" s="531" customFormat="1"/>
    <row r="192" s="531" customFormat="1"/>
    <row r="193" spans="2:14" s="531" customFormat="1"/>
    <row r="194" spans="2:14" s="531" customFormat="1"/>
    <row r="195" spans="2:14" s="531" customFormat="1"/>
    <row r="196" spans="2:14" s="531" customFormat="1"/>
    <row r="197" spans="2:14" s="531" customFormat="1"/>
    <row r="198" spans="2:14" s="531" customFormat="1"/>
    <row r="199" spans="2:14" s="531" customFormat="1"/>
    <row r="200" spans="2:14" s="531" customFormat="1"/>
    <row r="201" spans="2:14" s="531" customFormat="1"/>
    <row r="202" spans="2:14" s="531" customFormat="1"/>
    <row r="203" spans="2:14" s="531" customFormat="1"/>
    <row r="204" spans="2:14" s="531" customFormat="1">
      <c r="B204" s="511"/>
      <c r="C204" s="511"/>
      <c r="D204" s="511"/>
      <c r="E204" s="511"/>
      <c r="F204" s="511"/>
      <c r="G204" s="511"/>
      <c r="H204" s="511"/>
      <c r="I204" s="511"/>
      <c r="J204" s="511"/>
      <c r="K204" s="511"/>
      <c r="L204" s="511"/>
      <c r="M204" s="511"/>
      <c r="N204" s="511"/>
    </row>
    <row r="205" spans="2:14" s="531" customFormat="1">
      <c r="B205" s="511"/>
      <c r="C205" s="511"/>
      <c r="D205" s="511"/>
      <c r="E205" s="511"/>
      <c r="F205" s="511"/>
      <c r="G205" s="511"/>
      <c r="H205" s="511"/>
      <c r="I205" s="511"/>
      <c r="J205" s="511"/>
      <c r="K205" s="511"/>
      <c r="L205" s="511"/>
      <c r="M205" s="511"/>
      <c r="N205" s="511"/>
    </row>
    <row r="206" spans="2:14" s="531" customFormat="1">
      <c r="B206" s="511"/>
      <c r="C206" s="511"/>
      <c r="D206" s="511"/>
      <c r="E206" s="511"/>
      <c r="F206" s="511"/>
      <c r="G206" s="511"/>
      <c r="H206" s="511"/>
      <c r="I206" s="511"/>
      <c r="J206" s="511"/>
      <c r="K206" s="511"/>
      <c r="L206" s="511"/>
      <c r="M206" s="511"/>
      <c r="N206" s="511"/>
    </row>
    <row r="207" spans="2:14" s="531" customFormat="1">
      <c r="B207" s="511"/>
      <c r="C207" s="511"/>
      <c r="D207" s="511"/>
      <c r="E207" s="511"/>
      <c r="F207" s="511"/>
      <c r="G207" s="511"/>
      <c r="H207" s="511"/>
      <c r="I207" s="511"/>
      <c r="J207" s="511"/>
      <c r="K207" s="511"/>
      <c r="L207" s="511"/>
      <c r="M207" s="511"/>
      <c r="N207" s="511"/>
    </row>
    <row r="208" spans="2:14" s="531" customFormat="1">
      <c r="B208" s="511"/>
      <c r="C208" s="511"/>
      <c r="D208" s="511"/>
      <c r="E208" s="511"/>
      <c r="F208" s="511"/>
      <c r="G208" s="511"/>
      <c r="H208" s="511"/>
      <c r="I208" s="511"/>
      <c r="J208" s="511"/>
      <c r="K208" s="511"/>
      <c r="L208" s="511"/>
      <c r="M208" s="511"/>
      <c r="N208" s="511"/>
    </row>
    <row r="209" spans="2:32" s="531" customFormat="1">
      <c r="B209" s="511"/>
      <c r="C209" s="511"/>
      <c r="D209" s="511"/>
      <c r="E209" s="511"/>
      <c r="F209" s="511"/>
      <c r="G209" s="511"/>
      <c r="H209" s="511"/>
      <c r="I209" s="511"/>
      <c r="J209" s="511"/>
      <c r="K209" s="511"/>
      <c r="L209" s="511"/>
      <c r="M209" s="511"/>
      <c r="N209" s="511"/>
      <c r="AE209" s="511"/>
      <c r="AF209" s="511"/>
    </row>
  </sheetData>
  <mergeCells count="75">
    <mergeCell ref="Q34:T34"/>
    <mergeCell ref="Q35:T35"/>
    <mergeCell ref="AE31:AF31"/>
    <mergeCell ref="AE32:AF32"/>
    <mergeCell ref="AG33:AH33"/>
    <mergeCell ref="AK5:AK7"/>
    <mergeCell ref="AJ5:AJ7"/>
    <mergeCell ref="AJ44:AJ45"/>
    <mergeCell ref="AD43:AI43"/>
    <mergeCell ref="AD44:AD45"/>
    <mergeCell ref="AE44:AE45"/>
    <mergeCell ref="AF44:AF45"/>
    <mergeCell ref="AG44:AG45"/>
    <mergeCell ref="AH44:AI45"/>
    <mergeCell ref="AE42:AF42"/>
    <mergeCell ref="AH5:AH7"/>
    <mergeCell ref="AG5:AG7"/>
    <mergeCell ref="AG31:AH32"/>
    <mergeCell ref="AE40:AF41"/>
    <mergeCell ref="AE35:AE36"/>
    <mergeCell ref="AF35:AF36"/>
    <mergeCell ref="V30:AA31"/>
    <mergeCell ref="Q31:T31"/>
    <mergeCell ref="Q32:T32"/>
    <mergeCell ref="Q33:T33"/>
    <mergeCell ref="AF5:AF7"/>
    <mergeCell ref="AE5:AE7"/>
    <mergeCell ref="AD5:AD7"/>
    <mergeCell ref="T6:T7"/>
    <mergeCell ref="N5:AA5"/>
    <mergeCell ref="Z6:Z7"/>
    <mergeCell ref="AA6:AA7"/>
    <mergeCell ref="N6:Q6"/>
    <mergeCell ref="U6:U7"/>
    <mergeCell ref="V6:V7"/>
    <mergeCell ref="W6:W7"/>
    <mergeCell ref="X6:X7"/>
    <mergeCell ref="Y6:Y7"/>
    <mergeCell ref="R6:R7"/>
    <mergeCell ref="S6:S7"/>
    <mergeCell ref="A5:A7"/>
    <mergeCell ref="J6:J7"/>
    <mergeCell ref="H6:H7"/>
    <mergeCell ref="G6:G7"/>
    <mergeCell ref="F6:F7"/>
    <mergeCell ref="E6:E7"/>
    <mergeCell ref="D6:D7"/>
    <mergeCell ref="I6:I7"/>
    <mergeCell ref="D5:F5"/>
    <mergeCell ref="G5:M5"/>
    <mergeCell ref="K6:K7"/>
    <mergeCell ref="L6:L7"/>
    <mergeCell ref="M6:M7"/>
    <mergeCell ref="C5:C7"/>
    <mergeCell ref="B5:B7"/>
    <mergeCell ref="AV5:AV7"/>
    <mergeCell ref="AS5:AS7"/>
    <mergeCell ref="AR5:AR7"/>
    <mergeCell ref="AQ5:AQ7"/>
    <mergeCell ref="AL5:AL7"/>
    <mergeCell ref="AP5:AP7"/>
    <mergeCell ref="AO5:AO7"/>
    <mergeCell ref="AN5:AN7"/>
    <mergeCell ref="AM5:AM7"/>
    <mergeCell ref="AU5:AU7"/>
    <mergeCell ref="AT5:AT7"/>
    <mergeCell ref="AH51:AI51"/>
    <mergeCell ref="AH52:AI52"/>
    <mergeCell ref="AH53:AI53"/>
    <mergeCell ref="AH54:AI54"/>
    <mergeCell ref="AH46:AI46"/>
    <mergeCell ref="AH47:AI47"/>
    <mergeCell ref="AH48:AI48"/>
    <mergeCell ref="AH49:AI49"/>
    <mergeCell ref="AH50:AI50"/>
  </mergeCells>
  <phoneticPr fontId="9" type="noConversion"/>
  <conditionalFormatting sqref="Y9:Y28">
    <cfRule type="cellIs" dxfId="9" priority="4" operator="lessThan">
      <formula>0.95</formula>
    </cfRule>
  </conditionalFormatting>
  <conditionalFormatting sqref="R9:R28">
    <cfRule type="expression" dxfId="8" priority="3">
      <formula>$C9="Other"</formula>
    </cfRule>
  </conditionalFormatting>
  <conditionalFormatting sqref="D9:G28">
    <cfRule type="expression" dxfId="7" priority="1">
      <formula>ISNA(D9)</formula>
    </cfRule>
  </conditionalFormatting>
  <dataValidations xWindow="638" yWindow="394" count="9">
    <dataValidation errorTitle="Unit Value not Recognized" error="The unit value for this measure is not recognized.  Please add this unit value to the list at the bottom of this spreadsheet by inserting a new cell above the orange cell and entering this value." promptTitle="Units" prompt="Select the unit that corresponds to the measure and quantity indicated." sqref="W39:W52 L9:P28 W54:W55 J9:J28 V9:W28"/>
    <dataValidation allowBlank="1" showInputMessage="1" showErrorMessage="1" promptTitle="Partner Fees" prompt="Enter the total Partner Fee to provide the modeling service required under the Multifamily Performance Program.  Fees should be entered for just a single building, if more than one identical building (= Partner Fee ÷ # of identical buildings)." sqref="U56"/>
    <dataValidation allowBlank="1" showInputMessage="1" showErrorMessage="1" promptTitle="Partner Fees" prompt="Enter the total Partner Fee to provide the inspection service required under the Multifamily Performance Program.  Fees should be entered for just a single building, if more than one identical building (= Partner Fee ÷ # of identical buildings)." sqref="U57"/>
    <dataValidation allowBlank="1" showInputMessage="1" showErrorMessage="1" promptTitle="Partner Fees" prompt="Enter the total Partner Fee to provide the other services.  Fees should be entered for just a single building, if more than one identical building (= Partner Fee ÷ # of identical buildings)." sqref="U58"/>
    <dataValidation type="list" allowBlank="1" showInputMessage="1" showErrorMessage="1" sqref="AG9:AG28 AD46:AD53">
      <formula1>FundingCodes</formula1>
    </dataValidation>
    <dataValidation type="list" allowBlank="1" showInputMessage="1" showErrorMessage="1" sqref="AD9:AD28">
      <formula1>YesNo</formula1>
    </dataValidation>
    <dataValidation showErrorMessage="1" errorTitle="Unit Value not Recognized" error="The unit value for this measure is not recognized.  Please add this unit value to the list at the bottom of this spreadsheet by inserting a new cell above the orange cell and entering this value." promptTitle="Units" prompt="Select the unit that corresponds to the measure and quantity indicated." sqref="Q9:T28"/>
    <dataValidation type="list" allowBlank="1" showInputMessage="1" showErrorMessage="1" sqref="C9:C28">
      <formula1>Measure_Type</formula1>
    </dataValidation>
    <dataValidation type="list" errorTitle="Unit Value not Recognized" error="The unit value for this measure is not recognized.  Please add this unit value to the list at the bottom of this spreadsheet by inserting a new cell above the orange cell and entering this value." promptTitle="Units" prompt="Select the unit that corresponds to the measure and quantity indicated." sqref="K9:K28">
      <formula1>Fuels</formula1>
    </dataValidation>
  </dataValidations>
  <pageMargins left="0.5" right="0.5" top="1" bottom="1" header="0.5" footer="0.5"/>
  <pageSetup scale="60" orientation="landscape" r:id="rId1"/>
  <headerFooter alignWithMargins="0"/>
  <colBreaks count="1" manualBreakCount="1">
    <brk id="25" max="1048575" man="1"/>
  </colBreaks>
  <legacyDrawing r:id="rId2"/>
</worksheet>
</file>

<file path=xl/worksheets/sheet14.xml><?xml version="1.0" encoding="utf-8"?>
<worksheet xmlns="http://schemas.openxmlformats.org/spreadsheetml/2006/main" xmlns:r="http://schemas.openxmlformats.org/officeDocument/2006/relationships">
  <sheetPr codeName="Sheet71" enableFormatConditionsCalculation="0">
    <tabColor theme="0" tint="-0.34998626667073579"/>
  </sheetPr>
  <dimension ref="A1:CE130"/>
  <sheetViews>
    <sheetView zoomScaleNormal="100" workbookViewId="0"/>
  </sheetViews>
  <sheetFormatPr defaultRowHeight="12"/>
  <cols>
    <col min="1" max="1" width="14.7109375" style="479" bestFit="1" customWidth="1"/>
    <col min="2" max="13" width="13.7109375" style="479" customWidth="1"/>
    <col min="14" max="17" width="13.7109375" style="759" customWidth="1"/>
    <col min="18" max="18" width="13.85546875" style="759" customWidth="1"/>
    <col min="19" max="19" width="13.28515625" style="759" customWidth="1"/>
    <col min="20" max="20" width="12.42578125" style="759" customWidth="1"/>
    <col min="21" max="21" width="15.5703125" style="759" bestFit="1" customWidth="1"/>
    <col min="22" max="22" width="16.140625" style="759" customWidth="1"/>
    <col min="23" max="23" width="13.85546875" style="759" customWidth="1"/>
    <col min="24" max="24" width="17" style="759" customWidth="1"/>
    <col min="25" max="25" width="14.42578125" style="759" customWidth="1"/>
    <col min="26" max="50" width="9.140625" style="759" hidden="1" customWidth="1"/>
    <col min="51" max="51" width="13.85546875" style="759" bestFit="1" customWidth="1"/>
    <col min="52" max="52" width="13.28515625" style="759" customWidth="1"/>
    <col min="53" max="53" width="15.5703125" style="759" bestFit="1" customWidth="1"/>
    <col min="54" max="54" width="15.28515625" style="759" customWidth="1"/>
    <col min="55" max="55" width="14.28515625" style="759" customWidth="1"/>
    <col min="56" max="56" width="13.7109375" style="759" customWidth="1"/>
    <col min="57" max="57" width="13.5703125" style="759" customWidth="1"/>
    <col min="58" max="58" width="12.7109375" style="759" customWidth="1"/>
    <col min="59" max="59" width="11.85546875" style="759" customWidth="1"/>
    <col min="60" max="71" width="13.7109375" style="759" customWidth="1"/>
    <col min="72" max="72" width="0" style="759" hidden="1" customWidth="1"/>
    <col min="73" max="77" width="0" style="479" hidden="1" customWidth="1"/>
    <col min="78" max="16384" width="9.140625" style="479"/>
  </cols>
  <sheetData>
    <row r="1" spans="1:77" ht="18.75">
      <c r="B1" s="481" t="s">
        <v>3053</v>
      </c>
      <c r="M1" s="482"/>
    </row>
    <row r="2" spans="1:77">
      <c r="A2" s="836" t="s">
        <v>3069</v>
      </c>
      <c r="B2" s="482" t="s">
        <v>3071</v>
      </c>
      <c r="M2" s="482"/>
    </row>
    <row r="3" spans="1:77">
      <c r="A3" s="836" t="s">
        <v>3069</v>
      </c>
      <c r="B3" s="482" t="s">
        <v>3070</v>
      </c>
      <c r="D3" s="760"/>
      <c r="E3" s="760"/>
      <c r="F3" s="760"/>
      <c r="M3" s="482"/>
    </row>
    <row r="4" spans="1:77">
      <c r="A4" s="824" t="s">
        <v>3058</v>
      </c>
      <c r="B4" s="825" t="s">
        <v>1035</v>
      </c>
      <c r="D4" s="761"/>
      <c r="E4" s="761"/>
      <c r="F4" s="761"/>
      <c r="M4" s="482"/>
    </row>
    <row r="5" spans="1:77">
      <c r="M5" s="482"/>
    </row>
    <row r="6" spans="1:77">
      <c r="A6" s="777" t="s">
        <v>3059</v>
      </c>
      <c r="B6" s="762" t="s">
        <v>3067</v>
      </c>
      <c r="M6" s="482"/>
    </row>
    <row r="7" spans="1:77" ht="12.75" thickBot="1">
      <c r="M7" s="1842" t="s">
        <v>1498</v>
      </c>
      <c r="N7" s="1842" t="s">
        <v>1498</v>
      </c>
      <c r="O7" s="1842" t="s">
        <v>1500</v>
      </c>
      <c r="P7" s="1842" t="s">
        <v>1496</v>
      </c>
      <c r="Q7" s="1842" t="s">
        <v>1497</v>
      </c>
      <c r="R7" s="1842" t="s">
        <v>1497</v>
      </c>
      <c r="S7" s="1842" t="s">
        <v>1501</v>
      </c>
      <c r="T7" s="1842" t="s">
        <v>1501</v>
      </c>
      <c r="U7" s="1842" t="s">
        <v>1500</v>
      </c>
      <c r="V7" s="1842" t="s">
        <v>1496</v>
      </c>
      <c r="W7" s="1842" t="s">
        <v>1499</v>
      </c>
      <c r="X7" s="1842" t="s">
        <v>1498</v>
      </c>
      <c r="Y7" s="1843" t="str">
        <f t="shared" ref="Y7:BK7" si="0">Y8</f>
        <v>TOTAL</v>
      </c>
      <c r="Z7" s="1843">
        <f t="shared" si="0"/>
        <v>0</v>
      </c>
      <c r="AA7" s="1843">
        <f t="shared" si="0"/>
        <v>0</v>
      </c>
      <c r="AB7" s="1843">
        <f t="shared" si="0"/>
        <v>0</v>
      </c>
      <c r="AC7" s="1843">
        <f t="shared" si="0"/>
        <v>0</v>
      </c>
      <c r="AD7" s="1843">
        <f t="shared" si="0"/>
        <v>0</v>
      </c>
      <c r="AE7" s="1843">
        <f t="shared" si="0"/>
        <v>0</v>
      </c>
      <c r="AF7" s="1843">
        <f t="shared" si="0"/>
        <v>0</v>
      </c>
      <c r="AG7" s="1843">
        <f t="shared" si="0"/>
        <v>0</v>
      </c>
      <c r="AH7" s="1843">
        <f t="shared" si="0"/>
        <v>0</v>
      </c>
      <c r="AI7" s="1843">
        <f t="shared" si="0"/>
        <v>0</v>
      </c>
      <c r="AJ7" s="1843">
        <f t="shared" si="0"/>
        <v>0</v>
      </c>
      <c r="AK7" s="1843">
        <f t="shared" si="0"/>
        <v>0</v>
      </c>
      <c r="AL7" s="1843">
        <f t="shared" si="0"/>
        <v>0</v>
      </c>
      <c r="AM7" s="1843">
        <f t="shared" si="0"/>
        <v>0</v>
      </c>
      <c r="AN7" s="1843">
        <f t="shared" si="0"/>
        <v>0</v>
      </c>
      <c r="AO7" s="1843">
        <f t="shared" si="0"/>
        <v>0</v>
      </c>
      <c r="AP7" s="1843">
        <f t="shared" si="0"/>
        <v>0</v>
      </c>
      <c r="AQ7" s="1843">
        <f t="shared" si="0"/>
        <v>0</v>
      </c>
      <c r="AR7" s="1843">
        <f t="shared" si="0"/>
        <v>0</v>
      </c>
      <c r="AS7" s="1843">
        <f t="shared" si="0"/>
        <v>0</v>
      </c>
      <c r="AT7" s="1843">
        <f t="shared" si="0"/>
        <v>0</v>
      </c>
      <c r="AU7" s="1843">
        <f t="shared" si="0"/>
        <v>0</v>
      </c>
      <c r="AV7" s="1843">
        <f t="shared" si="0"/>
        <v>0</v>
      </c>
      <c r="AW7" s="1843">
        <f t="shared" si="0"/>
        <v>0</v>
      </c>
      <c r="AX7" s="1843">
        <f t="shared" si="0"/>
        <v>0</v>
      </c>
      <c r="AY7" s="1842" t="s">
        <v>1498</v>
      </c>
      <c r="AZ7" s="1842" t="s">
        <v>1498</v>
      </c>
      <c r="BA7" s="1842" t="s">
        <v>1500</v>
      </c>
      <c r="BB7" s="1842" t="s">
        <v>1496</v>
      </c>
      <c r="BC7" s="1842" t="s">
        <v>1497</v>
      </c>
      <c r="BD7" s="1842" t="s">
        <v>1497</v>
      </c>
      <c r="BE7" s="1842" t="s">
        <v>1501</v>
      </c>
      <c r="BF7" s="1842" t="s">
        <v>1501</v>
      </c>
      <c r="BG7" s="1842" t="s">
        <v>1500</v>
      </c>
      <c r="BH7" s="1842" t="s">
        <v>1496</v>
      </c>
      <c r="BI7" s="1842" t="s">
        <v>1499</v>
      </c>
      <c r="BJ7" s="1842" t="s">
        <v>1498</v>
      </c>
      <c r="BK7" s="1843" t="str">
        <f t="shared" si="0"/>
        <v>TOTAL</v>
      </c>
    </row>
    <row r="8" spans="1:77" ht="12.75" thickBot="1">
      <c r="C8" s="758"/>
      <c r="M8" s="687" t="s">
        <v>1498</v>
      </c>
      <c r="N8" s="687" t="s">
        <v>1498</v>
      </c>
      <c r="O8" s="687" t="s">
        <v>3091</v>
      </c>
      <c r="P8" s="687" t="s">
        <v>1496</v>
      </c>
      <c r="Q8" s="687" t="s">
        <v>1497</v>
      </c>
      <c r="R8" s="687" t="s">
        <v>1497</v>
      </c>
      <c r="S8" s="687" t="s">
        <v>3093</v>
      </c>
      <c r="T8" s="687" t="s">
        <v>3092</v>
      </c>
      <c r="U8" s="687" t="s">
        <v>3091</v>
      </c>
      <c r="V8" s="687" t="s">
        <v>1496</v>
      </c>
      <c r="W8" s="687" t="s">
        <v>1499</v>
      </c>
      <c r="X8" s="775" t="s">
        <v>1498</v>
      </c>
      <c r="Y8" s="775" t="s">
        <v>3057</v>
      </c>
      <c r="Z8" s="771"/>
      <c r="AA8" s="771"/>
      <c r="AB8" s="771"/>
      <c r="AC8" s="771"/>
      <c r="AD8" s="771"/>
      <c r="AE8" s="771"/>
      <c r="AF8" s="771"/>
      <c r="AG8" s="771"/>
      <c r="AH8" s="771"/>
      <c r="AI8" s="771"/>
      <c r="AJ8" s="771"/>
      <c r="AK8" s="771"/>
      <c r="AL8" s="771"/>
      <c r="AM8" s="771"/>
      <c r="AN8" s="771"/>
      <c r="AO8" s="771"/>
      <c r="AP8" s="771"/>
      <c r="AQ8" s="771"/>
      <c r="AR8" s="771"/>
      <c r="AS8" s="771"/>
      <c r="AT8" s="771"/>
      <c r="AU8" s="771"/>
      <c r="AV8" s="771"/>
      <c r="AW8" s="771"/>
      <c r="AX8" s="771"/>
      <c r="AY8" s="687" t="s">
        <v>1498</v>
      </c>
      <c r="AZ8" s="687" t="s">
        <v>1498</v>
      </c>
      <c r="BA8" s="687" t="s">
        <v>3091</v>
      </c>
      <c r="BB8" s="687" t="s">
        <v>1496</v>
      </c>
      <c r="BC8" s="687" t="s">
        <v>1497</v>
      </c>
      <c r="BD8" s="687" t="s">
        <v>1497</v>
      </c>
      <c r="BE8" s="687" t="s">
        <v>3093</v>
      </c>
      <c r="BF8" s="687" t="s">
        <v>3092</v>
      </c>
      <c r="BG8" s="687" t="s">
        <v>3091</v>
      </c>
      <c r="BH8" s="687" t="s">
        <v>1496</v>
      </c>
      <c r="BI8" s="687" t="s">
        <v>1499</v>
      </c>
      <c r="BJ8" s="775" t="s">
        <v>1498</v>
      </c>
      <c r="BK8" s="775" t="s">
        <v>3057</v>
      </c>
      <c r="BT8" s="479"/>
    </row>
    <row r="9" spans="1:77" s="776" customFormat="1" ht="12.75" customHeight="1">
      <c r="B9" s="772"/>
      <c r="C9" s="765"/>
      <c r="D9" s="765"/>
      <c r="E9" s="765"/>
      <c r="F9" s="765"/>
      <c r="G9" s="765"/>
      <c r="H9" s="765"/>
      <c r="I9" s="765"/>
      <c r="J9" s="765"/>
      <c r="K9" s="765"/>
      <c r="L9" s="765"/>
      <c r="M9" s="765" t="s">
        <v>553</v>
      </c>
      <c r="N9" s="765"/>
      <c r="O9" s="765"/>
      <c r="P9" s="765"/>
      <c r="Q9" s="765"/>
      <c r="R9" s="765"/>
      <c r="S9" s="765"/>
      <c r="T9" s="765"/>
      <c r="U9" s="765"/>
      <c r="V9" s="765"/>
      <c r="W9" s="765"/>
      <c r="X9" s="765"/>
      <c r="Y9" s="765"/>
      <c r="Z9" s="765" t="s">
        <v>554</v>
      </c>
      <c r="AA9" s="765"/>
      <c r="AB9" s="765"/>
      <c r="AC9" s="765"/>
      <c r="AD9" s="765"/>
      <c r="AE9" s="765"/>
      <c r="AF9" s="765"/>
      <c r="AG9" s="765"/>
      <c r="AH9" s="765"/>
      <c r="AI9" s="765"/>
      <c r="AJ9" s="765"/>
      <c r="AK9" s="765"/>
      <c r="AL9" s="765" t="s">
        <v>555</v>
      </c>
      <c r="AM9" s="765"/>
      <c r="AN9" s="765"/>
      <c r="AO9" s="765"/>
      <c r="AP9" s="765"/>
      <c r="AQ9" s="765"/>
      <c r="AR9" s="765"/>
      <c r="AS9" s="765"/>
      <c r="AT9" s="765"/>
      <c r="AU9" s="765"/>
      <c r="AV9" s="765"/>
      <c r="AW9" s="765"/>
      <c r="AX9" s="765"/>
      <c r="AY9" s="765" t="s">
        <v>556</v>
      </c>
      <c r="AZ9" s="765"/>
      <c r="BA9" s="765"/>
      <c r="BB9" s="765"/>
      <c r="BC9" s="765"/>
      <c r="BD9" s="765"/>
      <c r="BE9" s="765"/>
      <c r="BF9" s="765"/>
      <c r="BG9" s="765"/>
      <c r="BH9" s="765"/>
      <c r="BI9" s="765"/>
      <c r="BJ9" s="765"/>
      <c r="BK9" s="765"/>
      <c r="BL9" s="765" t="s">
        <v>557</v>
      </c>
      <c r="BM9" s="765"/>
      <c r="BN9" s="765" t="s">
        <v>558</v>
      </c>
      <c r="BO9" s="2278" t="s">
        <v>559</v>
      </c>
      <c r="BP9" s="2279"/>
      <c r="BQ9" s="2280"/>
      <c r="BR9" s="765"/>
      <c r="BS9" s="766"/>
      <c r="BT9" s="2279" t="s">
        <v>3073</v>
      </c>
      <c r="BU9" s="2279"/>
      <c r="BV9" s="2279"/>
      <c r="BW9" s="2279"/>
      <c r="BX9" s="2279"/>
      <c r="BY9" s="2280"/>
    </row>
    <row r="10" spans="1:77" s="776" customFormat="1">
      <c r="B10" s="773"/>
      <c r="C10" s="767"/>
      <c r="D10" s="767"/>
      <c r="E10" s="767"/>
      <c r="F10" s="767"/>
      <c r="G10" s="767"/>
      <c r="H10" s="767"/>
      <c r="I10" s="767"/>
      <c r="J10" s="767"/>
      <c r="K10" s="767"/>
      <c r="L10" s="767" t="s">
        <v>560</v>
      </c>
      <c r="M10" s="767" t="s">
        <v>561</v>
      </c>
      <c r="N10" s="767" t="s">
        <v>561</v>
      </c>
      <c r="O10" s="767" t="s">
        <v>561</v>
      </c>
      <c r="P10" s="767" t="s">
        <v>561</v>
      </c>
      <c r="Q10" s="767" t="s">
        <v>561</v>
      </c>
      <c r="R10" s="767" t="s">
        <v>561</v>
      </c>
      <c r="S10" s="767" t="s">
        <v>561</v>
      </c>
      <c r="T10" s="767" t="s">
        <v>561</v>
      </c>
      <c r="U10" s="767" t="s">
        <v>561</v>
      </c>
      <c r="V10" s="767" t="s">
        <v>561</v>
      </c>
      <c r="W10" s="767" t="s">
        <v>561</v>
      </c>
      <c r="X10" s="767" t="s">
        <v>561</v>
      </c>
      <c r="Y10" s="767" t="s">
        <v>561</v>
      </c>
      <c r="Z10" s="767" t="s">
        <v>561</v>
      </c>
      <c r="AA10" s="767" t="s">
        <v>561</v>
      </c>
      <c r="AB10" s="767" t="s">
        <v>561</v>
      </c>
      <c r="AC10" s="767" t="s">
        <v>561</v>
      </c>
      <c r="AD10" s="767" t="s">
        <v>561</v>
      </c>
      <c r="AE10" s="767" t="s">
        <v>561</v>
      </c>
      <c r="AF10" s="767" t="s">
        <v>561</v>
      </c>
      <c r="AG10" s="767" t="s">
        <v>561</v>
      </c>
      <c r="AH10" s="767" t="s">
        <v>561</v>
      </c>
      <c r="AI10" s="767" t="s">
        <v>561</v>
      </c>
      <c r="AJ10" s="767" t="s">
        <v>561</v>
      </c>
      <c r="AK10" s="767" t="s">
        <v>561</v>
      </c>
      <c r="AL10" s="767" t="s">
        <v>561</v>
      </c>
      <c r="AM10" s="767" t="s">
        <v>561</v>
      </c>
      <c r="AN10" s="767" t="s">
        <v>561</v>
      </c>
      <c r="AO10" s="767" t="s">
        <v>561</v>
      </c>
      <c r="AP10" s="767" t="s">
        <v>561</v>
      </c>
      <c r="AQ10" s="767" t="s">
        <v>561</v>
      </c>
      <c r="AR10" s="767" t="s">
        <v>561</v>
      </c>
      <c r="AS10" s="767" t="s">
        <v>561</v>
      </c>
      <c r="AT10" s="767" t="s">
        <v>561</v>
      </c>
      <c r="AU10" s="767" t="s">
        <v>561</v>
      </c>
      <c r="AV10" s="767" t="s">
        <v>561</v>
      </c>
      <c r="AW10" s="767" t="s">
        <v>561</v>
      </c>
      <c r="AX10" s="767" t="s">
        <v>561</v>
      </c>
      <c r="AY10" s="767" t="s">
        <v>561</v>
      </c>
      <c r="AZ10" s="767" t="s">
        <v>561</v>
      </c>
      <c r="BA10" s="767" t="s">
        <v>561</v>
      </c>
      <c r="BB10" s="767" t="s">
        <v>561</v>
      </c>
      <c r="BC10" s="767" t="s">
        <v>561</v>
      </c>
      <c r="BD10" s="767" t="s">
        <v>561</v>
      </c>
      <c r="BE10" s="767" t="s">
        <v>561</v>
      </c>
      <c r="BF10" s="767" t="s">
        <v>561</v>
      </c>
      <c r="BG10" s="767" t="s">
        <v>561</v>
      </c>
      <c r="BH10" s="767" t="s">
        <v>561</v>
      </c>
      <c r="BI10" s="767" t="s">
        <v>561</v>
      </c>
      <c r="BJ10" s="767" t="s">
        <v>561</v>
      </c>
      <c r="BK10" s="767" t="s">
        <v>561</v>
      </c>
      <c r="BL10" s="767" t="s">
        <v>562</v>
      </c>
      <c r="BM10" s="767" t="s">
        <v>562</v>
      </c>
      <c r="BN10" s="767" t="s">
        <v>563</v>
      </c>
      <c r="BO10" s="767" t="s">
        <v>563</v>
      </c>
      <c r="BP10" s="767" t="s">
        <v>564</v>
      </c>
      <c r="BQ10" s="767" t="s">
        <v>564</v>
      </c>
      <c r="BR10" s="767" t="s">
        <v>564</v>
      </c>
      <c r="BS10" s="768" t="s">
        <v>564</v>
      </c>
      <c r="BT10" s="767" t="s">
        <v>562</v>
      </c>
      <c r="BU10" s="767" t="s">
        <v>562</v>
      </c>
      <c r="BV10" s="767" t="s">
        <v>3074</v>
      </c>
      <c r="BW10" s="767"/>
      <c r="BX10" s="767" t="s">
        <v>562</v>
      </c>
      <c r="BY10" s="767" t="s">
        <v>562</v>
      </c>
    </row>
    <row r="11" spans="1:77" s="776" customFormat="1">
      <c r="B11" s="773"/>
      <c r="C11" s="767"/>
      <c r="D11" s="767"/>
      <c r="E11" s="767"/>
      <c r="F11" s="767"/>
      <c r="G11" s="767"/>
      <c r="H11" s="767"/>
      <c r="I11" s="767"/>
      <c r="J11" s="767"/>
      <c r="K11" s="767"/>
      <c r="L11" s="767" t="s">
        <v>565</v>
      </c>
      <c r="M11" s="767" t="s">
        <v>566</v>
      </c>
      <c r="N11" s="767" t="s">
        <v>567</v>
      </c>
      <c r="O11" s="767" t="s">
        <v>568</v>
      </c>
      <c r="P11" s="767" t="s">
        <v>569</v>
      </c>
      <c r="Q11" s="767" t="s">
        <v>569</v>
      </c>
      <c r="R11" s="767" t="s">
        <v>570</v>
      </c>
      <c r="S11" s="767" t="s">
        <v>1265</v>
      </c>
      <c r="T11" s="767" t="s">
        <v>571</v>
      </c>
      <c r="U11" s="767" t="s">
        <v>572</v>
      </c>
      <c r="V11" s="767" t="s">
        <v>573</v>
      </c>
      <c r="W11" s="767" t="s">
        <v>574</v>
      </c>
      <c r="X11" s="767" t="s">
        <v>575</v>
      </c>
      <c r="Y11" s="767"/>
      <c r="Z11" s="767" t="s">
        <v>566</v>
      </c>
      <c r="AA11" s="767" t="s">
        <v>567</v>
      </c>
      <c r="AB11" s="767" t="s">
        <v>568</v>
      </c>
      <c r="AC11" s="767" t="s">
        <v>569</v>
      </c>
      <c r="AD11" s="767" t="s">
        <v>569</v>
      </c>
      <c r="AE11" s="767" t="s">
        <v>570</v>
      </c>
      <c r="AF11" s="767" t="s">
        <v>1265</v>
      </c>
      <c r="AG11" s="767" t="s">
        <v>571</v>
      </c>
      <c r="AH11" s="767" t="s">
        <v>572</v>
      </c>
      <c r="AI11" s="767" t="s">
        <v>573</v>
      </c>
      <c r="AJ11" s="767" t="s">
        <v>574</v>
      </c>
      <c r="AK11" s="767" t="s">
        <v>575</v>
      </c>
      <c r="AL11" s="767" t="s">
        <v>566</v>
      </c>
      <c r="AM11" s="767" t="s">
        <v>567</v>
      </c>
      <c r="AN11" s="767" t="s">
        <v>568</v>
      </c>
      <c r="AO11" s="767" t="s">
        <v>569</v>
      </c>
      <c r="AP11" s="767" t="s">
        <v>569</v>
      </c>
      <c r="AQ11" s="767" t="s">
        <v>570</v>
      </c>
      <c r="AR11" s="767" t="s">
        <v>1265</v>
      </c>
      <c r="AS11" s="767" t="s">
        <v>571</v>
      </c>
      <c r="AT11" s="767" t="s">
        <v>572</v>
      </c>
      <c r="AU11" s="767" t="s">
        <v>573</v>
      </c>
      <c r="AV11" s="767" t="s">
        <v>574</v>
      </c>
      <c r="AW11" s="767" t="s">
        <v>575</v>
      </c>
      <c r="AX11" s="767" t="s">
        <v>576</v>
      </c>
      <c r="AY11" s="767" t="s">
        <v>566</v>
      </c>
      <c r="AZ11" s="767" t="s">
        <v>567</v>
      </c>
      <c r="BA11" s="767" t="s">
        <v>568</v>
      </c>
      <c r="BB11" s="767" t="s">
        <v>569</v>
      </c>
      <c r="BC11" s="767" t="s">
        <v>569</v>
      </c>
      <c r="BD11" s="767" t="s">
        <v>570</v>
      </c>
      <c r="BE11" s="767" t="s">
        <v>1265</v>
      </c>
      <c r="BF11" s="767" t="s">
        <v>571</v>
      </c>
      <c r="BG11" s="767" t="s">
        <v>572</v>
      </c>
      <c r="BH11" s="767" t="s">
        <v>573</v>
      </c>
      <c r="BI11" s="767" t="s">
        <v>574</v>
      </c>
      <c r="BJ11" s="767" t="s">
        <v>575</v>
      </c>
      <c r="BK11" s="767"/>
      <c r="BL11" s="767" t="s">
        <v>576</v>
      </c>
      <c r="BM11" s="767" t="s">
        <v>576</v>
      </c>
      <c r="BN11" s="767" t="s">
        <v>576</v>
      </c>
      <c r="BO11" s="767" t="s">
        <v>576</v>
      </c>
      <c r="BP11" s="767" t="s">
        <v>1266</v>
      </c>
      <c r="BQ11" s="767" t="s">
        <v>1266</v>
      </c>
      <c r="BR11" s="767" t="s">
        <v>1903</v>
      </c>
      <c r="BS11" s="768" t="s">
        <v>1903</v>
      </c>
      <c r="BT11" s="767" t="s">
        <v>3075</v>
      </c>
      <c r="BU11" s="767" t="s">
        <v>3076</v>
      </c>
      <c r="BV11" s="767" t="s">
        <v>3077</v>
      </c>
      <c r="BW11" s="767" t="s">
        <v>3075</v>
      </c>
      <c r="BX11" s="767" t="s">
        <v>3078</v>
      </c>
      <c r="BY11" s="767" t="s">
        <v>3079</v>
      </c>
    </row>
    <row r="12" spans="1:77" s="776" customFormat="1">
      <c r="B12" s="773" t="s">
        <v>577</v>
      </c>
      <c r="C12" s="767" t="s">
        <v>578</v>
      </c>
      <c r="D12" s="767" t="s">
        <v>579</v>
      </c>
      <c r="E12" s="767" t="s">
        <v>580</v>
      </c>
      <c r="F12" s="767" t="s">
        <v>581</v>
      </c>
      <c r="G12" s="767" t="s">
        <v>582</v>
      </c>
      <c r="H12" s="767" t="s">
        <v>582</v>
      </c>
      <c r="I12" s="767" t="s">
        <v>3056</v>
      </c>
      <c r="J12" s="767"/>
      <c r="K12" s="767"/>
      <c r="L12" s="767" t="s">
        <v>583</v>
      </c>
      <c r="M12" s="767" t="s">
        <v>584</v>
      </c>
      <c r="N12" s="767" t="s">
        <v>584</v>
      </c>
      <c r="O12" s="767" t="s">
        <v>585</v>
      </c>
      <c r="P12" s="767" t="s">
        <v>586</v>
      </c>
      <c r="Q12" s="767" t="s">
        <v>1887</v>
      </c>
      <c r="R12" s="767" t="s">
        <v>587</v>
      </c>
      <c r="S12" s="767" t="s">
        <v>588</v>
      </c>
      <c r="T12" s="767" t="s">
        <v>589</v>
      </c>
      <c r="U12" s="767" t="s">
        <v>705</v>
      </c>
      <c r="V12" s="767" t="s">
        <v>706</v>
      </c>
      <c r="W12" s="767" t="s">
        <v>707</v>
      </c>
      <c r="X12" s="767" t="s">
        <v>708</v>
      </c>
      <c r="Y12" s="767" t="s">
        <v>1266</v>
      </c>
      <c r="Z12" s="767" t="s">
        <v>584</v>
      </c>
      <c r="AA12" s="767" t="s">
        <v>584</v>
      </c>
      <c r="AB12" s="767" t="s">
        <v>585</v>
      </c>
      <c r="AC12" s="767" t="s">
        <v>586</v>
      </c>
      <c r="AD12" s="767" t="s">
        <v>1887</v>
      </c>
      <c r="AE12" s="767" t="s">
        <v>587</v>
      </c>
      <c r="AF12" s="767" t="s">
        <v>588</v>
      </c>
      <c r="AG12" s="767" t="s">
        <v>589</v>
      </c>
      <c r="AH12" s="767" t="s">
        <v>705</v>
      </c>
      <c r="AI12" s="767" t="s">
        <v>706</v>
      </c>
      <c r="AJ12" s="767" t="s">
        <v>707</v>
      </c>
      <c r="AK12" s="767" t="s">
        <v>708</v>
      </c>
      <c r="AL12" s="767" t="s">
        <v>584</v>
      </c>
      <c r="AM12" s="767" t="s">
        <v>584</v>
      </c>
      <c r="AN12" s="767" t="s">
        <v>585</v>
      </c>
      <c r="AO12" s="767" t="s">
        <v>586</v>
      </c>
      <c r="AP12" s="767" t="s">
        <v>1887</v>
      </c>
      <c r="AQ12" s="767" t="s">
        <v>587</v>
      </c>
      <c r="AR12" s="767" t="s">
        <v>588</v>
      </c>
      <c r="AS12" s="767" t="s">
        <v>589</v>
      </c>
      <c r="AT12" s="767" t="s">
        <v>705</v>
      </c>
      <c r="AU12" s="767" t="s">
        <v>706</v>
      </c>
      <c r="AV12" s="767" t="s">
        <v>707</v>
      </c>
      <c r="AW12" s="767" t="s">
        <v>708</v>
      </c>
      <c r="AX12" s="767" t="s">
        <v>1266</v>
      </c>
      <c r="AY12" s="767" t="s">
        <v>584</v>
      </c>
      <c r="AZ12" s="767" t="s">
        <v>584</v>
      </c>
      <c r="BA12" s="767" t="s">
        <v>585</v>
      </c>
      <c r="BB12" s="767" t="s">
        <v>586</v>
      </c>
      <c r="BC12" s="767" t="s">
        <v>1887</v>
      </c>
      <c r="BD12" s="767" t="s">
        <v>587</v>
      </c>
      <c r="BE12" s="767" t="s">
        <v>588</v>
      </c>
      <c r="BF12" s="767" t="s">
        <v>589</v>
      </c>
      <c r="BG12" s="767" t="s">
        <v>705</v>
      </c>
      <c r="BH12" s="767" t="s">
        <v>706</v>
      </c>
      <c r="BI12" s="767" t="s">
        <v>707</v>
      </c>
      <c r="BJ12" s="767" t="s">
        <v>708</v>
      </c>
      <c r="BK12" s="767" t="s">
        <v>1266</v>
      </c>
      <c r="BL12" s="767" t="s">
        <v>2200</v>
      </c>
      <c r="BM12" s="767" t="s">
        <v>709</v>
      </c>
      <c r="BN12" s="767" t="s">
        <v>2200</v>
      </c>
      <c r="BO12" s="767" t="s">
        <v>709</v>
      </c>
      <c r="BP12" s="767" t="s">
        <v>1903</v>
      </c>
      <c r="BQ12" s="767" t="s">
        <v>1057</v>
      </c>
      <c r="BR12" s="767" t="s">
        <v>148</v>
      </c>
      <c r="BS12" s="768" t="s">
        <v>149</v>
      </c>
      <c r="BT12" s="767" t="s">
        <v>3080</v>
      </c>
      <c r="BU12" s="767" t="s">
        <v>3081</v>
      </c>
      <c r="BV12" s="767" t="s">
        <v>3082</v>
      </c>
      <c r="BW12" s="767" t="s">
        <v>3080</v>
      </c>
      <c r="BX12" s="767" t="s">
        <v>3081</v>
      </c>
      <c r="BY12" s="767" t="s">
        <v>3081</v>
      </c>
    </row>
    <row r="13" spans="1:77" s="776" customFormat="1" ht="12.75" thickBot="1">
      <c r="B13" s="774" t="s">
        <v>1058</v>
      </c>
      <c r="C13" s="769" t="s">
        <v>1059</v>
      </c>
      <c r="D13" s="769" t="s">
        <v>1060</v>
      </c>
      <c r="E13" s="769" t="s">
        <v>1061</v>
      </c>
      <c r="F13" s="769" t="s">
        <v>1062</v>
      </c>
      <c r="G13" s="769" t="s">
        <v>1063</v>
      </c>
      <c r="H13" s="769" t="s">
        <v>77</v>
      </c>
      <c r="I13" s="769" t="s">
        <v>3055</v>
      </c>
      <c r="J13" s="769" t="s">
        <v>78</v>
      </c>
      <c r="K13" s="769" t="s">
        <v>79</v>
      </c>
      <c r="L13" s="769" t="s">
        <v>2202</v>
      </c>
      <c r="M13" s="769" t="s">
        <v>148</v>
      </c>
      <c r="N13" s="769" t="s">
        <v>148</v>
      </c>
      <c r="O13" s="769" t="s">
        <v>148</v>
      </c>
      <c r="P13" s="769" t="s">
        <v>148</v>
      </c>
      <c r="Q13" s="769" t="s">
        <v>148</v>
      </c>
      <c r="R13" s="769" t="s">
        <v>148</v>
      </c>
      <c r="S13" s="769" t="s">
        <v>148</v>
      </c>
      <c r="T13" s="769" t="s">
        <v>148</v>
      </c>
      <c r="U13" s="769" t="s">
        <v>148</v>
      </c>
      <c r="V13" s="769" t="s">
        <v>148</v>
      </c>
      <c r="W13" s="769" t="s">
        <v>148</v>
      </c>
      <c r="X13" s="769" t="s">
        <v>148</v>
      </c>
      <c r="Y13" s="769" t="s">
        <v>148</v>
      </c>
      <c r="Z13" s="769" t="s">
        <v>149</v>
      </c>
      <c r="AA13" s="769" t="s">
        <v>149</v>
      </c>
      <c r="AB13" s="769" t="s">
        <v>149</v>
      </c>
      <c r="AC13" s="769" t="s">
        <v>149</v>
      </c>
      <c r="AD13" s="769" t="s">
        <v>149</v>
      </c>
      <c r="AE13" s="769" t="s">
        <v>149</v>
      </c>
      <c r="AF13" s="769" t="s">
        <v>149</v>
      </c>
      <c r="AG13" s="769" t="s">
        <v>149</v>
      </c>
      <c r="AH13" s="769" t="s">
        <v>149</v>
      </c>
      <c r="AI13" s="769" t="s">
        <v>149</v>
      </c>
      <c r="AJ13" s="769" t="s">
        <v>149</v>
      </c>
      <c r="AK13" s="769" t="s">
        <v>149</v>
      </c>
      <c r="AL13" s="769" t="s">
        <v>149</v>
      </c>
      <c r="AM13" s="769" t="s">
        <v>149</v>
      </c>
      <c r="AN13" s="769" t="s">
        <v>149</v>
      </c>
      <c r="AO13" s="769" t="s">
        <v>149</v>
      </c>
      <c r="AP13" s="769" t="s">
        <v>149</v>
      </c>
      <c r="AQ13" s="769" t="s">
        <v>149</v>
      </c>
      <c r="AR13" s="769" t="s">
        <v>149</v>
      </c>
      <c r="AS13" s="769" t="s">
        <v>149</v>
      </c>
      <c r="AT13" s="769" t="s">
        <v>149</v>
      </c>
      <c r="AU13" s="769" t="s">
        <v>149</v>
      </c>
      <c r="AV13" s="769" t="s">
        <v>149</v>
      </c>
      <c r="AW13" s="769" t="s">
        <v>149</v>
      </c>
      <c r="AX13" s="769" t="s">
        <v>149</v>
      </c>
      <c r="AY13" s="769" t="s">
        <v>1892</v>
      </c>
      <c r="AZ13" s="769" t="s">
        <v>1892</v>
      </c>
      <c r="BA13" s="769" t="s">
        <v>1892</v>
      </c>
      <c r="BB13" s="769" t="s">
        <v>1892</v>
      </c>
      <c r="BC13" s="769" t="s">
        <v>1892</v>
      </c>
      <c r="BD13" s="769" t="s">
        <v>1892</v>
      </c>
      <c r="BE13" s="769" t="s">
        <v>1892</v>
      </c>
      <c r="BF13" s="769" t="s">
        <v>1892</v>
      </c>
      <c r="BG13" s="769" t="s">
        <v>1892</v>
      </c>
      <c r="BH13" s="769" t="s">
        <v>1892</v>
      </c>
      <c r="BI13" s="769" t="s">
        <v>1892</v>
      </c>
      <c r="BJ13" s="769" t="s">
        <v>1892</v>
      </c>
      <c r="BK13" s="769" t="s">
        <v>1892</v>
      </c>
      <c r="BL13" s="769" t="s">
        <v>80</v>
      </c>
      <c r="BM13" s="769" t="s">
        <v>81</v>
      </c>
      <c r="BN13" s="769" t="s">
        <v>82</v>
      </c>
      <c r="BO13" s="769" t="s">
        <v>1912</v>
      </c>
      <c r="BP13" s="769" t="s">
        <v>150</v>
      </c>
      <c r="BQ13" s="769" t="s">
        <v>150</v>
      </c>
      <c r="BR13" s="769" t="s">
        <v>150</v>
      </c>
      <c r="BS13" s="770" t="s">
        <v>150</v>
      </c>
      <c r="BT13" s="769" t="s">
        <v>3083</v>
      </c>
      <c r="BU13" s="769" t="s">
        <v>3083</v>
      </c>
      <c r="BV13" s="769" t="s">
        <v>3084</v>
      </c>
      <c r="BW13" s="769" t="s">
        <v>3084</v>
      </c>
      <c r="BX13" s="769" t="s">
        <v>3084</v>
      </c>
      <c r="BY13" s="769" t="s">
        <v>3084</v>
      </c>
    </row>
    <row r="14" spans="1:77" s="482" customFormat="1" ht="12.75">
      <c r="B14" s="828"/>
      <c r="C14" s="822"/>
      <c r="D14" s="822"/>
      <c r="E14" s="822"/>
      <c r="F14" s="822"/>
      <c r="G14" s="829"/>
      <c r="H14" s="829"/>
      <c r="I14" s="822"/>
      <c r="J14" s="822"/>
      <c r="K14" s="822"/>
      <c r="L14" s="822"/>
      <c r="M14" s="822"/>
      <c r="N14" s="822"/>
      <c r="O14" s="822"/>
      <c r="P14" s="822"/>
      <c r="Q14" s="822"/>
      <c r="R14" s="822"/>
      <c r="S14" s="822"/>
      <c r="T14" s="822"/>
      <c r="U14" s="822"/>
      <c r="V14" s="822"/>
      <c r="W14" s="822"/>
      <c r="X14" s="822"/>
      <c r="Y14" s="822"/>
      <c r="Z14" s="822"/>
      <c r="AA14" s="822"/>
      <c r="AB14" s="822"/>
      <c r="AC14" s="822"/>
      <c r="AD14" s="822"/>
      <c r="AE14" s="822"/>
      <c r="AF14" s="822"/>
      <c r="AG14" s="822"/>
      <c r="AH14" s="822"/>
      <c r="AI14" s="822"/>
      <c r="AJ14" s="822"/>
      <c r="AK14" s="822"/>
      <c r="AL14" s="822"/>
      <c r="AM14" s="822"/>
      <c r="AN14" s="822"/>
      <c r="AO14" s="822"/>
      <c r="AP14" s="822"/>
      <c r="AQ14" s="822"/>
      <c r="AR14" s="822"/>
      <c r="AS14" s="822"/>
      <c r="AT14" s="822"/>
      <c r="AU14" s="822"/>
      <c r="AV14" s="822"/>
      <c r="AW14" s="822"/>
      <c r="AX14" s="822"/>
      <c r="AY14" s="822"/>
      <c r="AZ14" s="822"/>
      <c r="BA14" s="822"/>
      <c r="BB14" s="822"/>
      <c r="BC14" s="822"/>
      <c r="BD14" s="822"/>
      <c r="BE14" s="822"/>
      <c r="BF14" s="822"/>
      <c r="BG14" s="822"/>
      <c r="BH14" s="822"/>
      <c r="BI14" s="822"/>
      <c r="BJ14" s="822"/>
      <c r="BK14" s="822"/>
      <c r="BL14" s="822"/>
      <c r="BM14" s="822"/>
      <c r="BN14" s="822"/>
      <c r="BO14" s="822"/>
      <c r="BP14" s="822"/>
      <c r="BQ14" s="822"/>
      <c r="BR14" s="822"/>
      <c r="BS14" s="823"/>
      <c r="BT14" s="419">
        <v>0</v>
      </c>
      <c r="BU14" s="419">
        <v>0</v>
      </c>
      <c r="BV14" s="419">
        <v>8760</v>
      </c>
      <c r="BW14" s="419">
        <v>0</v>
      </c>
      <c r="BX14" s="826"/>
      <c r="BY14" s="827"/>
    </row>
    <row r="15" spans="1:77" s="482" customFormat="1">
      <c r="B15" s="828"/>
      <c r="C15" s="822"/>
      <c r="D15" s="822"/>
      <c r="E15" s="822"/>
      <c r="F15" s="822"/>
      <c r="G15" s="829"/>
      <c r="H15" s="829"/>
      <c r="I15" s="822"/>
      <c r="J15" s="822"/>
      <c r="K15" s="822"/>
      <c r="L15" s="822"/>
      <c r="M15" s="822"/>
      <c r="N15" s="822"/>
      <c r="O15" s="822"/>
      <c r="P15" s="822"/>
      <c r="Q15" s="822"/>
      <c r="R15" s="822"/>
      <c r="S15" s="822"/>
      <c r="T15" s="822"/>
      <c r="U15" s="822"/>
      <c r="V15" s="822"/>
      <c r="W15" s="822"/>
      <c r="X15" s="822"/>
      <c r="Y15" s="822"/>
      <c r="Z15" s="822"/>
      <c r="AA15" s="822"/>
      <c r="AB15" s="822"/>
      <c r="AC15" s="822"/>
      <c r="AD15" s="822"/>
      <c r="AE15" s="822"/>
      <c r="AF15" s="822"/>
      <c r="AG15" s="822"/>
      <c r="AH15" s="822"/>
      <c r="AI15" s="822"/>
      <c r="AJ15" s="822"/>
      <c r="AK15" s="822"/>
      <c r="AL15" s="822"/>
      <c r="AM15" s="822"/>
      <c r="AN15" s="822"/>
      <c r="AO15" s="822"/>
      <c r="AP15" s="822"/>
      <c r="AQ15" s="822"/>
      <c r="AR15" s="822"/>
      <c r="AS15" s="822"/>
      <c r="AT15" s="822"/>
      <c r="AU15" s="822"/>
      <c r="AV15" s="822"/>
      <c r="AW15" s="822"/>
      <c r="AX15" s="822"/>
      <c r="AY15" s="822"/>
      <c r="AZ15" s="822"/>
      <c r="BA15" s="822"/>
      <c r="BB15" s="822"/>
      <c r="BC15" s="822"/>
      <c r="BD15" s="822"/>
      <c r="BE15" s="822"/>
      <c r="BF15" s="822"/>
      <c r="BG15" s="822"/>
      <c r="BH15" s="822"/>
      <c r="BI15" s="822"/>
      <c r="BJ15" s="822"/>
      <c r="BK15" s="822"/>
      <c r="BL15" s="822"/>
      <c r="BM15" s="822"/>
      <c r="BN15" s="822"/>
      <c r="BO15" s="822"/>
      <c r="BP15" s="822"/>
      <c r="BQ15" s="822"/>
      <c r="BR15" s="822"/>
      <c r="BS15" s="823"/>
      <c r="BT15" s="822"/>
      <c r="BU15" s="822"/>
      <c r="BV15" s="822"/>
      <c r="BW15" s="822"/>
      <c r="BX15" s="822"/>
      <c r="BY15" s="823"/>
    </row>
    <row r="16" spans="1:77" s="482" customFormat="1">
      <c r="B16" s="828"/>
      <c r="C16" s="822"/>
      <c r="D16" s="822"/>
      <c r="E16" s="822"/>
      <c r="F16" s="822"/>
      <c r="G16" s="829"/>
      <c r="H16" s="829"/>
      <c r="I16" s="822"/>
      <c r="J16" s="822"/>
      <c r="K16" s="822"/>
      <c r="L16" s="822"/>
      <c r="M16" s="822"/>
      <c r="N16" s="822"/>
      <c r="O16" s="822"/>
      <c r="P16" s="822"/>
      <c r="Q16" s="822"/>
      <c r="R16" s="822"/>
      <c r="S16" s="822"/>
      <c r="T16" s="822"/>
      <c r="U16" s="822"/>
      <c r="V16" s="822"/>
      <c r="W16" s="822"/>
      <c r="X16" s="822"/>
      <c r="Y16" s="822"/>
      <c r="Z16" s="822"/>
      <c r="AA16" s="822"/>
      <c r="AB16" s="822"/>
      <c r="AC16" s="822"/>
      <c r="AD16" s="822"/>
      <c r="AE16" s="822"/>
      <c r="AF16" s="822"/>
      <c r="AG16" s="822"/>
      <c r="AH16" s="822"/>
      <c r="AI16" s="822"/>
      <c r="AJ16" s="822"/>
      <c r="AK16" s="822"/>
      <c r="AL16" s="822"/>
      <c r="AM16" s="822"/>
      <c r="AN16" s="822"/>
      <c r="AO16" s="822"/>
      <c r="AP16" s="822"/>
      <c r="AQ16" s="822"/>
      <c r="AR16" s="822"/>
      <c r="AS16" s="822"/>
      <c r="AT16" s="822"/>
      <c r="AU16" s="822"/>
      <c r="AV16" s="822"/>
      <c r="AW16" s="822"/>
      <c r="AX16" s="822"/>
      <c r="AY16" s="822"/>
      <c r="AZ16" s="822"/>
      <c r="BA16" s="822"/>
      <c r="BB16" s="822"/>
      <c r="BC16" s="822"/>
      <c r="BD16" s="822"/>
      <c r="BE16" s="822"/>
      <c r="BF16" s="822"/>
      <c r="BG16" s="822"/>
      <c r="BH16" s="822"/>
      <c r="BI16" s="822"/>
      <c r="BJ16" s="822"/>
      <c r="BK16" s="822"/>
      <c r="BL16" s="822"/>
      <c r="BM16" s="822"/>
      <c r="BN16" s="822"/>
      <c r="BO16" s="822"/>
      <c r="BP16" s="822"/>
      <c r="BQ16" s="822"/>
      <c r="BR16" s="822"/>
      <c r="BS16" s="823"/>
      <c r="BT16" s="822"/>
      <c r="BU16" s="822"/>
      <c r="BV16" s="822"/>
      <c r="BW16" s="822"/>
      <c r="BX16" s="822"/>
      <c r="BY16" s="823"/>
    </row>
    <row r="17" spans="1:83" s="482" customFormat="1" ht="12.75" thickBot="1">
      <c r="B17" s="830"/>
      <c r="C17" s="820"/>
      <c r="D17" s="820"/>
      <c r="E17" s="820"/>
      <c r="F17" s="820"/>
      <c r="G17" s="831"/>
      <c r="H17" s="831"/>
      <c r="I17" s="820"/>
      <c r="J17" s="820"/>
      <c r="K17" s="820"/>
      <c r="L17" s="820"/>
      <c r="M17" s="820"/>
      <c r="N17" s="820"/>
      <c r="O17" s="820"/>
      <c r="P17" s="820"/>
      <c r="Q17" s="820"/>
      <c r="R17" s="820"/>
      <c r="S17" s="820"/>
      <c r="T17" s="820"/>
      <c r="U17" s="820"/>
      <c r="V17" s="820"/>
      <c r="W17" s="820"/>
      <c r="X17" s="820"/>
      <c r="Y17" s="820"/>
      <c r="Z17" s="820"/>
      <c r="AA17" s="820"/>
      <c r="AB17" s="820"/>
      <c r="AC17" s="820"/>
      <c r="AD17" s="820"/>
      <c r="AE17" s="820"/>
      <c r="AF17" s="820"/>
      <c r="AG17" s="820"/>
      <c r="AH17" s="820"/>
      <c r="AI17" s="820"/>
      <c r="AJ17" s="820"/>
      <c r="AK17" s="820"/>
      <c r="AL17" s="820"/>
      <c r="AM17" s="820"/>
      <c r="AN17" s="820"/>
      <c r="AO17" s="820"/>
      <c r="AP17" s="820"/>
      <c r="AQ17" s="820"/>
      <c r="AR17" s="820"/>
      <c r="AS17" s="820"/>
      <c r="AT17" s="820"/>
      <c r="AU17" s="820"/>
      <c r="AV17" s="820"/>
      <c r="AW17" s="820"/>
      <c r="AX17" s="820"/>
      <c r="AY17" s="820"/>
      <c r="AZ17" s="820"/>
      <c r="BA17" s="820"/>
      <c r="BB17" s="820"/>
      <c r="BC17" s="820"/>
      <c r="BD17" s="820"/>
      <c r="BE17" s="820"/>
      <c r="BF17" s="820"/>
      <c r="BG17" s="820"/>
      <c r="BH17" s="820"/>
      <c r="BI17" s="820"/>
      <c r="BJ17" s="820"/>
      <c r="BK17" s="820"/>
      <c r="BL17" s="820"/>
      <c r="BM17" s="820"/>
      <c r="BN17" s="820"/>
      <c r="BO17" s="820"/>
      <c r="BP17" s="820"/>
      <c r="BQ17" s="820"/>
      <c r="BR17" s="820"/>
      <c r="BS17" s="821"/>
      <c r="BT17" s="820"/>
      <c r="BU17" s="820"/>
      <c r="BV17" s="820"/>
      <c r="BW17" s="820"/>
      <c r="BX17" s="820"/>
      <c r="BY17" s="821"/>
    </row>
    <row r="18" spans="1:83" s="759" customFormat="1" ht="12.75" thickBot="1">
      <c r="A18" s="759" t="s">
        <v>3065</v>
      </c>
      <c r="B18" s="2276" t="s">
        <v>1064</v>
      </c>
      <c r="C18" s="2277"/>
      <c r="D18" s="2277"/>
      <c r="E18" s="2277"/>
      <c r="F18" s="2277"/>
      <c r="G18" s="2277"/>
      <c r="H18" s="2277"/>
      <c r="I18" s="2277"/>
      <c r="J18" s="2277"/>
      <c r="K18" s="2277"/>
      <c r="L18" s="2277"/>
      <c r="M18" s="856" t="e">
        <f t="shared" ref="M18:BS18" si="1">AVERAGE(M14:M17)</f>
        <v>#DIV/0!</v>
      </c>
      <c r="N18" s="856" t="e">
        <f t="shared" si="1"/>
        <v>#DIV/0!</v>
      </c>
      <c r="O18" s="856" t="e">
        <f t="shared" si="1"/>
        <v>#DIV/0!</v>
      </c>
      <c r="P18" s="856" t="e">
        <f t="shared" si="1"/>
        <v>#DIV/0!</v>
      </c>
      <c r="Q18" s="857" t="e">
        <f t="shared" si="1"/>
        <v>#DIV/0!</v>
      </c>
      <c r="R18" s="856" t="e">
        <f t="shared" si="1"/>
        <v>#DIV/0!</v>
      </c>
      <c r="S18" s="856" t="e">
        <f t="shared" si="1"/>
        <v>#DIV/0!</v>
      </c>
      <c r="T18" s="857" t="e">
        <f t="shared" si="1"/>
        <v>#DIV/0!</v>
      </c>
      <c r="U18" s="856" t="e">
        <f t="shared" si="1"/>
        <v>#DIV/0!</v>
      </c>
      <c r="V18" s="856" t="e">
        <f t="shared" si="1"/>
        <v>#DIV/0!</v>
      </c>
      <c r="W18" s="856" t="e">
        <f t="shared" si="1"/>
        <v>#DIV/0!</v>
      </c>
      <c r="X18" s="856" t="e">
        <f t="shared" si="1"/>
        <v>#DIV/0!</v>
      </c>
      <c r="Y18" s="857" t="e">
        <f t="shared" si="1"/>
        <v>#DIV/0!</v>
      </c>
      <c r="Z18" s="856" t="e">
        <f t="shared" si="1"/>
        <v>#DIV/0!</v>
      </c>
      <c r="AA18" s="856" t="e">
        <f t="shared" si="1"/>
        <v>#DIV/0!</v>
      </c>
      <c r="AB18" s="856" t="e">
        <f t="shared" si="1"/>
        <v>#DIV/0!</v>
      </c>
      <c r="AC18" s="856" t="e">
        <f t="shared" si="1"/>
        <v>#DIV/0!</v>
      </c>
      <c r="AD18" s="856" t="e">
        <f t="shared" si="1"/>
        <v>#DIV/0!</v>
      </c>
      <c r="AE18" s="856" t="e">
        <f t="shared" si="1"/>
        <v>#DIV/0!</v>
      </c>
      <c r="AF18" s="856" t="e">
        <f t="shared" si="1"/>
        <v>#DIV/0!</v>
      </c>
      <c r="AG18" s="856" t="e">
        <f t="shared" si="1"/>
        <v>#DIV/0!</v>
      </c>
      <c r="AH18" s="856" t="e">
        <f t="shared" si="1"/>
        <v>#DIV/0!</v>
      </c>
      <c r="AI18" s="856" t="e">
        <f t="shared" si="1"/>
        <v>#DIV/0!</v>
      </c>
      <c r="AJ18" s="856" t="e">
        <f t="shared" si="1"/>
        <v>#DIV/0!</v>
      </c>
      <c r="AK18" s="856" t="e">
        <f t="shared" si="1"/>
        <v>#DIV/0!</v>
      </c>
      <c r="AL18" s="856" t="e">
        <f t="shared" si="1"/>
        <v>#DIV/0!</v>
      </c>
      <c r="AM18" s="856" t="e">
        <f t="shared" si="1"/>
        <v>#DIV/0!</v>
      </c>
      <c r="AN18" s="856" t="e">
        <f t="shared" si="1"/>
        <v>#DIV/0!</v>
      </c>
      <c r="AO18" s="856" t="e">
        <f t="shared" si="1"/>
        <v>#DIV/0!</v>
      </c>
      <c r="AP18" s="856" t="e">
        <f t="shared" si="1"/>
        <v>#DIV/0!</v>
      </c>
      <c r="AQ18" s="856" t="e">
        <f t="shared" si="1"/>
        <v>#DIV/0!</v>
      </c>
      <c r="AR18" s="856" t="e">
        <f t="shared" si="1"/>
        <v>#DIV/0!</v>
      </c>
      <c r="AS18" s="856" t="e">
        <f t="shared" si="1"/>
        <v>#DIV/0!</v>
      </c>
      <c r="AT18" s="856" t="e">
        <f t="shared" si="1"/>
        <v>#DIV/0!</v>
      </c>
      <c r="AU18" s="856" t="e">
        <f t="shared" si="1"/>
        <v>#DIV/0!</v>
      </c>
      <c r="AV18" s="856" t="e">
        <f t="shared" si="1"/>
        <v>#DIV/0!</v>
      </c>
      <c r="AW18" s="856" t="e">
        <f t="shared" si="1"/>
        <v>#DIV/0!</v>
      </c>
      <c r="AX18" s="856" t="e">
        <f t="shared" si="1"/>
        <v>#DIV/0!</v>
      </c>
      <c r="AY18" s="856" t="e">
        <f t="shared" si="1"/>
        <v>#DIV/0!</v>
      </c>
      <c r="AZ18" s="856" t="e">
        <f t="shared" si="1"/>
        <v>#DIV/0!</v>
      </c>
      <c r="BA18" s="856" t="e">
        <f t="shared" si="1"/>
        <v>#DIV/0!</v>
      </c>
      <c r="BB18" s="857" t="e">
        <f t="shared" si="1"/>
        <v>#DIV/0!</v>
      </c>
      <c r="BC18" s="856" t="e">
        <f t="shared" si="1"/>
        <v>#DIV/0!</v>
      </c>
      <c r="BD18" s="856" t="e">
        <f t="shared" si="1"/>
        <v>#DIV/0!</v>
      </c>
      <c r="BE18" s="856" t="e">
        <f t="shared" si="1"/>
        <v>#DIV/0!</v>
      </c>
      <c r="BF18" s="856" t="e">
        <f t="shared" si="1"/>
        <v>#DIV/0!</v>
      </c>
      <c r="BG18" s="856" t="e">
        <f t="shared" si="1"/>
        <v>#DIV/0!</v>
      </c>
      <c r="BH18" s="856" t="e">
        <f t="shared" si="1"/>
        <v>#DIV/0!</v>
      </c>
      <c r="BI18" s="857" t="e">
        <f t="shared" si="1"/>
        <v>#DIV/0!</v>
      </c>
      <c r="BJ18" s="857" t="e">
        <f t="shared" si="1"/>
        <v>#DIV/0!</v>
      </c>
      <c r="BK18" s="857" t="e">
        <f t="shared" si="1"/>
        <v>#DIV/0!</v>
      </c>
      <c r="BL18" s="858" t="e">
        <f t="shared" si="1"/>
        <v>#DIV/0!</v>
      </c>
      <c r="BM18" s="856" t="e">
        <f t="shared" si="1"/>
        <v>#DIV/0!</v>
      </c>
      <c r="BN18" s="856" t="e">
        <f t="shared" si="1"/>
        <v>#DIV/0!</v>
      </c>
      <c r="BO18" s="856" t="e">
        <f t="shared" si="1"/>
        <v>#DIV/0!</v>
      </c>
      <c r="BP18" s="857" t="e">
        <f t="shared" si="1"/>
        <v>#DIV/0!</v>
      </c>
      <c r="BQ18" s="856" t="e">
        <f t="shared" si="1"/>
        <v>#DIV/0!</v>
      </c>
      <c r="BR18" s="857" t="e">
        <f t="shared" si="1"/>
        <v>#DIV/0!</v>
      </c>
      <c r="BS18" s="859" t="e">
        <f t="shared" si="1"/>
        <v>#DIV/0!</v>
      </c>
      <c r="BT18" s="856">
        <f t="shared" ref="BT18:BY18" si="2">AVERAGE(BT14:BT17)</f>
        <v>0</v>
      </c>
      <c r="BU18" s="856">
        <f t="shared" si="2"/>
        <v>0</v>
      </c>
      <c r="BV18" s="857">
        <f t="shared" si="2"/>
        <v>8760</v>
      </c>
      <c r="BW18" s="856">
        <f t="shared" si="2"/>
        <v>0</v>
      </c>
      <c r="BX18" s="857" t="e">
        <f t="shared" si="2"/>
        <v>#DIV/0!</v>
      </c>
      <c r="BY18" s="859" t="e">
        <f t="shared" si="2"/>
        <v>#DIV/0!</v>
      </c>
      <c r="BZ18" s="860"/>
      <c r="CA18" s="860"/>
      <c r="CB18" s="860"/>
      <c r="CC18" s="860"/>
      <c r="CD18" s="860"/>
      <c r="CE18" s="860"/>
    </row>
    <row r="19" spans="1:83">
      <c r="B19" s="762"/>
      <c r="C19" s="762"/>
      <c r="BU19" s="763"/>
      <c r="BV19" s="759"/>
      <c r="BW19" s="759"/>
    </row>
    <row r="20" spans="1:83" ht="12.75" thickBot="1">
      <c r="A20" s="777" t="s">
        <v>3060</v>
      </c>
      <c r="B20" s="762" t="s">
        <v>3068</v>
      </c>
      <c r="BU20" s="763"/>
      <c r="BV20" s="759"/>
      <c r="BW20" s="759"/>
    </row>
    <row r="21" spans="1:83" s="482" customFormat="1" ht="12.75" thickBot="1">
      <c r="B21" s="852"/>
      <c r="C21" s="853"/>
      <c r="D21" s="853"/>
      <c r="E21" s="853"/>
      <c r="F21" s="853"/>
      <c r="G21" s="854"/>
      <c r="H21" s="854"/>
      <c r="I21" s="853"/>
      <c r="J21" s="853"/>
      <c r="K21" s="853"/>
      <c r="L21" s="853"/>
      <c r="M21" s="853"/>
      <c r="N21" s="853"/>
      <c r="O21" s="853"/>
      <c r="P21" s="853"/>
      <c r="Q21" s="853"/>
      <c r="R21" s="853"/>
      <c r="S21" s="853"/>
      <c r="T21" s="853"/>
      <c r="U21" s="853"/>
      <c r="V21" s="853"/>
      <c r="W21" s="853"/>
      <c r="X21" s="853"/>
      <c r="Y21" s="853"/>
      <c r="Z21" s="853"/>
      <c r="AA21" s="853"/>
      <c r="AB21" s="853"/>
      <c r="AC21" s="853"/>
      <c r="AD21" s="853"/>
      <c r="AE21" s="853"/>
      <c r="AF21" s="853"/>
      <c r="AG21" s="853"/>
      <c r="AH21" s="853"/>
      <c r="AI21" s="853"/>
      <c r="AJ21" s="853"/>
      <c r="AK21" s="853"/>
      <c r="AL21" s="853"/>
      <c r="AM21" s="853"/>
      <c r="AN21" s="853"/>
      <c r="AO21" s="853"/>
      <c r="AP21" s="853"/>
      <c r="AQ21" s="853"/>
      <c r="AR21" s="853"/>
      <c r="AS21" s="853"/>
      <c r="AT21" s="853"/>
      <c r="AU21" s="853"/>
      <c r="AV21" s="853"/>
      <c r="AW21" s="853"/>
      <c r="AX21" s="853"/>
      <c r="AY21" s="853"/>
      <c r="AZ21" s="853"/>
      <c r="BA21" s="853"/>
      <c r="BB21" s="853"/>
      <c r="BC21" s="853"/>
      <c r="BD21" s="853"/>
      <c r="BE21" s="853"/>
      <c r="BF21" s="853"/>
      <c r="BG21" s="853"/>
      <c r="BH21" s="853"/>
      <c r="BI21" s="853"/>
      <c r="BJ21" s="853"/>
      <c r="BK21" s="853"/>
      <c r="BL21" s="853"/>
      <c r="BM21" s="853"/>
      <c r="BN21" s="853"/>
      <c r="BO21" s="853"/>
      <c r="BP21" s="853"/>
      <c r="BQ21" s="853"/>
      <c r="BR21" s="853"/>
      <c r="BS21" s="855"/>
      <c r="BT21" s="832"/>
      <c r="BU21" s="832"/>
      <c r="BV21" s="832"/>
      <c r="BW21" s="832"/>
      <c r="BX21" s="832"/>
      <c r="BY21" s="833"/>
    </row>
    <row r="22" spans="1:83">
      <c r="M22" s="759"/>
      <c r="BU22" s="759"/>
      <c r="BV22" s="759"/>
      <c r="BW22" s="759"/>
    </row>
    <row r="23" spans="1:83">
      <c r="B23" s="758"/>
      <c r="M23" s="759"/>
      <c r="BU23" s="759"/>
      <c r="BV23" s="759"/>
      <c r="BW23" s="759"/>
    </row>
    <row r="24" spans="1:83" ht="12.75" thickBot="1">
      <c r="G24" s="764"/>
      <c r="H24" s="764"/>
      <c r="M24" s="759"/>
      <c r="BU24" s="759"/>
      <c r="BV24" s="759"/>
      <c r="BW24" s="759"/>
    </row>
    <row r="25" spans="1:83" ht="12.75" thickBot="1">
      <c r="A25" s="777" t="s">
        <v>3066</v>
      </c>
      <c r="B25" s="762" t="s">
        <v>3072</v>
      </c>
      <c r="G25" s="764"/>
      <c r="H25" s="764"/>
      <c r="M25" s="759"/>
      <c r="BT25" s="772" t="s">
        <v>562</v>
      </c>
      <c r="BU25" s="765" t="s">
        <v>562</v>
      </c>
      <c r="BV25" s="765" t="s">
        <v>3074</v>
      </c>
      <c r="BW25" s="765"/>
      <c r="BX25" s="765" t="s">
        <v>562</v>
      </c>
      <c r="BY25" s="766" t="s">
        <v>562</v>
      </c>
    </row>
    <row r="26" spans="1:83" s="776" customFormat="1">
      <c r="B26" s="772"/>
      <c r="C26" s="765"/>
      <c r="D26" s="765"/>
      <c r="E26" s="765"/>
      <c r="F26" s="765"/>
      <c r="G26" s="765"/>
      <c r="H26" s="765"/>
      <c r="I26" s="765"/>
      <c r="J26" s="765"/>
      <c r="K26" s="765"/>
      <c r="L26" s="765" t="s">
        <v>565</v>
      </c>
      <c r="M26" s="765" t="s">
        <v>566</v>
      </c>
      <c r="N26" s="765" t="s">
        <v>567</v>
      </c>
      <c r="O26" s="765" t="s">
        <v>568</v>
      </c>
      <c r="P26" s="765" t="s">
        <v>569</v>
      </c>
      <c r="Q26" s="765" t="s">
        <v>569</v>
      </c>
      <c r="R26" s="765" t="s">
        <v>570</v>
      </c>
      <c r="S26" s="765" t="s">
        <v>1265</v>
      </c>
      <c r="T26" s="765" t="s">
        <v>571</v>
      </c>
      <c r="U26" s="765" t="s">
        <v>572</v>
      </c>
      <c r="V26" s="765" t="s">
        <v>573</v>
      </c>
      <c r="W26" s="765" t="s">
        <v>574</v>
      </c>
      <c r="X26" s="765" t="s">
        <v>575</v>
      </c>
      <c r="Y26" s="765"/>
      <c r="Z26" s="765" t="s">
        <v>566</v>
      </c>
      <c r="AA26" s="765" t="s">
        <v>567</v>
      </c>
      <c r="AB26" s="765" t="s">
        <v>568</v>
      </c>
      <c r="AC26" s="765" t="s">
        <v>569</v>
      </c>
      <c r="AD26" s="765" t="s">
        <v>569</v>
      </c>
      <c r="AE26" s="765" t="s">
        <v>570</v>
      </c>
      <c r="AF26" s="765" t="s">
        <v>1265</v>
      </c>
      <c r="AG26" s="765" t="s">
        <v>571</v>
      </c>
      <c r="AH26" s="765" t="s">
        <v>572</v>
      </c>
      <c r="AI26" s="765" t="s">
        <v>573</v>
      </c>
      <c r="AJ26" s="765" t="s">
        <v>574</v>
      </c>
      <c r="AK26" s="765" t="s">
        <v>575</v>
      </c>
      <c r="AL26" s="765" t="s">
        <v>566</v>
      </c>
      <c r="AM26" s="765" t="s">
        <v>567</v>
      </c>
      <c r="AN26" s="765" t="s">
        <v>568</v>
      </c>
      <c r="AO26" s="765" t="s">
        <v>569</v>
      </c>
      <c r="AP26" s="765" t="s">
        <v>569</v>
      </c>
      <c r="AQ26" s="765" t="s">
        <v>570</v>
      </c>
      <c r="AR26" s="765" t="s">
        <v>1265</v>
      </c>
      <c r="AS26" s="765" t="s">
        <v>571</v>
      </c>
      <c r="AT26" s="765" t="s">
        <v>572</v>
      </c>
      <c r="AU26" s="765" t="s">
        <v>573</v>
      </c>
      <c r="AV26" s="765" t="s">
        <v>574</v>
      </c>
      <c r="AW26" s="765" t="s">
        <v>575</v>
      </c>
      <c r="AX26" s="765" t="s">
        <v>576</v>
      </c>
      <c r="AY26" s="765" t="s">
        <v>566</v>
      </c>
      <c r="AZ26" s="765" t="s">
        <v>567</v>
      </c>
      <c r="BA26" s="765" t="s">
        <v>568</v>
      </c>
      <c r="BB26" s="765" t="s">
        <v>569</v>
      </c>
      <c r="BC26" s="765" t="s">
        <v>569</v>
      </c>
      <c r="BD26" s="765" t="s">
        <v>570</v>
      </c>
      <c r="BE26" s="765" t="s">
        <v>1265</v>
      </c>
      <c r="BF26" s="765" t="s">
        <v>571</v>
      </c>
      <c r="BG26" s="765" t="s">
        <v>572</v>
      </c>
      <c r="BH26" s="765" t="s">
        <v>573</v>
      </c>
      <c r="BI26" s="765" t="s">
        <v>574</v>
      </c>
      <c r="BJ26" s="765" t="s">
        <v>575</v>
      </c>
      <c r="BK26" s="765"/>
      <c r="BL26" s="765" t="s">
        <v>576</v>
      </c>
      <c r="BM26" s="765" t="s">
        <v>576</v>
      </c>
      <c r="BN26" s="765" t="s">
        <v>576</v>
      </c>
      <c r="BO26" s="765" t="s">
        <v>576</v>
      </c>
      <c r="BP26" s="765" t="s">
        <v>1266</v>
      </c>
      <c r="BQ26" s="765" t="s">
        <v>1266</v>
      </c>
      <c r="BR26" s="765" t="s">
        <v>1903</v>
      </c>
      <c r="BS26" s="766" t="s">
        <v>1903</v>
      </c>
      <c r="BT26" s="773" t="s">
        <v>3075</v>
      </c>
      <c r="BU26" s="767" t="s">
        <v>3076</v>
      </c>
      <c r="BV26" s="767" t="s">
        <v>3077</v>
      </c>
      <c r="BW26" s="767" t="s">
        <v>3075</v>
      </c>
      <c r="BX26" s="767" t="s">
        <v>3078</v>
      </c>
      <c r="BY26" s="768" t="s">
        <v>3079</v>
      </c>
    </row>
    <row r="27" spans="1:83" s="776" customFormat="1">
      <c r="B27" s="773" t="s">
        <v>577</v>
      </c>
      <c r="C27" s="767" t="s">
        <v>578</v>
      </c>
      <c r="D27" s="767" t="s">
        <v>579</v>
      </c>
      <c r="E27" s="767" t="s">
        <v>580</v>
      </c>
      <c r="F27" s="767" t="s">
        <v>581</v>
      </c>
      <c r="G27" s="767" t="s">
        <v>582</v>
      </c>
      <c r="H27" s="767" t="s">
        <v>582</v>
      </c>
      <c r="I27" s="767" t="s">
        <v>3056</v>
      </c>
      <c r="J27" s="767"/>
      <c r="K27" s="767"/>
      <c r="L27" s="767" t="s">
        <v>583</v>
      </c>
      <c r="M27" s="767" t="s">
        <v>584</v>
      </c>
      <c r="N27" s="767" t="s">
        <v>584</v>
      </c>
      <c r="O27" s="767" t="s">
        <v>585</v>
      </c>
      <c r="P27" s="767" t="s">
        <v>586</v>
      </c>
      <c r="Q27" s="767" t="s">
        <v>1887</v>
      </c>
      <c r="R27" s="767" t="s">
        <v>587</v>
      </c>
      <c r="S27" s="767" t="s">
        <v>588</v>
      </c>
      <c r="T27" s="767" t="s">
        <v>589</v>
      </c>
      <c r="U27" s="767" t="s">
        <v>705</v>
      </c>
      <c r="V27" s="767" t="s">
        <v>706</v>
      </c>
      <c r="W27" s="767" t="s">
        <v>707</v>
      </c>
      <c r="X27" s="767" t="s">
        <v>708</v>
      </c>
      <c r="Y27" s="767" t="s">
        <v>1266</v>
      </c>
      <c r="Z27" s="767" t="s">
        <v>584</v>
      </c>
      <c r="AA27" s="767" t="s">
        <v>584</v>
      </c>
      <c r="AB27" s="767" t="s">
        <v>585</v>
      </c>
      <c r="AC27" s="767" t="s">
        <v>586</v>
      </c>
      <c r="AD27" s="767" t="s">
        <v>1887</v>
      </c>
      <c r="AE27" s="767" t="s">
        <v>587</v>
      </c>
      <c r="AF27" s="767" t="s">
        <v>588</v>
      </c>
      <c r="AG27" s="767" t="s">
        <v>589</v>
      </c>
      <c r="AH27" s="767" t="s">
        <v>705</v>
      </c>
      <c r="AI27" s="767" t="s">
        <v>706</v>
      </c>
      <c r="AJ27" s="767" t="s">
        <v>707</v>
      </c>
      <c r="AK27" s="767" t="s">
        <v>708</v>
      </c>
      <c r="AL27" s="767" t="s">
        <v>584</v>
      </c>
      <c r="AM27" s="767" t="s">
        <v>584</v>
      </c>
      <c r="AN27" s="767" t="s">
        <v>585</v>
      </c>
      <c r="AO27" s="767" t="s">
        <v>586</v>
      </c>
      <c r="AP27" s="767" t="s">
        <v>1887</v>
      </c>
      <c r="AQ27" s="767" t="s">
        <v>587</v>
      </c>
      <c r="AR27" s="767" t="s">
        <v>588</v>
      </c>
      <c r="AS27" s="767" t="s">
        <v>589</v>
      </c>
      <c r="AT27" s="767" t="s">
        <v>705</v>
      </c>
      <c r="AU27" s="767" t="s">
        <v>706</v>
      </c>
      <c r="AV27" s="767" t="s">
        <v>707</v>
      </c>
      <c r="AW27" s="767" t="s">
        <v>708</v>
      </c>
      <c r="AX27" s="767" t="s">
        <v>1266</v>
      </c>
      <c r="AY27" s="767" t="s">
        <v>584</v>
      </c>
      <c r="AZ27" s="767" t="s">
        <v>584</v>
      </c>
      <c r="BA27" s="767" t="s">
        <v>585</v>
      </c>
      <c r="BB27" s="767" t="s">
        <v>586</v>
      </c>
      <c r="BC27" s="767" t="s">
        <v>1887</v>
      </c>
      <c r="BD27" s="767" t="s">
        <v>587</v>
      </c>
      <c r="BE27" s="767" t="s">
        <v>588</v>
      </c>
      <c r="BF27" s="767" t="s">
        <v>589</v>
      </c>
      <c r="BG27" s="767" t="s">
        <v>705</v>
      </c>
      <c r="BH27" s="767" t="s">
        <v>706</v>
      </c>
      <c r="BI27" s="767" t="s">
        <v>707</v>
      </c>
      <c r="BJ27" s="767" t="s">
        <v>708</v>
      </c>
      <c r="BK27" s="767" t="s">
        <v>1266</v>
      </c>
      <c r="BL27" s="767" t="s">
        <v>2200</v>
      </c>
      <c r="BM27" s="767" t="s">
        <v>709</v>
      </c>
      <c r="BN27" s="767" t="s">
        <v>2200</v>
      </c>
      <c r="BO27" s="767" t="s">
        <v>709</v>
      </c>
      <c r="BP27" s="767" t="s">
        <v>1903</v>
      </c>
      <c r="BQ27" s="767" t="s">
        <v>1057</v>
      </c>
      <c r="BR27" s="767" t="s">
        <v>148</v>
      </c>
      <c r="BS27" s="768" t="s">
        <v>149</v>
      </c>
      <c r="BT27" s="773" t="s">
        <v>3080</v>
      </c>
      <c r="BU27" s="767" t="s">
        <v>3081</v>
      </c>
      <c r="BV27" s="767" t="s">
        <v>3082</v>
      </c>
      <c r="BW27" s="767" t="s">
        <v>3080</v>
      </c>
      <c r="BX27" s="767" t="s">
        <v>3081</v>
      </c>
      <c r="BY27" s="768" t="s">
        <v>3081</v>
      </c>
    </row>
    <row r="28" spans="1:83" s="776" customFormat="1" ht="12.75" thickBot="1">
      <c r="B28" s="774" t="s">
        <v>1058</v>
      </c>
      <c r="C28" s="769" t="s">
        <v>1059</v>
      </c>
      <c r="D28" s="769" t="s">
        <v>1060</v>
      </c>
      <c r="E28" s="769" t="s">
        <v>1061</v>
      </c>
      <c r="F28" s="769" t="s">
        <v>1062</v>
      </c>
      <c r="G28" s="769" t="s">
        <v>1063</v>
      </c>
      <c r="H28" s="769" t="s">
        <v>3054</v>
      </c>
      <c r="I28" s="769" t="s">
        <v>3055</v>
      </c>
      <c r="J28" s="769" t="s">
        <v>78</v>
      </c>
      <c r="K28" s="769" t="s">
        <v>79</v>
      </c>
      <c r="L28" s="769" t="s">
        <v>2202</v>
      </c>
      <c r="M28" s="769" t="s">
        <v>148</v>
      </c>
      <c r="N28" s="769" t="s">
        <v>148</v>
      </c>
      <c r="O28" s="769" t="s">
        <v>148</v>
      </c>
      <c r="P28" s="769" t="s">
        <v>148</v>
      </c>
      <c r="Q28" s="769" t="s">
        <v>148</v>
      </c>
      <c r="R28" s="769" t="s">
        <v>148</v>
      </c>
      <c r="S28" s="769" t="s">
        <v>148</v>
      </c>
      <c r="T28" s="769" t="s">
        <v>148</v>
      </c>
      <c r="U28" s="769" t="s">
        <v>148</v>
      </c>
      <c r="V28" s="769" t="s">
        <v>148</v>
      </c>
      <c r="W28" s="769" t="s">
        <v>148</v>
      </c>
      <c r="X28" s="769" t="s">
        <v>148</v>
      </c>
      <c r="Y28" s="769" t="s">
        <v>148</v>
      </c>
      <c r="Z28" s="769" t="s">
        <v>149</v>
      </c>
      <c r="AA28" s="769" t="s">
        <v>149</v>
      </c>
      <c r="AB28" s="769" t="s">
        <v>149</v>
      </c>
      <c r="AC28" s="769" t="s">
        <v>149</v>
      </c>
      <c r="AD28" s="769" t="s">
        <v>149</v>
      </c>
      <c r="AE28" s="769" t="s">
        <v>149</v>
      </c>
      <c r="AF28" s="769" t="s">
        <v>149</v>
      </c>
      <c r="AG28" s="769" t="s">
        <v>149</v>
      </c>
      <c r="AH28" s="769" t="s">
        <v>149</v>
      </c>
      <c r="AI28" s="769" t="s">
        <v>149</v>
      </c>
      <c r="AJ28" s="769" t="s">
        <v>149</v>
      </c>
      <c r="AK28" s="769" t="s">
        <v>149</v>
      </c>
      <c r="AL28" s="769" t="s">
        <v>149</v>
      </c>
      <c r="AM28" s="769" t="s">
        <v>149</v>
      </c>
      <c r="AN28" s="769" t="s">
        <v>149</v>
      </c>
      <c r="AO28" s="769" t="s">
        <v>149</v>
      </c>
      <c r="AP28" s="769" t="s">
        <v>149</v>
      </c>
      <c r="AQ28" s="769" t="s">
        <v>149</v>
      </c>
      <c r="AR28" s="769" t="s">
        <v>149</v>
      </c>
      <c r="AS28" s="769" t="s">
        <v>149</v>
      </c>
      <c r="AT28" s="769" t="s">
        <v>149</v>
      </c>
      <c r="AU28" s="769" t="s">
        <v>149</v>
      </c>
      <c r="AV28" s="769" t="s">
        <v>149</v>
      </c>
      <c r="AW28" s="769" t="s">
        <v>149</v>
      </c>
      <c r="AX28" s="769" t="s">
        <v>149</v>
      </c>
      <c r="AY28" s="769" t="s">
        <v>1892</v>
      </c>
      <c r="AZ28" s="769" t="s">
        <v>1892</v>
      </c>
      <c r="BA28" s="769" t="s">
        <v>1892</v>
      </c>
      <c r="BB28" s="769" t="s">
        <v>1892</v>
      </c>
      <c r="BC28" s="769" t="s">
        <v>1892</v>
      </c>
      <c r="BD28" s="769" t="s">
        <v>1892</v>
      </c>
      <c r="BE28" s="769" t="s">
        <v>1892</v>
      </c>
      <c r="BF28" s="769" t="s">
        <v>1892</v>
      </c>
      <c r="BG28" s="769" t="s">
        <v>1892</v>
      </c>
      <c r="BH28" s="769" t="s">
        <v>1892</v>
      </c>
      <c r="BI28" s="769" t="s">
        <v>1892</v>
      </c>
      <c r="BJ28" s="769" t="s">
        <v>1892</v>
      </c>
      <c r="BK28" s="769" t="s">
        <v>1892</v>
      </c>
      <c r="BL28" s="769" t="s">
        <v>80</v>
      </c>
      <c r="BM28" s="769" t="s">
        <v>81</v>
      </c>
      <c r="BN28" s="769" t="s">
        <v>82</v>
      </c>
      <c r="BO28" s="769" t="s">
        <v>1912</v>
      </c>
      <c r="BP28" s="769" t="s">
        <v>150</v>
      </c>
      <c r="BQ28" s="769" t="s">
        <v>150</v>
      </c>
      <c r="BR28" s="769" t="s">
        <v>150</v>
      </c>
      <c r="BS28" s="770" t="s">
        <v>150</v>
      </c>
      <c r="BT28" s="774" t="s">
        <v>3083</v>
      </c>
      <c r="BU28" s="769" t="s">
        <v>3083</v>
      </c>
      <c r="BV28" s="769" t="s">
        <v>3084</v>
      </c>
      <c r="BW28" s="769" t="s">
        <v>3084</v>
      </c>
      <c r="BX28" s="769" t="s">
        <v>3084</v>
      </c>
      <c r="BY28" s="770" t="s">
        <v>3084</v>
      </c>
    </row>
    <row r="29" spans="1:83" s="482" customFormat="1">
      <c r="B29" s="841"/>
      <c r="C29" s="842"/>
      <c r="D29" s="842"/>
      <c r="E29" s="842"/>
      <c r="F29" s="842"/>
      <c r="G29" s="843"/>
      <c r="H29" s="843"/>
      <c r="I29" s="842"/>
      <c r="J29" s="842"/>
      <c r="K29" s="842"/>
      <c r="L29" s="842"/>
      <c r="M29" s="842"/>
      <c r="N29" s="842"/>
      <c r="O29" s="842"/>
      <c r="P29" s="842"/>
      <c r="Q29" s="842"/>
      <c r="R29" s="842"/>
      <c r="S29" s="842"/>
      <c r="T29" s="842"/>
      <c r="U29" s="842"/>
      <c r="V29" s="842"/>
      <c r="W29" s="842"/>
      <c r="X29" s="842"/>
      <c r="Y29" s="842"/>
      <c r="Z29" s="842"/>
      <c r="AA29" s="842"/>
      <c r="AB29" s="842"/>
      <c r="AC29" s="842"/>
      <c r="AD29" s="842"/>
      <c r="AE29" s="842"/>
      <c r="AF29" s="842"/>
      <c r="AG29" s="842"/>
      <c r="AH29" s="842"/>
      <c r="AI29" s="842"/>
      <c r="AJ29" s="842"/>
      <c r="AK29" s="842"/>
      <c r="AL29" s="842"/>
      <c r="AM29" s="842"/>
      <c r="AN29" s="842"/>
      <c r="AO29" s="842"/>
      <c r="AP29" s="842"/>
      <c r="AQ29" s="842"/>
      <c r="AR29" s="842"/>
      <c r="AS29" s="842"/>
      <c r="AT29" s="842"/>
      <c r="AU29" s="842"/>
      <c r="AV29" s="842"/>
      <c r="AW29" s="842"/>
      <c r="AX29" s="842"/>
      <c r="AY29" s="842"/>
      <c r="AZ29" s="842"/>
      <c r="BA29" s="842"/>
      <c r="BB29" s="842"/>
      <c r="BC29" s="842"/>
      <c r="BD29" s="842"/>
      <c r="BE29" s="842"/>
      <c r="BF29" s="842"/>
      <c r="BG29" s="842"/>
      <c r="BH29" s="842"/>
      <c r="BI29" s="842"/>
      <c r="BJ29" s="842"/>
      <c r="BK29" s="842"/>
      <c r="BL29" s="842"/>
      <c r="BM29" s="842"/>
      <c r="BN29" s="842"/>
      <c r="BO29" s="842"/>
      <c r="BP29" s="842"/>
      <c r="BQ29" s="842"/>
      <c r="BR29" s="842"/>
      <c r="BS29" s="844"/>
      <c r="BT29" s="822">
        <v>0.71</v>
      </c>
      <c r="BU29" s="822">
        <v>0</v>
      </c>
      <c r="BV29" s="822">
        <v>8760</v>
      </c>
      <c r="BW29" s="822">
        <v>62</v>
      </c>
      <c r="BX29" s="822"/>
      <c r="BY29" s="823"/>
    </row>
    <row r="30" spans="1:83" s="482" customFormat="1">
      <c r="B30" s="845"/>
      <c r="C30" s="846"/>
      <c r="D30" s="846"/>
      <c r="E30" s="846"/>
      <c r="F30" s="846"/>
      <c r="G30" s="847"/>
      <c r="H30" s="847"/>
      <c r="I30" s="846"/>
      <c r="J30" s="846"/>
      <c r="K30" s="846"/>
      <c r="L30" s="846"/>
      <c r="M30" s="846"/>
      <c r="N30" s="846"/>
      <c r="O30" s="846"/>
      <c r="P30" s="846"/>
      <c r="Q30" s="846"/>
      <c r="R30" s="846"/>
      <c r="S30" s="846"/>
      <c r="T30" s="846"/>
      <c r="U30" s="846"/>
      <c r="V30" s="846"/>
      <c r="W30" s="846"/>
      <c r="X30" s="846"/>
      <c r="Y30" s="846"/>
      <c r="Z30" s="846"/>
      <c r="AA30" s="846"/>
      <c r="AB30" s="846"/>
      <c r="AC30" s="846"/>
      <c r="AD30" s="846"/>
      <c r="AE30" s="846"/>
      <c r="AF30" s="846"/>
      <c r="AG30" s="846"/>
      <c r="AH30" s="846"/>
      <c r="AI30" s="846"/>
      <c r="AJ30" s="846"/>
      <c r="AK30" s="846"/>
      <c r="AL30" s="846"/>
      <c r="AM30" s="846"/>
      <c r="AN30" s="846"/>
      <c r="AO30" s="846"/>
      <c r="AP30" s="846"/>
      <c r="AQ30" s="846"/>
      <c r="AR30" s="846"/>
      <c r="AS30" s="846"/>
      <c r="AT30" s="846"/>
      <c r="AU30" s="846"/>
      <c r="AV30" s="846"/>
      <c r="AW30" s="846"/>
      <c r="AX30" s="846"/>
      <c r="AY30" s="846"/>
      <c r="AZ30" s="846"/>
      <c r="BA30" s="846"/>
      <c r="BB30" s="846"/>
      <c r="BC30" s="846"/>
      <c r="BD30" s="846"/>
      <c r="BE30" s="846"/>
      <c r="BF30" s="846"/>
      <c r="BG30" s="846"/>
      <c r="BH30" s="846"/>
      <c r="BI30" s="846"/>
      <c r="BJ30" s="846"/>
      <c r="BK30" s="846"/>
      <c r="BL30" s="846"/>
      <c r="BM30" s="846"/>
      <c r="BN30" s="846"/>
      <c r="BO30" s="846"/>
      <c r="BP30" s="846"/>
      <c r="BQ30" s="846"/>
      <c r="BR30" s="846"/>
      <c r="BS30" s="848"/>
      <c r="BT30" s="822">
        <v>0.01</v>
      </c>
      <c r="BU30" s="822">
        <v>0</v>
      </c>
      <c r="BV30" s="822">
        <v>8760</v>
      </c>
      <c r="BW30" s="822">
        <v>1</v>
      </c>
      <c r="BX30" s="822"/>
      <c r="BY30" s="823"/>
    </row>
    <row r="31" spans="1:83" s="482" customFormat="1">
      <c r="B31" s="845"/>
      <c r="C31" s="846"/>
      <c r="D31" s="846"/>
      <c r="E31" s="846"/>
      <c r="F31" s="846"/>
      <c r="G31" s="847"/>
      <c r="H31" s="847"/>
      <c r="I31" s="846"/>
      <c r="J31" s="846"/>
      <c r="K31" s="846"/>
      <c r="L31" s="846"/>
      <c r="M31" s="846"/>
      <c r="N31" s="846"/>
      <c r="O31" s="846"/>
      <c r="P31" s="846"/>
      <c r="Q31" s="846"/>
      <c r="R31" s="846"/>
      <c r="S31" s="846"/>
      <c r="T31" s="846"/>
      <c r="U31" s="846"/>
      <c r="V31" s="846"/>
      <c r="W31" s="846"/>
      <c r="X31" s="846"/>
      <c r="Y31" s="846"/>
      <c r="Z31" s="846"/>
      <c r="AA31" s="846"/>
      <c r="AB31" s="846"/>
      <c r="AC31" s="846"/>
      <c r="AD31" s="846"/>
      <c r="AE31" s="846"/>
      <c r="AF31" s="846"/>
      <c r="AG31" s="846"/>
      <c r="AH31" s="846"/>
      <c r="AI31" s="846"/>
      <c r="AJ31" s="846"/>
      <c r="AK31" s="846"/>
      <c r="AL31" s="846"/>
      <c r="AM31" s="846"/>
      <c r="AN31" s="846"/>
      <c r="AO31" s="846"/>
      <c r="AP31" s="846"/>
      <c r="AQ31" s="846"/>
      <c r="AR31" s="846"/>
      <c r="AS31" s="846"/>
      <c r="AT31" s="846"/>
      <c r="AU31" s="846"/>
      <c r="AV31" s="846"/>
      <c r="AW31" s="846"/>
      <c r="AX31" s="846"/>
      <c r="AY31" s="846"/>
      <c r="AZ31" s="846"/>
      <c r="BA31" s="846"/>
      <c r="BB31" s="846"/>
      <c r="BC31" s="846"/>
      <c r="BD31" s="846"/>
      <c r="BE31" s="846"/>
      <c r="BF31" s="846"/>
      <c r="BG31" s="846"/>
      <c r="BH31" s="846"/>
      <c r="BI31" s="846"/>
      <c r="BJ31" s="846"/>
      <c r="BK31" s="846"/>
      <c r="BL31" s="846"/>
      <c r="BM31" s="846"/>
      <c r="BN31" s="846"/>
      <c r="BO31" s="846"/>
      <c r="BP31" s="846"/>
      <c r="BQ31" s="846"/>
      <c r="BR31" s="846"/>
      <c r="BS31" s="848"/>
      <c r="BT31" s="822">
        <v>0.01</v>
      </c>
      <c r="BU31" s="822">
        <v>0</v>
      </c>
      <c r="BV31" s="822">
        <v>8760</v>
      </c>
      <c r="BW31" s="822">
        <v>1</v>
      </c>
      <c r="BX31" s="822"/>
      <c r="BY31" s="823"/>
    </row>
    <row r="32" spans="1:83" s="482" customFormat="1">
      <c r="B32" s="845"/>
      <c r="C32" s="846"/>
      <c r="D32" s="846"/>
      <c r="E32" s="846"/>
      <c r="F32" s="846"/>
      <c r="G32" s="847"/>
      <c r="H32" s="847"/>
      <c r="I32" s="846"/>
      <c r="J32" s="846"/>
      <c r="K32" s="846"/>
      <c r="L32" s="846"/>
      <c r="M32" s="846"/>
      <c r="N32" s="846"/>
      <c r="O32" s="846"/>
      <c r="P32" s="846"/>
      <c r="Q32" s="846"/>
      <c r="R32" s="846"/>
      <c r="S32" s="846"/>
      <c r="T32" s="846"/>
      <c r="U32" s="846"/>
      <c r="V32" s="846"/>
      <c r="W32" s="846"/>
      <c r="X32" s="846"/>
      <c r="Y32" s="846"/>
      <c r="Z32" s="846"/>
      <c r="AA32" s="846"/>
      <c r="AB32" s="846"/>
      <c r="AC32" s="846"/>
      <c r="AD32" s="846"/>
      <c r="AE32" s="846"/>
      <c r="AF32" s="846"/>
      <c r="AG32" s="846"/>
      <c r="AH32" s="846"/>
      <c r="AI32" s="846"/>
      <c r="AJ32" s="846"/>
      <c r="AK32" s="846"/>
      <c r="AL32" s="846"/>
      <c r="AM32" s="846"/>
      <c r="AN32" s="846"/>
      <c r="AO32" s="846"/>
      <c r="AP32" s="846"/>
      <c r="AQ32" s="846"/>
      <c r="AR32" s="846"/>
      <c r="AS32" s="846"/>
      <c r="AT32" s="846"/>
      <c r="AU32" s="846"/>
      <c r="AV32" s="846"/>
      <c r="AW32" s="846"/>
      <c r="AX32" s="846"/>
      <c r="AY32" s="846"/>
      <c r="AZ32" s="846"/>
      <c r="BA32" s="846"/>
      <c r="BB32" s="846"/>
      <c r="BC32" s="846"/>
      <c r="BD32" s="846"/>
      <c r="BE32" s="846"/>
      <c r="BF32" s="846"/>
      <c r="BG32" s="846"/>
      <c r="BH32" s="846"/>
      <c r="BI32" s="846"/>
      <c r="BJ32" s="846"/>
      <c r="BK32" s="846"/>
      <c r="BL32" s="846"/>
      <c r="BM32" s="846"/>
      <c r="BN32" s="846"/>
      <c r="BO32" s="846"/>
      <c r="BP32" s="846"/>
      <c r="BQ32" s="846"/>
      <c r="BR32" s="846"/>
      <c r="BS32" s="848"/>
      <c r="BT32" s="822">
        <v>0.02</v>
      </c>
      <c r="BU32" s="822">
        <v>0</v>
      </c>
      <c r="BV32" s="822">
        <v>8760</v>
      </c>
      <c r="BW32" s="822">
        <v>2</v>
      </c>
      <c r="BX32" s="822"/>
      <c r="BY32" s="823"/>
    </row>
    <row r="33" spans="2:77" s="482" customFormat="1">
      <c r="B33" s="845"/>
      <c r="C33" s="846"/>
      <c r="D33" s="846"/>
      <c r="E33" s="846"/>
      <c r="F33" s="846"/>
      <c r="G33" s="847"/>
      <c r="H33" s="847"/>
      <c r="I33" s="846"/>
      <c r="J33" s="846"/>
      <c r="K33" s="846"/>
      <c r="L33" s="846"/>
      <c r="M33" s="846"/>
      <c r="N33" s="846"/>
      <c r="O33" s="846"/>
      <c r="P33" s="846"/>
      <c r="Q33" s="846"/>
      <c r="R33" s="846"/>
      <c r="S33" s="846"/>
      <c r="T33" s="846"/>
      <c r="U33" s="846"/>
      <c r="V33" s="846"/>
      <c r="W33" s="846"/>
      <c r="X33" s="846"/>
      <c r="Y33" s="846"/>
      <c r="Z33" s="846"/>
      <c r="AA33" s="846"/>
      <c r="AB33" s="846"/>
      <c r="AC33" s="846"/>
      <c r="AD33" s="846"/>
      <c r="AE33" s="846"/>
      <c r="AF33" s="846"/>
      <c r="AG33" s="846"/>
      <c r="AH33" s="846"/>
      <c r="AI33" s="846"/>
      <c r="AJ33" s="846"/>
      <c r="AK33" s="846"/>
      <c r="AL33" s="846"/>
      <c r="AM33" s="846"/>
      <c r="AN33" s="846"/>
      <c r="AO33" s="846"/>
      <c r="AP33" s="846"/>
      <c r="AQ33" s="846"/>
      <c r="AR33" s="846"/>
      <c r="AS33" s="846"/>
      <c r="AT33" s="846"/>
      <c r="AU33" s="846"/>
      <c r="AV33" s="846"/>
      <c r="AW33" s="846"/>
      <c r="AX33" s="846"/>
      <c r="AY33" s="846"/>
      <c r="AZ33" s="846"/>
      <c r="BA33" s="846"/>
      <c r="BB33" s="846"/>
      <c r="BC33" s="846"/>
      <c r="BD33" s="846"/>
      <c r="BE33" s="846"/>
      <c r="BF33" s="846"/>
      <c r="BG33" s="846"/>
      <c r="BH33" s="846"/>
      <c r="BI33" s="846"/>
      <c r="BJ33" s="846"/>
      <c r="BK33" s="846"/>
      <c r="BL33" s="846"/>
      <c r="BM33" s="846"/>
      <c r="BN33" s="846"/>
      <c r="BO33" s="846"/>
      <c r="BP33" s="846"/>
      <c r="BQ33" s="846"/>
      <c r="BR33" s="846"/>
      <c r="BS33" s="848"/>
      <c r="BT33" s="822">
        <v>0.02</v>
      </c>
      <c r="BU33" s="822">
        <v>0</v>
      </c>
      <c r="BV33" s="822">
        <v>8760</v>
      </c>
      <c r="BW33" s="822">
        <v>2</v>
      </c>
      <c r="BX33" s="822"/>
      <c r="BY33" s="823"/>
    </row>
    <row r="34" spans="2:77" s="482" customFormat="1">
      <c r="B34" s="845"/>
      <c r="C34" s="846"/>
      <c r="D34" s="846"/>
      <c r="E34" s="846"/>
      <c r="F34" s="846"/>
      <c r="G34" s="847"/>
      <c r="H34" s="847"/>
      <c r="I34" s="846"/>
      <c r="J34" s="846"/>
      <c r="K34" s="846"/>
      <c r="L34" s="846"/>
      <c r="M34" s="846"/>
      <c r="N34" s="846"/>
      <c r="O34" s="846"/>
      <c r="P34" s="846"/>
      <c r="Q34" s="846"/>
      <c r="R34" s="846"/>
      <c r="S34" s="846"/>
      <c r="T34" s="846"/>
      <c r="U34" s="846"/>
      <c r="V34" s="846"/>
      <c r="W34" s="846"/>
      <c r="X34" s="846"/>
      <c r="Y34" s="846"/>
      <c r="Z34" s="846"/>
      <c r="AA34" s="846"/>
      <c r="AB34" s="846"/>
      <c r="AC34" s="846"/>
      <c r="AD34" s="846"/>
      <c r="AE34" s="846"/>
      <c r="AF34" s="846"/>
      <c r="AG34" s="846"/>
      <c r="AH34" s="846"/>
      <c r="AI34" s="846"/>
      <c r="AJ34" s="846"/>
      <c r="AK34" s="846"/>
      <c r="AL34" s="846"/>
      <c r="AM34" s="846"/>
      <c r="AN34" s="846"/>
      <c r="AO34" s="846"/>
      <c r="AP34" s="846"/>
      <c r="AQ34" s="846"/>
      <c r="AR34" s="846"/>
      <c r="AS34" s="846"/>
      <c r="AT34" s="846"/>
      <c r="AU34" s="846"/>
      <c r="AV34" s="846"/>
      <c r="AW34" s="846"/>
      <c r="AX34" s="846"/>
      <c r="AY34" s="846"/>
      <c r="AZ34" s="846"/>
      <c r="BA34" s="846"/>
      <c r="BB34" s="846"/>
      <c r="BC34" s="846"/>
      <c r="BD34" s="846"/>
      <c r="BE34" s="846"/>
      <c r="BF34" s="846"/>
      <c r="BG34" s="846"/>
      <c r="BH34" s="846"/>
      <c r="BI34" s="846"/>
      <c r="BJ34" s="846"/>
      <c r="BK34" s="846"/>
      <c r="BL34" s="846"/>
      <c r="BM34" s="846"/>
      <c r="BN34" s="846"/>
      <c r="BO34" s="846"/>
      <c r="BP34" s="846"/>
      <c r="BQ34" s="846"/>
      <c r="BR34" s="846"/>
      <c r="BS34" s="848"/>
      <c r="BT34" s="822">
        <v>0.01</v>
      </c>
      <c r="BU34" s="822">
        <v>0</v>
      </c>
      <c r="BV34" s="822">
        <v>8760</v>
      </c>
      <c r="BW34" s="822">
        <v>1</v>
      </c>
      <c r="BX34" s="822"/>
      <c r="BY34" s="823"/>
    </row>
    <row r="35" spans="2:77">
      <c r="B35" s="845"/>
      <c r="C35" s="846"/>
      <c r="D35" s="846"/>
      <c r="E35" s="846"/>
      <c r="F35" s="846"/>
      <c r="G35" s="847"/>
      <c r="H35" s="847"/>
      <c r="I35" s="846"/>
      <c r="J35" s="846"/>
      <c r="K35" s="846"/>
      <c r="L35" s="846"/>
      <c r="M35" s="846"/>
      <c r="N35" s="846"/>
      <c r="O35" s="846"/>
      <c r="P35" s="846"/>
      <c r="Q35" s="846"/>
      <c r="R35" s="846"/>
      <c r="S35" s="846"/>
      <c r="T35" s="846"/>
      <c r="U35" s="846"/>
      <c r="V35" s="846"/>
      <c r="W35" s="846"/>
      <c r="X35" s="846"/>
      <c r="Y35" s="846"/>
      <c r="Z35" s="846"/>
      <c r="AA35" s="846"/>
      <c r="AB35" s="846"/>
      <c r="AC35" s="846"/>
      <c r="AD35" s="846"/>
      <c r="AE35" s="846"/>
      <c r="AF35" s="846"/>
      <c r="AG35" s="846"/>
      <c r="AH35" s="846"/>
      <c r="AI35" s="846"/>
      <c r="AJ35" s="846"/>
      <c r="AK35" s="846"/>
      <c r="AL35" s="846"/>
      <c r="AM35" s="846"/>
      <c r="AN35" s="846"/>
      <c r="AO35" s="846"/>
      <c r="AP35" s="846"/>
      <c r="AQ35" s="846"/>
      <c r="AR35" s="846"/>
      <c r="AS35" s="846"/>
      <c r="AT35" s="846"/>
      <c r="AU35" s="846"/>
      <c r="AV35" s="846"/>
      <c r="AW35" s="846"/>
      <c r="AX35" s="846"/>
      <c r="AY35" s="846"/>
      <c r="AZ35" s="846"/>
      <c r="BA35" s="846"/>
      <c r="BB35" s="846"/>
      <c r="BC35" s="846"/>
      <c r="BD35" s="846"/>
      <c r="BE35" s="846"/>
      <c r="BF35" s="846"/>
      <c r="BG35" s="846"/>
      <c r="BH35" s="846"/>
      <c r="BI35" s="846"/>
      <c r="BJ35" s="846"/>
      <c r="BK35" s="846"/>
      <c r="BL35" s="846"/>
      <c r="BM35" s="846"/>
      <c r="BN35" s="846"/>
      <c r="BO35" s="846"/>
      <c r="BP35" s="846"/>
      <c r="BQ35" s="846"/>
      <c r="BR35" s="846"/>
      <c r="BS35" s="848"/>
      <c r="BT35" s="822">
        <v>0</v>
      </c>
      <c r="BU35" s="822">
        <v>0</v>
      </c>
      <c r="BV35" s="822">
        <v>8760</v>
      </c>
      <c r="BW35" s="822">
        <v>0</v>
      </c>
      <c r="BX35" s="822"/>
      <c r="BY35" s="823"/>
    </row>
    <row r="36" spans="2:77">
      <c r="B36" s="845"/>
      <c r="C36" s="846"/>
      <c r="D36" s="846"/>
      <c r="E36" s="846"/>
      <c r="F36" s="846"/>
      <c r="G36" s="847"/>
      <c r="H36" s="847"/>
      <c r="I36" s="846"/>
      <c r="J36" s="846"/>
      <c r="K36" s="846"/>
      <c r="L36" s="846"/>
      <c r="M36" s="846"/>
      <c r="N36" s="846"/>
      <c r="O36" s="846"/>
      <c r="P36" s="846"/>
      <c r="Q36" s="846"/>
      <c r="R36" s="846"/>
      <c r="S36" s="846"/>
      <c r="T36" s="846"/>
      <c r="U36" s="846"/>
      <c r="V36" s="846"/>
      <c r="W36" s="846"/>
      <c r="X36" s="846"/>
      <c r="Y36" s="846"/>
      <c r="Z36" s="846"/>
      <c r="AA36" s="846"/>
      <c r="AB36" s="846"/>
      <c r="AC36" s="846"/>
      <c r="AD36" s="846"/>
      <c r="AE36" s="846"/>
      <c r="AF36" s="846"/>
      <c r="AG36" s="846"/>
      <c r="AH36" s="846"/>
      <c r="AI36" s="846"/>
      <c r="AJ36" s="846"/>
      <c r="AK36" s="846"/>
      <c r="AL36" s="846"/>
      <c r="AM36" s="846"/>
      <c r="AN36" s="846"/>
      <c r="AO36" s="846"/>
      <c r="AP36" s="846"/>
      <c r="AQ36" s="846"/>
      <c r="AR36" s="846"/>
      <c r="AS36" s="846"/>
      <c r="AT36" s="846"/>
      <c r="AU36" s="846"/>
      <c r="AV36" s="846"/>
      <c r="AW36" s="846"/>
      <c r="AX36" s="846"/>
      <c r="AY36" s="846"/>
      <c r="AZ36" s="846"/>
      <c r="BA36" s="846"/>
      <c r="BB36" s="846"/>
      <c r="BC36" s="846"/>
      <c r="BD36" s="846"/>
      <c r="BE36" s="846"/>
      <c r="BF36" s="846"/>
      <c r="BG36" s="846"/>
      <c r="BH36" s="846"/>
      <c r="BI36" s="846"/>
      <c r="BJ36" s="846"/>
      <c r="BK36" s="846"/>
      <c r="BL36" s="846"/>
      <c r="BM36" s="846"/>
      <c r="BN36" s="846"/>
      <c r="BO36" s="846"/>
      <c r="BP36" s="846"/>
      <c r="BQ36" s="846"/>
      <c r="BR36" s="846"/>
      <c r="BS36" s="848"/>
      <c r="BT36" s="822">
        <v>0</v>
      </c>
      <c r="BU36" s="822">
        <v>0</v>
      </c>
      <c r="BV36" s="822">
        <v>8760</v>
      </c>
      <c r="BW36" s="822">
        <v>0</v>
      </c>
      <c r="BX36" s="822"/>
      <c r="BY36" s="823"/>
    </row>
    <row r="37" spans="2:77">
      <c r="B37" s="845"/>
      <c r="C37" s="846"/>
      <c r="D37" s="846"/>
      <c r="E37" s="846"/>
      <c r="F37" s="846"/>
      <c r="G37" s="847"/>
      <c r="H37" s="847"/>
      <c r="I37" s="846"/>
      <c r="J37" s="846"/>
      <c r="K37" s="846"/>
      <c r="L37" s="846"/>
      <c r="M37" s="846"/>
      <c r="N37" s="846"/>
      <c r="O37" s="846"/>
      <c r="P37" s="846"/>
      <c r="Q37" s="846"/>
      <c r="R37" s="846"/>
      <c r="S37" s="846"/>
      <c r="T37" s="846"/>
      <c r="U37" s="846"/>
      <c r="V37" s="846"/>
      <c r="W37" s="846"/>
      <c r="X37" s="846"/>
      <c r="Y37" s="846"/>
      <c r="Z37" s="846"/>
      <c r="AA37" s="846"/>
      <c r="AB37" s="846"/>
      <c r="AC37" s="846"/>
      <c r="AD37" s="846"/>
      <c r="AE37" s="846"/>
      <c r="AF37" s="846"/>
      <c r="AG37" s="846"/>
      <c r="AH37" s="846"/>
      <c r="AI37" s="846"/>
      <c r="AJ37" s="846"/>
      <c r="AK37" s="846"/>
      <c r="AL37" s="846"/>
      <c r="AM37" s="846"/>
      <c r="AN37" s="846"/>
      <c r="AO37" s="846"/>
      <c r="AP37" s="846"/>
      <c r="AQ37" s="846"/>
      <c r="AR37" s="846"/>
      <c r="AS37" s="846"/>
      <c r="AT37" s="846"/>
      <c r="AU37" s="846"/>
      <c r="AV37" s="846"/>
      <c r="AW37" s="846"/>
      <c r="AX37" s="846"/>
      <c r="AY37" s="846"/>
      <c r="AZ37" s="846"/>
      <c r="BA37" s="846"/>
      <c r="BB37" s="846"/>
      <c r="BC37" s="846"/>
      <c r="BD37" s="846"/>
      <c r="BE37" s="846"/>
      <c r="BF37" s="846"/>
      <c r="BG37" s="846"/>
      <c r="BH37" s="846"/>
      <c r="BI37" s="846"/>
      <c r="BJ37" s="846"/>
      <c r="BK37" s="846"/>
      <c r="BL37" s="846"/>
      <c r="BM37" s="846"/>
      <c r="BN37" s="846"/>
      <c r="BO37" s="846"/>
      <c r="BP37" s="846"/>
      <c r="BQ37" s="846"/>
      <c r="BR37" s="846"/>
      <c r="BS37" s="848"/>
      <c r="BT37" s="822">
        <v>0</v>
      </c>
      <c r="BU37" s="822">
        <v>0</v>
      </c>
      <c r="BV37" s="822">
        <v>8760</v>
      </c>
      <c r="BW37" s="822">
        <v>0</v>
      </c>
      <c r="BX37" s="822"/>
      <c r="BY37" s="823"/>
    </row>
    <row r="38" spans="2:77">
      <c r="B38" s="845"/>
      <c r="C38" s="846"/>
      <c r="D38" s="846"/>
      <c r="E38" s="846"/>
      <c r="F38" s="846"/>
      <c r="G38" s="847"/>
      <c r="H38" s="847"/>
      <c r="I38" s="846"/>
      <c r="J38" s="846"/>
      <c r="K38" s="846"/>
      <c r="L38" s="846"/>
      <c r="M38" s="846"/>
      <c r="N38" s="846"/>
      <c r="O38" s="846"/>
      <c r="P38" s="846"/>
      <c r="Q38" s="846"/>
      <c r="R38" s="846"/>
      <c r="S38" s="846"/>
      <c r="T38" s="846"/>
      <c r="U38" s="846"/>
      <c r="V38" s="846"/>
      <c r="W38" s="846"/>
      <c r="X38" s="846"/>
      <c r="Y38" s="846"/>
      <c r="Z38" s="846"/>
      <c r="AA38" s="846"/>
      <c r="AB38" s="846"/>
      <c r="AC38" s="846"/>
      <c r="AD38" s="846"/>
      <c r="AE38" s="846"/>
      <c r="AF38" s="846"/>
      <c r="AG38" s="846"/>
      <c r="AH38" s="846"/>
      <c r="AI38" s="846"/>
      <c r="AJ38" s="846"/>
      <c r="AK38" s="846"/>
      <c r="AL38" s="846"/>
      <c r="AM38" s="846"/>
      <c r="AN38" s="846"/>
      <c r="AO38" s="846"/>
      <c r="AP38" s="846"/>
      <c r="AQ38" s="846"/>
      <c r="AR38" s="846"/>
      <c r="AS38" s="846"/>
      <c r="AT38" s="846"/>
      <c r="AU38" s="846"/>
      <c r="AV38" s="846"/>
      <c r="AW38" s="846"/>
      <c r="AX38" s="846"/>
      <c r="AY38" s="846"/>
      <c r="AZ38" s="846"/>
      <c r="BA38" s="846"/>
      <c r="BB38" s="846"/>
      <c r="BC38" s="846"/>
      <c r="BD38" s="846"/>
      <c r="BE38" s="846"/>
      <c r="BF38" s="846"/>
      <c r="BG38" s="846"/>
      <c r="BH38" s="846"/>
      <c r="BI38" s="846"/>
      <c r="BJ38" s="846"/>
      <c r="BK38" s="846"/>
      <c r="BL38" s="846"/>
      <c r="BM38" s="846"/>
      <c r="BN38" s="846"/>
      <c r="BO38" s="846"/>
      <c r="BP38" s="846"/>
      <c r="BQ38" s="846"/>
      <c r="BR38" s="846"/>
      <c r="BS38" s="848"/>
      <c r="BT38" s="822">
        <v>0</v>
      </c>
      <c r="BU38" s="822">
        <v>0</v>
      </c>
      <c r="BV38" s="822">
        <v>8760</v>
      </c>
      <c r="BW38" s="822">
        <v>0</v>
      </c>
      <c r="BX38" s="822"/>
      <c r="BY38" s="823"/>
    </row>
    <row r="39" spans="2:77">
      <c r="B39" s="845"/>
      <c r="C39" s="846"/>
      <c r="D39" s="846"/>
      <c r="E39" s="846"/>
      <c r="F39" s="846"/>
      <c r="G39" s="847"/>
      <c r="H39" s="847"/>
      <c r="I39" s="846"/>
      <c r="J39" s="846"/>
      <c r="K39" s="846"/>
      <c r="L39" s="846"/>
      <c r="M39" s="846"/>
      <c r="N39" s="846"/>
      <c r="O39" s="846"/>
      <c r="P39" s="846"/>
      <c r="Q39" s="846"/>
      <c r="R39" s="846"/>
      <c r="S39" s="846"/>
      <c r="T39" s="846"/>
      <c r="U39" s="846"/>
      <c r="V39" s="846"/>
      <c r="W39" s="846"/>
      <c r="X39" s="846"/>
      <c r="Y39" s="846"/>
      <c r="Z39" s="846"/>
      <c r="AA39" s="846"/>
      <c r="AB39" s="846"/>
      <c r="AC39" s="846"/>
      <c r="AD39" s="846"/>
      <c r="AE39" s="846"/>
      <c r="AF39" s="846"/>
      <c r="AG39" s="846"/>
      <c r="AH39" s="846"/>
      <c r="AI39" s="846"/>
      <c r="AJ39" s="846"/>
      <c r="AK39" s="846"/>
      <c r="AL39" s="846"/>
      <c r="AM39" s="846"/>
      <c r="AN39" s="846"/>
      <c r="AO39" s="846"/>
      <c r="AP39" s="846"/>
      <c r="AQ39" s="846"/>
      <c r="AR39" s="846"/>
      <c r="AS39" s="846"/>
      <c r="AT39" s="846"/>
      <c r="AU39" s="846"/>
      <c r="AV39" s="846"/>
      <c r="AW39" s="846"/>
      <c r="AX39" s="846"/>
      <c r="AY39" s="846"/>
      <c r="AZ39" s="846"/>
      <c r="BA39" s="846"/>
      <c r="BB39" s="846"/>
      <c r="BC39" s="846"/>
      <c r="BD39" s="846"/>
      <c r="BE39" s="846"/>
      <c r="BF39" s="846"/>
      <c r="BG39" s="846"/>
      <c r="BH39" s="846"/>
      <c r="BI39" s="846"/>
      <c r="BJ39" s="846"/>
      <c r="BK39" s="846"/>
      <c r="BL39" s="846"/>
      <c r="BM39" s="846"/>
      <c r="BN39" s="846"/>
      <c r="BO39" s="846"/>
      <c r="BP39" s="846"/>
      <c r="BQ39" s="846"/>
      <c r="BR39" s="846"/>
      <c r="BS39" s="848"/>
      <c r="BT39" s="822">
        <v>0</v>
      </c>
      <c r="BU39" s="822">
        <v>0</v>
      </c>
      <c r="BV39" s="822">
        <v>8760</v>
      </c>
      <c r="BW39" s="822">
        <v>0</v>
      </c>
      <c r="BX39" s="822"/>
      <c r="BY39" s="823"/>
    </row>
    <row r="40" spans="2:77">
      <c r="B40" s="845"/>
      <c r="C40" s="846"/>
      <c r="D40" s="846"/>
      <c r="E40" s="846"/>
      <c r="F40" s="846"/>
      <c r="G40" s="847"/>
      <c r="H40" s="847"/>
      <c r="I40" s="846"/>
      <c r="J40" s="846"/>
      <c r="K40" s="846"/>
      <c r="L40" s="846"/>
      <c r="M40" s="846"/>
      <c r="N40" s="846"/>
      <c r="O40" s="846"/>
      <c r="P40" s="846"/>
      <c r="Q40" s="846"/>
      <c r="R40" s="846"/>
      <c r="S40" s="846"/>
      <c r="T40" s="846"/>
      <c r="U40" s="846"/>
      <c r="V40" s="846"/>
      <c r="W40" s="846"/>
      <c r="X40" s="846"/>
      <c r="Y40" s="846"/>
      <c r="Z40" s="846"/>
      <c r="AA40" s="846"/>
      <c r="AB40" s="846"/>
      <c r="AC40" s="846"/>
      <c r="AD40" s="846"/>
      <c r="AE40" s="846"/>
      <c r="AF40" s="846"/>
      <c r="AG40" s="846"/>
      <c r="AH40" s="846"/>
      <c r="AI40" s="846"/>
      <c r="AJ40" s="846"/>
      <c r="AK40" s="846"/>
      <c r="AL40" s="846"/>
      <c r="AM40" s="846"/>
      <c r="AN40" s="846"/>
      <c r="AO40" s="846"/>
      <c r="AP40" s="846"/>
      <c r="AQ40" s="846"/>
      <c r="AR40" s="846"/>
      <c r="AS40" s="846"/>
      <c r="AT40" s="846"/>
      <c r="AU40" s="846"/>
      <c r="AV40" s="846"/>
      <c r="AW40" s="846"/>
      <c r="AX40" s="846"/>
      <c r="AY40" s="846"/>
      <c r="AZ40" s="846"/>
      <c r="BA40" s="846"/>
      <c r="BB40" s="846"/>
      <c r="BC40" s="846"/>
      <c r="BD40" s="846"/>
      <c r="BE40" s="846"/>
      <c r="BF40" s="846"/>
      <c r="BG40" s="846"/>
      <c r="BH40" s="846"/>
      <c r="BI40" s="846"/>
      <c r="BJ40" s="846"/>
      <c r="BK40" s="846"/>
      <c r="BL40" s="846"/>
      <c r="BM40" s="846"/>
      <c r="BN40" s="846"/>
      <c r="BO40" s="846"/>
      <c r="BP40" s="846"/>
      <c r="BQ40" s="846"/>
      <c r="BR40" s="846"/>
      <c r="BS40" s="848"/>
      <c r="BT40" s="822">
        <v>0</v>
      </c>
      <c r="BU40" s="822">
        <v>0</v>
      </c>
      <c r="BV40" s="822">
        <v>8760</v>
      </c>
      <c r="BW40" s="822">
        <v>0</v>
      </c>
      <c r="BX40" s="822"/>
      <c r="BY40" s="823"/>
    </row>
    <row r="41" spans="2:77">
      <c r="B41" s="845"/>
      <c r="C41" s="846"/>
      <c r="D41" s="846"/>
      <c r="E41" s="846"/>
      <c r="F41" s="846"/>
      <c r="G41" s="847"/>
      <c r="H41" s="847"/>
      <c r="I41" s="846"/>
      <c r="J41" s="846"/>
      <c r="K41" s="846"/>
      <c r="L41" s="846"/>
      <c r="M41" s="846"/>
      <c r="N41" s="846"/>
      <c r="O41" s="846"/>
      <c r="P41" s="846"/>
      <c r="Q41" s="846"/>
      <c r="R41" s="846"/>
      <c r="S41" s="846"/>
      <c r="T41" s="846"/>
      <c r="U41" s="846"/>
      <c r="V41" s="846"/>
      <c r="W41" s="846"/>
      <c r="X41" s="846"/>
      <c r="Y41" s="846"/>
      <c r="Z41" s="846"/>
      <c r="AA41" s="846"/>
      <c r="AB41" s="846"/>
      <c r="AC41" s="846"/>
      <c r="AD41" s="846"/>
      <c r="AE41" s="846"/>
      <c r="AF41" s="846"/>
      <c r="AG41" s="846"/>
      <c r="AH41" s="846"/>
      <c r="AI41" s="846"/>
      <c r="AJ41" s="846"/>
      <c r="AK41" s="846"/>
      <c r="AL41" s="846"/>
      <c r="AM41" s="846"/>
      <c r="AN41" s="846"/>
      <c r="AO41" s="846"/>
      <c r="AP41" s="846"/>
      <c r="AQ41" s="846"/>
      <c r="AR41" s="846"/>
      <c r="AS41" s="846"/>
      <c r="AT41" s="846"/>
      <c r="AU41" s="846"/>
      <c r="AV41" s="846"/>
      <c r="AW41" s="846"/>
      <c r="AX41" s="846"/>
      <c r="AY41" s="846"/>
      <c r="AZ41" s="846"/>
      <c r="BA41" s="846"/>
      <c r="BB41" s="846"/>
      <c r="BC41" s="846"/>
      <c r="BD41" s="846"/>
      <c r="BE41" s="846"/>
      <c r="BF41" s="846"/>
      <c r="BG41" s="846"/>
      <c r="BH41" s="846"/>
      <c r="BI41" s="846"/>
      <c r="BJ41" s="846"/>
      <c r="BK41" s="846"/>
      <c r="BL41" s="846"/>
      <c r="BM41" s="846"/>
      <c r="BN41" s="846"/>
      <c r="BO41" s="846"/>
      <c r="BP41" s="846"/>
      <c r="BQ41" s="846"/>
      <c r="BR41" s="846"/>
      <c r="BS41" s="848"/>
      <c r="BT41" s="822">
        <v>0</v>
      </c>
      <c r="BU41" s="822">
        <v>0</v>
      </c>
      <c r="BV41" s="822">
        <v>8760</v>
      </c>
      <c r="BW41" s="822">
        <v>0</v>
      </c>
      <c r="BX41" s="822"/>
      <c r="BY41" s="823"/>
    </row>
    <row r="42" spans="2:77">
      <c r="B42" s="845"/>
      <c r="C42" s="846"/>
      <c r="D42" s="846"/>
      <c r="E42" s="846"/>
      <c r="F42" s="846"/>
      <c r="G42" s="846"/>
      <c r="H42" s="846"/>
      <c r="I42" s="846"/>
      <c r="J42" s="846"/>
      <c r="K42" s="846"/>
      <c r="L42" s="846"/>
      <c r="M42" s="846"/>
      <c r="N42" s="846"/>
      <c r="O42" s="846"/>
      <c r="P42" s="846"/>
      <c r="Q42" s="846"/>
      <c r="R42" s="846"/>
      <c r="S42" s="846"/>
      <c r="T42" s="846"/>
      <c r="U42" s="846"/>
      <c r="V42" s="846"/>
      <c r="W42" s="846"/>
      <c r="X42" s="846"/>
      <c r="Y42" s="846"/>
      <c r="Z42" s="846"/>
      <c r="AA42" s="846"/>
      <c r="AB42" s="846"/>
      <c r="AC42" s="846"/>
      <c r="AD42" s="846"/>
      <c r="AE42" s="846"/>
      <c r="AF42" s="846"/>
      <c r="AG42" s="846"/>
      <c r="AH42" s="846"/>
      <c r="AI42" s="846"/>
      <c r="AJ42" s="846"/>
      <c r="AK42" s="846"/>
      <c r="AL42" s="846"/>
      <c r="AM42" s="846"/>
      <c r="AN42" s="846"/>
      <c r="AO42" s="846"/>
      <c r="AP42" s="846"/>
      <c r="AQ42" s="846"/>
      <c r="AR42" s="846"/>
      <c r="AS42" s="846"/>
      <c r="AT42" s="846"/>
      <c r="AU42" s="846"/>
      <c r="AV42" s="846"/>
      <c r="AW42" s="846"/>
      <c r="AX42" s="846"/>
      <c r="AY42" s="846"/>
      <c r="AZ42" s="846"/>
      <c r="BA42" s="846"/>
      <c r="BB42" s="846"/>
      <c r="BC42" s="846"/>
      <c r="BD42" s="846"/>
      <c r="BE42" s="846"/>
      <c r="BF42" s="846"/>
      <c r="BG42" s="846"/>
      <c r="BH42" s="846"/>
      <c r="BI42" s="846"/>
      <c r="BJ42" s="846"/>
      <c r="BK42" s="846"/>
      <c r="BL42" s="846"/>
      <c r="BM42" s="846"/>
      <c r="BN42" s="846"/>
      <c r="BO42" s="846"/>
      <c r="BP42" s="846"/>
      <c r="BQ42" s="846"/>
      <c r="BR42" s="846"/>
      <c r="BS42" s="848"/>
      <c r="BT42" s="822">
        <v>0</v>
      </c>
      <c r="BU42" s="822">
        <v>0</v>
      </c>
      <c r="BV42" s="822">
        <v>8760</v>
      </c>
      <c r="BW42" s="822">
        <v>0</v>
      </c>
      <c r="BX42" s="822"/>
      <c r="BY42" s="823"/>
    </row>
    <row r="43" spans="2:77">
      <c r="B43" s="845"/>
      <c r="C43" s="846"/>
      <c r="D43" s="846"/>
      <c r="E43" s="846"/>
      <c r="F43" s="846"/>
      <c r="G43" s="846"/>
      <c r="H43" s="846"/>
      <c r="I43" s="846"/>
      <c r="J43" s="846"/>
      <c r="K43" s="846"/>
      <c r="L43" s="846"/>
      <c r="M43" s="846"/>
      <c r="N43" s="846"/>
      <c r="O43" s="846"/>
      <c r="P43" s="846"/>
      <c r="Q43" s="846"/>
      <c r="R43" s="846"/>
      <c r="S43" s="846"/>
      <c r="T43" s="846"/>
      <c r="U43" s="846"/>
      <c r="V43" s="846"/>
      <c r="W43" s="846"/>
      <c r="X43" s="846"/>
      <c r="Y43" s="846"/>
      <c r="Z43" s="846"/>
      <c r="AA43" s="846"/>
      <c r="AB43" s="846"/>
      <c r="AC43" s="846"/>
      <c r="AD43" s="846"/>
      <c r="AE43" s="846"/>
      <c r="AF43" s="846"/>
      <c r="AG43" s="846"/>
      <c r="AH43" s="846"/>
      <c r="AI43" s="846"/>
      <c r="AJ43" s="846"/>
      <c r="AK43" s="846"/>
      <c r="AL43" s="846"/>
      <c r="AM43" s="846"/>
      <c r="AN43" s="846"/>
      <c r="AO43" s="846"/>
      <c r="AP43" s="846"/>
      <c r="AQ43" s="846"/>
      <c r="AR43" s="846"/>
      <c r="AS43" s="846"/>
      <c r="AT43" s="846"/>
      <c r="AU43" s="846"/>
      <c r="AV43" s="846"/>
      <c r="AW43" s="846"/>
      <c r="AX43" s="846"/>
      <c r="AY43" s="846"/>
      <c r="AZ43" s="846"/>
      <c r="BA43" s="846"/>
      <c r="BB43" s="846"/>
      <c r="BC43" s="846"/>
      <c r="BD43" s="846"/>
      <c r="BE43" s="846"/>
      <c r="BF43" s="846"/>
      <c r="BG43" s="846"/>
      <c r="BH43" s="846"/>
      <c r="BI43" s="846"/>
      <c r="BJ43" s="846"/>
      <c r="BK43" s="846"/>
      <c r="BL43" s="846"/>
      <c r="BM43" s="846"/>
      <c r="BN43" s="846"/>
      <c r="BO43" s="846"/>
      <c r="BP43" s="846"/>
      <c r="BQ43" s="846"/>
      <c r="BR43" s="846"/>
      <c r="BS43" s="848"/>
      <c r="BT43" s="822"/>
      <c r="BU43" s="822"/>
      <c r="BV43" s="822"/>
      <c r="BW43" s="822"/>
      <c r="BX43" s="822"/>
      <c r="BY43" s="823"/>
    </row>
    <row r="44" spans="2:77">
      <c r="B44" s="845"/>
      <c r="C44" s="846"/>
      <c r="D44" s="846"/>
      <c r="E44" s="846"/>
      <c r="F44" s="846"/>
      <c r="G44" s="846"/>
      <c r="H44" s="846"/>
      <c r="I44" s="846"/>
      <c r="J44" s="846"/>
      <c r="K44" s="846"/>
      <c r="L44" s="846"/>
      <c r="M44" s="846"/>
      <c r="N44" s="846"/>
      <c r="O44" s="846"/>
      <c r="P44" s="846"/>
      <c r="Q44" s="846"/>
      <c r="R44" s="846"/>
      <c r="S44" s="846"/>
      <c r="T44" s="846"/>
      <c r="U44" s="846"/>
      <c r="V44" s="846"/>
      <c r="W44" s="846"/>
      <c r="X44" s="846"/>
      <c r="Y44" s="846"/>
      <c r="Z44" s="846"/>
      <c r="AA44" s="846"/>
      <c r="AB44" s="846"/>
      <c r="AC44" s="846"/>
      <c r="AD44" s="846"/>
      <c r="AE44" s="846"/>
      <c r="AF44" s="846"/>
      <c r="AG44" s="846"/>
      <c r="AH44" s="846"/>
      <c r="AI44" s="846"/>
      <c r="AJ44" s="846"/>
      <c r="AK44" s="846"/>
      <c r="AL44" s="846"/>
      <c r="AM44" s="846"/>
      <c r="AN44" s="846"/>
      <c r="AO44" s="846"/>
      <c r="AP44" s="846"/>
      <c r="AQ44" s="846"/>
      <c r="AR44" s="846"/>
      <c r="AS44" s="846"/>
      <c r="AT44" s="846"/>
      <c r="AU44" s="846"/>
      <c r="AV44" s="846"/>
      <c r="AW44" s="846"/>
      <c r="AX44" s="846"/>
      <c r="AY44" s="846"/>
      <c r="AZ44" s="846"/>
      <c r="BA44" s="846"/>
      <c r="BB44" s="846"/>
      <c r="BC44" s="846"/>
      <c r="BD44" s="846"/>
      <c r="BE44" s="846"/>
      <c r="BF44" s="846"/>
      <c r="BG44" s="846"/>
      <c r="BH44" s="846"/>
      <c r="BI44" s="846"/>
      <c r="BJ44" s="846"/>
      <c r="BK44" s="846"/>
      <c r="BL44" s="846"/>
      <c r="BM44" s="846"/>
      <c r="BN44" s="846"/>
      <c r="BO44" s="846"/>
      <c r="BP44" s="846"/>
      <c r="BQ44" s="846"/>
      <c r="BR44" s="846"/>
      <c r="BS44" s="848"/>
      <c r="BT44" s="822"/>
      <c r="BU44" s="822"/>
      <c r="BV44" s="822"/>
      <c r="BW44" s="822"/>
      <c r="BX44" s="822"/>
      <c r="BY44" s="823"/>
    </row>
    <row r="45" spans="2:77">
      <c r="B45" s="845"/>
      <c r="C45" s="846"/>
      <c r="D45" s="846"/>
      <c r="E45" s="846"/>
      <c r="F45" s="846"/>
      <c r="G45" s="846"/>
      <c r="H45" s="846"/>
      <c r="I45" s="846"/>
      <c r="J45" s="846"/>
      <c r="K45" s="846"/>
      <c r="L45" s="846"/>
      <c r="M45" s="846"/>
      <c r="N45" s="846"/>
      <c r="O45" s="846"/>
      <c r="P45" s="846"/>
      <c r="Q45" s="846"/>
      <c r="R45" s="846"/>
      <c r="S45" s="846"/>
      <c r="T45" s="846"/>
      <c r="U45" s="846"/>
      <c r="V45" s="846"/>
      <c r="W45" s="846"/>
      <c r="X45" s="846"/>
      <c r="Y45" s="846"/>
      <c r="Z45" s="846"/>
      <c r="AA45" s="846"/>
      <c r="AB45" s="846"/>
      <c r="AC45" s="846"/>
      <c r="AD45" s="846"/>
      <c r="AE45" s="846"/>
      <c r="AF45" s="846"/>
      <c r="AG45" s="846"/>
      <c r="AH45" s="846"/>
      <c r="AI45" s="846"/>
      <c r="AJ45" s="846"/>
      <c r="AK45" s="846"/>
      <c r="AL45" s="846"/>
      <c r="AM45" s="846"/>
      <c r="AN45" s="846"/>
      <c r="AO45" s="846"/>
      <c r="AP45" s="846"/>
      <c r="AQ45" s="846"/>
      <c r="AR45" s="846"/>
      <c r="AS45" s="846"/>
      <c r="AT45" s="846"/>
      <c r="AU45" s="846"/>
      <c r="AV45" s="846"/>
      <c r="AW45" s="846"/>
      <c r="AX45" s="846"/>
      <c r="AY45" s="846"/>
      <c r="AZ45" s="846"/>
      <c r="BA45" s="846"/>
      <c r="BB45" s="846"/>
      <c r="BC45" s="846"/>
      <c r="BD45" s="846"/>
      <c r="BE45" s="846"/>
      <c r="BF45" s="846"/>
      <c r="BG45" s="846"/>
      <c r="BH45" s="846"/>
      <c r="BI45" s="846"/>
      <c r="BJ45" s="846"/>
      <c r="BK45" s="846"/>
      <c r="BL45" s="846"/>
      <c r="BM45" s="846"/>
      <c r="BN45" s="846"/>
      <c r="BO45" s="846"/>
      <c r="BP45" s="846"/>
      <c r="BQ45" s="846"/>
      <c r="BR45" s="846"/>
      <c r="BS45" s="848"/>
      <c r="BT45" s="822"/>
      <c r="BU45" s="822"/>
      <c r="BV45" s="822"/>
      <c r="BW45" s="822"/>
      <c r="BX45" s="822"/>
      <c r="BY45" s="823"/>
    </row>
    <row r="46" spans="2:77">
      <c r="B46" s="845"/>
      <c r="C46" s="846"/>
      <c r="D46" s="846"/>
      <c r="E46" s="846"/>
      <c r="F46" s="846"/>
      <c r="G46" s="846"/>
      <c r="H46" s="846"/>
      <c r="I46" s="846"/>
      <c r="J46" s="846"/>
      <c r="K46" s="846"/>
      <c r="L46" s="846"/>
      <c r="M46" s="846"/>
      <c r="N46" s="846"/>
      <c r="O46" s="846"/>
      <c r="P46" s="846"/>
      <c r="Q46" s="846"/>
      <c r="R46" s="846"/>
      <c r="S46" s="846"/>
      <c r="T46" s="846"/>
      <c r="U46" s="846"/>
      <c r="V46" s="846"/>
      <c r="W46" s="846"/>
      <c r="X46" s="846"/>
      <c r="Y46" s="846"/>
      <c r="Z46" s="846"/>
      <c r="AA46" s="846"/>
      <c r="AB46" s="846"/>
      <c r="AC46" s="846"/>
      <c r="AD46" s="846"/>
      <c r="AE46" s="846"/>
      <c r="AF46" s="846"/>
      <c r="AG46" s="846"/>
      <c r="AH46" s="846"/>
      <c r="AI46" s="846"/>
      <c r="AJ46" s="846"/>
      <c r="AK46" s="846"/>
      <c r="AL46" s="846"/>
      <c r="AM46" s="846"/>
      <c r="AN46" s="846"/>
      <c r="AO46" s="846"/>
      <c r="AP46" s="846"/>
      <c r="AQ46" s="846"/>
      <c r="AR46" s="846"/>
      <c r="AS46" s="846"/>
      <c r="AT46" s="846"/>
      <c r="AU46" s="846"/>
      <c r="AV46" s="846"/>
      <c r="AW46" s="846"/>
      <c r="AX46" s="846"/>
      <c r="AY46" s="846"/>
      <c r="AZ46" s="846"/>
      <c r="BA46" s="846"/>
      <c r="BB46" s="846"/>
      <c r="BC46" s="846"/>
      <c r="BD46" s="846"/>
      <c r="BE46" s="846"/>
      <c r="BF46" s="846"/>
      <c r="BG46" s="846"/>
      <c r="BH46" s="846"/>
      <c r="BI46" s="846"/>
      <c r="BJ46" s="846"/>
      <c r="BK46" s="846"/>
      <c r="BL46" s="846"/>
      <c r="BM46" s="846"/>
      <c r="BN46" s="846"/>
      <c r="BO46" s="846"/>
      <c r="BP46" s="846"/>
      <c r="BQ46" s="846"/>
      <c r="BR46" s="846"/>
      <c r="BS46" s="848"/>
      <c r="BT46" s="822"/>
      <c r="BU46" s="822"/>
      <c r="BV46" s="822"/>
      <c r="BW46" s="822"/>
      <c r="BX46" s="822"/>
      <c r="BY46" s="823"/>
    </row>
    <row r="47" spans="2:77">
      <c r="B47" s="845"/>
      <c r="C47" s="846"/>
      <c r="D47" s="846"/>
      <c r="E47" s="846"/>
      <c r="F47" s="846"/>
      <c r="G47" s="846"/>
      <c r="H47" s="846"/>
      <c r="I47" s="846"/>
      <c r="J47" s="846"/>
      <c r="K47" s="846"/>
      <c r="L47" s="846"/>
      <c r="M47" s="846"/>
      <c r="N47" s="846"/>
      <c r="O47" s="846"/>
      <c r="P47" s="846"/>
      <c r="Q47" s="846"/>
      <c r="R47" s="846"/>
      <c r="S47" s="846"/>
      <c r="T47" s="846"/>
      <c r="U47" s="846"/>
      <c r="V47" s="846"/>
      <c r="W47" s="846"/>
      <c r="X47" s="846"/>
      <c r="Y47" s="846"/>
      <c r="Z47" s="846"/>
      <c r="AA47" s="846"/>
      <c r="AB47" s="846"/>
      <c r="AC47" s="846"/>
      <c r="AD47" s="846"/>
      <c r="AE47" s="846"/>
      <c r="AF47" s="846"/>
      <c r="AG47" s="846"/>
      <c r="AH47" s="846"/>
      <c r="AI47" s="846"/>
      <c r="AJ47" s="846"/>
      <c r="AK47" s="846"/>
      <c r="AL47" s="846"/>
      <c r="AM47" s="846"/>
      <c r="AN47" s="846"/>
      <c r="AO47" s="846"/>
      <c r="AP47" s="846"/>
      <c r="AQ47" s="846"/>
      <c r="AR47" s="846"/>
      <c r="AS47" s="846"/>
      <c r="AT47" s="846"/>
      <c r="AU47" s="846"/>
      <c r="AV47" s="846"/>
      <c r="AW47" s="846"/>
      <c r="AX47" s="846"/>
      <c r="AY47" s="846"/>
      <c r="AZ47" s="846"/>
      <c r="BA47" s="846"/>
      <c r="BB47" s="846"/>
      <c r="BC47" s="846"/>
      <c r="BD47" s="846"/>
      <c r="BE47" s="846"/>
      <c r="BF47" s="846"/>
      <c r="BG47" s="846"/>
      <c r="BH47" s="846"/>
      <c r="BI47" s="846"/>
      <c r="BJ47" s="846"/>
      <c r="BK47" s="846"/>
      <c r="BL47" s="846"/>
      <c r="BM47" s="846"/>
      <c r="BN47" s="846"/>
      <c r="BO47" s="846"/>
      <c r="BP47" s="846"/>
      <c r="BQ47" s="846"/>
      <c r="BR47" s="846"/>
      <c r="BS47" s="848"/>
      <c r="BT47" s="822"/>
      <c r="BU47" s="822"/>
      <c r="BV47" s="822"/>
      <c r="BW47" s="822"/>
      <c r="BX47" s="822"/>
      <c r="BY47" s="823"/>
    </row>
    <row r="48" spans="2:77" ht="12.75" thickBot="1">
      <c r="B48" s="849"/>
      <c r="C48" s="850"/>
      <c r="D48" s="850"/>
      <c r="E48" s="850"/>
      <c r="F48" s="850"/>
      <c r="G48" s="850"/>
      <c r="H48" s="850"/>
      <c r="I48" s="850"/>
      <c r="J48" s="850"/>
      <c r="K48" s="850"/>
      <c r="L48" s="850"/>
      <c r="M48" s="850"/>
      <c r="N48" s="850"/>
      <c r="O48" s="850"/>
      <c r="P48" s="850"/>
      <c r="Q48" s="850"/>
      <c r="R48" s="850"/>
      <c r="S48" s="850"/>
      <c r="T48" s="850"/>
      <c r="U48" s="850"/>
      <c r="V48" s="850"/>
      <c r="W48" s="850"/>
      <c r="X48" s="850"/>
      <c r="Y48" s="850"/>
      <c r="Z48" s="850"/>
      <c r="AA48" s="850"/>
      <c r="AB48" s="850"/>
      <c r="AC48" s="850"/>
      <c r="AD48" s="850"/>
      <c r="AE48" s="850"/>
      <c r="AF48" s="850"/>
      <c r="AG48" s="850"/>
      <c r="AH48" s="850"/>
      <c r="AI48" s="850"/>
      <c r="AJ48" s="850"/>
      <c r="AK48" s="850"/>
      <c r="AL48" s="850"/>
      <c r="AM48" s="850"/>
      <c r="AN48" s="850"/>
      <c r="AO48" s="850"/>
      <c r="AP48" s="850"/>
      <c r="AQ48" s="850"/>
      <c r="AR48" s="850"/>
      <c r="AS48" s="850"/>
      <c r="AT48" s="850"/>
      <c r="AU48" s="850"/>
      <c r="AV48" s="850"/>
      <c r="AW48" s="850"/>
      <c r="AX48" s="850"/>
      <c r="AY48" s="850"/>
      <c r="AZ48" s="850"/>
      <c r="BA48" s="850"/>
      <c r="BB48" s="850"/>
      <c r="BC48" s="850"/>
      <c r="BD48" s="850"/>
      <c r="BE48" s="850"/>
      <c r="BF48" s="850"/>
      <c r="BG48" s="850"/>
      <c r="BH48" s="850"/>
      <c r="BI48" s="850"/>
      <c r="BJ48" s="850"/>
      <c r="BK48" s="850"/>
      <c r="BL48" s="850"/>
      <c r="BM48" s="850"/>
      <c r="BN48" s="850"/>
      <c r="BO48" s="850"/>
      <c r="BP48" s="850"/>
      <c r="BQ48" s="850"/>
      <c r="BR48" s="850"/>
      <c r="BS48" s="851"/>
      <c r="BT48" s="834"/>
      <c r="BU48" s="834"/>
      <c r="BV48" s="834"/>
      <c r="BW48" s="834"/>
      <c r="BX48" s="834"/>
      <c r="BY48" s="835"/>
    </row>
    <row r="49" spans="2:75" ht="12.75" thickBot="1">
      <c r="B49" s="861"/>
      <c r="C49" s="862"/>
      <c r="D49" s="862"/>
      <c r="E49" s="862"/>
      <c r="F49" s="862"/>
      <c r="G49" s="862"/>
      <c r="H49" s="862"/>
      <c r="I49" s="862"/>
      <c r="J49" s="862"/>
      <c r="K49" s="862"/>
      <c r="L49" s="862"/>
      <c r="M49" s="862"/>
      <c r="N49" s="862"/>
      <c r="O49" s="862"/>
      <c r="P49" s="862"/>
      <c r="Q49" s="862"/>
      <c r="R49" s="862"/>
      <c r="S49" s="862"/>
      <c r="T49" s="862"/>
      <c r="U49" s="862"/>
      <c r="V49" s="862"/>
      <c r="W49" s="862"/>
      <c r="X49" s="862"/>
      <c r="Y49" s="862"/>
      <c r="Z49" s="862"/>
      <c r="AA49" s="862"/>
      <c r="AB49" s="862"/>
      <c r="AC49" s="862"/>
      <c r="AD49" s="862"/>
      <c r="AE49" s="862"/>
      <c r="AF49" s="862"/>
      <c r="AG49" s="862"/>
      <c r="AH49" s="862"/>
      <c r="AI49" s="862"/>
      <c r="AJ49" s="862"/>
      <c r="AK49" s="862"/>
      <c r="AL49" s="862"/>
      <c r="AM49" s="862"/>
      <c r="AN49" s="862"/>
      <c r="AO49" s="862"/>
      <c r="AP49" s="862"/>
      <c r="AQ49" s="862"/>
      <c r="AR49" s="862"/>
      <c r="AS49" s="862"/>
      <c r="AT49" s="862"/>
      <c r="AU49" s="862"/>
      <c r="AV49" s="862"/>
      <c r="AW49" s="862"/>
      <c r="AX49" s="862"/>
      <c r="AY49" s="862"/>
      <c r="AZ49" s="862"/>
      <c r="BA49" s="862"/>
      <c r="BB49" s="862"/>
      <c r="BC49" s="862"/>
      <c r="BD49" s="862"/>
      <c r="BE49" s="862"/>
      <c r="BF49" s="862"/>
      <c r="BG49" s="862"/>
      <c r="BH49" s="862"/>
      <c r="BI49" s="862"/>
      <c r="BJ49" s="862"/>
      <c r="BK49" s="862"/>
      <c r="BL49" s="862"/>
      <c r="BM49" s="862"/>
      <c r="BN49" s="862"/>
      <c r="BO49" s="862"/>
      <c r="BP49" s="862"/>
      <c r="BQ49" s="862"/>
      <c r="BR49" s="862"/>
      <c r="BS49" s="863"/>
      <c r="BU49" s="759"/>
      <c r="BV49" s="759"/>
      <c r="BW49" s="759"/>
    </row>
    <row r="50" spans="2:75">
      <c r="BU50" s="759"/>
      <c r="BV50" s="759"/>
      <c r="BW50" s="759"/>
    </row>
    <row r="51" spans="2:75">
      <c r="BU51" s="759"/>
      <c r="BV51" s="759"/>
      <c r="BW51" s="759"/>
    </row>
    <row r="52" spans="2:75">
      <c r="BU52" s="759"/>
      <c r="BV52" s="759"/>
      <c r="BW52" s="759"/>
    </row>
    <row r="53" spans="2:75">
      <c r="BU53" s="759"/>
      <c r="BV53" s="759"/>
      <c r="BW53" s="759"/>
    </row>
    <row r="54" spans="2:75">
      <c r="BU54" s="759"/>
      <c r="BV54" s="759"/>
      <c r="BW54" s="759"/>
    </row>
    <row r="55" spans="2:75">
      <c r="BU55" s="759"/>
      <c r="BV55" s="759"/>
      <c r="BW55" s="759"/>
    </row>
    <row r="56" spans="2:75">
      <c r="BU56" s="759"/>
      <c r="BV56" s="759"/>
      <c r="BW56" s="759"/>
    </row>
    <row r="57" spans="2:75">
      <c r="BU57" s="759"/>
      <c r="BV57" s="759"/>
      <c r="BW57" s="759"/>
    </row>
    <row r="58" spans="2:75">
      <c r="BU58" s="759"/>
      <c r="BV58" s="759"/>
      <c r="BW58" s="759"/>
    </row>
    <row r="59" spans="2:75">
      <c r="BU59" s="759"/>
      <c r="BV59" s="759"/>
      <c r="BW59" s="759"/>
    </row>
    <row r="60" spans="2:75">
      <c r="BU60" s="759"/>
      <c r="BV60" s="759"/>
      <c r="BW60" s="759"/>
    </row>
    <row r="61" spans="2:75">
      <c r="BU61" s="759"/>
      <c r="BV61" s="759"/>
      <c r="BW61" s="759"/>
    </row>
    <row r="62" spans="2:75">
      <c r="BU62" s="759"/>
      <c r="BV62" s="759"/>
      <c r="BW62" s="759"/>
    </row>
    <row r="63" spans="2:75">
      <c r="BU63" s="759"/>
      <c r="BV63" s="759"/>
      <c r="BW63" s="759"/>
    </row>
    <row r="64" spans="2:75">
      <c r="BU64" s="759"/>
      <c r="BV64" s="759"/>
      <c r="BW64" s="759"/>
    </row>
    <row r="65" spans="73:75">
      <c r="BU65" s="759"/>
      <c r="BV65" s="759"/>
      <c r="BW65" s="759"/>
    </row>
    <row r="66" spans="73:75">
      <c r="BU66" s="759"/>
      <c r="BV66" s="759"/>
      <c r="BW66" s="759"/>
    </row>
    <row r="67" spans="73:75">
      <c r="BU67" s="759"/>
      <c r="BV67" s="759"/>
      <c r="BW67" s="759"/>
    </row>
    <row r="68" spans="73:75">
      <c r="BU68" s="759"/>
      <c r="BV68" s="759"/>
      <c r="BW68" s="759"/>
    </row>
    <row r="69" spans="73:75">
      <c r="BU69" s="759"/>
      <c r="BV69" s="759"/>
      <c r="BW69" s="759"/>
    </row>
    <row r="70" spans="73:75">
      <c r="BU70" s="759"/>
      <c r="BV70" s="759"/>
      <c r="BW70" s="759"/>
    </row>
    <row r="71" spans="73:75">
      <c r="BU71" s="759"/>
      <c r="BV71" s="759"/>
      <c r="BW71" s="759"/>
    </row>
    <row r="72" spans="73:75">
      <c r="BU72" s="759"/>
      <c r="BV72" s="759"/>
      <c r="BW72" s="759"/>
    </row>
    <row r="73" spans="73:75">
      <c r="BU73" s="759"/>
      <c r="BV73" s="759"/>
      <c r="BW73" s="759"/>
    </row>
    <row r="74" spans="73:75">
      <c r="BU74" s="759"/>
      <c r="BV74" s="759"/>
      <c r="BW74" s="759"/>
    </row>
    <row r="75" spans="73:75">
      <c r="BU75" s="759"/>
      <c r="BV75" s="759"/>
      <c r="BW75" s="759"/>
    </row>
    <row r="76" spans="73:75">
      <c r="BU76" s="759"/>
      <c r="BV76" s="759"/>
      <c r="BW76" s="759"/>
    </row>
    <row r="77" spans="73:75">
      <c r="BU77" s="759"/>
      <c r="BV77" s="759"/>
      <c r="BW77" s="759"/>
    </row>
    <row r="78" spans="73:75">
      <c r="BU78" s="759"/>
      <c r="BV78" s="759"/>
      <c r="BW78" s="759"/>
    </row>
    <row r="79" spans="73:75">
      <c r="BU79" s="759"/>
      <c r="BV79" s="759"/>
      <c r="BW79" s="759"/>
    </row>
    <row r="80" spans="73:75">
      <c r="BU80" s="759"/>
      <c r="BV80" s="759"/>
      <c r="BW80" s="759"/>
    </row>
    <row r="81" spans="73:75">
      <c r="BU81" s="759"/>
      <c r="BV81" s="759"/>
      <c r="BW81" s="759"/>
    </row>
    <row r="82" spans="73:75">
      <c r="BU82" s="759"/>
      <c r="BV82" s="759"/>
      <c r="BW82" s="759"/>
    </row>
    <row r="83" spans="73:75">
      <c r="BU83" s="759"/>
      <c r="BV83" s="759"/>
      <c r="BW83" s="759"/>
    </row>
    <row r="84" spans="73:75">
      <c r="BU84" s="759"/>
      <c r="BV84" s="759"/>
      <c r="BW84" s="759"/>
    </row>
    <row r="85" spans="73:75">
      <c r="BU85" s="759"/>
      <c r="BV85" s="759"/>
      <c r="BW85" s="759"/>
    </row>
    <row r="86" spans="73:75">
      <c r="BU86" s="759"/>
      <c r="BV86" s="759"/>
      <c r="BW86" s="759"/>
    </row>
    <row r="87" spans="73:75">
      <c r="BU87" s="759"/>
      <c r="BV87" s="759"/>
      <c r="BW87" s="759"/>
    </row>
    <row r="88" spans="73:75">
      <c r="BU88" s="759"/>
      <c r="BV88" s="759"/>
      <c r="BW88" s="759"/>
    </row>
    <row r="89" spans="73:75">
      <c r="BU89" s="759"/>
      <c r="BV89" s="759"/>
      <c r="BW89" s="759"/>
    </row>
    <row r="90" spans="73:75">
      <c r="BU90" s="759"/>
      <c r="BV90" s="759"/>
      <c r="BW90" s="759"/>
    </row>
    <row r="91" spans="73:75">
      <c r="BU91" s="759"/>
      <c r="BV91" s="759"/>
      <c r="BW91" s="759"/>
    </row>
    <row r="92" spans="73:75">
      <c r="BU92" s="759"/>
      <c r="BV92" s="759"/>
      <c r="BW92" s="759"/>
    </row>
    <row r="93" spans="73:75">
      <c r="BU93" s="759"/>
      <c r="BV93" s="759"/>
      <c r="BW93" s="759"/>
    </row>
    <row r="94" spans="73:75">
      <c r="BU94" s="759"/>
      <c r="BV94" s="759"/>
      <c r="BW94" s="759"/>
    </row>
    <row r="95" spans="73:75">
      <c r="BU95" s="759"/>
      <c r="BV95" s="759"/>
      <c r="BW95" s="759"/>
    </row>
    <row r="96" spans="73:75">
      <c r="BU96" s="759"/>
      <c r="BV96" s="759"/>
      <c r="BW96" s="759"/>
    </row>
    <row r="97" spans="73:75">
      <c r="BU97" s="759"/>
      <c r="BV97" s="759"/>
      <c r="BW97" s="759"/>
    </row>
    <row r="98" spans="73:75">
      <c r="BU98" s="759"/>
      <c r="BV98" s="759"/>
      <c r="BW98" s="759"/>
    </row>
    <row r="99" spans="73:75">
      <c r="BU99" s="759"/>
      <c r="BV99" s="759"/>
      <c r="BW99" s="759"/>
    </row>
    <row r="100" spans="73:75">
      <c r="BU100" s="759"/>
      <c r="BV100" s="759"/>
      <c r="BW100" s="759"/>
    </row>
    <row r="101" spans="73:75">
      <c r="BU101" s="759"/>
      <c r="BV101" s="759"/>
      <c r="BW101" s="759"/>
    </row>
    <row r="102" spans="73:75">
      <c r="BU102" s="759"/>
      <c r="BV102" s="759"/>
      <c r="BW102" s="759"/>
    </row>
    <row r="103" spans="73:75">
      <c r="BU103" s="759"/>
      <c r="BV103" s="759"/>
      <c r="BW103" s="759"/>
    </row>
    <row r="104" spans="73:75">
      <c r="BU104" s="759"/>
      <c r="BV104" s="759"/>
      <c r="BW104" s="759"/>
    </row>
    <row r="105" spans="73:75">
      <c r="BU105" s="759"/>
      <c r="BV105" s="759"/>
      <c r="BW105" s="759"/>
    </row>
    <row r="106" spans="73:75">
      <c r="BU106" s="759"/>
      <c r="BV106" s="759"/>
      <c r="BW106" s="759"/>
    </row>
    <row r="107" spans="73:75">
      <c r="BU107" s="759"/>
      <c r="BV107" s="759"/>
      <c r="BW107" s="759"/>
    </row>
    <row r="108" spans="73:75">
      <c r="BU108" s="759"/>
      <c r="BV108" s="759"/>
      <c r="BW108" s="759"/>
    </row>
    <row r="109" spans="73:75">
      <c r="BU109" s="759"/>
      <c r="BV109" s="759"/>
      <c r="BW109" s="759"/>
    </row>
    <row r="110" spans="73:75">
      <c r="BU110" s="759"/>
      <c r="BV110" s="759"/>
      <c r="BW110" s="759"/>
    </row>
    <row r="111" spans="73:75">
      <c r="BU111" s="759"/>
      <c r="BV111" s="759"/>
      <c r="BW111" s="759"/>
    </row>
    <row r="112" spans="73:75">
      <c r="BU112" s="759"/>
      <c r="BV112" s="759"/>
      <c r="BW112" s="759"/>
    </row>
    <row r="113" spans="73:75">
      <c r="BU113" s="759"/>
      <c r="BV113" s="759"/>
      <c r="BW113" s="759"/>
    </row>
    <row r="114" spans="73:75">
      <c r="BU114" s="759"/>
      <c r="BV114" s="759"/>
      <c r="BW114" s="759"/>
    </row>
    <row r="115" spans="73:75">
      <c r="BU115" s="759"/>
      <c r="BV115" s="759"/>
      <c r="BW115" s="759"/>
    </row>
    <row r="116" spans="73:75">
      <c r="BU116" s="759"/>
      <c r="BV116" s="759"/>
      <c r="BW116" s="759"/>
    </row>
    <row r="117" spans="73:75">
      <c r="BU117" s="759"/>
      <c r="BV117" s="759"/>
      <c r="BW117" s="759"/>
    </row>
    <row r="118" spans="73:75">
      <c r="BU118" s="759"/>
      <c r="BV118" s="759"/>
      <c r="BW118" s="759"/>
    </row>
    <row r="119" spans="73:75">
      <c r="BU119" s="759"/>
      <c r="BV119" s="759"/>
      <c r="BW119" s="759"/>
    </row>
    <row r="120" spans="73:75">
      <c r="BU120" s="759"/>
      <c r="BV120" s="759"/>
      <c r="BW120" s="759"/>
    </row>
    <row r="121" spans="73:75">
      <c r="BU121" s="759"/>
      <c r="BV121" s="759"/>
      <c r="BW121" s="759"/>
    </row>
    <row r="122" spans="73:75">
      <c r="BU122" s="759"/>
      <c r="BV122" s="759"/>
      <c r="BW122" s="759"/>
    </row>
    <row r="123" spans="73:75">
      <c r="BU123" s="759"/>
      <c r="BV123" s="759"/>
      <c r="BW123" s="759"/>
    </row>
    <row r="124" spans="73:75">
      <c r="BU124" s="759"/>
      <c r="BV124" s="759"/>
      <c r="BW124" s="759"/>
    </row>
    <row r="125" spans="73:75">
      <c r="BU125" s="759"/>
      <c r="BV125" s="759"/>
      <c r="BW125" s="759"/>
    </row>
    <row r="126" spans="73:75">
      <c r="BU126" s="759"/>
      <c r="BV126" s="759"/>
      <c r="BW126" s="759"/>
    </row>
    <row r="127" spans="73:75">
      <c r="BU127" s="759"/>
      <c r="BV127" s="759"/>
      <c r="BW127" s="759"/>
    </row>
    <row r="128" spans="73:75">
      <c r="BU128" s="759"/>
      <c r="BV128" s="759"/>
      <c r="BW128" s="759"/>
    </row>
    <row r="129" spans="73:75">
      <c r="BU129" s="759"/>
      <c r="BV129" s="759"/>
      <c r="BW129" s="759"/>
    </row>
    <row r="130" spans="73:75">
      <c r="BU130" s="759"/>
      <c r="BV130" s="759"/>
      <c r="BW130" s="759"/>
    </row>
  </sheetData>
  <mergeCells count="3">
    <mergeCell ref="B18:L18"/>
    <mergeCell ref="BO9:BQ9"/>
    <mergeCell ref="BT9:BY9"/>
  </mergeCells>
  <phoneticPr fontId="30" type="noConversion"/>
  <pageMargins left="0.7" right="0.7" top="0.75" bottom="0.75" header="0.3" footer="0.3"/>
  <pageSetup orientation="portrait" horizontalDpi="4294967293" verticalDpi="4294967293" r:id="rId1"/>
</worksheet>
</file>

<file path=xl/worksheets/sheet15.xml><?xml version="1.0" encoding="utf-8"?>
<worksheet xmlns="http://schemas.openxmlformats.org/spreadsheetml/2006/main" xmlns:r="http://schemas.openxmlformats.org/officeDocument/2006/relationships">
  <sheetPr codeName="Sheet15" enableFormatConditionsCalculation="0">
    <tabColor rgb="FFFF0000"/>
  </sheetPr>
  <dimension ref="A1:K42"/>
  <sheetViews>
    <sheetView showGridLines="0" workbookViewId="0">
      <selection activeCell="C14" sqref="C14"/>
    </sheetView>
  </sheetViews>
  <sheetFormatPr defaultRowHeight="12"/>
  <cols>
    <col min="1" max="1" width="2" style="482" bestFit="1" customWidth="1"/>
    <col min="2" max="2" width="20" style="482" customWidth="1"/>
    <col min="3" max="3" width="15.85546875" style="482" customWidth="1"/>
    <col min="4" max="4" width="16" style="482" customWidth="1"/>
    <col min="5" max="5" width="11.5703125" style="482" customWidth="1"/>
    <col min="6" max="6" width="15.85546875" style="482" customWidth="1"/>
    <col min="7" max="7" width="15.7109375" style="482" customWidth="1"/>
    <col min="8" max="8" width="12.7109375" style="482" customWidth="1"/>
    <col min="9" max="9" width="10.42578125" style="482" customWidth="1"/>
    <col min="10" max="10" width="10.140625" style="482" customWidth="1"/>
    <col min="11" max="16384" width="9.140625" style="482"/>
  </cols>
  <sheetData>
    <row r="1" spans="1:11">
      <c r="B1" s="480" t="s">
        <v>1034</v>
      </c>
    </row>
    <row r="2" spans="1:11">
      <c r="A2" s="482">
        <v>1</v>
      </c>
      <c r="B2" s="482" t="s">
        <v>2589</v>
      </c>
    </row>
    <row r="3" spans="1:11">
      <c r="A3" s="482">
        <v>2</v>
      </c>
      <c r="B3" s="483" t="s">
        <v>2263</v>
      </c>
      <c r="C3" s="483"/>
    </row>
    <row r="4" spans="1:11">
      <c r="A4" s="482">
        <v>3</v>
      </c>
      <c r="B4" s="482" t="s">
        <v>1275</v>
      </c>
    </row>
    <row r="5" spans="1:11">
      <c r="A5" s="482">
        <v>4</v>
      </c>
      <c r="B5" s="482" t="s">
        <v>2590</v>
      </c>
    </row>
    <row r="6" spans="1:11">
      <c r="A6" s="482">
        <v>5</v>
      </c>
      <c r="B6" s="2283" t="s">
        <v>3045</v>
      </c>
      <c r="C6" s="2283"/>
      <c r="D6" s="2283"/>
      <c r="E6" s="2283"/>
      <c r="F6" s="2283"/>
      <c r="G6" s="2283"/>
      <c r="H6" s="2283"/>
      <c r="I6" s="2283"/>
      <c r="J6" s="2283"/>
      <c r="K6" s="2283"/>
    </row>
    <row r="8" spans="1:11" ht="12.75" thickBot="1">
      <c r="B8" s="480" t="s">
        <v>1166</v>
      </c>
    </row>
    <row r="9" spans="1:11" ht="12.75" thickBot="1">
      <c r="B9" s="711" t="s">
        <v>2266</v>
      </c>
      <c r="C9" s="661" t="s">
        <v>1215</v>
      </c>
      <c r="D9" s="2286" t="s">
        <v>1216</v>
      </c>
      <c r="E9" s="2287"/>
      <c r="F9" s="2287"/>
      <c r="G9" s="2287"/>
      <c r="H9" s="2287"/>
      <c r="I9" s="2287"/>
      <c r="J9" s="2288"/>
    </row>
    <row r="10" spans="1:11" ht="12.75" thickBot="1">
      <c r="B10" s="712" t="s">
        <v>1217</v>
      </c>
      <c r="C10" s="713">
        <f>'Basic Info'!C11</f>
        <v>0</v>
      </c>
      <c r="D10" s="2289" t="s">
        <v>1480</v>
      </c>
      <c r="E10" s="2287"/>
      <c r="F10" s="2287"/>
      <c r="G10" s="2287"/>
      <c r="H10" s="2287"/>
      <c r="I10" s="2287"/>
      <c r="J10" s="2288"/>
    </row>
    <row r="11" spans="1:11" ht="12.75" thickBot="1">
      <c r="B11" s="685" t="s">
        <v>1481</v>
      </c>
      <c r="C11" s="664">
        <f>SUM('Basic Info'!C12:C17)+SUM('Basic Info'!C20:C21)</f>
        <v>0</v>
      </c>
      <c r="D11" s="2289" t="s">
        <v>1276</v>
      </c>
      <c r="E11" s="2287"/>
      <c r="F11" s="2287"/>
      <c r="G11" s="2287"/>
      <c r="H11" s="2287"/>
      <c r="I11" s="2287"/>
      <c r="J11" s="2288"/>
    </row>
    <row r="12" spans="1:11" ht="12.75" thickBot="1">
      <c r="B12" s="652" t="s">
        <v>1482</v>
      </c>
      <c r="C12" s="714">
        <f>'Basic Info'!C18+'Basic Info'!C19</f>
        <v>0</v>
      </c>
      <c r="D12" s="2289" t="s">
        <v>3046</v>
      </c>
      <c r="E12" s="2287"/>
      <c r="F12" s="2287"/>
      <c r="G12" s="2287"/>
      <c r="H12" s="2287"/>
      <c r="I12" s="2287"/>
      <c r="J12" s="2288"/>
    </row>
    <row r="13" spans="1:11" ht="12.75" thickBot="1">
      <c r="B13" s="652" t="s">
        <v>1272</v>
      </c>
      <c r="C13" s="714">
        <f>'Basic Info'!C22</f>
        <v>0</v>
      </c>
      <c r="D13" s="2289" t="s">
        <v>3047</v>
      </c>
      <c r="E13" s="2287"/>
      <c r="F13" s="2287"/>
      <c r="G13" s="2287"/>
      <c r="H13" s="2287"/>
      <c r="I13" s="2287"/>
      <c r="J13" s="2288"/>
    </row>
    <row r="14" spans="1:11" ht="12.75" thickBot="1">
      <c r="B14" s="715" t="s">
        <v>1483</v>
      </c>
      <c r="C14" s="716">
        <f>'Basic Info'!C25</f>
        <v>0</v>
      </c>
    </row>
    <row r="16" spans="1:11" ht="12.75" thickBot="1">
      <c r="B16" s="480" t="s">
        <v>1484</v>
      </c>
    </row>
    <row r="17" spans="2:11" ht="12.75" thickBot="1">
      <c r="B17" s="712" t="s">
        <v>1485</v>
      </c>
      <c r="C17" s="717">
        <f>'Basic Info'!C53</f>
        <v>0.18590000000000001</v>
      </c>
      <c r="D17" s="660" t="s">
        <v>1486</v>
      </c>
    </row>
    <row r="18" spans="2:11" ht="12.75" thickBot="1">
      <c r="B18" s="685" t="s">
        <v>1274</v>
      </c>
      <c r="C18" s="718">
        <f>'Basic Info'!C54</f>
        <v>1.579</v>
      </c>
      <c r="D18" s="653" t="s">
        <v>1487</v>
      </c>
      <c r="K18" s="486"/>
    </row>
    <row r="19" spans="2:11" ht="12.75" thickBot="1">
      <c r="B19" s="685" t="s">
        <v>2587</v>
      </c>
      <c r="C19" s="1849">
        <f>'Reporting Summary'!C116</f>
        <v>0</v>
      </c>
      <c r="D19" s="653" t="s">
        <v>0</v>
      </c>
      <c r="K19" s="486"/>
    </row>
    <row r="21" spans="2:11" ht="12.75" thickBot="1">
      <c r="B21" s="480" t="s">
        <v>1489</v>
      </c>
    </row>
    <row r="22" spans="2:11" ht="12.75" thickBot="1">
      <c r="B22" s="719"/>
      <c r="C22" s="2290" t="s">
        <v>991</v>
      </c>
      <c r="D22" s="2291"/>
      <c r="E22" s="2292"/>
      <c r="F22" s="2290" t="s">
        <v>992</v>
      </c>
      <c r="G22" s="2291"/>
      <c r="H22" s="2293"/>
      <c r="I22" s="2281" t="s">
        <v>2603</v>
      </c>
      <c r="J22" s="2284" t="s">
        <v>1491</v>
      </c>
    </row>
    <row r="23" spans="2:11" ht="12.75" thickBot="1">
      <c r="B23" s="651"/>
      <c r="C23" s="665" t="s">
        <v>1</v>
      </c>
      <c r="D23" s="720" t="s">
        <v>1492</v>
      </c>
      <c r="E23" s="662" t="s">
        <v>1495</v>
      </c>
      <c r="F23" s="665" t="s">
        <v>1</v>
      </c>
      <c r="G23" s="663" t="s">
        <v>1492</v>
      </c>
      <c r="H23" s="663" t="s">
        <v>1495</v>
      </c>
      <c r="I23" s="2282"/>
      <c r="J23" s="2285"/>
    </row>
    <row r="24" spans="2:11" ht="12.75" thickBot="1">
      <c r="B24" s="685" t="s">
        <v>1496</v>
      </c>
      <c r="C24" s="721" t="e">
        <f>100000*SUMIF('Results from eQUEST'!$AY$7:$BJ$7, B24, 'Results from eQUEST'!$AY$18:$BJ$18)</f>
        <v>#DIV/0!</v>
      </c>
      <c r="D24" s="722" t="e">
        <f>3412*SUMIF('Results from eQUEST'!$M$7:$X$7, 'Simulation Summary'!B24, 'Results from eQUEST'!$M$18:$X$18)</f>
        <v>#DIV/0!</v>
      </c>
      <c r="E24" s="723" t="e">
        <f t="shared" ref="E24:E29" si="0">C24/100000*$C$18+D24/3412*$C$17</f>
        <v>#DIV/0!</v>
      </c>
      <c r="F24" s="722">
        <f>100000*SUMIF('Results from eQUEST'!$AY$7:$BJ$7, B24, 'Results from eQUEST'!$AY$21:$BJ$21)</f>
        <v>0</v>
      </c>
      <c r="G24" s="722">
        <f>3412*SUMIF('Results from eQUEST'!$M$7:$X$7, 'Simulation Summary'!B24, 'Results from eQUEST'!$M$21:$X$21)</f>
        <v>0</v>
      </c>
      <c r="H24" s="724">
        <f t="shared" ref="H24:H29" si="1">F24/100000*$C$18+G24/3412*$C$17</f>
        <v>0</v>
      </c>
      <c r="I24" s="725" t="e">
        <f>IF(SUM(C24:D24)=0,0,(SUM(C24:D24)-SUM(F24:G24))/SUM(C24:D24))</f>
        <v>#DIV/0!</v>
      </c>
      <c r="J24" s="726" t="e">
        <f>IF(E24=0,0,(E24-H24)/E24)</f>
        <v>#DIV/0!</v>
      </c>
    </row>
    <row r="25" spans="2:11" ht="12.75" thickBot="1">
      <c r="B25" s="685" t="s">
        <v>1497</v>
      </c>
      <c r="C25" s="721" t="e">
        <f ca="1">100000*SUMIF('Results from eQUEST'!$AY$7:$BJ$8, B25, 'Results from eQUEST'!$AY$18:$BJ$18)</f>
        <v>#DIV/0!</v>
      </c>
      <c r="D25" s="722" t="e">
        <f>3412*SUMIF('Results from eQUEST'!$M$7:$X$7, 'Simulation Summary'!B25, 'Results from eQUEST'!$M$18:$X$18)</f>
        <v>#DIV/0!</v>
      </c>
      <c r="E25" s="723" t="e">
        <f t="shared" ca="1" si="0"/>
        <v>#DIV/0!</v>
      </c>
      <c r="F25" s="722">
        <f>100000*SUMIF('Results from eQUEST'!$AY$7:$BJ$7, B25, 'Results from eQUEST'!$AY$21:$BJ$21)</f>
        <v>0</v>
      </c>
      <c r="G25" s="722">
        <f>3412*SUMIF('Results from eQUEST'!$M$7:$X$7, 'Simulation Summary'!B25, 'Results from eQUEST'!$M$21:$X$21)</f>
        <v>0</v>
      </c>
      <c r="H25" s="724">
        <f t="shared" si="1"/>
        <v>0</v>
      </c>
      <c r="I25" s="725" t="e">
        <f t="shared" ref="I25:I30" ca="1" si="2">IF(SUM(C25:D25)=0,0,(SUM(C25:D25)-SUM(F25:G25))/SUM(C25:D25))</f>
        <v>#DIV/0!</v>
      </c>
      <c r="J25" s="726" t="e">
        <f t="shared" ref="J25:J30" ca="1" si="3">IF(E25=0,0,(E25-H25)/E25)</f>
        <v>#DIV/0!</v>
      </c>
    </row>
    <row r="26" spans="2:11" ht="12.75" thickBot="1">
      <c r="B26" s="685" t="s">
        <v>1498</v>
      </c>
      <c r="C26" s="721" t="e">
        <f>100000*SUMIF('Results from eQUEST'!$AY$7:$BJ$7, B26, 'Results from eQUEST'!$AY$18:$BJ$18)</f>
        <v>#DIV/0!</v>
      </c>
      <c r="D26" s="722" t="e">
        <f>3412*SUMIF('Results from eQUEST'!$M$7:$X$7, 'Simulation Summary'!B26, 'Results from eQUEST'!$M$18:$X$18)</f>
        <v>#DIV/0!</v>
      </c>
      <c r="E26" s="723" t="e">
        <f t="shared" si="0"/>
        <v>#DIV/0!</v>
      </c>
      <c r="F26" s="722">
        <f>100000*SUMIF('Results from eQUEST'!$AY$7:$BJ$7, B26, 'Results from eQUEST'!$AY$21:$BJ$21)</f>
        <v>0</v>
      </c>
      <c r="G26" s="722">
        <f>3412*SUMIF('Results from eQUEST'!$M$7:$X$7, 'Simulation Summary'!B26, 'Results from eQUEST'!$M$21:$X$21)</f>
        <v>0</v>
      </c>
      <c r="H26" s="724">
        <f t="shared" si="1"/>
        <v>0</v>
      </c>
      <c r="I26" s="725" t="e">
        <f t="shared" si="2"/>
        <v>#DIV/0!</v>
      </c>
      <c r="J26" s="726" t="e">
        <f t="shared" si="3"/>
        <v>#DIV/0!</v>
      </c>
    </row>
    <row r="27" spans="2:11" ht="12.75" thickBot="1">
      <c r="B27" s="685" t="s">
        <v>1499</v>
      </c>
      <c r="C27" s="721" t="e">
        <f>100000*SUMIF('Results from eQUEST'!$AY$7:$BJ$7, B27, 'Results from eQUEST'!$AY$18:$BJ$18)</f>
        <v>#DIV/0!</v>
      </c>
      <c r="D27" s="722" t="e">
        <f>3412*SUMIF('Results from eQUEST'!$M$7:$X$7, 'Simulation Summary'!B27, 'Results from eQUEST'!$M$18:$X$18)</f>
        <v>#DIV/0!</v>
      </c>
      <c r="E27" s="723" t="e">
        <f t="shared" si="0"/>
        <v>#DIV/0!</v>
      </c>
      <c r="F27" s="722">
        <f>100000*SUMIF('Results from eQUEST'!$AY$7:$BJ$7, B27, 'Results from eQUEST'!$AY$21:$BJ$21)</f>
        <v>0</v>
      </c>
      <c r="G27" s="722">
        <f>3412*SUMIF('Results from eQUEST'!$M$7:$X$7, 'Simulation Summary'!B27, 'Results from eQUEST'!$M$21:$X$21)</f>
        <v>0</v>
      </c>
      <c r="H27" s="724">
        <f t="shared" si="1"/>
        <v>0</v>
      </c>
      <c r="I27" s="725" t="e">
        <f t="shared" si="2"/>
        <v>#DIV/0!</v>
      </c>
      <c r="J27" s="726" t="e">
        <f t="shared" si="3"/>
        <v>#DIV/0!</v>
      </c>
    </row>
    <row r="28" spans="2:11" ht="12.75" thickBot="1">
      <c r="B28" s="685" t="s">
        <v>1500</v>
      </c>
      <c r="C28" s="721" t="e">
        <f>100000*SUMIF('Results from eQUEST'!$AY$7:$BJ$7, B28, 'Results from eQUEST'!$AY$18:$BJ$18)</f>
        <v>#DIV/0!</v>
      </c>
      <c r="D28" s="722" t="e">
        <f>3412*SUMIF('Results from eQUEST'!$M$7:$X$7, 'Simulation Summary'!B28, 'Results from eQUEST'!$M$18:$X$18)</f>
        <v>#DIV/0!</v>
      </c>
      <c r="E28" s="723" t="e">
        <f t="shared" si="0"/>
        <v>#DIV/0!</v>
      </c>
      <c r="F28" s="722">
        <f>100000*SUMIF('Results from eQUEST'!$AY$7:$BJ$7, B28, 'Results from eQUEST'!$AY$21:$BJ$21)</f>
        <v>0</v>
      </c>
      <c r="G28" s="722">
        <f>3412*SUMIF('Results from eQUEST'!$M$7:$X$7, 'Simulation Summary'!B28, 'Results from eQUEST'!$M$21:$X$21)</f>
        <v>0</v>
      </c>
      <c r="H28" s="724">
        <f t="shared" si="1"/>
        <v>0</v>
      </c>
      <c r="I28" s="725" t="e">
        <f t="shared" si="2"/>
        <v>#DIV/0!</v>
      </c>
      <c r="J28" s="726" t="e">
        <f t="shared" si="3"/>
        <v>#DIV/0!</v>
      </c>
    </row>
    <row r="29" spans="2:11" ht="12.75" thickBot="1">
      <c r="B29" s="685" t="s">
        <v>1501</v>
      </c>
      <c r="C29" s="721" t="e">
        <f>100000*SUMIF('Results from eQUEST'!$AY$7:$BJ$7, B29, 'Results from eQUEST'!$AY$18:$BJ$18)</f>
        <v>#DIV/0!</v>
      </c>
      <c r="D29" s="722" t="e">
        <f>3412*SUMIF('Results from eQUEST'!$M$7:$X$7, 'Simulation Summary'!B29, 'Results from eQUEST'!$M$18:$X$18)</f>
        <v>#DIV/0!</v>
      </c>
      <c r="E29" s="723" t="e">
        <f t="shared" si="0"/>
        <v>#DIV/0!</v>
      </c>
      <c r="F29" s="722">
        <f>100000*SUMIF('Results from eQUEST'!$AY$7:$BJ$7, B29, 'Results from eQUEST'!$AY$21:$BJ$21)</f>
        <v>0</v>
      </c>
      <c r="G29" s="722">
        <f>3412*SUMIF('Results from eQUEST'!$M$7:$X$7, 'Simulation Summary'!B29, 'Results from eQUEST'!$M$21:$X$21)</f>
        <v>0</v>
      </c>
      <c r="H29" s="724">
        <f t="shared" si="1"/>
        <v>0</v>
      </c>
      <c r="I29" s="725" t="e">
        <f t="shared" si="2"/>
        <v>#DIV/0!</v>
      </c>
      <c r="J29" s="726" t="e">
        <f t="shared" si="3"/>
        <v>#DIV/0!</v>
      </c>
    </row>
    <row r="30" spans="2:11" ht="12.75" thickBot="1">
      <c r="B30" s="686" t="s">
        <v>1266</v>
      </c>
      <c r="C30" s="721" t="e">
        <f t="shared" ref="C30:H30" si="4">SUM(C24:C29)</f>
        <v>#DIV/0!</v>
      </c>
      <c r="D30" s="721" t="e">
        <f t="shared" si="4"/>
        <v>#DIV/0!</v>
      </c>
      <c r="E30" s="727" t="e">
        <f t="shared" si="4"/>
        <v>#DIV/0!</v>
      </c>
      <c r="F30" s="728">
        <f t="shared" si="4"/>
        <v>0</v>
      </c>
      <c r="G30" s="728">
        <f t="shared" si="4"/>
        <v>0</v>
      </c>
      <c r="H30" s="729">
        <f t="shared" si="4"/>
        <v>0</v>
      </c>
      <c r="I30" s="725" t="e">
        <f t="shared" si="2"/>
        <v>#DIV/0!</v>
      </c>
      <c r="J30" s="730" t="e">
        <f t="shared" si="3"/>
        <v>#DIV/0!</v>
      </c>
    </row>
    <row r="31" spans="2:11" ht="12.75" thickBot="1"/>
    <row r="32" spans="2:11" ht="12.75" thickBot="1">
      <c r="B32" s="480" t="s">
        <v>2098</v>
      </c>
      <c r="G32" s="731"/>
      <c r="H32" s="723" t="e">
        <f>F30*C18/100000/('Reporting Summary'!I35)/12</f>
        <v>#DIV/0!</v>
      </c>
      <c r="I32" s="482" t="s">
        <v>2601</v>
      </c>
    </row>
    <row r="33" spans="2:9" ht="12.75" thickBot="1">
      <c r="G33" s="731"/>
      <c r="H33" s="723" t="e">
        <f>G30*C17/3412/12/('Reporting Summary'!I35)</f>
        <v>#DIV/0!</v>
      </c>
      <c r="I33" s="482" t="s">
        <v>2600</v>
      </c>
    </row>
    <row r="34" spans="2:9" ht="12.75" thickBot="1">
      <c r="B34" s="651"/>
      <c r="C34" s="665" t="s">
        <v>991</v>
      </c>
      <c r="D34" s="662" t="s">
        <v>992</v>
      </c>
    </row>
    <row r="35" spans="2:9" ht="12.75" thickBot="1">
      <c r="B35" s="651"/>
      <c r="C35" s="665" t="s">
        <v>2099</v>
      </c>
      <c r="D35" s="662" t="s">
        <v>2099</v>
      </c>
    </row>
    <row r="36" spans="2:9" ht="12.75" thickBot="1">
      <c r="B36" s="685" t="s">
        <v>1496</v>
      </c>
      <c r="C36" s="666">
        <f t="shared" ref="C36:C41" si="5">IF($C$14=0,0,SUM(C24:D24)/$C$14)</f>
        <v>0</v>
      </c>
      <c r="D36" s="664">
        <f t="shared" ref="D36:D41" si="6">IF($C$14=0,0,SUM(F24:G24)/$C$14)</f>
        <v>0</v>
      </c>
    </row>
    <row r="37" spans="2:9" ht="12.75" thickBot="1">
      <c r="B37" s="685" t="s">
        <v>1497</v>
      </c>
      <c r="C37" s="666">
        <f t="shared" si="5"/>
        <v>0</v>
      </c>
      <c r="D37" s="664">
        <f t="shared" si="6"/>
        <v>0</v>
      </c>
    </row>
    <row r="38" spans="2:9" ht="12.75" thickBot="1">
      <c r="B38" s="685" t="s">
        <v>1498</v>
      </c>
      <c r="C38" s="666">
        <f t="shared" si="5"/>
        <v>0</v>
      </c>
      <c r="D38" s="664">
        <f t="shared" si="6"/>
        <v>0</v>
      </c>
    </row>
    <row r="39" spans="2:9" ht="12.75" thickBot="1">
      <c r="B39" s="685" t="s">
        <v>1499</v>
      </c>
      <c r="C39" s="666">
        <f t="shared" si="5"/>
        <v>0</v>
      </c>
      <c r="D39" s="664">
        <f t="shared" si="6"/>
        <v>0</v>
      </c>
    </row>
    <row r="40" spans="2:9" ht="12.75" thickBot="1">
      <c r="B40" s="685" t="s">
        <v>1500</v>
      </c>
      <c r="C40" s="666">
        <f t="shared" si="5"/>
        <v>0</v>
      </c>
      <c r="D40" s="664">
        <f t="shared" si="6"/>
        <v>0</v>
      </c>
    </row>
    <row r="41" spans="2:9" ht="12.75" thickBot="1">
      <c r="B41" s="685" t="s">
        <v>1501</v>
      </c>
      <c r="C41" s="666">
        <f t="shared" si="5"/>
        <v>0</v>
      </c>
      <c r="D41" s="664">
        <f t="shared" si="6"/>
        <v>0</v>
      </c>
    </row>
    <row r="42" spans="2:9" ht="12.75" thickBot="1">
      <c r="B42" s="686" t="s">
        <v>1266</v>
      </c>
      <c r="C42" s="666">
        <f>SUM(C36:C41)</f>
        <v>0</v>
      </c>
      <c r="D42" s="664">
        <f>SUM(D36:D41)</f>
        <v>0</v>
      </c>
    </row>
  </sheetData>
  <mergeCells count="10">
    <mergeCell ref="I22:I23"/>
    <mergeCell ref="B6:K6"/>
    <mergeCell ref="J22:J23"/>
    <mergeCell ref="D9:J9"/>
    <mergeCell ref="D10:J10"/>
    <mergeCell ref="D11:J11"/>
    <mergeCell ref="D12:J12"/>
    <mergeCell ref="D13:J13"/>
    <mergeCell ref="C22:E22"/>
    <mergeCell ref="F22:H22"/>
  </mergeCells>
  <phoneticPr fontId="30" type="noConversion"/>
  <pageMargins left="0.75" right="0.75" top="1" bottom="1" header="0.5" footer="0.5"/>
  <pageSetup orientation="portrait" horizontalDpi="4294967293" r:id="rId1"/>
  <headerFooter alignWithMargins="0"/>
</worksheet>
</file>

<file path=xl/worksheets/sheet16.xml><?xml version="1.0" encoding="utf-8"?>
<worksheet xmlns="http://schemas.openxmlformats.org/spreadsheetml/2006/main" xmlns:r="http://schemas.openxmlformats.org/officeDocument/2006/relationships">
  <sheetPr>
    <tabColor rgb="FFFFFFCC"/>
  </sheetPr>
  <dimension ref="A1:N63"/>
  <sheetViews>
    <sheetView showGridLines="0" zoomScaleNormal="100" zoomScaleSheetLayoutView="100" workbookViewId="0">
      <selection activeCell="H10" sqref="H10"/>
    </sheetView>
  </sheetViews>
  <sheetFormatPr defaultRowHeight="15"/>
  <cols>
    <col min="1" max="1" width="3.140625" style="885" customWidth="1"/>
    <col min="2" max="3" width="9.140625" style="867"/>
    <col min="4" max="4" width="10" style="867" customWidth="1"/>
    <col min="5" max="14" width="9.140625" style="867"/>
    <col min="15" max="15" width="9.140625" style="867" customWidth="1"/>
    <col min="16" max="259" width="9.140625" style="867"/>
    <col min="260" max="260" width="10" style="867" customWidth="1"/>
    <col min="261" max="270" width="9.140625" style="867"/>
    <col min="271" max="271" width="9.140625" style="867" customWidth="1"/>
    <col min="272" max="515" width="9.140625" style="867"/>
    <col min="516" max="516" width="10" style="867" customWidth="1"/>
    <col min="517" max="526" width="9.140625" style="867"/>
    <col min="527" max="527" width="9.140625" style="867" customWidth="1"/>
    <col min="528" max="771" width="9.140625" style="867"/>
    <col min="772" max="772" width="10" style="867" customWidth="1"/>
    <col min="773" max="782" width="9.140625" style="867"/>
    <col min="783" max="783" width="9.140625" style="867" customWidth="1"/>
    <col min="784" max="1027" width="9.140625" style="867"/>
    <col min="1028" max="1028" width="10" style="867" customWidth="1"/>
    <col min="1029" max="1038" width="9.140625" style="867"/>
    <col min="1039" max="1039" width="9.140625" style="867" customWidth="1"/>
    <col min="1040" max="1283" width="9.140625" style="867"/>
    <col min="1284" max="1284" width="10" style="867" customWidth="1"/>
    <col min="1285" max="1294" width="9.140625" style="867"/>
    <col min="1295" max="1295" width="9.140625" style="867" customWidth="1"/>
    <col min="1296" max="1539" width="9.140625" style="867"/>
    <col min="1540" max="1540" width="10" style="867" customWidth="1"/>
    <col min="1541" max="1550" width="9.140625" style="867"/>
    <col min="1551" max="1551" width="9.140625" style="867" customWidth="1"/>
    <col min="1552" max="1795" width="9.140625" style="867"/>
    <col min="1796" max="1796" width="10" style="867" customWidth="1"/>
    <col min="1797" max="1806" width="9.140625" style="867"/>
    <col min="1807" max="1807" width="9.140625" style="867" customWidth="1"/>
    <col min="1808" max="2051" width="9.140625" style="867"/>
    <col min="2052" max="2052" width="10" style="867" customWidth="1"/>
    <col min="2053" max="2062" width="9.140625" style="867"/>
    <col min="2063" max="2063" width="9.140625" style="867" customWidth="1"/>
    <col min="2064" max="2307" width="9.140625" style="867"/>
    <col min="2308" max="2308" width="10" style="867" customWidth="1"/>
    <col min="2309" max="2318" width="9.140625" style="867"/>
    <col min="2319" max="2319" width="9.140625" style="867" customWidth="1"/>
    <col min="2320" max="2563" width="9.140625" style="867"/>
    <col min="2564" max="2564" width="10" style="867" customWidth="1"/>
    <col min="2565" max="2574" width="9.140625" style="867"/>
    <col min="2575" max="2575" width="9.140625" style="867" customWidth="1"/>
    <col min="2576" max="2819" width="9.140625" style="867"/>
    <col min="2820" max="2820" width="10" style="867" customWidth="1"/>
    <col min="2821" max="2830" width="9.140625" style="867"/>
    <col min="2831" max="2831" width="9.140625" style="867" customWidth="1"/>
    <col min="2832" max="3075" width="9.140625" style="867"/>
    <col min="3076" max="3076" width="10" style="867" customWidth="1"/>
    <col min="3077" max="3086" width="9.140625" style="867"/>
    <col min="3087" max="3087" width="9.140625" style="867" customWidth="1"/>
    <col min="3088" max="3331" width="9.140625" style="867"/>
    <col min="3332" max="3332" width="10" style="867" customWidth="1"/>
    <col min="3333" max="3342" width="9.140625" style="867"/>
    <col min="3343" max="3343" width="9.140625" style="867" customWidth="1"/>
    <col min="3344" max="3587" width="9.140625" style="867"/>
    <col min="3588" max="3588" width="10" style="867" customWidth="1"/>
    <col min="3589" max="3598" width="9.140625" style="867"/>
    <col min="3599" max="3599" width="9.140625" style="867" customWidth="1"/>
    <col min="3600" max="3843" width="9.140625" style="867"/>
    <col min="3844" max="3844" width="10" style="867" customWidth="1"/>
    <col min="3845" max="3854" width="9.140625" style="867"/>
    <col min="3855" max="3855" width="9.140625" style="867" customWidth="1"/>
    <col min="3856" max="4099" width="9.140625" style="867"/>
    <col min="4100" max="4100" width="10" style="867" customWidth="1"/>
    <col min="4101" max="4110" width="9.140625" style="867"/>
    <col min="4111" max="4111" width="9.140625" style="867" customWidth="1"/>
    <col min="4112" max="4355" width="9.140625" style="867"/>
    <col min="4356" max="4356" width="10" style="867" customWidth="1"/>
    <col min="4357" max="4366" width="9.140625" style="867"/>
    <col min="4367" max="4367" width="9.140625" style="867" customWidth="1"/>
    <col min="4368" max="4611" width="9.140625" style="867"/>
    <col min="4612" max="4612" width="10" style="867" customWidth="1"/>
    <col min="4613" max="4622" width="9.140625" style="867"/>
    <col min="4623" max="4623" width="9.140625" style="867" customWidth="1"/>
    <col min="4624" max="4867" width="9.140625" style="867"/>
    <col min="4868" max="4868" width="10" style="867" customWidth="1"/>
    <col min="4869" max="4878" width="9.140625" style="867"/>
    <col min="4879" max="4879" width="9.140625" style="867" customWidth="1"/>
    <col min="4880" max="5123" width="9.140625" style="867"/>
    <col min="5124" max="5124" width="10" style="867" customWidth="1"/>
    <col min="5125" max="5134" width="9.140625" style="867"/>
    <col min="5135" max="5135" width="9.140625" style="867" customWidth="1"/>
    <col min="5136" max="5379" width="9.140625" style="867"/>
    <col min="5380" max="5380" width="10" style="867" customWidth="1"/>
    <col min="5381" max="5390" width="9.140625" style="867"/>
    <col min="5391" max="5391" width="9.140625" style="867" customWidth="1"/>
    <col min="5392" max="5635" width="9.140625" style="867"/>
    <col min="5636" max="5636" width="10" style="867" customWidth="1"/>
    <col min="5637" max="5646" width="9.140625" style="867"/>
    <col min="5647" max="5647" width="9.140625" style="867" customWidth="1"/>
    <col min="5648" max="5891" width="9.140625" style="867"/>
    <col min="5892" max="5892" width="10" style="867" customWidth="1"/>
    <col min="5893" max="5902" width="9.140625" style="867"/>
    <col min="5903" max="5903" width="9.140625" style="867" customWidth="1"/>
    <col min="5904" max="6147" width="9.140625" style="867"/>
    <col min="6148" max="6148" width="10" style="867" customWidth="1"/>
    <col min="6149" max="6158" width="9.140625" style="867"/>
    <col min="6159" max="6159" width="9.140625" style="867" customWidth="1"/>
    <col min="6160" max="6403" width="9.140625" style="867"/>
    <col min="6404" max="6404" width="10" style="867" customWidth="1"/>
    <col min="6405" max="6414" width="9.140625" style="867"/>
    <col min="6415" max="6415" width="9.140625" style="867" customWidth="1"/>
    <col min="6416" max="6659" width="9.140625" style="867"/>
    <col min="6660" max="6660" width="10" style="867" customWidth="1"/>
    <col min="6661" max="6670" width="9.140625" style="867"/>
    <col min="6671" max="6671" width="9.140625" style="867" customWidth="1"/>
    <col min="6672" max="6915" width="9.140625" style="867"/>
    <col min="6916" max="6916" width="10" style="867" customWidth="1"/>
    <col min="6917" max="6926" width="9.140625" style="867"/>
    <col min="6927" max="6927" width="9.140625" style="867" customWidth="1"/>
    <col min="6928" max="7171" width="9.140625" style="867"/>
    <col min="7172" max="7172" width="10" style="867" customWidth="1"/>
    <col min="7173" max="7182" width="9.140625" style="867"/>
    <col min="7183" max="7183" width="9.140625" style="867" customWidth="1"/>
    <col min="7184" max="7427" width="9.140625" style="867"/>
    <col min="7428" max="7428" width="10" style="867" customWidth="1"/>
    <col min="7429" max="7438" width="9.140625" style="867"/>
    <col min="7439" max="7439" width="9.140625" style="867" customWidth="1"/>
    <col min="7440" max="7683" width="9.140625" style="867"/>
    <col min="7684" max="7684" width="10" style="867" customWidth="1"/>
    <col min="7685" max="7694" width="9.140625" style="867"/>
    <col min="7695" max="7695" width="9.140625" style="867" customWidth="1"/>
    <col min="7696" max="7939" width="9.140625" style="867"/>
    <col min="7940" max="7940" width="10" style="867" customWidth="1"/>
    <col min="7941" max="7950" width="9.140625" style="867"/>
    <col min="7951" max="7951" width="9.140625" style="867" customWidth="1"/>
    <col min="7952" max="8195" width="9.140625" style="867"/>
    <col min="8196" max="8196" width="10" style="867" customWidth="1"/>
    <col min="8197" max="8206" width="9.140625" style="867"/>
    <col min="8207" max="8207" width="9.140625" style="867" customWidth="1"/>
    <col min="8208" max="8451" width="9.140625" style="867"/>
    <col min="8452" max="8452" width="10" style="867" customWidth="1"/>
    <col min="8453" max="8462" width="9.140625" style="867"/>
    <col min="8463" max="8463" width="9.140625" style="867" customWidth="1"/>
    <col min="8464" max="8707" width="9.140625" style="867"/>
    <col min="8708" max="8708" width="10" style="867" customWidth="1"/>
    <col min="8709" max="8718" width="9.140625" style="867"/>
    <col min="8719" max="8719" width="9.140625" style="867" customWidth="1"/>
    <col min="8720" max="8963" width="9.140625" style="867"/>
    <col min="8964" max="8964" width="10" style="867" customWidth="1"/>
    <col min="8965" max="8974" width="9.140625" style="867"/>
    <col min="8975" max="8975" width="9.140625" style="867" customWidth="1"/>
    <col min="8976" max="9219" width="9.140625" style="867"/>
    <col min="9220" max="9220" width="10" style="867" customWidth="1"/>
    <col min="9221" max="9230" width="9.140625" style="867"/>
    <col min="9231" max="9231" width="9.140625" style="867" customWidth="1"/>
    <col min="9232" max="9475" width="9.140625" style="867"/>
    <col min="9476" max="9476" width="10" style="867" customWidth="1"/>
    <col min="9477" max="9486" width="9.140625" style="867"/>
    <col min="9487" max="9487" width="9.140625" style="867" customWidth="1"/>
    <col min="9488" max="9731" width="9.140625" style="867"/>
    <col min="9732" max="9732" width="10" style="867" customWidth="1"/>
    <col min="9733" max="9742" width="9.140625" style="867"/>
    <col min="9743" max="9743" width="9.140625" style="867" customWidth="1"/>
    <col min="9744" max="9987" width="9.140625" style="867"/>
    <col min="9988" max="9988" width="10" style="867" customWidth="1"/>
    <col min="9989" max="9998" width="9.140625" style="867"/>
    <col min="9999" max="9999" width="9.140625" style="867" customWidth="1"/>
    <col min="10000" max="10243" width="9.140625" style="867"/>
    <col min="10244" max="10244" width="10" style="867" customWidth="1"/>
    <col min="10245" max="10254" width="9.140625" style="867"/>
    <col min="10255" max="10255" width="9.140625" style="867" customWidth="1"/>
    <col min="10256" max="10499" width="9.140625" style="867"/>
    <col min="10500" max="10500" width="10" style="867" customWidth="1"/>
    <col min="10501" max="10510" width="9.140625" style="867"/>
    <col min="10511" max="10511" width="9.140625" style="867" customWidth="1"/>
    <col min="10512" max="10755" width="9.140625" style="867"/>
    <col min="10756" max="10756" width="10" style="867" customWidth="1"/>
    <col min="10757" max="10766" width="9.140625" style="867"/>
    <col min="10767" max="10767" width="9.140625" style="867" customWidth="1"/>
    <col min="10768" max="11011" width="9.140625" style="867"/>
    <col min="11012" max="11012" width="10" style="867" customWidth="1"/>
    <col min="11013" max="11022" width="9.140625" style="867"/>
    <col min="11023" max="11023" width="9.140625" style="867" customWidth="1"/>
    <col min="11024" max="11267" width="9.140625" style="867"/>
    <col min="11268" max="11268" width="10" style="867" customWidth="1"/>
    <col min="11269" max="11278" width="9.140625" style="867"/>
    <col min="11279" max="11279" width="9.140625" style="867" customWidth="1"/>
    <col min="11280" max="11523" width="9.140625" style="867"/>
    <col min="11524" max="11524" width="10" style="867" customWidth="1"/>
    <col min="11525" max="11534" width="9.140625" style="867"/>
    <col min="11535" max="11535" width="9.140625" style="867" customWidth="1"/>
    <col min="11536" max="11779" width="9.140625" style="867"/>
    <col min="11780" max="11780" width="10" style="867" customWidth="1"/>
    <col min="11781" max="11790" width="9.140625" style="867"/>
    <col min="11791" max="11791" width="9.140625" style="867" customWidth="1"/>
    <col min="11792" max="12035" width="9.140625" style="867"/>
    <col min="12036" max="12036" width="10" style="867" customWidth="1"/>
    <col min="12037" max="12046" width="9.140625" style="867"/>
    <col min="12047" max="12047" width="9.140625" style="867" customWidth="1"/>
    <col min="12048" max="12291" width="9.140625" style="867"/>
    <col min="12292" max="12292" width="10" style="867" customWidth="1"/>
    <col min="12293" max="12302" width="9.140625" style="867"/>
    <col min="12303" max="12303" width="9.140625" style="867" customWidth="1"/>
    <col min="12304" max="12547" width="9.140625" style="867"/>
    <col min="12548" max="12548" width="10" style="867" customWidth="1"/>
    <col min="12549" max="12558" width="9.140625" style="867"/>
    <col min="12559" max="12559" width="9.140625" style="867" customWidth="1"/>
    <col min="12560" max="12803" width="9.140625" style="867"/>
    <col min="12804" max="12804" width="10" style="867" customWidth="1"/>
    <col min="12805" max="12814" width="9.140625" style="867"/>
    <col min="12815" max="12815" width="9.140625" style="867" customWidth="1"/>
    <col min="12816" max="13059" width="9.140625" style="867"/>
    <col min="13060" max="13060" width="10" style="867" customWidth="1"/>
    <col min="13061" max="13070" width="9.140625" style="867"/>
    <col min="13071" max="13071" width="9.140625" style="867" customWidth="1"/>
    <col min="13072" max="13315" width="9.140625" style="867"/>
    <col min="13316" max="13316" width="10" style="867" customWidth="1"/>
    <col min="13317" max="13326" width="9.140625" style="867"/>
    <col min="13327" max="13327" width="9.140625" style="867" customWidth="1"/>
    <col min="13328" max="13571" width="9.140625" style="867"/>
    <col min="13572" max="13572" width="10" style="867" customWidth="1"/>
    <col min="13573" max="13582" width="9.140625" style="867"/>
    <col min="13583" max="13583" width="9.140625" style="867" customWidth="1"/>
    <col min="13584" max="13827" width="9.140625" style="867"/>
    <col min="13828" max="13828" width="10" style="867" customWidth="1"/>
    <col min="13829" max="13838" width="9.140625" style="867"/>
    <col min="13839" max="13839" width="9.140625" style="867" customWidth="1"/>
    <col min="13840" max="14083" width="9.140625" style="867"/>
    <col min="14084" max="14084" width="10" style="867" customWidth="1"/>
    <col min="14085" max="14094" width="9.140625" style="867"/>
    <col min="14095" max="14095" width="9.140625" style="867" customWidth="1"/>
    <col min="14096" max="14339" width="9.140625" style="867"/>
    <col min="14340" max="14340" width="10" style="867" customWidth="1"/>
    <col min="14341" max="14350" width="9.140625" style="867"/>
    <col min="14351" max="14351" width="9.140625" style="867" customWidth="1"/>
    <col min="14352" max="14595" width="9.140625" style="867"/>
    <col min="14596" max="14596" width="10" style="867" customWidth="1"/>
    <col min="14597" max="14606" width="9.140625" style="867"/>
    <col min="14607" max="14607" width="9.140625" style="867" customWidth="1"/>
    <col min="14608" max="14851" width="9.140625" style="867"/>
    <col min="14852" max="14852" width="10" style="867" customWidth="1"/>
    <col min="14853" max="14862" width="9.140625" style="867"/>
    <col min="14863" max="14863" width="9.140625" style="867" customWidth="1"/>
    <col min="14864" max="15107" width="9.140625" style="867"/>
    <col min="15108" max="15108" width="10" style="867" customWidth="1"/>
    <col min="15109" max="15118" width="9.140625" style="867"/>
    <col min="15119" max="15119" width="9.140625" style="867" customWidth="1"/>
    <col min="15120" max="15363" width="9.140625" style="867"/>
    <col min="15364" max="15364" width="10" style="867" customWidth="1"/>
    <col min="15365" max="15374" width="9.140625" style="867"/>
    <col min="15375" max="15375" width="9.140625" style="867" customWidth="1"/>
    <col min="15376" max="15619" width="9.140625" style="867"/>
    <col min="15620" max="15620" width="10" style="867" customWidth="1"/>
    <col min="15621" max="15630" width="9.140625" style="867"/>
    <col min="15631" max="15631" width="9.140625" style="867" customWidth="1"/>
    <col min="15632" max="15875" width="9.140625" style="867"/>
    <col min="15876" max="15876" width="10" style="867" customWidth="1"/>
    <col min="15877" max="15886" width="9.140625" style="867"/>
    <col min="15887" max="15887" width="9.140625" style="867" customWidth="1"/>
    <col min="15888" max="16131" width="9.140625" style="867"/>
    <col min="16132" max="16132" width="10" style="867" customWidth="1"/>
    <col min="16133" max="16142" width="9.140625" style="867"/>
    <col min="16143" max="16143" width="9.140625" style="867" customWidth="1"/>
    <col min="16144" max="16384" width="9.140625" style="867"/>
  </cols>
  <sheetData>
    <row r="1" spans="1:14" ht="20.25">
      <c r="A1" s="871"/>
      <c r="B1" s="872" t="s">
        <v>4423</v>
      </c>
    </row>
    <row r="2" spans="1:14">
      <c r="A2" s="871"/>
    </row>
    <row r="3" spans="1:14">
      <c r="A3" s="871"/>
      <c r="B3" s="870" t="s">
        <v>4419</v>
      </c>
      <c r="C3" s="868"/>
      <c r="I3" s="870" t="s">
        <v>4420</v>
      </c>
    </row>
    <row r="4" spans="1:14">
      <c r="A4" s="871"/>
      <c r="I4" s="870"/>
    </row>
    <row r="5" spans="1:14" ht="15" customHeight="1">
      <c r="A5" s="871"/>
      <c r="B5" s="1748"/>
      <c r="C5" s="873" t="s">
        <v>3891</v>
      </c>
      <c r="I5" s="890"/>
      <c r="J5" s="877" t="s">
        <v>3893</v>
      </c>
    </row>
    <row r="6" spans="1:14">
      <c r="A6" s="871"/>
      <c r="B6" s="875"/>
      <c r="C6" s="873"/>
      <c r="I6" s="870"/>
      <c r="J6" s="873"/>
    </row>
    <row r="7" spans="1:14">
      <c r="A7" s="871"/>
      <c r="B7" s="876"/>
      <c r="C7" s="873" t="s">
        <v>3892</v>
      </c>
      <c r="I7" s="891"/>
      <c r="J7" s="877" t="s">
        <v>4413</v>
      </c>
    </row>
    <row r="8" spans="1:14">
      <c r="A8" s="871"/>
      <c r="I8" s="870"/>
    </row>
    <row r="9" spans="1:14">
      <c r="A9" s="871"/>
      <c r="I9" s="887"/>
      <c r="J9" s="874" t="s">
        <v>3894</v>
      </c>
    </row>
    <row r="10" spans="1:14">
      <c r="A10" s="871"/>
      <c r="I10" s="870"/>
      <c r="J10" s="873"/>
    </row>
    <row r="11" spans="1:14">
      <c r="A11" s="871"/>
      <c r="I11" s="888"/>
      <c r="J11" s="874" t="s">
        <v>3895</v>
      </c>
    </row>
    <row r="12" spans="1:14">
      <c r="A12" s="871"/>
      <c r="I12" s="870"/>
      <c r="J12" s="873"/>
    </row>
    <row r="13" spans="1:14">
      <c r="A13" s="871"/>
      <c r="I13" s="889"/>
      <c r="J13" s="874" t="s">
        <v>3896</v>
      </c>
    </row>
    <row r="14" spans="1:14">
      <c r="A14" s="871"/>
    </row>
    <row r="15" spans="1:14">
      <c r="A15" s="871"/>
      <c r="B15" s="879" t="s">
        <v>3897</v>
      </c>
    </row>
    <row r="16" spans="1:14" ht="44.25" customHeight="1">
      <c r="A16" s="878"/>
      <c r="B16" s="2294" t="s">
        <v>4440</v>
      </c>
      <c r="C16" s="2294"/>
      <c r="D16" s="2294"/>
      <c r="E16" s="2294"/>
      <c r="F16" s="2294"/>
      <c r="G16" s="2294"/>
      <c r="H16" s="2294"/>
      <c r="I16" s="2294"/>
      <c r="J16" s="2294"/>
      <c r="K16" s="2294"/>
      <c r="L16" s="2294"/>
      <c r="M16" s="2294"/>
      <c r="N16" s="2294"/>
    </row>
    <row r="17" spans="1:14" ht="30" customHeight="1">
      <c r="A17" s="878"/>
      <c r="B17" s="2294" t="s">
        <v>3898</v>
      </c>
      <c r="C17" s="2294"/>
      <c r="D17" s="2294"/>
      <c r="E17" s="2294"/>
      <c r="F17" s="2294"/>
      <c r="G17" s="2294"/>
      <c r="H17" s="2294"/>
      <c r="I17" s="2294"/>
      <c r="J17" s="2294"/>
      <c r="K17" s="2294"/>
      <c r="L17" s="2294"/>
      <c r="M17" s="2294"/>
      <c r="N17" s="2294"/>
    </row>
    <row r="18" spans="1:14" ht="54.75" customHeight="1">
      <c r="A18" s="878"/>
      <c r="B18" s="2294" t="s">
        <v>3899</v>
      </c>
      <c r="C18" s="2294"/>
      <c r="D18" s="2294"/>
      <c r="E18" s="2294"/>
      <c r="F18" s="2294"/>
      <c r="G18" s="2294"/>
      <c r="H18" s="2294"/>
      <c r="I18" s="2294"/>
      <c r="J18" s="2294"/>
      <c r="K18" s="2294"/>
      <c r="L18" s="2294"/>
      <c r="M18" s="2294"/>
      <c r="N18" s="2294"/>
    </row>
    <row r="19" spans="1:14" ht="66.75" customHeight="1">
      <c r="A19" s="878"/>
      <c r="B19" s="2294" t="s">
        <v>4418</v>
      </c>
      <c r="C19" s="2294"/>
      <c r="D19" s="2294"/>
      <c r="E19" s="2294"/>
      <c r="F19" s="2294"/>
      <c r="G19" s="2294"/>
      <c r="H19" s="2294"/>
      <c r="I19" s="2294"/>
      <c r="J19" s="2294"/>
      <c r="K19" s="2294"/>
      <c r="L19" s="2294"/>
      <c r="M19" s="2294"/>
      <c r="N19" s="2294"/>
    </row>
    <row r="20" spans="1:14" ht="41.25" customHeight="1">
      <c r="A20" s="878"/>
      <c r="B20" s="2294" t="s">
        <v>3900</v>
      </c>
      <c r="C20" s="2294"/>
      <c r="D20" s="2294"/>
      <c r="E20" s="2294"/>
      <c r="F20" s="2294"/>
      <c r="G20" s="2294"/>
      <c r="H20" s="2294"/>
      <c r="I20" s="2294"/>
      <c r="J20" s="2294"/>
      <c r="K20" s="2294"/>
      <c r="L20" s="2294"/>
      <c r="M20" s="2294"/>
      <c r="N20" s="2294"/>
    </row>
    <row r="21" spans="1:14" ht="66" customHeight="1">
      <c r="A21" s="878"/>
      <c r="B21" s="2294" t="s">
        <v>4421</v>
      </c>
      <c r="C21" s="2294"/>
      <c r="D21" s="2294"/>
      <c r="E21" s="2294"/>
      <c r="F21" s="2294"/>
      <c r="G21" s="2294"/>
      <c r="H21" s="2294"/>
      <c r="I21" s="2294"/>
      <c r="J21" s="2294"/>
      <c r="K21" s="2294"/>
      <c r="L21" s="2294"/>
      <c r="M21" s="2294"/>
      <c r="N21" s="2294"/>
    </row>
    <row r="22" spans="1:14" ht="15.75" customHeight="1">
      <c r="A22" s="878"/>
      <c r="B22" s="880" t="s">
        <v>3901</v>
      </c>
      <c r="C22" s="881"/>
      <c r="D22" s="881"/>
      <c r="E22" s="881"/>
      <c r="F22" s="881"/>
      <c r="G22" s="881"/>
      <c r="H22" s="881"/>
      <c r="I22" s="881"/>
      <c r="J22" s="881"/>
      <c r="K22" s="881"/>
      <c r="L22" s="881"/>
      <c r="M22" s="881"/>
      <c r="N22" s="881"/>
    </row>
    <row r="23" spans="1:14" ht="15.75" customHeight="1">
      <c r="A23" s="878"/>
      <c r="B23" s="880" t="s">
        <v>3902</v>
      </c>
      <c r="C23" s="881"/>
      <c r="D23" s="881"/>
      <c r="E23" s="881"/>
      <c r="F23" s="881"/>
      <c r="G23" s="881"/>
      <c r="H23" s="881"/>
      <c r="I23" s="881"/>
      <c r="J23" s="881"/>
      <c r="K23" s="881"/>
      <c r="L23" s="881"/>
      <c r="M23" s="881"/>
      <c r="N23" s="881"/>
    </row>
    <row r="24" spans="1:14" ht="15.75" customHeight="1">
      <c r="A24" s="878"/>
      <c r="B24" s="880" t="s">
        <v>3903</v>
      </c>
      <c r="C24" s="881"/>
      <c r="D24" s="881"/>
      <c r="E24" s="881"/>
      <c r="F24" s="881"/>
      <c r="G24" s="881"/>
      <c r="H24" s="881"/>
      <c r="I24" s="881"/>
      <c r="J24" s="881"/>
      <c r="K24" s="881"/>
      <c r="L24" s="881"/>
      <c r="M24" s="881"/>
      <c r="N24" s="881"/>
    </row>
    <row r="25" spans="1:14" ht="13.5" customHeight="1">
      <c r="A25" s="878"/>
      <c r="B25" s="2294" t="s">
        <v>4416</v>
      </c>
      <c r="C25" s="2294"/>
      <c r="D25" s="2294"/>
      <c r="E25" s="2294"/>
      <c r="F25" s="2294"/>
      <c r="G25" s="2294"/>
      <c r="H25" s="2294"/>
      <c r="I25" s="2294"/>
      <c r="J25" s="2294"/>
      <c r="K25" s="2294"/>
      <c r="L25" s="2294"/>
      <c r="M25" s="2294"/>
      <c r="N25" s="2294"/>
    </row>
    <row r="26" spans="1:14" ht="27.75" customHeight="1">
      <c r="A26" s="878"/>
      <c r="B26" s="2294" t="s">
        <v>3904</v>
      </c>
      <c r="C26" s="2294"/>
      <c r="D26" s="2294"/>
      <c r="E26" s="2294"/>
      <c r="F26" s="2294"/>
      <c r="G26" s="2294"/>
      <c r="H26" s="2294"/>
      <c r="I26" s="2294"/>
      <c r="J26" s="2294"/>
      <c r="K26" s="2294"/>
      <c r="L26" s="2294"/>
      <c r="M26" s="2294"/>
      <c r="N26" s="2294"/>
    </row>
    <row r="27" spans="1:14" ht="13.5" customHeight="1">
      <c r="A27" s="878"/>
      <c r="B27" s="2294" t="s">
        <v>4422</v>
      </c>
      <c r="C27" s="2294"/>
      <c r="D27" s="2294"/>
      <c r="E27" s="2294"/>
      <c r="F27" s="2294"/>
      <c r="G27" s="2294"/>
      <c r="H27" s="2294"/>
      <c r="I27" s="2294"/>
      <c r="J27" s="2294"/>
      <c r="K27" s="2294"/>
      <c r="L27" s="2294"/>
      <c r="M27" s="2294"/>
      <c r="N27" s="2294"/>
    </row>
    <row r="28" spans="1:14" ht="13.5" customHeight="1">
      <c r="A28" s="878"/>
      <c r="B28" s="881"/>
      <c r="C28" s="881"/>
      <c r="D28" s="881"/>
      <c r="E28" s="881"/>
      <c r="F28" s="881"/>
      <c r="G28" s="881"/>
      <c r="H28" s="881"/>
      <c r="I28" s="881"/>
      <c r="J28" s="881"/>
      <c r="K28" s="881"/>
      <c r="L28" s="881"/>
      <c r="M28" s="881"/>
      <c r="N28" s="881"/>
    </row>
    <row r="29" spans="1:14" ht="13.5" customHeight="1">
      <c r="A29" s="878"/>
      <c r="B29" s="881"/>
      <c r="C29" s="881"/>
      <c r="D29" s="881"/>
      <c r="E29" s="881"/>
      <c r="F29" s="881"/>
      <c r="G29" s="881"/>
      <c r="H29" s="881"/>
      <c r="I29" s="881"/>
      <c r="J29" s="881"/>
      <c r="K29" s="881"/>
      <c r="L29" s="881"/>
      <c r="M29" s="881"/>
      <c r="N29" s="881"/>
    </row>
    <row r="30" spans="1:14" ht="13.5" customHeight="1">
      <c r="A30" s="878"/>
      <c r="B30" s="881"/>
      <c r="C30" s="881"/>
      <c r="D30" s="881"/>
      <c r="E30" s="881"/>
      <c r="F30" s="881"/>
      <c r="G30" s="881"/>
      <c r="H30" s="881"/>
      <c r="I30" s="881"/>
      <c r="J30" s="881"/>
      <c r="K30" s="881"/>
      <c r="L30" s="881"/>
      <c r="M30" s="881"/>
      <c r="N30" s="881"/>
    </row>
    <row r="31" spans="1:14" ht="13.5" customHeight="1">
      <c r="A31" s="878"/>
      <c r="B31" s="881"/>
      <c r="C31" s="881"/>
      <c r="D31" s="881"/>
      <c r="E31" s="881"/>
      <c r="F31" s="881"/>
      <c r="G31" s="881"/>
      <c r="H31" s="881"/>
      <c r="I31" s="881"/>
      <c r="J31" s="881"/>
      <c r="K31" s="881"/>
      <c r="L31" s="881"/>
      <c r="M31" s="881"/>
      <c r="N31" s="881"/>
    </row>
    <row r="32" spans="1:14" ht="13.5" customHeight="1">
      <c r="A32" s="878"/>
      <c r="B32" s="882"/>
      <c r="C32" s="881"/>
      <c r="D32" s="881"/>
      <c r="E32" s="881"/>
      <c r="F32" s="881"/>
      <c r="G32" s="881"/>
      <c r="H32" s="881"/>
      <c r="I32" s="881"/>
    </row>
    <row r="33" spans="1:10" ht="13.5" customHeight="1">
      <c r="A33" s="878"/>
      <c r="B33" s="883"/>
      <c r="C33" s="881"/>
      <c r="D33" s="881"/>
      <c r="E33" s="881"/>
      <c r="F33" s="881"/>
      <c r="G33" s="881"/>
      <c r="H33" s="881"/>
      <c r="I33" s="881"/>
    </row>
    <row r="34" spans="1:10" ht="13.5" customHeight="1">
      <c r="A34" s="878"/>
      <c r="B34" s="883"/>
      <c r="C34" s="881"/>
      <c r="D34" s="881"/>
      <c r="E34" s="881"/>
      <c r="F34" s="881"/>
      <c r="G34" s="881"/>
      <c r="H34" s="881"/>
      <c r="I34" s="881"/>
    </row>
    <row r="35" spans="1:10" ht="13.5" customHeight="1">
      <c r="A35" s="884"/>
      <c r="C35" s="881"/>
      <c r="D35" s="881"/>
      <c r="E35" s="881"/>
      <c r="F35" s="881"/>
      <c r="G35" s="881"/>
      <c r="H35" s="881"/>
      <c r="I35" s="881"/>
    </row>
    <row r="36" spans="1:10" ht="13.5" customHeight="1">
      <c r="A36" s="878"/>
      <c r="B36" s="883"/>
      <c r="C36" s="881"/>
      <c r="D36" s="881"/>
      <c r="E36" s="881"/>
      <c r="F36" s="881"/>
      <c r="G36" s="881"/>
      <c r="H36" s="881"/>
      <c r="I36" s="881"/>
    </row>
    <row r="37" spans="1:10" ht="13.5" customHeight="1">
      <c r="A37" s="884"/>
      <c r="C37" s="881"/>
      <c r="D37" s="881"/>
      <c r="E37" s="881"/>
      <c r="F37" s="881"/>
      <c r="G37" s="881"/>
      <c r="H37" s="881"/>
      <c r="I37" s="881"/>
    </row>
    <row r="38" spans="1:10" ht="13.5" customHeight="1">
      <c r="A38" s="878"/>
      <c r="B38" s="883"/>
      <c r="C38" s="881"/>
      <c r="D38" s="881"/>
      <c r="E38" s="881"/>
      <c r="F38" s="881"/>
      <c r="G38" s="881"/>
      <c r="H38" s="881"/>
      <c r="I38" s="881"/>
    </row>
    <row r="39" spans="1:10" ht="13.5" customHeight="1">
      <c r="A39" s="878"/>
      <c r="C39" s="881"/>
      <c r="D39" s="881"/>
      <c r="E39" s="881"/>
      <c r="F39" s="881"/>
      <c r="G39" s="881"/>
      <c r="H39" s="881"/>
      <c r="I39" s="881"/>
    </row>
    <row r="40" spans="1:10" ht="13.5" customHeight="1">
      <c r="A40" s="878"/>
      <c r="C40" s="881"/>
      <c r="D40" s="881"/>
      <c r="E40" s="881"/>
      <c r="F40" s="881"/>
      <c r="G40" s="881"/>
      <c r="H40" s="881"/>
      <c r="I40" s="881"/>
    </row>
    <row r="41" spans="1:10" ht="13.5" customHeight="1">
      <c r="A41" s="878"/>
      <c r="C41" s="881"/>
      <c r="D41" s="881"/>
      <c r="E41" s="881"/>
      <c r="F41" s="881"/>
      <c r="G41" s="881"/>
      <c r="H41" s="881"/>
      <c r="I41" s="881"/>
    </row>
    <row r="42" spans="1:10" ht="13.5" customHeight="1">
      <c r="A42" s="878"/>
      <c r="C42" s="881"/>
      <c r="D42" s="881"/>
      <c r="E42" s="881"/>
      <c r="F42" s="881"/>
      <c r="G42" s="881"/>
      <c r="H42" s="881"/>
      <c r="I42" s="881"/>
    </row>
    <row r="43" spans="1:10" ht="13.5" customHeight="1">
      <c r="A43" s="878"/>
      <c r="B43" s="881"/>
      <c r="C43" s="881"/>
      <c r="D43" s="881"/>
      <c r="E43" s="881"/>
      <c r="F43" s="881"/>
      <c r="G43" s="881"/>
      <c r="H43" s="881"/>
      <c r="I43" s="881"/>
    </row>
    <row r="44" spans="1:10" ht="13.5" customHeight="1"/>
    <row r="45" spans="1:10" ht="13.5" customHeight="1"/>
    <row r="46" spans="1:10" ht="89.25" hidden="1" customHeight="1">
      <c r="A46" s="886">
        <v>1</v>
      </c>
      <c r="B46" s="2295" t="s">
        <v>3905</v>
      </c>
      <c r="C46" s="2295"/>
      <c r="D46" s="2295"/>
      <c r="E46" s="2295"/>
      <c r="F46" s="2295"/>
      <c r="G46" s="2295"/>
      <c r="H46" s="2295"/>
      <c r="I46" s="2295"/>
      <c r="J46" s="867" t="s">
        <v>3906</v>
      </c>
    </row>
    <row r="47" spans="1:10" hidden="1"/>
    <row r="48" spans="1:10" hidden="1">
      <c r="B48" s="869" t="s">
        <v>3907</v>
      </c>
    </row>
    <row r="49" spans="1:9" hidden="1"/>
    <row r="50" spans="1:9" hidden="1">
      <c r="B50" s="869" t="s">
        <v>3908</v>
      </c>
    </row>
    <row r="51" spans="1:9" hidden="1"/>
    <row r="52" spans="1:9" hidden="1">
      <c r="B52" s="869" t="s">
        <v>3909</v>
      </c>
    </row>
    <row r="53" spans="1:9" hidden="1"/>
    <row r="54" spans="1:9" hidden="1"/>
    <row r="55" spans="1:9" hidden="1">
      <c r="B55" s="870" t="s">
        <v>3910</v>
      </c>
    </row>
    <row r="56" spans="1:9" ht="15" hidden="1" customHeight="1"/>
    <row r="57" spans="1:9" hidden="1"/>
    <row r="58" spans="1:9" hidden="1">
      <c r="B58" s="869" t="s">
        <v>3911</v>
      </c>
    </row>
    <row r="59" spans="1:9" hidden="1">
      <c r="B59" s="869" t="s">
        <v>3912</v>
      </c>
    </row>
    <row r="60" spans="1:9" hidden="1"/>
    <row r="61" spans="1:9" hidden="1"/>
    <row r="62" spans="1:9" hidden="1">
      <c r="A62" s="867"/>
    </row>
    <row r="63" spans="1:9" hidden="1">
      <c r="A63" s="867"/>
      <c r="B63" s="2294" t="s">
        <v>3913</v>
      </c>
      <c r="C63" s="2294"/>
      <c r="D63" s="2294"/>
      <c r="E63" s="2294"/>
      <c r="F63" s="2294"/>
      <c r="G63" s="2294"/>
      <c r="H63" s="2294"/>
      <c r="I63" s="2294"/>
    </row>
  </sheetData>
  <mergeCells count="11">
    <mergeCell ref="B18:N18"/>
    <mergeCell ref="B16:N16"/>
    <mergeCell ref="B17:N17"/>
    <mergeCell ref="B27:N27"/>
    <mergeCell ref="B25:N25"/>
    <mergeCell ref="B26:N26"/>
    <mergeCell ref="B63:I63"/>
    <mergeCell ref="B19:N19"/>
    <mergeCell ref="B20:N20"/>
    <mergeCell ref="B21:N21"/>
    <mergeCell ref="B46:I46"/>
  </mergeCells>
  <pageMargins left="0.7" right="0.7" top="0.75" bottom="0.75" header="0.3" footer="0.3"/>
  <pageSetup scale="66" orientation="portrait" r:id="rId1"/>
</worksheet>
</file>

<file path=xl/worksheets/sheet17.xml><?xml version="1.0" encoding="utf-8"?>
<worksheet xmlns="http://schemas.openxmlformats.org/spreadsheetml/2006/main" xmlns:r="http://schemas.openxmlformats.org/officeDocument/2006/relationships">
  <sheetPr>
    <tabColor rgb="FFFFFFCC"/>
  </sheetPr>
  <dimension ref="A1:AB36"/>
  <sheetViews>
    <sheetView showGridLines="0" zoomScaleNormal="100" workbookViewId="0">
      <selection activeCell="B6" sqref="B6"/>
    </sheetView>
  </sheetViews>
  <sheetFormatPr defaultRowHeight="12"/>
  <cols>
    <col min="1" max="1" width="2.42578125" style="985" customWidth="1"/>
    <col min="2" max="2" width="48.5703125" style="986" bestFit="1" customWidth="1"/>
    <col min="3" max="3" width="35.85546875" style="986" customWidth="1"/>
    <col min="4" max="4" width="21.7109375" style="985" customWidth="1"/>
    <col min="5" max="28" width="9.140625" style="985"/>
    <col min="29" max="257" width="9.140625" style="986"/>
    <col min="258" max="258" width="48.5703125" style="986" bestFit="1" customWidth="1"/>
    <col min="259" max="259" width="35.85546875" style="986" customWidth="1"/>
    <col min="260" max="260" width="21.7109375" style="986" customWidth="1"/>
    <col min="261" max="513" width="9.140625" style="986"/>
    <col min="514" max="514" width="48.5703125" style="986" bestFit="1" customWidth="1"/>
    <col min="515" max="515" width="35.85546875" style="986" customWidth="1"/>
    <col min="516" max="516" width="21.7109375" style="986" customWidth="1"/>
    <col min="517" max="769" width="9.140625" style="986"/>
    <col min="770" max="770" width="48.5703125" style="986" bestFit="1" customWidth="1"/>
    <col min="771" max="771" width="35.85546875" style="986" customWidth="1"/>
    <col min="772" max="772" width="21.7109375" style="986" customWidth="1"/>
    <col min="773" max="1025" width="9.140625" style="986"/>
    <col min="1026" max="1026" width="48.5703125" style="986" bestFit="1" customWidth="1"/>
    <col min="1027" max="1027" width="35.85546875" style="986" customWidth="1"/>
    <col min="1028" max="1028" width="21.7109375" style="986" customWidth="1"/>
    <col min="1029" max="1281" width="9.140625" style="986"/>
    <col min="1282" max="1282" width="48.5703125" style="986" bestFit="1" customWidth="1"/>
    <col min="1283" max="1283" width="35.85546875" style="986" customWidth="1"/>
    <col min="1284" max="1284" width="21.7109375" style="986" customWidth="1"/>
    <col min="1285" max="1537" width="9.140625" style="986"/>
    <col min="1538" max="1538" width="48.5703125" style="986" bestFit="1" customWidth="1"/>
    <col min="1539" max="1539" width="35.85546875" style="986" customWidth="1"/>
    <col min="1540" max="1540" width="21.7109375" style="986" customWidth="1"/>
    <col min="1541" max="1793" width="9.140625" style="986"/>
    <col min="1794" max="1794" width="48.5703125" style="986" bestFit="1" customWidth="1"/>
    <col min="1795" max="1795" width="35.85546875" style="986" customWidth="1"/>
    <col min="1796" max="1796" width="21.7109375" style="986" customWidth="1"/>
    <col min="1797" max="2049" width="9.140625" style="986"/>
    <col min="2050" max="2050" width="48.5703125" style="986" bestFit="1" customWidth="1"/>
    <col min="2051" max="2051" width="35.85546875" style="986" customWidth="1"/>
    <col min="2052" max="2052" width="21.7109375" style="986" customWidth="1"/>
    <col min="2053" max="2305" width="9.140625" style="986"/>
    <col min="2306" max="2306" width="48.5703125" style="986" bestFit="1" customWidth="1"/>
    <col min="2307" max="2307" width="35.85546875" style="986" customWidth="1"/>
    <col min="2308" max="2308" width="21.7109375" style="986" customWidth="1"/>
    <col min="2309" max="2561" width="9.140625" style="986"/>
    <col min="2562" max="2562" width="48.5703125" style="986" bestFit="1" customWidth="1"/>
    <col min="2563" max="2563" width="35.85546875" style="986" customWidth="1"/>
    <col min="2564" max="2564" width="21.7109375" style="986" customWidth="1"/>
    <col min="2565" max="2817" width="9.140625" style="986"/>
    <col min="2818" max="2818" width="48.5703125" style="986" bestFit="1" customWidth="1"/>
    <col min="2819" max="2819" width="35.85546875" style="986" customWidth="1"/>
    <col min="2820" max="2820" width="21.7109375" style="986" customWidth="1"/>
    <col min="2821" max="3073" width="9.140625" style="986"/>
    <col min="3074" max="3074" width="48.5703125" style="986" bestFit="1" customWidth="1"/>
    <col min="3075" max="3075" width="35.85546875" style="986" customWidth="1"/>
    <col min="3076" max="3076" width="21.7109375" style="986" customWidth="1"/>
    <col min="3077" max="3329" width="9.140625" style="986"/>
    <col min="3330" max="3330" width="48.5703125" style="986" bestFit="1" customWidth="1"/>
    <col min="3331" max="3331" width="35.85546875" style="986" customWidth="1"/>
    <col min="3332" max="3332" width="21.7109375" style="986" customWidth="1"/>
    <col min="3333" max="3585" width="9.140625" style="986"/>
    <col min="3586" max="3586" width="48.5703125" style="986" bestFit="1" customWidth="1"/>
    <col min="3587" max="3587" width="35.85546875" style="986" customWidth="1"/>
    <col min="3588" max="3588" width="21.7109375" style="986" customWidth="1"/>
    <col min="3589" max="3841" width="9.140625" style="986"/>
    <col min="3842" max="3842" width="48.5703125" style="986" bestFit="1" customWidth="1"/>
    <col min="3843" max="3843" width="35.85546875" style="986" customWidth="1"/>
    <col min="3844" max="3844" width="21.7109375" style="986" customWidth="1"/>
    <col min="3845" max="4097" width="9.140625" style="986"/>
    <col min="4098" max="4098" width="48.5703125" style="986" bestFit="1" customWidth="1"/>
    <col min="4099" max="4099" width="35.85546875" style="986" customWidth="1"/>
    <col min="4100" max="4100" width="21.7109375" style="986" customWidth="1"/>
    <col min="4101" max="4353" width="9.140625" style="986"/>
    <col min="4354" max="4354" width="48.5703125" style="986" bestFit="1" customWidth="1"/>
    <col min="4355" max="4355" width="35.85546875" style="986" customWidth="1"/>
    <col min="4356" max="4356" width="21.7109375" style="986" customWidth="1"/>
    <col min="4357" max="4609" width="9.140625" style="986"/>
    <col min="4610" max="4610" width="48.5703125" style="986" bestFit="1" customWidth="1"/>
    <col min="4611" max="4611" width="35.85546875" style="986" customWidth="1"/>
    <col min="4612" max="4612" width="21.7109375" style="986" customWidth="1"/>
    <col min="4613" max="4865" width="9.140625" style="986"/>
    <col min="4866" max="4866" width="48.5703125" style="986" bestFit="1" customWidth="1"/>
    <col min="4867" max="4867" width="35.85546875" style="986" customWidth="1"/>
    <col min="4868" max="4868" width="21.7109375" style="986" customWidth="1"/>
    <col min="4869" max="5121" width="9.140625" style="986"/>
    <col min="5122" max="5122" width="48.5703125" style="986" bestFit="1" customWidth="1"/>
    <col min="5123" max="5123" width="35.85546875" style="986" customWidth="1"/>
    <col min="5124" max="5124" width="21.7109375" style="986" customWidth="1"/>
    <col min="5125" max="5377" width="9.140625" style="986"/>
    <col min="5378" max="5378" width="48.5703125" style="986" bestFit="1" customWidth="1"/>
    <col min="5379" max="5379" width="35.85546875" style="986" customWidth="1"/>
    <col min="5380" max="5380" width="21.7109375" style="986" customWidth="1"/>
    <col min="5381" max="5633" width="9.140625" style="986"/>
    <col min="5634" max="5634" width="48.5703125" style="986" bestFit="1" customWidth="1"/>
    <col min="5635" max="5635" width="35.85546875" style="986" customWidth="1"/>
    <col min="5636" max="5636" width="21.7109375" style="986" customWidth="1"/>
    <col min="5637" max="5889" width="9.140625" style="986"/>
    <col min="5890" max="5890" width="48.5703125" style="986" bestFit="1" customWidth="1"/>
    <col min="5891" max="5891" width="35.85546875" style="986" customWidth="1"/>
    <col min="5892" max="5892" width="21.7109375" style="986" customWidth="1"/>
    <col min="5893" max="6145" width="9.140625" style="986"/>
    <col min="6146" max="6146" width="48.5703125" style="986" bestFit="1" customWidth="1"/>
    <col min="6147" max="6147" width="35.85546875" style="986" customWidth="1"/>
    <col min="6148" max="6148" width="21.7109375" style="986" customWidth="1"/>
    <col min="6149" max="6401" width="9.140625" style="986"/>
    <col min="6402" max="6402" width="48.5703125" style="986" bestFit="1" customWidth="1"/>
    <col min="6403" max="6403" width="35.85546875" style="986" customWidth="1"/>
    <col min="6404" max="6404" width="21.7109375" style="986" customWidth="1"/>
    <col min="6405" max="6657" width="9.140625" style="986"/>
    <col min="6658" max="6658" width="48.5703125" style="986" bestFit="1" customWidth="1"/>
    <col min="6659" max="6659" width="35.85546875" style="986" customWidth="1"/>
    <col min="6660" max="6660" width="21.7109375" style="986" customWidth="1"/>
    <col min="6661" max="6913" width="9.140625" style="986"/>
    <col min="6914" max="6914" width="48.5703125" style="986" bestFit="1" customWidth="1"/>
    <col min="6915" max="6915" width="35.85546875" style="986" customWidth="1"/>
    <col min="6916" max="6916" width="21.7109375" style="986" customWidth="1"/>
    <col min="6917" max="7169" width="9.140625" style="986"/>
    <col min="7170" max="7170" width="48.5703125" style="986" bestFit="1" customWidth="1"/>
    <col min="7171" max="7171" width="35.85546875" style="986" customWidth="1"/>
    <col min="7172" max="7172" width="21.7109375" style="986" customWidth="1"/>
    <col min="7173" max="7425" width="9.140625" style="986"/>
    <col min="7426" max="7426" width="48.5703125" style="986" bestFit="1" customWidth="1"/>
    <col min="7427" max="7427" width="35.85546875" style="986" customWidth="1"/>
    <col min="7428" max="7428" width="21.7109375" style="986" customWidth="1"/>
    <col min="7429" max="7681" width="9.140625" style="986"/>
    <col min="7682" max="7682" width="48.5703125" style="986" bestFit="1" customWidth="1"/>
    <col min="7683" max="7683" width="35.85546875" style="986" customWidth="1"/>
    <col min="7684" max="7684" width="21.7109375" style="986" customWidth="1"/>
    <col min="7685" max="7937" width="9.140625" style="986"/>
    <col min="7938" max="7938" width="48.5703125" style="986" bestFit="1" customWidth="1"/>
    <col min="7939" max="7939" width="35.85546875" style="986" customWidth="1"/>
    <col min="7940" max="7940" width="21.7109375" style="986" customWidth="1"/>
    <col min="7941" max="8193" width="9.140625" style="986"/>
    <col min="8194" max="8194" width="48.5703125" style="986" bestFit="1" customWidth="1"/>
    <col min="8195" max="8195" width="35.85546875" style="986" customWidth="1"/>
    <col min="8196" max="8196" width="21.7109375" style="986" customWidth="1"/>
    <col min="8197" max="8449" width="9.140625" style="986"/>
    <col min="8450" max="8450" width="48.5703125" style="986" bestFit="1" customWidth="1"/>
    <col min="8451" max="8451" width="35.85546875" style="986" customWidth="1"/>
    <col min="8452" max="8452" width="21.7109375" style="986" customWidth="1"/>
    <col min="8453" max="8705" width="9.140625" style="986"/>
    <col min="8706" max="8706" width="48.5703125" style="986" bestFit="1" customWidth="1"/>
    <col min="8707" max="8707" width="35.85546875" style="986" customWidth="1"/>
    <col min="8708" max="8708" width="21.7109375" style="986" customWidth="1"/>
    <col min="8709" max="8961" width="9.140625" style="986"/>
    <col min="8962" max="8962" width="48.5703125" style="986" bestFit="1" customWidth="1"/>
    <col min="8963" max="8963" width="35.85546875" style="986" customWidth="1"/>
    <col min="8964" max="8964" width="21.7109375" style="986" customWidth="1"/>
    <col min="8965" max="9217" width="9.140625" style="986"/>
    <col min="9218" max="9218" width="48.5703125" style="986" bestFit="1" customWidth="1"/>
    <col min="9219" max="9219" width="35.85546875" style="986" customWidth="1"/>
    <col min="9220" max="9220" width="21.7109375" style="986" customWidth="1"/>
    <col min="9221" max="9473" width="9.140625" style="986"/>
    <col min="9474" max="9474" width="48.5703125" style="986" bestFit="1" customWidth="1"/>
    <col min="9475" max="9475" width="35.85546875" style="986" customWidth="1"/>
    <col min="9476" max="9476" width="21.7109375" style="986" customWidth="1"/>
    <col min="9477" max="9729" width="9.140625" style="986"/>
    <col min="9730" max="9730" width="48.5703125" style="986" bestFit="1" customWidth="1"/>
    <col min="9731" max="9731" width="35.85546875" style="986" customWidth="1"/>
    <col min="9732" max="9732" width="21.7109375" style="986" customWidth="1"/>
    <col min="9733" max="9985" width="9.140625" style="986"/>
    <col min="9986" max="9986" width="48.5703125" style="986" bestFit="1" customWidth="1"/>
    <col min="9987" max="9987" width="35.85546875" style="986" customWidth="1"/>
    <col min="9988" max="9988" width="21.7109375" style="986" customWidth="1"/>
    <col min="9989" max="10241" width="9.140625" style="986"/>
    <col min="10242" max="10242" width="48.5703125" style="986" bestFit="1" customWidth="1"/>
    <col min="10243" max="10243" width="35.85546875" style="986" customWidth="1"/>
    <col min="10244" max="10244" width="21.7109375" style="986" customWidth="1"/>
    <col min="10245" max="10497" width="9.140625" style="986"/>
    <col min="10498" max="10498" width="48.5703125" style="986" bestFit="1" customWidth="1"/>
    <col min="10499" max="10499" width="35.85546875" style="986" customWidth="1"/>
    <col min="10500" max="10500" width="21.7109375" style="986" customWidth="1"/>
    <col min="10501" max="10753" width="9.140625" style="986"/>
    <col min="10754" max="10754" width="48.5703125" style="986" bestFit="1" customWidth="1"/>
    <col min="10755" max="10755" width="35.85546875" style="986" customWidth="1"/>
    <col min="10756" max="10756" width="21.7109375" style="986" customWidth="1"/>
    <col min="10757" max="11009" width="9.140625" style="986"/>
    <col min="11010" max="11010" width="48.5703125" style="986" bestFit="1" customWidth="1"/>
    <col min="11011" max="11011" width="35.85546875" style="986" customWidth="1"/>
    <col min="11012" max="11012" width="21.7109375" style="986" customWidth="1"/>
    <col min="11013" max="11265" width="9.140625" style="986"/>
    <col min="11266" max="11266" width="48.5703125" style="986" bestFit="1" customWidth="1"/>
    <col min="11267" max="11267" width="35.85546875" style="986" customWidth="1"/>
    <col min="11268" max="11268" width="21.7109375" style="986" customWidth="1"/>
    <col min="11269" max="11521" width="9.140625" style="986"/>
    <col min="11522" max="11522" width="48.5703125" style="986" bestFit="1" customWidth="1"/>
    <col min="11523" max="11523" width="35.85546875" style="986" customWidth="1"/>
    <col min="11524" max="11524" width="21.7109375" style="986" customWidth="1"/>
    <col min="11525" max="11777" width="9.140625" style="986"/>
    <col min="11778" max="11778" width="48.5703125" style="986" bestFit="1" customWidth="1"/>
    <col min="11779" max="11779" width="35.85546875" style="986" customWidth="1"/>
    <col min="11780" max="11780" width="21.7109375" style="986" customWidth="1"/>
    <col min="11781" max="12033" width="9.140625" style="986"/>
    <col min="12034" max="12034" width="48.5703125" style="986" bestFit="1" customWidth="1"/>
    <col min="12035" max="12035" width="35.85546875" style="986" customWidth="1"/>
    <col min="12036" max="12036" width="21.7109375" style="986" customWidth="1"/>
    <col min="12037" max="12289" width="9.140625" style="986"/>
    <col min="12290" max="12290" width="48.5703125" style="986" bestFit="1" customWidth="1"/>
    <col min="12291" max="12291" width="35.85546875" style="986" customWidth="1"/>
    <col min="12292" max="12292" width="21.7109375" style="986" customWidth="1"/>
    <col min="12293" max="12545" width="9.140625" style="986"/>
    <col min="12546" max="12546" width="48.5703125" style="986" bestFit="1" customWidth="1"/>
    <col min="12547" max="12547" width="35.85546875" style="986" customWidth="1"/>
    <col min="12548" max="12548" width="21.7109375" style="986" customWidth="1"/>
    <col min="12549" max="12801" width="9.140625" style="986"/>
    <col min="12802" max="12802" width="48.5703125" style="986" bestFit="1" customWidth="1"/>
    <col min="12803" max="12803" width="35.85546875" style="986" customWidth="1"/>
    <col min="12804" max="12804" width="21.7109375" style="986" customWidth="1"/>
    <col min="12805" max="13057" width="9.140625" style="986"/>
    <col min="13058" max="13058" width="48.5703125" style="986" bestFit="1" customWidth="1"/>
    <col min="13059" max="13059" width="35.85546875" style="986" customWidth="1"/>
    <col min="13060" max="13060" width="21.7109375" style="986" customWidth="1"/>
    <col min="13061" max="13313" width="9.140625" style="986"/>
    <col min="13314" max="13314" width="48.5703125" style="986" bestFit="1" customWidth="1"/>
    <col min="13315" max="13315" width="35.85546875" style="986" customWidth="1"/>
    <col min="13316" max="13316" width="21.7109375" style="986" customWidth="1"/>
    <col min="13317" max="13569" width="9.140625" style="986"/>
    <col min="13570" max="13570" width="48.5703125" style="986" bestFit="1" customWidth="1"/>
    <col min="13571" max="13571" width="35.85546875" style="986" customWidth="1"/>
    <col min="13572" max="13572" width="21.7109375" style="986" customWidth="1"/>
    <col min="13573" max="13825" width="9.140625" style="986"/>
    <col min="13826" max="13826" width="48.5703125" style="986" bestFit="1" customWidth="1"/>
    <col min="13827" max="13827" width="35.85546875" style="986" customWidth="1"/>
    <col min="13828" max="13828" width="21.7109375" style="986" customWidth="1"/>
    <col min="13829" max="14081" width="9.140625" style="986"/>
    <col min="14082" max="14082" width="48.5703125" style="986" bestFit="1" customWidth="1"/>
    <col min="14083" max="14083" width="35.85546875" style="986" customWidth="1"/>
    <col min="14084" max="14084" width="21.7109375" style="986" customWidth="1"/>
    <col min="14085" max="14337" width="9.140625" style="986"/>
    <col min="14338" max="14338" width="48.5703125" style="986" bestFit="1" customWidth="1"/>
    <col min="14339" max="14339" width="35.85546875" style="986" customWidth="1"/>
    <col min="14340" max="14340" width="21.7109375" style="986" customWidth="1"/>
    <col min="14341" max="14593" width="9.140625" style="986"/>
    <col min="14594" max="14594" width="48.5703125" style="986" bestFit="1" customWidth="1"/>
    <col min="14595" max="14595" width="35.85546875" style="986" customWidth="1"/>
    <col min="14596" max="14596" width="21.7109375" style="986" customWidth="1"/>
    <col min="14597" max="14849" width="9.140625" style="986"/>
    <col min="14850" max="14850" width="48.5703125" style="986" bestFit="1" customWidth="1"/>
    <col min="14851" max="14851" width="35.85546875" style="986" customWidth="1"/>
    <col min="14852" max="14852" width="21.7109375" style="986" customWidth="1"/>
    <col min="14853" max="15105" width="9.140625" style="986"/>
    <col min="15106" max="15106" width="48.5703125" style="986" bestFit="1" customWidth="1"/>
    <col min="15107" max="15107" width="35.85546875" style="986" customWidth="1"/>
    <col min="15108" max="15108" width="21.7109375" style="986" customWidth="1"/>
    <col min="15109" max="15361" width="9.140625" style="986"/>
    <col min="15362" max="15362" width="48.5703125" style="986" bestFit="1" customWidth="1"/>
    <col min="15363" max="15363" width="35.85546875" style="986" customWidth="1"/>
    <col min="15364" max="15364" width="21.7109375" style="986" customWidth="1"/>
    <col min="15365" max="15617" width="9.140625" style="986"/>
    <col min="15618" max="15618" width="48.5703125" style="986" bestFit="1" customWidth="1"/>
    <col min="15619" max="15619" width="35.85546875" style="986" customWidth="1"/>
    <col min="15620" max="15620" width="21.7109375" style="986" customWidth="1"/>
    <col min="15621" max="15873" width="9.140625" style="986"/>
    <col min="15874" max="15874" width="48.5703125" style="986" bestFit="1" customWidth="1"/>
    <col min="15875" max="15875" width="35.85546875" style="986" customWidth="1"/>
    <col min="15876" max="15876" width="21.7109375" style="986" customWidth="1"/>
    <col min="15877" max="16129" width="9.140625" style="986"/>
    <col min="16130" max="16130" width="48.5703125" style="986" bestFit="1" customWidth="1"/>
    <col min="16131" max="16131" width="35.85546875" style="986" customWidth="1"/>
    <col min="16132" max="16132" width="21.7109375" style="986" customWidth="1"/>
    <col min="16133" max="16384" width="9.140625" style="986"/>
  </cols>
  <sheetData>
    <row r="1" spans="1:28" ht="18.75">
      <c r="B1" s="984" t="s">
        <v>3917</v>
      </c>
    </row>
    <row r="2" spans="1:28" ht="18.75">
      <c r="B2" s="984"/>
    </row>
    <row r="3" spans="1:28" ht="39.75" customHeight="1">
      <c r="B3" s="2296" t="s">
        <v>4417</v>
      </c>
      <c r="C3" s="2296"/>
      <c r="D3" s="2296"/>
      <c r="E3" s="1749"/>
      <c r="F3" s="1749"/>
      <c r="G3" s="1749"/>
      <c r="H3" s="1749"/>
      <c r="I3" s="1749"/>
      <c r="J3" s="1749"/>
      <c r="K3" s="1749"/>
      <c r="L3" s="1749"/>
      <c r="M3" s="1749"/>
      <c r="N3" s="1749"/>
    </row>
    <row r="5" spans="1:28" ht="28.5" customHeight="1">
      <c r="B5" s="995" t="s">
        <v>3102</v>
      </c>
      <c r="C5" s="996" t="s">
        <v>3103</v>
      </c>
      <c r="D5" s="997" t="s">
        <v>3104</v>
      </c>
    </row>
    <row r="6" spans="1:28" s="990" customFormat="1" ht="22.5" customHeight="1">
      <c r="A6" s="985"/>
      <c r="B6" s="987" t="s">
        <v>3105</v>
      </c>
      <c r="C6" s="988" t="s">
        <v>3106</v>
      </c>
      <c r="D6" s="989" t="s">
        <v>3107</v>
      </c>
      <c r="E6" s="985"/>
      <c r="F6" s="985"/>
      <c r="G6" s="985"/>
      <c r="H6" s="985"/>
      <c r="I6" s="985"/>
      <c r="J6" s="985"/>
      <c r="K6" s="985"/>
      <c r="L6" s="985"/>
      <c r="M6" s="985"/>
      <c r="N6" s="985"/>
      <c r="O6" s="985"/>
      <c r="P6" s="985"/>
      <c r="Q6" s="985"/>
      <c r="R6" s="985"/>
      <c r="S6" s="985"/>
      <c r="T6" s="985"/>
      <c r="U6" s="985"/>
      <c r="V6" s="985"/>
      <c r="W6" s="985"/>
      <c r="X6" s="985"/>
      <c r="Y6" s="985"/>
      <c r="Z6" s="985"/>
      <c r="AA6" s="985"/>
      <c r="AB6" s="985"/>
    </row>
    <row r="7" spans="1:28" ht="22.5" customHeight="1">
      <c r="B7" s="987" t="s">
        <v>3108</v>
      </c>
      <c r="C7" s="988" t="s">
        <v>3109</v>
      </c>
      <c r="D7" s="991" t="s">
        <v>3110</v>
      </c>
    </row>
    <row r="8" spans="1:28" s="990" customFormat="1" ht="22.5" customHeight="1">
      <c r="A8" s="985"/>
      <c r="B8" s="987" t="s">
        <v>3111</v>
      </c>
      <c r="C8" s="988" t="s">
        <v>3109</v>
      </c>
      <c r="D8" s="991" t="s">
        <v>3110</v>
      </c>
      <c r="E8" s="985"/>
      <c r="F8" s="985"/>
      <c r="G8" s="985"/>
      <c r="H8" s="985"/>
      <c r="I8" s="985"/>
      <c r="J8" s="985"/>
      <c r="K8" s="985"/>
      <c r="L8" s="985"/>
      <c r="M8" s="985"/>
      <c r="N8" s="985"/>
      <c r="O8" s="985"/>
      <c r="P8" s="985"/>
      <c r="Q8" s="985"/>
      <c r="R8" s="985"/>
      <c r="S8" s="985"/>
      <c r="T8" s="985"/>
      <c r="U8" s="985"/>
      <c r="V8" s="985"/>
      <c r="W8" s="985"/>
      <c r="X8" s="985"/>
      <c r="Y8" s="985"/>
      <c r="Z8" s="985"/>
      <c r="AA8" s="985"/>
      <c r="AB8" s="985"/>
    </row>
    <row r="9" spans="1:28" ht="22.5" customHeight="1">
      <c r="B9" s="2297" t="s">
        <v>3112</v>
      </c>
      <c r="C9" s="988" t="s">
        <v>3113</v>
      </c>
      <c r="D9" s="992" t="s">
        <v>3114</v>
      </c>
    </row>
    <row r="10" spans="1:28" ht="22.5" customHeight="1">
      <c r="B10" s="2299"/>
      <c r="C10" s="988" t="s">
        <v>3115</v>
      </c>
      <c r="D10" s="992" t="s">
        <v>3114</v>
      </c>
    </row>
    <row r="11" spans="1:28" ht="22.5" customHeight="1">
      <c r="B11" s="2298"/>
      <c r="C11" s="988" t="s">
        <v>3116</v>
      </c>
      <c r="D11" s="992" t="s">
        <v>3114</v>
      </c>
    </row>
    <row r="12" spans="1:28" s="990" customFormat="1" ht="22.5" customHeight="1">
      <c r="A12" s="985"/>
      <c r="B12" s="987" t="s">
        <v>3117</v>
      </c>
      <c r="C12" s="988" t="s">
        <v>3118</v>
      </c>
      <c r="D12" s="992" t="s">
        <v>3114</v>
      </c>
      <c r="E12" s="985"/>
      <c r="F12" s="985"/>
      <c r="G12" s="985"/>
      <c r="H12" s="985"/>
      <c r="I12" s="985"/>
      <c r="J12" s="985"/>
      <c r="K12" s="985"/>
      <c r="L12" s="985"/>
      <c r="M12" s="985"/>
      <c r="N12" s="985"/>
      <c r="O12" s="985"/>
      <c r="P12" s="985"/>
      <c r="Q12" s="985"/>
      <c r="R12" s="985"/>
      <c r="S12" s="985"/>
      <c r="T12" s="985"/>
      <c r="U12" s="985"/>
      <c r="V12" s="985"/>
      <c r="W12" s="985"/>
      <c r="X12" s="985"/>
      <c r="Y12" s="985"/>
      <c r="Z12" s="985"/>
      <c r="AA12" s="985"/>
      <c r="AB12" s="985"/>
    </row>
    <row r="13" spans="1:28" ht="22.5" customHeight="1">
      <c r="B13" s="987" t="s">
        <v>3119</v>
      </c>
      <c r="C13" s="988" t="s">
        <v>3120</v>
      </c>
      <c r="D13" s="992" t="s">
        <v>3114</v>
      </c>
    </row>
    <row r="14" spans="1:28" s="990" customFormat="1" ht="22.5" customHeight="1">
      <c r="A14" s="985"/>
      <c r="B14" s="2297" t="s">
        <v>3121</v>
      </c>
      <c r="C14" s="988" t="s">
        <v>3122</v>
      </c>
      <c r="D14" s="992" t="s">
        <v>3114</v>
      </c>
      <c r="E14" s="985"/>
      <c r="F14" s="985"/>
      <c r="G14" s="985"/>
      <c r="H14" s="985"/>
      <c r="I14" s="985"/>
      <c r="J14" s="985"/>
      <c r="K14" s="985"/>
      <c r="L14" s="985"/>
      <c r="M14" s="985"/>
      <c r="N14" s="985"/>
      <c r="O14" s="985"/>
      <c r="P14" s="985"/>
      <c r="Q14" s="985"/>
      <c r="R14" s="985"/>
      <c r="S14" s="985"/>
      <c r="T14" s="985"/>
      <c r="U14" s="985"/>
      <c r="V14" s="985"/>
      <c r="W14" s="985"/>
      <c r="X14" s="985"/>
      <c r="Y14" s="985"/>
      <c r="Z14" s="985"/>
      <c r="AA14" s="985"/>
      <c r="AB14" s="985"/>
    </row>
    <row r="15" spans="1:28" s="990" customFormat="1" ht="22.5" customHeight="1">
      <c r="A15" s="985"/>
      <c r="B15" s="2298"/>
      <c r="C15" s="988" t="s">
        <v>3116</v>
      </c>
      <c r="D15" s="992" t="s">
        <v>3114</v>
      </c>
      <c r="E15" s="985"/>
      <c r="F15" s="985"/>
      <c r="G15" s="985"/>
      <c r="H15" s="985"/>
      <c r="I15" s="985"/>
      <c r="J15" s="985"/>
      <c r="K15" s="985"/>
      <c r="L15" s="985"/>
      <c r="M15" s="985"/>
      <c r="N15" s="985"/>
      <c r="O15" s="985"/>
      <c r="P15" s="985"/>
      <c r="Q15" s="985"/>
      <c r="R15" s="985"/>
      <c r="S15" s="985"/>
      <c r="T15" s="985"/>
      <c r="U15" s="985"/>
      <c r="V15" s="985"/>
      <c r="W15" s="985"/>
      <c r="X15" s="985"/>
      <c r="Y15" s="985"/>
      <c r="Z15" s="985"/>
      <c r="AA15" s="985"/>
      <c r="AB15" s="985"/>
    </row>
    <row r="16" spans="1:28" ht="22.5" customHeight="1">
      <c r="B16" s="2297" t="s">
        <v>3123</v>
      </c>
      <c r="C16" s="988" t="s">
        <v>3124</v>
      </c>
      <c r="D16" s="993" t="s">
        <v>3107</v>
      </c>
    </row>
    <row r="17" spans="1:28" ht="22.5" customHeight="1">
      <c r="B17" s="2298"/>
      <c r="C17" s="988" t="s">
        <v>3116</v>
      </c>
      <c r="D17" s="992" t="s">
        <v>3114</v>
      </c>
    </row>
    <row r="18" spans="1:28" ht="22.5" customHeight="1">
      <c r="B18" s="1764" t="s">
        <v>4468</v>
      </c>
      <c r="C18" s="988" t="s">
        <v>4470</v>
      </c>
      <c r="D18" s="991" t="s">
        <v>3110</v>
      </c>
    </row>
    <row r="19" spans="1:28" ht="22.5" customHeight="1">
      <c r="B19" s="987" t="s">
        <v>4466</v>
      </c>
      <c r="C19" s="988" t="s">
        <v>4467</v>
      </c>
      <c r="D19" s="992" t="s">
        <v>3114</v>
      </c>
    </row>
    <row r="20" spans="1:28" s="990" customFormat="1" ht="22.5" customHeight="1">
      <c r="A20" s="985"/>
      <c r="B20" s="987" t="s">
        <v>3125</v>
      </c>
      <c r="C20" s="988" t="s">
        <v>3109</v>
      </c>
      <c r="D20" s="991" t="s">
        <v>3110</v>
      </c>
      <c r="E20" s="985"/>
      <c r="F20" s="985"/>
      <c r="G20" s="985"/>
      <c r="H20" s="985"/>
      <c r="I20" s="985"/>
      <c r="J20" s="985"/>
      <c r="K20" s="985"/>
      <c r="L20" s="985"/>
      <c r="M20" s="985"/>
      <c r="N20" s="985"/>
      <c r="O20" s="985"/>
      <c r="P20" s="985"/>
      <c r="Q20" s="985"/>
      <c r="R20" s="985"/>
      <c r="S20" s="985"/>
      <c r="T20" s="985"/>
      <c r="U20" s="985"/>
      <c r="V20" s="985"/>
      <c r="W20" s="985"/>
      <c r="X20" s="985"/>
      <c r="Y20" s="985"/>
      <c r="Z20" s="985"/>
      <c r="AA20" s="985"/>
      <c r="AB20" s="985"/>
    </row>
    <row r="21" spans="1:28" ht="22.5" customHeight="1">
      <c r="B21" s="987" t="s">
        <v>3126</v>
      </c>
      <c r="C21" s="988" t="s">
        <v>3127</v>
      </c>
      <c r="D21" s="991" t="s">
        <v>3110</v>
      </c>
      <c r="E21" s="496"/>
    </row>
    <row r="22" spans="1:28" s="990" customFormat="1" ht="22.5" customHeight="1">
      <c r="A22" s="985"/>
      <c r="B22" s="987" t="s">
        <v>3128</v>
      </c>
      <c r="C22" s="988" t="s">
        <v>3109</v>
      </c>
      <c r="D22" s="991" t="s">
        <v>3110</v>
      </c>
      <c r="E22" s="985"/>
      <c r="F22" s="985"/>
      <c r="G22" s="985"/>
      <c r="H22" s="985"/>
      <c r="I22" s="985"/>
      <c r="J22" s="985"/>
      <c r="K22" s="985"/>
      <c r="L22" s="985"/>
      <c r="M22" s="985"/>
      <c r="N22" s="985"/>
      <c r="O22" s="985"/>
      <c r="P22" s="985"/>
      <c r="Q22" s="985"/>
      <c r="R22" s="985"/>
      <c r="S22" s="985"/>
      <c r="T22" s="985"/>
      <c r="U22" s="985"/>
      <c r="V22" s="985"/>
      <c r="W22" s="985"/>
      <c r="X22" s="985"/>
      <c r="Y22" s="985"/>
      <c r="Z22" s="985"/>
      <c r="AA22" s="985"/>
      <c r="AB22" s="985"/>
    </row>
    <row r="23" spans="1:28" ht="22.5" customHeight="1">
      <c r="B23" s="987" t="s">
        <v>3129</v>
      </c>
      <c r="C23" s="988" t="s">
        <v>3127</v>
      </c>
      <c r="D23" s="991" t="s">
        <v>3110</v>
      </c>
    </row>
    <row r="24" spans="1:28" s="990" customFormat="1" ht="22.5" customHeight="1">
      <c r="A24" s="985"/>
      <c r="B24" s="987" t="s">
        <v>3130</v>
      </c>
      <c r="C24" s="2300" t="s">
        <v>3131</v>
      </c>
      <c r="D24" s="991" t="s">
        <v>3110</v>
      </c>
      <c r="E24" s="985"/>
      <c r="F24" s="985"/>
      <c r="G24" s="985"/>
      <c r="H24" s="985"/>
      <c r="I24" s="985"/>
      <c r="J24" s="985"/>
      <c r="K24" s="985"/>
      <c r="L24" s="985"/>
      <c r="M24" s="985"/>
      <c r="N24" s="985"/>
      <c r="O24" s="985"/>
      <c r="P24" s="985"/>
      <c r="Q24" s="985"/>
      <c r="R24" s="985"/>
      <c r="S24" s="985"/>
      <c r="T24" s="985"/>
      <c r="U24" s="985"/>
      <c r="V24" s="985"/>
      <c r="W24" s="985"/>
      <c r="X24" s="985"/>
      <c r="Y24" s="985"/>
      <c r="Z24" s="985"/>
      <c r="AA24" s="985"/>
      <c r="AB24" s="985"/>
    </row>
    <row r="25" spans="1:28" ht="22.5" customHeight="1">
      <c r="B25" s="987" t="s">
        <v>3132</v>
      </c>
      <c r="C25" s="2301"/>
      <c r="D25" s="991" t="s">
        <v>3110</v>
      </c>
    </row>
    <row r="26" spans="1:28" s="990" customFormat="1" ht="22.5" customHeight="1">
      <c r="A26" s="985"/>
      <c r="B26" s="987" t="s">
        <v>3133</v>
      </c>
      <c r="C26" s="2302"/>
      <c r="D26" s="991" t="s">
        <v>3110</v>
      </c>
      <c r="E26" s="985"/>
      <c r="F26" s="985"/>
      <c r="G26" s="985"/>
      <c r="H26" s="985"/>
      <c r="I26" s="985"/>
      <c r="J26" s="985"/>
      <c r="K26" s="985"/>
      <c r="L26" s="985"/>
      <c r="M26" s="985"/>
      <c r="N26" s="985"/>
      <c r="O26" s="985"/>
      <c r="P26" s="985"/>
      <c r="Q26" s="985"/>
      <c r="R26" s="985"/>
      <c r="S26" s="985"/>
      <c r="T26" s="985"/>
      <c r="U26" s="985"/>
      <c r="V26" s="985"/>
      <c r="W26" s="985"/>
      <c r="X26" s="985"/>
      <c r="Y26" s="985"/>
      <c r="Z26" s="985"/>
      <c r="AA26" s="985"/>
      <c r="AB26" s="985"/>
    </row>
    <row r="27" spans="1:28" ht="22.5" customHeight="1">
      <c r="B27" s="987" t="s">
        <v>3134</v>
      </c>
      <c r="C27" s="988" t="s">
        <v>3135</v>
      </c>
      <c r="D27" s="991" t="s">
        <v>3110</v>
      </c>
    </row>
    <row r="28" spans="1:28" s="990" customFormat="1" ht="22.5" customHeight="1">
      <c r="A28" s="985"/>
      <c r="B28" s="2297" t="s">
        <v>3136</v>
      </c>
      <c r="C28" s="988" t="s">
        <v>3116</v>
      </c>
      <c r="D28" s="992" t="s">
        <v>3114</v>
      </c>
      <c r="E28" s="985"/>
      <c r="F28" s="985"/>
      <c r="G28" s="985"/>
      <c r="H28" s="985"/>
      <c r="I28" s="985"/>
      <c r="J28" s="985"/>
      <c r="K28" s="985"/>
      <c r="L28" s="985"/>
      <c r="M28" s="985"/>
      <c r="N28" s="985"/>
      <c r="O28" s="985"/>
      <c r="P28" s="985"/>
      <c r="Q28" s="985"/>
      <c r="R28" s="985"/>
      <c r="S28" s="985"/>
      <c r="T28" s="985"/>
      <c r="U28" s="985"/>
      <c r="V28" s="985"/>
      <c r="W28" s="985"/>
      <c r="X28" s="985"/>
      <c r="Y28" s="985"/>
      <c r="Z28" s="985"/>
      <c r="AA28" s="985"/>
      <c r="AB28" s="985"/>
    </row>
    <row r="29" spans="1:28" s="990" customFormat="1" ht="22.5" customHeight="1">
      <c r="A29" s="985"/>
      <c r="B29" s="2299"/>
      <c r="C29" s="988" t="s">
        <v>3137</v>
      </c>
      <c r="D29" s="992" t="s">
        <v>3114</v>
      </c>
      <c r="E29" s="985"/>
      <c r="F29" s="985"/>
      <c r="G29" s="985"/>
      <c r="H29" s="985"/>
      <c r="I29" s="985"/>
      <c r="J29" s="985"/>
      <c r="K29" s="985"/>
      <c r="L29" s="985"/>
      <c r="M29" s="985"/>
      <c r="N29" s="985"/>
      <c r="O29" s="985"/>
      <c r="P29" s="985"/>
      <c r="Q29" s="985"/>
      <c r="R29" s="985"/>
      <c r="S29" s="985"/>
      <c r="T29" s="985"/>
      <c r="U29" s="985"/>
      <c r="V29" s="985"/>
      <c r="W29" s="985"/>
      <c r="X29" s="985"/>
      <c r="Y29" s="985"/>
      <c r="Z29" s="985"/>
      <c r="AA29" s="985"/>
      <c r="AB29" s="985"/>
    </row>
    <row r="30" spans="1:28" s="990" customFormat="1" ht="22.5" customHeight="1">
      <c r="A30" s="985"/>
      <c r="B30" s="2298"/>
      <c r="C30" s="988" t="s">
        <v>3138</v>
      </c>
      <c r="D30" s="993" t="s">
        <v>3107</v>
      </c>
      <c r="E30" s="985"/>
      <c r="F30" s="985"/>
      <c r="G30" s="985"/>
      <c r="H30" s="985"/>
      <c r="I30" s="985"/>
      <c r="J30" s="985"/>
      <c r="K30" s="985"/>
      <c r="L30" s="985"/>
      <c r="M30" s="985"/>
      <c r="N30" s="985"/>
      <c r="O30" s="985"/>
      <c r="P30" s="985"/>
      <c r="Q30" s="985"/>
      <c r="R30" s="985"/>
      <c r="S30" s="985"/>
      <c r="T30" s="985"/>
      <c r="U30" s="985"/>
      <c r="V30" s="985"/>
      <c r="W30" s="985"/>
      <c r="X30" s="985"/>
      <c r="Y30" s="985"/>
      <c r="Z30" s="985"/>
      <c r="AA30" s="985"/>
      <c r="AB30" s="985"/>
    </row>
    <row r="31" spans="1:28" ht="22.5" customHeight="1">
      <c r="B31" s="2297" t="s">
        <v>3139</v>
      </c>
      <c r="C31" s="988" t="s">
        <v>4471</v>
      </c>
      <c r="D31" s="991" t="s">
        <v>3110</v>
      </c>
    </row>
    <row r="32" spans="1:28" ht="22.5" customHeight="1">
      <c r="B32" s="2298"/>
      <c r="C32" s="988" t="s">
        <v>3140</v>
      </c>
      <c r="D32" s="992" t="s">
        <v>3114</v>
      </c>
    </row>
    <row r="33" spans="1:28" ht="22.5" customHeight="1">
      <c r="B33" s="1764" t="s">
        <v>4490</v>
      </c>
      <c r="C33" s="988" t="s">
        <v>4517</v>
      </c>
      <c r="D33" s="993" t="s">
        <v>3107</v>
      </c>
    </row>
    <row r="34" spans="1:28" s="990" customFormat="1" ht="22.5" customHeight="1">
      <c r="A34" s="985"/>
      <c r="B34" s="987" t="s">
        <v>4489</v>
      </c>
      <c r="C34" s="988" t="s">
        <v>4488</v>
      </c>
      <c r="D34" s="993" t="s">
        <v>3107</v>
      </c>
      <c r="E34" s="985"/>
      <c r="F34" s="985"/>
      <c r="G34" s="985"/>
      <c r="H34" s="985"/>
      <c r="I34" s="985"/>
      <c r="J34" s="985"/>
      <c r="K34" s="985"/>
      <c r="L34" s="985"/>
      <c r="M34" s="985"/>
      <c r="N34" s="985"/>
      <c r="O34" s="985"/>
      <c r="P34" s="985"/>
      <c r="Q34" s="985"/>
      <c r="R34" s="985"/>
      <c r="S34" s="985"/>
      <c r="T34" s="985"/>
      <c r="U34" s="985"/>
      <c r="V34" s="985"/>
      <c r="W34" s="985"/>
      <c r="X34" s="985"/>
      <c r="Y34" s="985"/>
      <c r="Z34" s="985"/>
      <c r="AA34" s="985"/>
      <c r="AB34" s="985"/>
    </row>
    <row r="35" spans="1:28">
      <c r="C35" s="994"/>
    </row>
    <row r="36" spans="1:28">
      <c r="C36" s="994"/>
    </row>
  </sheetData>
  <sheetProtection formatCells="0" formatColumns="0" formatRows="0" insertColumns="0" insertRows="0" insertHyperlinks="0"/>
  <mergeCells count="7">
    <mergeCell ref="B3:D3"/>
    <mergeCell ref="B31:B32"/>
    <mergeCell ref="B9:B11"/>
    <mergeCell ref="B14:B15"/>
    <mergeCell ref="B16:B17"/>
    <mergeCell ref="C24:C26"/>
    <mergeCell ref="B28:B30"/>
  </mergeCells>
  <hyperlinks>
    <hyperlink ref="C6" location="'1.1 - APPLIANCES'!Print_Area" display="1.1 - APPLIANCES"/>
    <hyperlink ref="C7" location="'2.1-2.2, 5.1, 5.3 - HEATING&amp;DHW'!Print_Area" display="2.1-2.2, 5.1, 5.3 - HEATING&amp;DHW"/>
    <hyperlink ref="C8" location="'2.1-2.2, 5.1, 5.3 - HEATING&amp;DHW'!Print_Area" display="2.1-2.2, 5.1, 5.3 - HEATING&amp;DHW"/>
    <hyperlink ref="C11" location="'8.1 - INF_EXT AIR BARRIER'!A1" display="8.1 - INF_EXT AIR BARRIER"/>
    <hyperlink ref="C12" location="'3.2 - ENV_Roof'!Print_Area" display="3.2 - ENV_ROOF"/>
    <hyperlink ref="C13" location="'3.3 - ENV_FLOORS'!Print_Area" display="3.3 - ENV_FLOORS"/>
    <hyperlink ref="C17" location="'8.1 - INF_EXT AIR BARRIER'!A1" display="8.1 - INF_EXT AIR BARRIER"/>
    <hyperlink ref="C20" location="'2.1-2.2, 5.1, 5.3 - HEATING&amp;DHW'!Print_Area" display="2.1-2.2, 5.1, 5.3 - HEATING&amp;DHW"/>
    <hyperlink ref="C22" location="'2.1-2.2, 5.1, 5.3 - HEATING&amp;DHW'!Print_Area" display="2.1-2.2, 5.1, 5.3 - HEATING&amp;DHW"/>
    <hyperlink ref="C23" location="'5.2, 5.4 - COOLING'!A1" display="5.2, 5.4 - COOLING"/>
    <hyperlink ref="C24" location="'6.1, 6.2, 6.3 - LIGHTING'!Print_Area" display="6.1, 6.2, 6.3 - LIGHTING"/>
    <hyperlink ref="C27" location="'7.1 - MOTORS'!Print_Area" display="9.1 - MOTORS but also in heating and dhw"/>
    <hyperlink ref="C30" location="'8.1 - INF_BLOWER DOOR TEST'!A1" display="8.1 - INF_BLOWER DOOR TEST"/>
    <hyperlink ref="C32" location="'8.2 - VENT_DUCT TIGHTNESS'!A1" display="8.2 - VENT_DUCT TIGHTNESS"/>
    <hyperlink ref="C34" location="'10.1 - METERS'!Print_Area" display="10.1 - METERS"/>
    <hyperlink ref="C10" location="'3.1 - ENV_ABOVE GRADE WALLS'!A1" display="3.1 - ENV_ABOVE GRADE WALL"/>
    <hyperlink ref="C9" location="'3.1 - ENV_BELOW GRADE WALLS'!Print_Area" display="'3.1 - ENV_BELOW GRADE WALLS'!Print_Area"/>
    <hyperlink ref="C14" location="'3.4 - ENV_WINDOWS'!Print_Area" display="'3.4 - ENV_WINDOWS'!Print_Area"/>
    <hyperlink ref="C16" location="'3.5 - ENV_EXTERIOR DOORS'!Print_Area" display="'3.5 - ENV_EXTERIOR DOORS'!Print_Area"/>
    <hyperlink ref="C29" location="'8.1-INF_COMPTZN VIS INSPECTION'!A1" display="8.1-INF_COMPTZN VIS INSPECTION"/>
    <hyperlink ref="C28" location="'8.1 - INF_EXT AIR BARRIER'!Print_Area" display="'8.1 - INF_EXT AIR BARRIER'!Print_Area"/>
    <hyperlink ref="C31" location="'8.2,4.1 - VENT_SCHEDULE&amp;TAB'!Print_Area" display="8.2,4.1 - VENT_SCHEDULE&amp;TAB"/>
    <hyperlink ref="C15" location="'8.1 - INF_EXT AIR BARRIER'!A1" display="8.1 - INF_EXT AIR BARRIER"/>
    <hyperlink ref="C19" location="'4.2 - GARAGES_CMPTZ &amp; HEATING '!Print_Area" display="4.2 - GARAGES_CMPTZ &amp; HEATING"/>
    <hyperlink ref="C21" location="'5.2, 5.4 - COOLING'!A1" display="5.2, 5.4 - COOLING"/>
    <hyperlink ref="C18" location="'8.2,4.1 - VENT_SCHEDULE&amp;TAB'!Print_Area" display="8.2, 4.1 - VENT_SCHEDULE&amp;TAB"/>
    <hyperlink ref="C33" location="'9.1- H&amp;S'!Print_Area" display="9.1 - HEALTH &amp; SAFETY"/>
  </hyperlink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sheetPr>
    <tabColor rgb="FFFF0000"/>
    <outlinePr summaryBelow="0" summaryRight="0"/>
  </sheetPr>
  <dimension ref="A1:AR1309"/>
  <sheetViews>
    <sheetView showGridLines="0" zoomScaleNormal="100" workbookViewId="0">
      <selection activeCell="C9" sqref="C9"/>
    </sheetView>
  </sheetViews>
  <sheetFormatPr defaultColWidth="8.85546875" defaultRowHeight="12"/>
  <cols>
    <col min="1" max="1" width="26.28515625" style="892" customWidth="1"/>
    <col min="2" max="2" width="26.28515625" style="931" customWidth="1"/>
    <col min="3" max="3" width="26.28515625" style="932" customWidth="1"/>
    <col min="4" max="4" width="26.28515625" style="933" customWidth="1"/>
    <col min="5" max="5" width="26.28515625" style="1438" customWidth="1"/>
    <col min="6" max="6" width="26.28515625" style="935" customWidth="1"/>
    <col min="7" max="11" width="26.28515625" style="898" customWidth="1"/>
    <col min="12" max="36" width="9.140625" style="898" customWidth="1"/>
    <col min="37" max="39" width="9.140625" style="897" customWidth="1"/>
    <col min="40" max="40" width="8.85546875" style="897" customWidth="1"/>
    <col min="41" max="251" width="8.85546875" style="897"/>
    <col min="252" max="266" width="0" style="897" hidden="1" customWidth="1"/>
    <col min="267" max="295" width="9.140625" style="897" customWidth="1"/>
    <col min="296" max="296" width="8.85546875" style="897" customWidth="1"/>
    <col min="297" max="507" width="8.85546875" style="897"/>
    <col min="508" max="522" width="0" style="897" hidden="1" customWidth="1"/>
    <col min="523" max="551" width="9.140625" style="897" customWidth="1"/>
    <col min="552" max="552" width="8.85546875" style="897" customWidth="1"/>
    <col min="553" max="763" width="8.85546875" style="897"/>
    <col min="764" max="778" width="0" style="897" hidden="1" customWidth="1"/>
    <col min="779" max="807" width="9.140625" style="897" customWidth="1"/>
    <col min="808" max="808" width="8.85546875" style="897" customWidth="1"/>
    <col min="809" max="1019" width="8.85546875" style="897"/>
    <col min="1020" max="1034" width="0" style="897" hidden="1" customWidth="1"/>
    <col min="1035" max="1063" width="9.140625" style="897" customWidth="1"/>
    <col min="1064" max="1064" width="8.85546875" style="897" customWidth="1"/>
    <col min="1065" max="1275" width="8.85546875" style="897"/>
    <col min="1276" max="1290" width="0" style="897" hidden="1" customWidth="1"/>
    <col min="1291" max="1319" width="9.140625" style="897" customWidth="1"/>
    <col min="1320" max="1320" width="8.85546875" style="897" customWidth="1"/>
    <col min="1321" max="1531" width="8.85546875" style="897"/>
    <col min="1532" max="1546" width="0" style="897" hidden="1" customWidth="1"/>
    <col min="1547" max="1575" width="9.140625" style="897" customWidth="1"/>
    <col min="1576" max="1576" width="8.85546875" style="897" customWidth="1"/>
    <col min="1577" max="1787" width="8.85546875" style="897"/>
    <col min="1788" max="1802" width="0" style="897" hidden="1" customWidth="1"/>
    <col min="1803" max="1831" width="9.140625" style="897" customWidth="1"/>
    <col min="1832" max="1832" width="8.85546875" style="897" customWidth="1"/>
    <col min="1833" max="2043" width="8.85546875" style="897"/>
    <col min="2044" max="2058" width="0" style="897" hidden="1" customWidth="1"/>
    <col min="2059" max="2087" width="9.140625" style="897" customWidth="1"/>
    <col min="2088" max="2088" width="8.85546875" style="897" customWidth="1"/>
    <col min="2089" max="2299" width="8.85546875" style="897"/>
    <col min="2300" max="2314" width="0" style="897" hidden="1" customWidth="1"/>
    <col min="2315" max="2343" width="9.140625" style="897" customWidth="1"/>
    <col min="2344" max="2344" width="8.85546875" style="897" customWidth="1"/>
    <col min="2345" max="2555" width="8.85546875" style="897"/>
    <col min="2556" max="2570" width="0" style="897" hidden="1" customWidth="1"/>
    <col min="2571" max="2599" width="9.140625" style="897" customWidth="1"/>
    <col min="2600" max="2600" width="8.85546875" style="897" customWidth="1"/>
    <col min="2601" max="2811" width="8.85546875" style="897"/>
    <col min="2812" max="2826" width="0" style="897" hidden="1" customWidth="1"/>
    <col min="2827" max="2855" width="9.140625" style="897" customWidth="1"/>
    <col min="2856" max="2856" width="8.85546875" style="897" customWidth="1"/>
    <col min="2857" max="3067" width="8.85546875" style="897"/>
    <col min="3068" max="3082" width="0" style="897" hidden="1" customWidth="1"/>
    <col min="3083" max="3111" width="9.140625" style="897" customWidth="1"/>
    <col min="3112" max="3112" width="8.85546875" style="897" customWidth="1"/>
    <col min="3113" max="3323" width="8.85546875" style="897"/>
    <col min="3324" max="3338" width="0" style="897" hidden="1" customWidth="1"/>
    <col min="3339" max="3367" width="9.140625" style="897" customWidth="1"/>
    <col min="3368" max="3368" width="8.85546875" style="897" customWidth="1"/>
    <col min="3369" max="3579" width="8.85546875" style="897"/>
    <col min="3580" max="3594" width="0" style="897" hidden="1" customWidth="1"/>
    <col min="3595" max="3623" width="9.140625" style="897" customWidth="1"/>
    <col min="3624" max="3624" width="8.85546875" style="897" customWidth="1"/>
    <col min="3625" max="3835" width="8.85546875" style="897"/>
    <col min="3836" max="3850" width="0" style="897" hidden="1" customWidth="1"/>
    <col min="3851" max="3879" width="9.140625" style="897" customWidth="1"/>
    <col min="3880" max="3880" width="8.85546875" style="897" customWidth="1"/>
    <col min="3881" max="4091" width="8.85546875" style="897"/>
    <col min="4092" max="4106" width="0" style="897" hidden="1" customWidth="1"/>
    <col min="4107" max="4135" width="9.140625" style="897" customWidth="1"/>
    <col min="4136" max="4136" width="8.85546875" style="897" customWidth="1"/>
    <col min="4137" max="4347" width="8.85546875" style="897"/>
    <col min="4348" max="4362" width="0" style="897" hidden="1" customWidth="1"/>
    <col min="4363" max="4391" width="9.140625" style="897" customWidth="1"/>
    <col min="4392" max="4392" width="8.85546875" style="897" customWidth="1"/>
    <col min="4393" max="4603" width="8.85546875" style="897"/>
    <col min="4604" max="4618" width="0" style="897" hidden="1" customWidth="1"/>
    <col min="4619" max="4647" width="9.140625" style="897" customWidth="1"/>
    <col min="4648" max="4648" width="8.85546875" style="897" customWidth="1"/>
    <col min="4649" max="4859" width="8.85546875" style="897"/>
    <col min="4860" max="4874" width="0" style="897" hidden="1" customWidth="1"/>
    <col min="4875" max="4903" width="9.140625" style="897" customWidth="1"/>
    <col min="4904" max="4904" width="8.85546875" style="897" customWidth="1"/>
    <col min="4905" max="5115" width="8.85546875" style="897"/>
    <col min="5116" max="5130" width="0" style="897" hidden="1" customWidth="1"/>
    <col min="5131" max="5159" width="9.140625" style="897" customWidth="1"/>
    <col min="5160" max="5160" width="8.85546875" style="897" customWidth="1"/>
    <col min="5161" max="5371" width="8.85546875" style="897"/>
    <col min="5372" max="5386" width="0" style="897" hidden="1" customWidth="1"/>
    <col min="5387" max="5415" width="9.140625" style="897" customWidth="1"/>
    <col min="5416" max="5416" width="8.85546875" style="897" customWidth="1"/>
    <col min="5417" max="5627" width="8.85546875" style="897"/>
    <col min="5628" max="5642" width="0" style="897" hidden="1" customWidth="1"/>
    <col min="5643" max="5671" width="9.140625" style="897" customWidth="1"/>
    <col min="5672" max="5672" width="8.85546875" style="897" customWidth="1"/>
    <col min="5673" max="5883" width="8.85546875" style="897"/>
    <col min="5884" max="5898" width="0" style="897" hidden="1" customWidth="1"/>
    <col min="5899" max="5927" width="9.140625" style="897" customWidth="1"/>
    <col min="5928" max="5928" width="8.85546875" style="897" customWidth="1"/>
    <col min="5929" max="6139" width="8.85546875" style="897"/>
    <col min="6140" max="6154" width="0" style="897" hidden="1" customWidth="1"/>
    <col min="6155" max="6183" width="9.140625" style="897" customWidth="1"/>
    <col min="6184" max="6184" width="8.85546875" style="897" customWidth="1"/>
    <col min="6185" max="6395" width="8.85546875" style="897"/>
    <col min="6396" max="6410" width="0" style="897" hidden="1" customWidth="1"/>
    <col min="6411" max="6439" width="9.140625" style="897" customWidth="1"/>
    <col min="6440" max="6440" width="8.85546875" style="897" customWidth="1"/>
    <col min="6441" max="6651" width="8.85546875" style="897"/>
    <col min="6652" max="6666" width="0" style="897" hidden="1" customWidth="1"/>
    <col min="6667" max="6695" width="9.140625" style="897" customWidth="1"/>
    <col min="6696" max="6696" width="8.85546875" style="897" customWidth="1"/>
    <col min="6697" max="6907" width="8.85546875" style="897"/>
    <col min="6908" max="6922" width="0" style="897" hidden="1" customWidth="1"/>
    <col min="6923" max="6951" width="9.140625" style="897" customWidth="1"/>
    <col min="6952" max="6952" width="8.85546875" style="897" customWidth="1"/>
    <col min="6953" max="7163" width="8.85546875" style="897"/>
    <col min="7164" max="7178" width="0" style="897" hidden="1" customWidth="1"/>
    <col min="7179" max="7207" width="9.140625" style="897" customWidth="1"/>
    <col min="7208" max="7208" width="8.85546875" style="897" customWidth="1"/>
    <col min="7209" max="7419" width="8.85546875" style="897"/>
    <col min="7420" max="7434" width="0" style="897" hidden="1" customWidth="1"/>
    <col min="7435" max="7463" width="9.140625" style="897" customWidth="1"/>
    <col min="7464" max="7464" width="8.85546875" style="897" customWidth="1"/>
    <col min="7465" max="7675" width="8.85546875" style="897"/>
    <col min="7676" max="7690" width="0" style="897" hidden="1" customWidth="1"/>
    <col min="7691" max="7719" width="9.140625" style="897" customWidth="1"/>
    <col min="7720" max="7720" width="8.85546875" style="897" customWidth="1"/>
    <col min="7721" max="7931" width="8.85546875" style="897"/>
    <col min="7932" max="7946" width="0" style="897" hidden="1" customWidth="1"/>
    <col min="7947" max="7975" width="9.140625" style="897" customWidth="1"/>
    <col min="7976" max="7976" width="8.85546875" style="897" customWidth="1"/>
    <col min="7977" max="8187" width="8.85546875" style="897"/>
    <col min="8188" max="8202" width="0" style="897" hidden="1" customWidth="1"/>
    <col min="8203" max="8231" width="9.140625" style="897" customWidth="1"/>
    <col min="8232" max="8232" width="8.85546875" style="897" customWidth="1"/>
    <col min="8233" max="8443" width="8.85546875" style="897"/>
    <col min="8444" max="8458" width="0" style="897" hidden="1" customWidth="1"/>
    <col min="8459" max="8487" width="9.140625" style="897" customWidth="1"/>
    <col min="8488" max="8488" width="8.85546875" style="897" customWidth="1"/>
    <col min="8489" max="8699" width="8.85546875" style="897"/>
    <col min="8700" max="8714" width="0" style="897" hidden="1" customWidth="1"/>
    <col min="8715" max="8743" width="9.140625" style="897" customWidth="1"/>
    <col min="8744" max="8744" width="8.85546875" style="897" customWidth="1"/>
    <col min="8745" max="8955" width="8.85546875" style="897"/>
    <col min="8956" max="8970" width="0" style="897" hidden="1" customWidth="1"/>
    <col min="8971" max="8999" width="9.140625" style="897" customWidth="1"/>
    <col min="9000" max="9000" width="8.85546875" style="897" customWidth="1"/>
    <col min="9001" max="9211" width="8.85546875" style="897"/>
    <col min="9212" max="9226" width="0" style="897" hidden="1" customWidth="1"/>
    <col min="9227" max="9255" width="9.140625" style="897" customWidth="1"/>
    <col min="9256" max="9256" width="8.85546875" style="897" customWidth="1"/>
    <col min="9257" max="9467" width="8.85546875" style="897"/>
    <col min="9468" max="9482" width="0" style="897" hidden="1" customWidth="1"/>
    <col min="9483" max="9511" width="9.140625" style="897" customWidth="1"/>
    <col min="9512" max="9512" width="8.85546875" style="897" customWidth="1"/>
    <col min="9513" max="9723" width="8.85546875" style="897"/>
    <col min="9724" max="9738" width="0" style="897" hidden="1" customWidth="1"/>
    <col min="9739" max="9767" width="9.140625" style="897" customWidth="1"/>
    <col min="9768" max="9768" width="8.85546875" style="897" customWidth="1"/>
    <col min="9769" max="9979" width="8.85546875" style="897"/>
    <col min="9980" max="9994" width="0" style="897" hidden="1" customWidth="1"/>
    <col min="9995" max="10023" width="9.140625" style="897" customWidth="1"/>
    <col min="10024" max="10024" width="8.85546875" style="897" customWidth="1"/>
    <col min="10025" max="10235" width="8.85546875" style="897"/>
    <col min="10236" max="10250" width="0" style="897" hidden="1" customWidth="1"/>
    <col min="10251" max="10279" width="9.140625" style="897" customWidth="1"/>
    <col min="10280" max="10280" width="8.85546875" style="897" customWidth="1"/>
    <col min="10281" max="10491" width="8.85546875" style="897"/>
    <col min="10492" max="10506" width="0" style="897" hidden="1" customWidth="1"/>
    <col min="10507" max="10535" width="9.140625" style="897" customWidth="1"/>
    <col min="10536" max="10536" width="8.85546875" style="897" customWidth="1"/>
    <col min="10537" max="10747" width="8.85546875" style="897"/>
    <col min="10748" max="10762" width="0" style="897" hidden="1" customWidth="1"/>
    <col min="10763" max="10791" width="9.140625" style="897" customWidth="1"/>
    <col min="10792" max="10792" width="8.85546875" style="897" customWidth="1"/>
    <col min="10793" max="11003" width="8.85546875" style="897"/>
    <col min="11004" max="11018" width="0" style="897" hidden="1" customWidth="1"/>
    <col min="11019" max="11047" width="9.140625" style="897" customWidth="1"/>
    <col min="11048" max="11048" width="8.85546875" style="897" customWidth="1"/>
    <col min="11049" max="11259" width="8.85546875" style="897"/>
    <col min="11260" max="11274" width="0" style="897" hidden="1" customWidth="1"/>
    <col min="11275" max="11303" width="9.140625" style="897" customWidth="1"/>
    <col min="11304" max="11304" width="8.85546875" style="897" customWidth="1"/>
    <col min="11305" max="11515" width="8.85546875" style="897"/>
    <col min="11516" max="11530" width="0" style="897" hidden="1" customWidth="1"/>
    <col min="11531" max="11559" width="9.140625" style="897" customWidth="1"/>
    <col min="11560" max="11560" width="8.85546875" style="897" customWidth="1"/>
    <col min="11561" max="11771" width="8.85546875" style="897"/>
    <col min="11772" max="11786" width="0" style="897" hidden="1" customWidth="1"/>
    <col min="11787" max="11815" width="9.140625" style="897" customWidth="1"/>
    <col min="11816" max="11816" width="8.85546875" style="897" customWidth="1"/>
    <col min="11817" max="12027" width="8.85546875" style="897"/>
    <col min="12028" max="12042" width="0" style="897" hidden="1" customWidth="1"/>
    <col min="12043" max="12071" width="9.140625" style="897" customWidth="1"/>
    <col min="12072" max="12072" width="8.85546875" style="897" customWidth="1"/>
    <col min="12073" max="12283" width="8.85546875" style="897"/>
    <col min="12284" max="12298" width="0" style="897" hidden="1" customWidth="1"/>
    <col min="12299" max="12327" width="9.140625" style="897" customWidth="1"/>
    <col min="12328" max="12328" width="8.85546875" style="897" customWidth="1"/>
    <col min="12329" max="12539" width="8.85546875" style="897"/>
    <col min="12540" max="12554" width="0" style="897" hidden="1" customWidth="1"/>
    <col min="12555" max="12583" width="9.140625" style="897" customWidth="1"/>
    <col min="12584" max="12584" width="8.85546875" style="897" customWidth="1"/>
    <col min="12585" max="12795" width="8.85546875" style="897"/>
    <col min="12796" max="12810" width="0" style="897" hidden="1" customWidth="1"/>
    <col min="12811" max="12839" width="9.140625" style="897" customWidth="1"/>
    <col min="12840" max="12840" width="8.85546875" style="897" customWidth="1"/>
    <col min="12841" max="13051" width="8.85546875" style="897"/>
    <col min="13052" max="13066" width="0" style="897" hidden="1" customWidth="1"/>
    <col min="13067" max="13095" width="9.140625" style="897" customWidth="1"/>
    <col min="13096" max="13096" width="8.85546875" style="897" customWidth="1"/>
    <col min="13097" max="13307" width="8.85546875" style="897"/>
    <col min="13308" max="13322" width="0" style="897" hidden="1" customWidth="1"/>
    <col min="13323" max="13351" width="9.140625" style="897" customWidth="1"/>
    <col min="13352" max="13352" width="8.85546875" style="897" customWidth="1"/>
    <col min="13353" max="13563" width="8.85546875" style="897"/>
    <col min="13564" max="13578" width="0" style="897" hidden="1" customWidth="1"/>
    <col min="13579" max="13607" width="9.140625" style="897" customWidth="1"/>
    <col min="13608" max="13608" width="8.85546875" style="897" customWidth="1"/>
    <col min="13609" max="13819" width="8.85546875" style="897"/>
    <col min="13820" max="13834" width="0" style="897" hidden="1" customWidth="1"/>
    <col min="13835" max="13863" width="9.140625" style="897" customWidth="1"/>
    <col min="13864" max="13864" width="8.85546875" style="897" customWidth="1"/>
    <col min="13865" max="14075" width="8.85546875" style="897"/>
    <col min="14076" max="14090" width="0" style="897" hidden="1" customWidth="1"/>
    <col min="14091" max="14119" width="9.140625" style="897" customWidth="1"/>
    <col min="14120" max="14120" width="8.85546875" style="897" customWidth="1"/>
    <col min="14121" max="14331" width="8.85546875" style="897"/>
    <col min="14332" max="14346" width="0" style="897" hidden="1" customWidth="1"/>
    <col min="14347" max="14375" width="9.140625" style="897" customWidth="1"/>
    <col min="14376" max="14376" width="8.85546875" style="897" customWidth="1"/>
    <col min="14377" max="14587" width="8.85546875" style="897"/>
    <col min="14588" max="14602" width="0" style="897" hidden="1" customWidth="1"/>
    <col min="14603" max="14631" width="9.140625" style="897" customWidth="1"/>
    <col min="14632" max="14632" width="8.85546875" style="897" customWidth="1"/>
    <col min="14633" max="14843" width="8.85546875" style="897"/>
    <col min="14844" max="14858" width="0" style="897" hidden="1" customWidth="1"/>
    <col min="14859" max="14887" width="9.140625" style="897" customWidth="1"/>
    <col min="14888" max="14888" width="8.85546875" style="897" customWidth="1"/>
    <col min="14889" max="15099" width="8.85546875" style="897"/>
    <col min="15100" max="15114" width="0" style="897" hidden="1" customWidth="1"/>
    <col min="15115" max="15143" width="9.140625" style="897" customWidth="1"/>
    <col min="15144" max="15144" width="8.85546875" style="897" customWidth="1"/>
    <col min="15145" max="15355" width="8.85546875" style="897"/>
    <col min="15356" max="15370" width="0" style="897" hidden="1" customWidth="1"/>
    <col min="15371" max="15399" width="9.140625" style="897" customWidth="1"/>
    <col min="15400" max="15400" width="8.85546875" style="897" customWidth="1"/>
    <col min="15401" max="15611" width="8.85546875" style="897"/>
    <col min="15612" max="15626" width="0" style="897" hidden="1" customWidth="1"/>
    <col min="15627" max="15655" width="9.140625" style="897" customWidth="1"/>
    <col min="15656" max="15656" width="8.85546875" style="897" customWidth="1"/>
    <col min="15657" max="15867" width="8.85546875" style="897"/>
    <col min="15868" max="15882" width="0" style="897" hidden="1" customWidth="1"/>
    <col min="15883" max="15911" width="9.140625" style="897" customWidth="1"/>
    <col min="15912" max="15912" width="8.85546875" style="897" customWidth="1"/>
    <col min="15913" max="16123" width="8.85546875" style="897"/>
    <col min="16124" max="16138" width="0" style="897" hidden="1" customWidth="1"/>
    <col min="16139" max="16167" width="9.140625" style="897" customWidth="1"/>
    <col min="16168" max="16168" width="8.85546875" style="897" customWidth="1"/>
    <col min="16169" max="16384" width="8.85546875" style="897"/>
  </cols>
  <sheetData>
    <row r="1" spans="1:36">
      <c r="B1" s="1411" t="s">
        <v>2996</v>
      </c>
      <c r="C1" s="893"/>
      <c r="D1" s="894"/>
      <c r="E1" s="895"/>
      <c r="F1" s="896"/>
      <c r="G1" s="897"/>
      <c r="H1" s="897"/>
      <c r="I1" s="897"/>
    </row>
    <row r="2" spans="1:36">
      <c r="B2" s="1894" t="s">
        <v>3197</v>
      </c>
      <c r="C2" s="1894"/>
      <c r="D2" s="1894"/>
      <c r="E2" s="895"/>
      <c r="F2" s="896"/>
      <c r="G2" s="897"/>
      <c r="H2" s="897"/>
      <c r="I2" s="897"/>
    </row>
    <row r="3" spans="1:36">
      <c r="B3" s="1894" t="s">
        <v>3869</v>
      </c>
      <c r="C3" s="1894"/>
      <c r="D3" s="1894"/>
      <c r="E3" s="895"/>
      <c r="F3" s="896"/>
      <c r="G3" s="897"/>
      <c r="H3" s="897"/>
      <c r="I3" s="897"/>
    </row>
    <row r="4" spans="1:36">
      <c r="B4" s="1894" t="s">
        <v>3870</v>
      </c>
      <c r="C4" s="1894"/>
      <c r="D4" s="1894"/>
      <c r="E4" s="895"/>
      <c r="F4" s="896"/>
      <c r="G4" s="897"/>
      <c r="H4" s="897"/>
      <c r="I4" s="897"/>
    </row>
    <row r="5" spans="1:36">
      <c r="B5" s="899"/>
      <c r="C5" s="900"/>
      <c r="D5" s="894"/>
      <c r="E5" s="895"/>
      <c r="F5" s="896"/>
      <c r="G5" s="897"/>
      <c r="H5" s="897"/>
      <c r="I5" s="897"/>
    </row>
    <row r="6" spans="1:36" s="902" customFormat="1">
      <c r="A6" s="901"/>
      <c r="B6" s="1412" t="s">
        <v>3198</v>
      </c>
      <c r="C6" s="1439">
        <f>'Basic Info'!C29</f>
        <v>0</v>
      </c>
      <c r="D6" s="901"/>
      <c r="E6" s="901"/>
      <c r="F6" s="901"/>
      <c r="G6" s="901"/>
      <c r="H6" s="901"/>
      <c r="I6" s="901"/>
      <c r="J6" s="901"/>
      <c r="K6" s="2312"/>
      <c r="L6" s="2312"/>
      <c r="M6" s="2312"/>
      <c r="N6" s="2312"/>
      <c r="O6" s="901"/>
      <c r="P6" s="901"/>
      <c r="Q6" s="901"/>
      <c r="R6" s="901"/>
      <c r="S6" s="901"/>
      <c r="T6" s="901"/>
      <c r="U6" s="901"/>
      <c r="V6" s="901"/>
      <c r="W6" s="901"/>
      <c r="X6" s="901"/>
      <c r="Y6" s="901"/>
      <c r="Z6" s="901"/>
      <c r="AA6" s="901"/>
      <c r="AB6" s="901"/>
      <c r="AC6" s="901"/>
      <c r="AD6" s="901"/>
      <c r="AE6" s="901"/>
      <c r="AF6" s="901"/>
      <c r="AG6" s="901"/>
      <c r="AH6" s="901"/>
      <c r="AI6" s="893"/>
      <c r="AJ6" s="893"/>
    </row>
    <row r="7" spans="1:36" s="902" customFormat="1">
      <c r="A7" s="901"/>
      <c r="B7" s="1412" t="s">
        <v>3199</v>
      </c>
      <c r="C7" s="901"/>
      <c r="D7" s="901"/>
      <c r="E7" s="901"/>
      <c r="F7" s="901"/>
      <c r="G7" s="901"/>
      <c r="H7" s="901"/>
      <c r="I7" s="901"/>
      <c r="J7" s="901"/>
      <c r="K7" s="2312"/>
      <c r="L7" s="2312"/>
      <c r="M7" s="2312"/>
      <c r="N7" s="2312"/>
      <c r="O7" s="901"/>
      <c r="P7" s="901"/>
      <c r="Q7" s="901"/>
      <c r="R7" s="901"/>
      <c r="S7" s="901"/>
      <c r="T7" s="901"/>
      <c r="U7" s="901"/>
      <c r="V7" s="901"/>
      <c r="W7" s="901"/>
      <c r="X7" s="901"/>
      <c r="Y7" s="901"/>
      <c r="Z7" s="901"/>
      <c r="AA7" s="901"/>
      <c r="AB7" s="901"/>
      <c r="AC7" s="901"/>
      <c r="AD7" s="901"/>
      <c r="AE7" s="901"/>
      <c r="AF7" s="901"/>
      <c r="AG7" s="901"/>
      <c r="AH7" s="901"/>
      <c r="AI7" s="893"/>
      <c r="AJ7" s="893"/>
    </row>
    <row r="8" spans="1:36" s="902" customFormat="1">
      <c r="A8" s="901"/>
      <c r="B8" s="1412" t="s">
        <v>3200</v>
      </c>
      <c r="C8" s="1439">
        <f>'Basic Info'!C30:D30</f>
        <v>0</v>
      </c>
      <c r="D8" s="901"/>
      <c r="E8" s="901"/>
      <c r="F8" s="901"/>
      <c r="G8" s="901"/>
      <c r="H8" s="901"/>
      <c r="I8" s="901"/>
      <c r="J8" s="901"/>
      <c r="K8" s="2312"/>
      <c r="L8" s="2312"/>
      <c r="M8" s="2312"/>
      <c r="N8" s="2312"/>
      <c r="O8" s="901"/>
      <c r="P8" s="901"/>
      <c r="Q8" s="901"/>
      <c r="R8" s="901"/>
      <c r="S8" s="901"/>
      <c r="T8" s="901"/>
      <c r="U8" s="901"/>
      <c r="V8" s="901"/>
      <c r="W8" s="901"/>
      <c r="X8" s="901"/>
      <c r="Y8" s="901"/>
      <c r="Z8" s="901"/>
      <c r="AA8" s="901"/>
      <c r="AB8" s="901"/>
      <c r="AC8" s="901"/>
      <c r="AD8" s="901"/>
      <c r="AE8" s="901"/>
      <c r="AF8" s="901"/>
      <c r="AG8" s="901"/>
      <c r="AH8" s="901"/>
      <c r="AI8" s="893"/>
      <c r="AJ8" s="893"/>
    </row>
    <row r="9" spans="1:36" s="902" customFormat="1">
      <c r="A9" s="901"/>
      <c r="B9" s="1412" t="s">
        <v>3201</v>
      </c>
      <c r="C9" s="901" t="str">
        <f>'Basic Info'!C31:D31&amp;", "&amp;'Basic Info'!C32:D32</f>
        <v xml:space="preserve">, </v>
      </c>
      <c r="D9" s="901"/>
      <c r="E9" s="901"/>
      <c r="F9" s="901"/>
      <c r="G9" s="901"/>
      <c r="H9" s="901"/>
      <c r="I9" s="901"/>
      <c r="J9" s="901"/>
      <c r="K9" s="2312"/>
      <c r="L9" s="2312"/>
      <c r="M9" s="2312"/>
      <c r="N9" s="2312"/>
      <c r="O9" s="901"/>
      <c r="P9" s="901"/>
      <c r="Q9" s="901"/>
      <c r="R9" s="901"/>
      <c r="S9" s="901"/>
      <c r="T9" s="901"/>
      <c r="U9" s="901"/>
      <c r="V9" s="901"/>
      <c r="W9" s="901"/>
      <c r="X9" s="901"/>
      <c r="Y9" s="901"/>
      <c r="Z9" s="901"/>
      <c r="AA9" s="901"/>
      <c r="AB9" s="901"/>
      <c r="AC9" s="901"/>
      <c r="AD9" s="901"/>
      <c r="AE9" s="901"/>
      <c r="AF9" s="901"/>
      <c r="AG9" s="901"/>
      <c r="AH9" s="901"/>
      <c r="AI9" s="893"/>
      <c r="AJ9" s="893"/>
    </row>
    <row r="10" spans="1:36" s="902" customFormat="1">
      <c r="A10" s="901"/>
      <c r="B10" s="1412" t="s">
        <v>2807</v>
      </c>
      <c r="C10" s="901">
        <f>'Basic Info'!C52</f>
        <v>0</v>
      </c>
      <c r="D10" s="901"/>
      <c r="E10" s="901"/>
      <c r="F10" s="901"/>
      <c r="G10" s="901"/>
      <c r="H10" s="901"/>
      <c r="I10" s="901"/>
      <c r="J10" s="901"/>
      <c r="K10" s="2312"/>
      <c r="L10" s="2312"/>
      <c r="M10" s="2312"/>
      <c r="N10" s="2312"/>
      <c r="O10" s="901"/>
      <c r="P10" s="901"/>
      <c r="Q10" s="901"/>
      <c r="R10" s="901"/>
      <c r="S10" s="901"/>
      <c r="T10" s="901"/>
      <c r="U10" s="901"/>
      <c r="V10" s="901"/>
      <c r="W10" s="901"/>
      <c r="X10" s="901"/>
      <c r="Y10" s="901"/>
      <c r="Z10" s="901"/>
      <c r="AA10" s="901"/>
      <c r="AB10" s="901"/>
      <c r="AC10" s="901"/>
      <c r="AD10" s="901"/>
      <c r="AE10" s="901"/>
      <c r="AF10" s="901"/>
      <c r="AG10" s="901"/>
      <c r="AH10" s="901"/>
      <c r="AI10" s="893"/>
      <c r="AJ10" s="893"/>
    </row>
    <row r="11" spans="1:36">
      <c r="A11" s="903"/>
      <c r="B11" s="1413"/>
      <c r="C11" s="904"/>
      <c r="D11" s="905"/>
      <c r="E11" s="1414"/>
      <c r="F11" s="906"/>
    </row>
    <row r="12" spans="1:36" s="909" customFormat="1">
      <c r="A12" s="2313" t="s">
        <v>3202</v>
      </c>
      <c r="B12" s="2315" t="s">
        <v>3203</v>
      </c>
      <c r="C12" s="2317" t="s">
        <v>4256</v>
      </c>
      <c r="D12" s="2318"/>
      <c r="E12" s="2319" t="s">
        <v>4257</v>
      </c>
      <c r="F12" s="2320"/>
      <c r="G12" s="907"/>
      <c r="H12" s="907"/>
      <c r="I12" s="907"/>
      <c r="J12" s="1415" t="s">
        <v>3871</v>
      </c>
      <c r="K12" s="908"/>
      <c r="L12" s="908"/>
      <c r="M12" s="908"/>
      <c r="N12" s="908"/>
      <c r="O12" s="908"/>
      <c r="P12" s="908"/>
      <c r="Q12" s="908"/>
      <c r="R12" s="908"/>
      <c r="S12" s="908"/>
      <c r="T12" s="908"/>
      <c r="U12" s="908"/>
      <c r="V12" s="908"/>
      <c r="W12" s="908"/>
      <c r="X12" s="908"/>
      <c r="Y12" s="908"/>
      <c r="Z12" s="908"/>
      <c r="AA12" s="908"/>
      <c r="AB12" s="908"/>
      <c r="AC12" s="908"/>
      <c r="AD12" s="908"/>
      <c r="AE12" s="908"/>
      <c r="AF12" s="908"/>
      <c r="AG12" s="908"/>
      <c r="AH12" s="908"/>
      <c r="AI12" s="908"/>
      <c r="AJ12" s="908"/>
    </row>
    <row r="13" spans="1:36" s="913" customFormat="1" ht="36">
      <c r="A13" s="2314"/>
      <c r="B13" s="2316"/>
      <c r="C13" s="1416" t="s">
        <v>4258</v>
      </c>
      <c r="D13" s="1416" t="s">
        <v>3204</v>
      </c>
      <c r="E13" s="1417" t="s">
        <v>3143</v>
      </c>
      <c r="F13" s="1417" t="s">
        <v>3205</v>
      </c>
      <c r="G13" s="911"/>
      <c r="H13" s="911"/>
      <c r="I13" s="911"/>
      <c r="J13" s="1410" t="s">
        <v>3872</v>
      </c>
      <c r="K13" s="912"/>
      <c r="L13" s="912"/>
      <c r="M13" s="912"/>
      <c r="N13" s="912"/>
      <c r="O13" s="912"/>
      <c r="P13" s="912"/>
      <c r="Q13" s="912"/>
      <c r="R13" s="912"/>
      <c r="S13" s="912"/>
      <c r="T13" s="912"/>
      <c r="U13" s="912"/>
      <c r="V13" s="912"/>
      <c r="W13" s="912"/>
      <c r="X13" s="912"/>
      <c r="Y13" s="912"/>
      <c r="Z13" s="912"/>
      <c r="AA13" s="912"/>
      <c r="AB13" s="912"/>
      <c r="AC13" s="912"/>
      <c r="AD13" s="912"/>
      <c r="AE13" s="912"/>
      <c r="AF13" s="912"/>
      <c r="AG13" s="912"/>
      <c r="AH13" s="912"/>
      <c r="AI13" s="912"/>
      <c r="AJ13" s="912"/>
    </row>
    <row r="14" spans="1:36" s="913" customFormat="1">
      <c r="A14" s="1418">
        <v>1</v>
      </c>
      <c r="B14" s="2306" t="s">
        <v>3206</v>
      </c>
      <c r="C14" s="2307"/>
      <c r="D14" s="2307"/>
      <c r="E14" s="2307"/>
      <c r="F14" s="2308"/>
      <c r="G14" s="911"/>
      <c r="H14" s="911"/>
      <c r="I14" s="911"/>
      <c r="J14" s="1419"/>
      <c r="K14" s="912"/>
      <c r="L14" s="912"/>
      <c r="M14" s="912"/>
      <c r="N14" s="912"/>
      <c r="O14" s="912"/>
      <c r="P14" s="912"/>
      <c r="Q14" s="912"/>
      <c r="R14" s="912"/>
      <c r="S14" s="912"/>
      <c r="T14" s="912"/>
      <c r="U14" s="912"/>
      <c r="V14" s="912"/>
      <c r="W14" s="912"/>
      <c r="X14" s="912"/>
      <c r="Y14" s="912"/>
      <c r="Z14" s="912"/>
      <c r="AA14" s="912"/>
      <c r="AB14" s="912"/>
      <c r="AC14" s="912"/>
      <c r="AD14" s="912"/>
      <c r="AE14" s="912"/>
      <c r="AF14" s="912"/>
      <c r="AG14" s="912"/>
      <c r="AH14" s="912"/>
      <c r="AI14" s="912"/>
      <c r="AJ14" s="912"/>
    </row>
    <row r="15" spans="1:36" s="918" customFormat="1">
      <c r="A15" s="1420" t="s">
        <v>3207</v>
      </c>
      <c r="B15" s="1421" t="str">
        <f>'1.1 - APPLIANCES'!D24</f>
        <v>Refrigerators</v>
      </c>
      <c r="C15" s="1422" t="str">
        <f>'1.1 - APPLIANCES'!E24</f>
        <v>N/A</v>
      </c>
      <c r="D15" s="1422" t="str">
        <f>'1.1 - APPLIANCES'!F24</f>
        <v>N/A</v>
      </c>
      <c r="E15" s="1423">
        <f>'1.1 - APPLIANCES'!P24</f>
        <v>0</v>
      </c>
      <c r="F15" s="1423">
        <f>'1.1 - APPLIANCES'!O24</f>
        <v>0</v>
      </c>
      <c r="G15" s="916"/>
      <c r="H15" s="916"/>
      <c r="I15" s="916"/>
      <c r="J15" s="1424" t="str">
        <f>IF(OR(F15="No",F15=0), "No", "Yes")</f>
        <v>No</v>
      </c>
      <c r="K15" s="917"/>
      <c r="L15" s="917"/>
      <c r="M15" s="917"/>
      <c r="N15" s="917"/>
      <c r="O15" s="917"/>
      <c r="P15" s="917"/>
      <c r="Q15" s="917"/>
      <c r="R15" s="917"/>
      <c r="S15" s="917"/>
      <c r="T15" s="917"/>
      <c r="U15" s="917"/>
      <c r="V15" s="917"/>
      <c r="W15" s="917"/>
      <c r="X15" s="917"/>
      <c r="Y15" s="917"/>
      <c r="Z15" s="917"/>
      <c r="AA15" s="917"/>
      <c r="AB15" s="917"/>
      <c r="AC15" s="917"/>
      <c r="AD15" s="917"/>
      <c r="AE15" s="917"/>
      <c r="AF15" s="917"/>
      <c r="AG15" s="917"/>
      <c r="AH15" s="917"/>
      <c r="AI15" s="917"/>
      <c r="AJ15" s="917"/>
    </row>
    <row r="16" spans="1:36" s="918" customFormat="1">
      <c r="A16" s="1420" t="s">
        <v>3208</v>
      </c>
      <c r="B16" s="1425" t="str">
        <f>'1.1 - APPLIANCES'!D25</f>
        <v>Dishwashers</v>
      </c>
      <c r="C16" s="1426" t="str">
        <f>'1.1 - APPLIANCES'!E25</f>
        <v>N/A</v>
      </c>
      <c r="D16" s="1426" t="str">
        <f>'1.1 - APPLIANCES'!F25</f>
        <v>N/A</v>
      </c>
      <c r="E16" s="1427">
        <f>'1.1 - APPLIANCES'!P25</f>
        <v>0</v>
      </c>
      <c r="F16" s="1427">
        <f>'1.1 - APPLIANCES'!O25</f>
        <v>0</v>
      </c>
      <c r="G16" s="916"/>
      <c r="H16" s="916"/>
      <c r="I16" s="916"/>
      <c r="J16" s="1428" t="str">
        <f t="shared" ref="J16:J79" si="0">IF(OR(F16="No",F16=0), "No", "Yes")</f>
        <v>No</v>
      </c>
      <c r="K16" s="917"/>
      <c r="L16" s="917"/>
      <c r="M16" s="917"/>
      <c r="N16" s="917"/>
      <c r="O16" s="917"/>
      <c r="P16" s="917"/>
      <c r="Q16" s="917"/>
      <c r="R16" s="917"/>
      <c r="S16" s="917"/>
      <c r="T16" s="917"/>
      <c r="U16" s="917"/>
      <c r="V16" s="917"/>
      <c r="W16" s="917"/>
      <c r="X16" s="917"/>
      <c r="Y16" s="917"/>
      <c r="Z16" s="917"/>
      <c r="AA16" s="917"/>
      <c r="AB16" s="917"/>
      <c r="AC16" s="917"/>
      <c r="AD16" s="917"/>
      <c r="AE16" s="917"/>
      <c r="AF16" s="917"/>
      <c r="AG16" s="917"/>
      <c r="AH16" s="917"/>
      <c r="AI16" s="917"/>
      <c r="AJ16" s="917"/>
    </row>
    <row r="17" spans="1:44" s="918" customFormat="1">
      <c r="A17" s="1420" t="s">
        <v>3209</v>
      </c>
      <c r="B17" s="1425" t="str">
        <f>'1.1 - APPLIANCES'!D26</f>
        <v>Clothes Washers</v>
      </c>
      <c r="C17" s="1426" t="str">
        <f>'1.1 - APPLIANCES'!E26</f>
        <v>N/A</v>
      </c>
      <c r="D17" s="1426" t="str">
        <f>'1.1 - APPLIANCES'!F26</f>
        <v>N/A</v>
      </c>
      <c r="E17" s="1427">
        <f>'1.1 - APPLIANCES'!P26</f>
        <v>0</v>
      </c>
      <c r="F17" s="1427">
        <f>'1.1 - APPLIANCES'!O26</f>
        <v>0</v>
      </c>
      <c r="G17" s="916"/>
      <c r="H17" s="916"/>
      <c r="I17" s="916"/>
      <c r="J17" s="1428" t="str">
        <f t="shared" si="0"/>
        <v>No</v>
      </c>
      <c r="K17" s="917"/>
      <c r="L17" s="917"/>
      <c r="M17" s="917"/>
      <c r="N17" s="917"/>
      <c r="O17" s="917"/>
      <c r="P17" s="917"/>
      <c r="Q17" s="917"/>
      <c r="R17" s="917"/>
      <c r="S17" s="917"/>
      <c r="T17" s="917"/>
      <c r="U17" s="917"/>
      <c r="V17" s="917"/>
      <c r="W17" s="917"/>
      <c r="X17" s="917"/>
      <c r="Y17" s="917"/>
      <c r="Z17" s="917"/>
      <c r="AA17" s="917"/>
      <c r="AB17" s="917"/>
      <c r="AC17" s="917"/>
      <c r="AD17" s="917"/>
      <c r="AE17" s="917"/>
      <c r="AF17" s="917"/>
      <c r="AG17" s="917"/>
      <c r="AH17" s="917"/>
      <c r="AI17" s="917"/>
      <c r="AJ17" s="917"/>
    </row>
    <row r="18" spans="1:44" s="918" customFormat="1" ht="24">
      <c r="A18" s="1420" t="s">
        <v>3210</v>
      </c>
      <c r="B18" s="1425" t="s">
        <v>3215</v>
      </c>
      <c r="C18" s="1426" t="s">
        <v>2677</v>
      </c>
      <c r="D18" s="1426" t="s">
        <v>2677</v>
      </c>
      <c r="E18" s="1427">
        <f>'1.1 - APPLIANCES'!P33</f>
        <v>0</v>
      </c>
      <c r="F18" s="1427">
        <f>'1.1 - APPLIANCES'!O33</f>
        <v>0</v>
      </c>
      <c r="G18" s="916"/>
      <c r="H18" s="916"/>
      <c r="I18" s="916"/>
      <c r="J18" s="1428" t="str">
        <f t="shared" si="0"/>
        <v>No</v>
      </c>
      <c r="K18" s="917"/>
      <c r="L18" s="917"/>
      <c r="M18" s="917"/>
      <c r="N18" s="917"/>
      <c r="O18" s="917"/>
      <c r="P18" s="917"/>
      <c r="Q18" s="917"/>
      <c r="R18" s="917"/>
      <c r="S18" s="917"/>
      <c r="T18" s="917"/>
      <c r="U18" s="917"/>
      <c r="V18" s="917"/>
      <c r="W18" s="917"/>
      <c r="X18" s="917"/>
      <c r="Y18" s="917"/>
      <c r="Z18" s="917"/>
      <c r="AA18" s="917"/>
      <c r="AB18" s="917"/>
      <c r="AC18" s="917"/>
      <c r="AD18" s="917"/>
      <c r="AE18" s="917"/>
      <c r="AF18" s="917"/>
      <c r="AG18" s="917"/>
      <c r="AH18" s="917"/>
      <c r="AI18" s="917"/>
      <c r="AJ18" s="917"/>
    </row>
    <row r="19" spans="1:44" s="913" customFormat="1">
      <c r="A19" s="1418">
        <v>2</v>
      </c>
      <c r="B19" s="2306" t="s">
        <v>3216</v>
      </c>
      <c r="C19" s="2307"/>
      <c r="D19" s="2307"/>
      <c r="E19" s="2307"/>
      <c r="F19" s="2308"/>
      <c r="G19" s="911"/>
      <c r="H19" s="911"/>
      <c r="I19" s="911"/>
      <c r="J19" s="1419"/>
      <c r="K19" s="912"/>
      <c r="L19" s="912"/>
      <c r="M19" s="912"/>
      <c r="N19" s="912"/>
      <c r="O19" s="912"/>
      <c r="P19" s="912"/>
      <c r="Q19" s="912"/>
      <c r="R19" s="912"/>
      <c r="S19" s="912"/>
      <c r="T19" s="912"/>
      <c r="U19" s="912"/>
      <c r="V19" s="912"/>
      <c r="W19" s="912"/>
      <c r="X19" s="912"/>
      <c r="Y19" s="912"/>
      <c r="Z19" s="912"/>
      <c r="AA19" s="912"/>
      <c r="AB19" s="912"/>
      <c r="AC19" s="912"/>
      <c r="AD19" s="912"/>
      <c r="AE19" s="912"/>
      <c r="AF19" s="912"/>
      <c r="AG19" s="912"/>
      <c r="AH19" s="912"/>
      <c r="AI19" s="912"/>
      <c r="AJ19" s="912"/>
    </row>
    <row r="20" spans="1:44">
      <c r="A20" s="1429" t="s">
        <v>3217</v>
      </c>
      <c r="B20" s="1430" t="s">
        <v>3873</v>
      </c>
      <c r="C20" s="1431" t="str">
        <f>'2.1-2.2, 5.1, 5.3 - HEATING&amp;DHW'!I44</f>
        <v>See below</v>
      </c>
      <c r="D20" s="1431" t="str">
        <f>'2.1-2.2, 5.1, 5.3 - HEATING&amp;DHW'!K44</f>
        <v>See below</v>
      </c>
      <c r="E20" s="1409">
        <f>'2.1-2.2, 5.1, 5.3 - HEATING&amp;DHW'!N44</f>
        <v>0</v>
      </c>
      <c r="F20" s="1409">
        <f>'2.1-2.2, 5.1, 5.3 - HEATING&amp;DHW'!M44</f>
        <v>0</v>
      </c>
      <c r="G20" s="923"/>
      <c r="H20" s="923"/>
      <c r="I20" s="923"/>
      <c r="J20" s="1428" t="str">
        <f t="shared" si="0"/>
        <v>No</v>
      </c>
    </row>
    <row r="21" spans="1:44">
      <c r="A21" s="2309" t="s">
        <v>3219</v>
      </c>
      <c r="B21" s="2310"/>
      <c r="C21" s="2310"/>
      <c r="D21" s="2310"/>
      <c r="E21" s="2310"/>
      <c r="F21" s="2311"/>
      <c r="G21" s="923"/>
      <c r="H21" s="923"/>
      <c r="I21" s="923"/>
      <c r="J21" s="1432"/>
    </row>
    <row r="22" spans="1:44" ht="36">
      <c r="A22" s="1429" t="s">
        <v>3220</v>
      </c>
      <c r="B22" s="1430" t="s">
        <v>3164</v>
      </c>
      <c r="C22" s="1431" t="str">
        <f>ERMs!C35</f>
        <v>Primary system:   (0% AFUE); Tertiary System:   (0% Et)</v>
      </c>
      <c r="D22" s="1431" t="str">
        <f>ERMs!D35</f>
        <v>Baseline: 0% AFUE
Proposed (Primary): 0% AFUE
Proposed (Tertiary): 0% Et</v>
      </c>
      <c r="E22" s="1409">
        <f>'2.1-2.2, 5.1, 5.3 - HEATING&amp;DHW'!N47</f>
        <v>0</v>
      </c>
      <c r="F22" s="1409">
        <f>'2.1-2.2, 5.1, 5.3 - HEATING&amp;DHW'!M47</f>
        <v>0</v>
      </c>
      <c r="G22" s="923"/>
      <c r="H22" s="923"/>
      <c r="I22" s="923"/>
      <c r="J22" s="1428" t="str">
        <f t="shared" si="0"/>
        <v>No</v>
      </c>
    </row>
    <row r="23" spans="1:44" ht="24">
      <c r="A23" s="1429" t="s">
        <v>3221</v>
      </c>
      <c r="B23" s="1430" t="s">
        <v>3222</v>
      </c>
      <c r="C23" s="1431" t="str">
        <f>'2.1-2.2, 5.1, 5.3 - HEATING&amp;DHW'!I48</f>
        <v>N/A</v>
      </c>
      <c r="D23" s="1431" t="str">
        <f>'2.1-2.2, 5.1, 5.3 - HEATING&amp;DHW'!K48</f>
        <v>N/A</v>
      </c>
      <c r="E23" s="1409">
        <f>'2.1-2.2, 5.1, 5.3 - HEATING&amp;DHW'!N48</f>
        <v>0</v>
      </c>
      <c r="F23" s="1409">
        <f>'2.1-2.2, 5.1, 5.3 - HEATING&amp;DHW'!M48</f>
        <v>0</v>
      </c>
      <c r="G23" s="923"/>
      <c r="H23" s="923"/>
      <c r="I23" s="923"/>
      <c r="J23" s="1428" t="str">
        <f t="shared" si="0"/>
        <v>No</v>
      </c>
    </row>
    <row r="24" spans="1:44" ht="24">
      <c r="A24" s="1429" t="s">
        <v>3223</v>
      </c>
      <c r="B24" s="1430" t="s">
        <v>3224</v>
      </c>
      <c r="C24" s="1431" t="str">
        <f>'2.1-2.2, 5.1, 5.3 - HEATING&amp;DHW'!I49</f>
        <v xml:space="preserve"> kW/CFM</v>
      </c>
      <c r="D24" s="1431" t="str">
        <f>'2.1-2.2, 5.1, 5.3 - HEATING&amp;DHW'!K49</f>
        <v>Baseline: 0.0003 kW/CFM
Proposed:  kW/CFM</v>
      </c>
      <c r="E24" s="1409">
        <f>'2.1-2.2, 5.1, 5.3 - HEATING&amp;DHW'!N49</f>
        <v>0</v>
      </c>
      <c r="F24" s="1409">
        <f>'2.1-2.2, 5.1, 5.3 - HEATING&amp;DHW'!M49</f>
        <v>0</v>
      </c>
      <c r="G24" s="923"/>
      <c r="H24" s="923"/>
      <c r="I24" s="923"/>
      <c r="J24" s="1428" t="str">
        <f t="shared" si="0"/>
        <v>No</v>
      </c>
    </row>
    <row r="25" spans="1:44" ht="36">
      <c r="A25" s="1429" t="s">
        <v>3225</v>
      </c>
      <c r="B25" s="1430" t="s">
        <v>3167</v>
      </c>
      <c r="C25" s="1431" t="str">
        <f>'2.1-2.2, 5.1, 5.3 - HEATING&amp;DHW'!I50</f>
        <v>Primary System:  kBtu
Secondary System:  kBtu
Tertiary System:  kBtu</v>
      </c>
      <c r="D25" s="1431" t="str">
        <f>'2.1-2.2, 5.1, 5.3 - HEATING&amp;DHW'!K50</f>
        <v>Baseline:  kBtu
Proposed: 0 kBtu</v>
      </c>
      <c r="E25" s="1409">
        <f>'2.1-2.2, 5.1, 5.3 - HEATING&amp;DHW'!N50</f>
        <v>0</v>
      </c>
      <c r="F25" s="1409">
        <f>'2.1-2.2, 5.1, 5.3 - HEATING&amp;DHW'!M50</f>
        <v>0</v>
      </c>
      <c r="G25" s="923"/>
      <c r="H25" s="923"/>
      <c r="I25" s="923"/>
      <c r="J25" s="1428" t="str">
        <f t="shared" si="0"/>
        <v>No</v>
      </c>
    </row>
    <row r="26" spans="1:44" ht="48">
      <c r="A26" s="1429" t="s">
        <v>3226</v>
      </c>
      <c r="B26" s="1430" t="s">
        <v>3168</v>
      </c>
      <c r="C26" s="1431" t="str">
        <f>'2.1-2.2, 5.1, 5.3 - HEATING&amp;DHW'!I51</f>
        <v>Hot Water Design Supply Temperature:  °F
Hot Water Design Return Temperature:   °F</v>
      </c>
      <c r="D26" s="1431" t="str">
        <f>'2.1-2.2, 5.1, 5.3 - HEATING&amp;DHW'!K51</f>
        <v>Baseline: 180°F, DELTA_T: 50°F
Proposed: °F, DELTA_T: 0°F</v>
      </c>
      <c r="E26" s="1409">
        <f>'2.1-2.2, 5.1, 5.3 - HEATING&amp;DHW'!N51</f>
        <v>0</v>
      </c>
      <c r="F26" s="1409">
        <f>'2.1-2.2, 5.1, 5.3 - HEATING&amp;DHW'!M51</f>
        <v>0</v>
      </c>
      <c r="G26" s="923"/>
      <c r="H26" s="923"/>
      <c r="I26" s="923"/>
      <c r="J26" s="1428" t="str">
        <f t="shared" si="0"/>
        <v>No</v>
      </c>
    </row>
    <row r="27" spans="1:44" ht="48">
      <c r="A27" s="1429" t="s">
        <v>3227</v>
      </c>
      <c r="B27" s="1430" t="s">
        <v>3169</v>
      </c>
      <c r="C27" s="1431" t="str">
        <f>'2.1-2.2, 5.1, 5.3 - HEATING&amp;DHW'!I52</f>
        <v xml:space="preserve">, </v>
      </c>
      <c r="D27" s="1431" t="str">
        <f>'2.1-2.2, 5.1, 5.3 - HEATING&amp;DHW'!K52</f>
        <v xml:space="preserve">Baseline :OA Reset, 180°F at 20°F and below, 
150°F at 50°F and above
Proposed: , </v>
      </c>
      <c r="E27" s="1409">
        <f>'2.1-2.2, 5.1, 5.3 - HEATING&amp;DHW'!N52</f>
        <v>0</v>
      </c>
      <c r="F27" s="1409">
        <f>'2.1-2.2, 5.1, 5.3 - HEATING&amp;DHW'!M52</f>
        <v>0</v>
      </c>
      <c r="G27" s="923"/>
      <c r="H27" s="923"/>
      <c r="I27" s="923"/>
      <c r="J27" s="1428" t="str">
        <f t="shared" si="0"/>
        <v>No</v>
      </c>
    </row>
    <row r="28" spans="1:44" ht="24">
      <c r="A28" s="1429" t="s">
        <v>3228</v>
      </c>
      <c r="B28" s="1430" t="s">
        <v>3229</v>
      </c>
      <c r="C28" s="1431" t="str">
        <f>'2.1-2.2, 5.1, 5.3 - HEATING&amp;DHW'!I53</f>
        <v xml:space="preserve">  ( kBtu)
Et- 0%</v>
      </c>
      <c r="D28" s="1431" t="str">
        <f>'2.1-2.2, 5.1, 5.3 - HEATING&amp;DHW'!K53</f>
        <v>Baseline: Et-0%,  kBtu
Proposed: Et-0%,  kBtu</v>
      </c>
      <c r="E28" s="1409">
        <f>'2.1-2.2, 5.1, 5.3 - HEATING&amp;DHW'!N53</f>
        <v>0</v>
      </c>
      <c r="F28" s="1409">
        <f>'2.1-2.2, 5.1, 5.3 - HEATING&amp;DHW'!M53</f>
        <v>0</v>
      </c>
      <c r="G28" s="923"/>
      <c r="H28" s="923"/>
      <c r="I28" s="923"/>
      <c r="J28" s="1428" t="str">
        <f t="shared" si="0"/>
        <v>No</v>
      </c>
    </row>
    <row r="29" spans="1:44" ht="24">
      <c r="A29" s="1429" t="s">
        <v>3230</v>
      </c>
      <c r="B29" s="1430" t="s">
        <v>3231</v>
      </c>
      <c r="C29" s="1431" t="str">
        <f>'2.1-2.2, 5.1, 5.3 - HEATING&amp;DHW'!I54</f>
        <v xml:space="preserve"> gal Storage Tank, R-</v>
      </c>
      <c r="D29" s="1431" t="str">
        <f>'2.1-2.2, 5.1, 5.3 - HEATING&amp;DHW'!K54</f>
        <v>Baseline: R-12.5,  gal
Proposed: R-,  gal</v>
      </c>
      <c r="E29" s="1409">
        <f>'2.1-2.2, 5.1, 5.3 - HEATING&amp;DHW'!N54</f>
        <v>0</v>
      </c>
      <c r="F29" s="1409">
        <f>'2.1-2.2, 5.1, 5.3 - HEATING&amp;DHW'!M54</f>
        <v>0</v>
      </c>
      <c r="G29" s="923"/>
      <c r="H29" s="923"/>
      <c r="I29" s="923"/>
      <c r="J29" s="1428" t="str">
        <f t="shared" si="0"/>
        <v>No</v>
      </c>
    </row>
    <row r="30" spans="1:44" ht="48">
      <c r="A30" s="1429" t="s">
        <v>3232</v>
      </c>
      <c r="B30" s="1430" t="s">
        <v>3233</v>
      </c>
      <c r="C30" s="1431" t="str">
        <f>'2.1-2.2, 5.1, 5.3 - HEATING&amp;DHW'!I55</f>
        <v>Showerheads:  gpm
Kitchen Faucets:  gpm
Lavatory Faucets:  gpm
Toilets:  gpf</v>
      </c>
      <c r="D30" s="1431" t="str">
        <f>'2.1-2.2, 5.1, 5.3 - HEATING&amp;DHW'!K55</f>
        <v>Baseline: 0 gpm
Proposed: 0 gpm</v>
      </c>
      <c r="E30" s="1409">
        <f>'2.1-2.2, 5.1, 5.3 - HEATING&amp;DHW'!N55</f>
        <v>0</v>
      </c>
      <c r="F30" s="1409">
        <f>'2.1-2.2, 5.1, 5.3 - HEATING&amp;DHW'!M55</f>
        <v>0</v>
      </c>
      <c r="G30" s="923"/>
      <c r="H30" s="923"/>
      <c r="I30" s="923"/>
      <c r="J30" s="1428" t="str">
        <f t="shared" si="0"/>
        <v>No</v>
      </c>
    </row>
    <row r="31" spans="1:44" s="898" customFormat="1">
      <c r="A31" s="2309" t="s">
        <v>3234</v>
      </c>
      <c r="B31" s="2310"/>
      <c r="C31" s="2310"/>
      <c r="D31" s="2310"/>
      <c r="E31" s="2310"/>
      <c r="F31" s="2311"/>
      <c r="G31" s="923"/>
      <c r="H31" s="923"/>
      <c r="I31" s="923"/>
      <c r="J31" s="1432"/>
      <c r="AK31" s="897"/>
      <c r="AL31" s="897"/>
      <c r="AM31" s="897"/>
      <c r="AN31" s="897"/>
      <c r="AO31" s="897"/>
      <c r="AP31" s="897"/>
      <c r="AQ31" s="897"/>
      <c r="AR31" s="897"/>
    </row>
    <row r="32" spans="1:44" s="898" customFormat="1" ht="24">
      <c r="A32" s="1429" t="s">
        <v>3237</v>
      </c>
      <c r="B32" s="1430" t="s">
        <v>3238</v>
      </c>
      <c r="C32" s="1431" t="s">
        <v>2677</v>
      </c>
      <c r="D32" s="1431" t="s">
        <v>2677</v>
      </c>
      <c r="E32" s="1409">
        <f>'2.1-2.2, 5.1, 5.3 - HEATING&amp;DHW'!N58</f>
        <v>0</v>
      </c>
      <c r="F32" s="1409">
        <f>'2.1-2.2, 5.1, 5.3 - HEATING&amp;DHW'!M58</f>
        <v>0</v>
      </c>
      <c r="G32" s="923"/>
      <c r="H32" s="923"/>
      <c r="I32" s="923"/>
      <c r="J32" s="1428" t="str">
        <f t="shared" si="0"/>
        <v>No</v>
      </c>
      <c r="AK32" s="897"/>
      <c r="AL32" s="897"/>
      <c r="AM32" s="897"/>
      <c r="AN32" s="897"/>
      <c r="AO32" s="897"/>
      <c r="AP32" s="897"/>
      <c r="AQ32" s="897"/>
      <c r="AR32" s="897"/>
    </row>
    <row r="33" spans="1:44" s="898" customFormat="1">
      <c r="A33" s="2309" t="s">
        <v>3239</v>
      </c>
      <c r="B33" s="2310"/>
      <c r="C33" s="2310"/>
      <c r="D33" s="2310"/>
      <c r="E33" s="2310"/>
      <c r="F33" s="2311"/>
      <c r="G33" s="923"/>
      <c r="H33" s="923"/>
      <c r="I33" s="923"/>
      <c r="J33" s="1432"/>
      <c r="AK33" s="897"/>
      <c r="AL33" s="897"/>
      <c r="AM33" s="897"/>
      <c r="AN33" s="897"/>
      <c r="AO33" s="897"/>
      <c r="AP33" s="897"/>
      <c r="AQ33" s="897"/>
      <c r="AR33" s="897"/>
    </row>
    <row r="34" spans="1:44" s="898" customFormat="1">
      <c r="A34" s="1429" t="s">
        <v>3240</v>
      </c>
      <c r="B34" s="1430" t="s">
        <v>3241</v>
      </c>
      <c r="C34" s="1431" t="s">
        <v>2677</v>
      </c>
      <c r="D34" s="1431" t="s">
        <v>2677</v>
      </c>
      <c r="E34" s="1409">
        <f>'2.1-2.2, 5.1, 5.3 - HEATING&amp;DHW'!N60</f>
        <v>0</v>
      </c>
      <c r="F34" s="1409">
        <f>'2.1-2.2, 5.1, 5.3 - HEATING&amp;DHW'!M60</f>
        <v>0</v>
      </c>
      <c r="G34" s="923"/>
      <c r="H34" s="923"/>
      <c r="I34" s="923"/>
      <c r="J34" s="1428" t="str">
        <f t="shared" si="0"/>
        <v>No</v>
      </c>
      <c r="AK34" s="897"/>
      <c r="AL34" s="897"/>
      <c r="AM34" s="897"/>
      <c r="AN34" s="897"/>
      <c r="AO34" s="897"/>
      <c r="AP34" s="897"/>
      <c r="AQ34" s="897"/>
      <c r="AR34" s="897"/>
    </row>
    <row r="35" spans="1:44" s="898" customFormat="1">
      <c r="A35" s="1429" t="s">
        <v>3242</v>
      </c>
      <c r="B35" s="1430" t="s">
        <v>3019</v>
      </c>
      <c r="C35" s="1431" t="s">
        <v>2677</v>
      </c>
      <c r="D35" s="1431" t="s">
        <v>2677</v>
      </c>
      <c r="E35" s="1409">
        <f>'2.1-2.2, 5.1, 5.3 - HEATING&amp;DHW'!N61</f>
        <v>0</v>
      </c>
      <c r="F35" s="1409">
        <f>'2.1-2.2, 5.1, 5.3 - HEATING&amp;DHW'!M61</f>
        <v>0</v>
      </c>
      <c r="G35" s="923"/>
      <c r="H35" s="923"/>
      <c r="I35" s="923"/>
      <c r="J35" s="1428" t="str">
        <f t="shared" si="0"/>
        <v>No</v>
      </c>
      <c r="AK35" s="897"/>
      <c r="AL35" s="897"/>
      <c r="AM35" s="897"/>
      <c r="AN35" s="897"/>
      <c r="AO35" s="897"/>
      <c r="AP35" s="897"/>
      <c r="AQ35" s="897"/>
      <c r="AR35" s="897"/>
    </row>
    <row r="36" spans="1:44" s="898" customFormat="1">
      <c r="A36" s="2309" t="s">
        <v>3243</v>
      </c>
      <c r="B36" s="2310"/>
      <c r="C36" s="2310"/>
      <c r="D36" s="2310"/>
      <c r="E36" s="2310"/>
      <c r="F36" s="2311"/>
      <c r="G36" s="923"/>
      <c r="H36" s="923"/>
      <c r="I36" s="923"/>
      <c r="J36" s="1432"/>
      <c r="AK36" s="897"/>
      <c r="AL36" s="897"/>
      <c r="AM36" s="897"/>
      <c r="AN36" s="897"/>
      <c r="AO36" s="897"/>
      <c r="AP36" s="897"/>
      <c r="AQ36" s="897"/>
      <c r="AR36" s="897"/>
    </row>
    <row r="37" spans="1:44" s="898" customFormat="1" ht="24">
      <c r="A37" s="1429" t="s">
        <v>3244</v>
      </c>
      <c r="B37" s="1430" t="s">
        <v>3245</v>
      </c>
      <c r="C37" s="1431" t="s">
        <v>2677</v>
      </c>
      <c r="D37" s="1431" t="s">
        <v>2677</v>
      </c>
      <c r="E37" s="1409">
        <f>'2.1-2.2, 5.1, 5.3 - HEATING&amp;DHW'!N64</f>
        <v>0</v>
      </c>
      <c r="F37" s="1409">
        <f>'2.1-2.2, 5.1, 5.3 - HEATING&amp;DHW'!M64</f>
        <v>0</v>
      </c>
      <c r="G37" s="923"/>
      <c r="H37" s="923"/>
      <c r="I37" s="923"/>
      <c r="J37" s="1428" t="str">
        <f t="shared" si="0"/>
        <v>No</v>
      </c>
      <c r="AK37" s="897"/>
      <c r="AL37" s="897"/>
      <c r="AM37" s="897"/>
      <c r="AN37" s="897"/>
      <c r="AO37" s="897"/>
      <c r="AP37" s="897"/>
      <c r="AQ37" s="897"/>
      <c r="AR37" s="897"/>
    </row>
    <row r="38" spans="1:44" s="898" customFormat="1">
      <c r="A38" s="1429" t="s">
        <v>3246</v>
      </c>
      <c r="B38" s="1430" t="s">
        <v>3247</v>
      </c>
      <c r="C38" s="1431" t="s">
        <v>2677</v>
      </c>
      <c r="D38" s="1431" t="s">
        <v>2677</v>
      </c>
      <c r="E38" s="1409">
        <f>'2.1-2.2, 5.1, 5.3 - HEATING&amp;DHW'!N65</f>
        <v>0</v>
      </c>
      <c r="F38" s="1409">
        <f>'2.1-2.2, 5.1, 5.3 - HEATING&amp;DHW'!M65</f>
        <v>0</v>
      </c>
      <c r="G38" s="923"/>
      <c r="H38" s="923"/>
      <c r="I38" s="923"/>
      <c r="J38" s="1428" t="str">
        <f t="shared" si="0"/>
        <v>No</v>
      </c>
      <c r="AK38" s="897"/>
      <c r="AL38" s="897"/>
      <c r="AM38" s="897"/>
      <c r="AN38" s="897"/>
      <c r="AO38" s="897"/>
      <c r="AP38" s="897"/>
      <c r="AQ38" s="897"/>
      <c r="AR38" s="897"/>
    </row>
    <row r="39" spans="1:44" s="898" customFormat="1" ht="24">
      <c r="A39" s="1429" t="s">
        <v>3250</v>
      </c>
      <c r="B39" s="1430" t="s">
        <v>3251</v>
      </c>
      <c r="C39" s="1431" t="s">
        <v>2677</v>
      </c>
      <c r="D39" s="1431" t="s">
        <v>2677</v>
      </c>
      <c r="E39" s="1409">
        <f>'2.1-2.2, 5.1, 5.3 - HEATING&amp;DHW'!N67</f>
        <v>0</v>
      </c>
      <c r="F39" s="1409">
        <f>'2.1-2.2, 5.1, 5.3 - HEATING&amp;DHW'!M67</f>
        <v>0</v>
      </c>
      <c r="G39" s="923"/>
      <c r="H39" s="923"/>
      <c r="I39" s="923"/>
      <c r="J39" s="1428" t="str">
        <f t="shared" si="0"/>
        <v>No</v>
      </c>
      <c r="AK39" s="897"/>
      <c r="AL39" s="897"/>
      <c r="AM39" s="897"/>
      <c r="AN39" s="897"/>
      <c r="AO39" s="897"/>
      <c r="AP39" s="897"/>
      <c r="AQ39" s="897"/>
      <c r="AR39" s="897"/>
    </row>
    <row r="40" spans="1:44" s="898" customFormat="1">
      <c r="A40" s="2309" t="s">
        <v>3252</v>
      </c>
      <c r="B40" s="2310"/>
      <c r="C40" s="2310"/>
      <c r="D40" s="2310"/>
      <c r="E40" s="2310"/>
      <c r="F40" s="2311"/>
      <c r="G40" s="923"/>
      <c r="H40" s="923"/>
      <c r="I40" s="923"/>
      <c r="J40" s="1432"/>
      <c r="AK40" s="897"/>
      <c r="AL40" s="897"/>
      <c r="AM40" s="897"/>
      <c r="AN40" s="897"/>
      <c r="AO40" s="897"/>
      <c r="AP40" s="897"/>
      <c r="AQ40" s="897"/>
      <c r="AR40" s="897"/>
    </row>
    <row r="41" spans="1:44" s="898" customFormat="1" ht="24">
      <c r="A41" s="1429" t="s">
        <v>3253</v>
      </c>
      <c r="B41" s="1430" t="s">
        <v>3254</v>
      </c>
      <c r="C41" s="1431" t="s">
        <v>2677</v>
      </c>
      <c r="D41" s="1431" t="s">
        <v>2677</v>
      </c>
      <c r="E41" s="1409">
        <f>'2.1-2.2, 5.1, 5.3 - HEATING&amp;DHW'!N69</f>
        <v>0</v>
      </c>
      <c r="F41" s="1409">
        <f>'2.1-2.2, 5.1, 5.3 - HEATING&amp;DHW'!M69</f>
        <v>0</v>
      </c>
      <c r="G41" s="923"/>
      <c r="H41" s="923"/>
      <c r="I41" s="923"/>
      <c r="J41" s="1428" t="str">
        <f t="shared" si="0"/>
        <v>No</v>
      </c>
      <c r="AK41" s="897"/>
      <c r="AL41" s="897"/>
      <c r="AM41" s="897"/>
      <c r="AN41" s="897"/>
      <c r="AO41" s="897"/>
      <c r="AP41" s="897"/>
      <c r="AQ41" s="897"/>
      <c r="AR41" s="897"/>
    </row>
    <row r="42" spans="1:44" s="898" customFormat="1" ht="24">
      <c r="A42" s="1429" t="s">
        <v>3255</v>
      </c>
      <c r="B42" s="1430" t="s">
        <v>3256</v>
      </c>
      <c r="C42" s="1431" t="s">
        <v>2677</v>
      </c>
      <c r="D42" s="1431" t="s">
        <v>2677</v>
      </c>
      <c r="E42" s="1409">
        <f>'2.1-2.2, 5.1, 5.3 - HEATING&amp;DHW'!N70</f>
        <v>0</v>
      </c>
      <c r="F42" s="1409">
        <f>'2.1-2.2, 5.1, 5.3 - HEATING&amp;DHW'!M70</f>
        <v>0</v>
      </c>
      <c r="G42" s="923"/>
      <c r="H42" s="923"/>
      <c r="I42" s="923"/>
      <c r="J42" s="1428" t="str">
        <f t="shared" si="0"/>
        <v>No</v>
      </c>
      <c r="AK42" s="897"/>
      <c r="AL42" s="897"/>
      <c r="AM42" s="897"/>
      <c r="AN42" s="897"/>
      <c r="AO42" s="897"/>
      <c r="AP42" s="897"/>
      <c r="AQ42" s="897"/>
      <c r="AR42" s="897"/>
    </row>
    <row r="43" spans="1:44" s="898" customFormat="1" ht="24">
      <c r="A43" s="1429" t="s">
        <v>3257</v>
      </c>
      <c r="B43" s="1430" t="s">
        <v>3258</v>
      </c>
      <c r="C43" s="1431" t="s">
        <v>2677</v>
      </c>
      <c r="D43" s="1431" t="s">
        <v>2677</v>
      </c>
      <c r="E43" s="1409">
        <f>'2.1-2.2, 5.1, 5.3 - HEATING&amp;DHW'!N71</f>
        <v>0</v>
      </c>
      <c r="F43" s="1409">
        <f>'2.1-2.2, 5.1, 5.3 - HEATING&amp;DHW'!M71</f>
        <v>0</v>
      </c>
      <c r="G43" s="923"/>
      <c r="H43" s="923"/>
      <c r="I43" s="923"/>
      <c r="J43" s="1428" t="str">
        <f t="shared" si="0"/>
        <v>No</v>
      </c>
      <c r="AK43" s="897"/>
      <c r="AL43" s="897"/>
      <c r="AM43" s="897"/>
      <c r="AN43" s="897"/>
      <c r="AO43" s="897"/>
      <c r="AP43" s="897"/>
      <c r="AQ43" s="897"/>
      <c r="AR43" s="897"/>
    </row>
    <row r="44" spans="1:44" ht="24">
      <c r="A44" s="1429" t="s">
        <v>3259</v>
      </c>
      <c r="B44" s="1430" t="s">
        <v>3260</v>
      </c>
      <c r="C44" s="1431" t="s">
        <v>2677</v>
      </c>
      <c r="D44" s="1431" t="s">
        <v>2677</v>
      </c>
      <c r="E44" s="1409">
        <f>'2.1-2.2, 5.1, 5.3 - HEATING&amp;DHW'!N72</f>
        <v>0</v>
      </c>
      <c r="F44" s="1409">
        <f>'2.1-2.2, 5.1, 5.3 - HEATING&amp;DHW'!M72</f>
        <v>0</v>
      </c>
      <c r="G44" s="923"/>
      <c r="H44" s="923"/>
      <c r="I44" s="923"/>
      <c r="J44" s="1428" t="str">
        <f t="shared" si="0"/>
        <v>No</v>
      </c>
    </row>
    <row r="45" spans="1:44">
      <c r="A45" s="2309" t="s">
        <v>3263</v>
      </c>
      <c r="B45" s="2310"/>
      <c r="C45" s="2310"/>
      <c r="D45" s="2310"/>
      <c r="E45" s="2310"/>
      <c r="F45" s="2311"/>
      <c r="G45" s="923"/>
      <c r="H45" s="923"/>
      <c r="I45" s="923"/>
      <c r="J45" s="1432"/>
    </row>
    <row r="46" spans="1:44" ht="24">
      <c r="A46" s="1429" t="s">
        <v>3264</v>
      </c>
      <c r="B46" s="1430" t="s">
        <v>3265</v>
      </c>
      <c r="C46" s="1431" t="s">
        <v>2677</v>
      </c>
      <c r="D46" s="1431" t="s">
        <v>2677</v>
      </c>
      <c r="E46" s="1409">
        <f>'2.1-2.2, 5.1, 5.3 - HEATING&amp;DHW'!N75</f>
        <v>0</v>
      </c>
      <c r="F46" s="1409">
        <f>'2.1-2.2, 5.1, 5.3 - HEATING&amp;DHW'!M75</f>
        <v>0</v>
      </c>
      <c r="G46" s="923"/>
      <c r="H46" s="923"/>
      <c r="I46" s="923"/>
      <c r="J46" s="1428" t="str">
        <f t="shared" si="0"/>
        <v>No</v>
      </c>
    </row>
    <row r="47" spans="1:44" ht="24">
      <c r="A47" s="1429" t="s">
        <v>3266</v>
      </c>
      <c r="B47" s="1430" t="s">
        <v>3267</v>
      </c>
      <c r="C47" s="1431" t="s">
        <v>2677</v>
      </c>
      <c r="D47" s="1431" t="s">
        <v>2677</v>
      </c>
      <c r="E47" s="1409">
        <f>'2.1-2.2, 5.1, 5.3 - HEATING&amp;DHW'!N77</f>
        <v>0</v>
      </c>
      <c r="F47" s="1409">
        <f>'2.1-2.2, 5.1, 5.3 - HEATING&amp;DHW'!M77</f>
        <v>0</v>
      </c>
      <c r="G47" s="923"/>
      <c r="H47" s="923"/>
      <c r="I47" s="923"/>
      <c r="J47" s="1428" t="str">
        <f t="shared" si="0"/>
        <v>No</v>
      </c>
    </row>
    <row r="48" spans="1:44" ht="24">
      <c r="A48" s="1429" t="s">
        <v>3268</v>
      </c>
      <c r="B48" s="1430" t="s">
        <v>3269</v>
      </c>
      <c r="C48" s="1431" t="s">
        <v>2677</v>
      </c>
      <c r="D48" s="1431" t="s">
        <v>2677</v>
      </c>
      <c r="E48" s="1409">
        <f>'2.1-2.2, 5.1, 5.3 - HEATING&amp;DHW'!N78</f>
        <v>0</v>
      </c>
      <c r="F48" s="1409">
        <f>'2.1-2.2, 5.1, 5.3 - HEATING&amp;DHW'!M78</f>
        <v>0</v>
      </c>
      <c r="G48" s="923"/>
      <c r="H48" s="923"/>
      <c r="I48" s="923"/>
      <c r="J48" s="1428" t="str">
        <f t="shared" si="0"/>
        <v>No</v>
      </c>
    </row>
    <row r="49" spans="1:44" ht="24">
      <c r="A49" s="1429" t="s">
        <v>3270</v>
      </c>
      <c r="B49" s="1430" t="s">
        <v>3271</v>
      </c>
      <c r="C49" s="1431" t="s">
        <v>2677</v>
      </c>
      <c r="D49" s="1431" t="s">
        <v>2677</v>
      </c>
      <c r="E49" s="1409">
        <f>'2.1-2.2, 5.1, 5.3 - HEATING&amp;DHW'!N79</f>
        <v>0</v>
      </c>
      <c r="F49" s="1409">
        <f>'2.1-2.2, 5.1, 5.3 - HEATING&amp;DHW'!M79</f>
        <v>0</v>
      </c>
      <c r="G49" s="923"/>
      <c r="H49" s="923"/>
      <c r="I49" s="923"/>
      <c r="J49" s="1428" t="str">
        <f t="shared" si="0"/>
        <v>No</v>
      </c>
    </row>
    <row r="50" spans="1:44">
      <c r="A50" s="2309" t="s">
        <v>3272</v>
      </c>
      <c r="B50" s="2310"/>
      <c r="C50" s="2310"/>
      <c r="D50" s="2310"/>
      <c r="E50" s="2310"/>
      <c r="F50" s="2311"/>
      <c r="G50" s="923"/>
      <c r="H50" s="923"/>
      <c r="I50" s="923"/>
      <c r="J50" s="1432"/>
    </row>
    <row r="51" spans="1:44">
      <c r="A51" s="1429" t="s">
        <v>3273</v>
      </c>
      <c r="B51" s="1430" t="s">
        <v>3274</v>
      </c>
      <c r="C51" s="1431" t="s">
        <v>2677</v>
      </c>
      <c r="D51" s="1431" t="s">
        <v>2677</v>
      </c>
      <c r="E51" s="1409">
        <f>'2.1-2.2, 5.1, 5.3 - HEATING&amp;DHW'!N81</f>
        <v>0</v>
      </c>
      <c r="F51" s="1409">
        <f>'2.1-2.2, 5.1, 5.3 - HEATING&amp;DHW'!M81</f>
        <v>0</v>
      </c>
      <c r="G51" s="923"/>
      <c r="H51" s="923"/>
      <c r="I51" s="923"/>
      <c r="J51" s="1428" t="str">
        <f t="shared" si="0"/>
        <v>No</v>
      </c>
    </row>
    <row r="52" spans="1:44" ht="24">
      <c r="A52" s="1429" t="s">
        <v>3279</v>
      </c>
      <c r="B52" s="1430" t="s">
        <v>3280</v>
      </c>
      <c r="C52" s="1431" t="s">
        <v>2677</v>
      </c>
      <c r="D52" s="1431" t="s">
        <v>2677</v>
      </c>
      <c r="E52" s="1409">
        <f>'2.1-2.2, 5.1, 5.3 - HEATING&amp;DHW'!N84</f>
        <v>0</v>
      </c>
      <c r="F52" s="1409">
        <f>'2.1-2.2, 5.1, 5.3 - HEATING&amp;DHW'!M84</f>
        <v>0</v>
      </c>
      <c r="G52" s="923"/>
      <c r="H52" s="923"/>
      <c r="I52" s="923"/>
      <c r="J52" s="1428" t="str">
        <f t="shared" si="0"/>
        <v>No</v>
      </c>
    </row>
    <row r="53" spans="1:44" s="913" customFormat="1">
      <c r="A53" s="1418">
        <v>3</v>
      </c>
      <c r="B53" s="2306" t="s">
        <v>3152</v>
      </c>
      <c r="C53" s="2307"/>
      <c r="D53" s="2307"/>
      <c r="E53" s="2307"/>
      <c r="F53" s="2308"/>
      <c r="G53" s="911"/>
      <c r="H53" s="911"/>
      <c r="I53" s="911"/>
      <c r="J53" s="1419"/>
      <c r="K53" s="912"/>
      <c r="L53" s="912"/>
      <c r="M53" s="912"/>
      <c r="N53" s="912"/>
      <c r="O53" s="912"/>
      <c r="P53" s="912"/>
      <c r="Q53" s="912"/>
      <c r="R53" s="912"/>
      <c r="S53" s="912"/>
      <c r="T53" s="912"/>
      <c r="U53" s="912"/>
      <c r="V53" s="912"/>
      <c r="W53" s="912"/>
      <c r="X53" s="912"/>
      <c r="Y53" s="912"/>
      <c r="Z53" s="912"/>
      <c r="AA53" s="912"/>
      <c r="AB53" s="912"/>
      <c r="AC53" s="912"/>
      <c r="AD53" s="912"/>
      <c r="AE53" s="912"/>
      <c r="AF53" s="912"/>
      <c r="AG53" s="912"/>
      <c r="AH53" s="912"/>
      <c r="AI53" s="912"/>
      <c r="AJ53" s="912"/>
    </row>
    <row r="54" spans="1:44">
      <c r="A54" s="2309" t="s">
        <v>3281</v>
      </c>
      <c r="B54" s="2310"/>
      <c r="C54" s="2310"/>
      <c r="D54" s="2310"/>
      <c r="E54" s="2310"/>
      <c r="F54" s="2311"/>
      <c r="G54" s="923"/>
      <c r="H54" s="923"/>
      <c r="I54" s="923"/>
      <c r="J54" s="1432"/>
    </row>
    <row r="55" spans="1:44">
      <c r="A55" s="1429" t="s">
        <v>3282</v>
      </c>
      <c r="B55" s="1425" t="s">
        <v>3874</v>
      </c>
      <c r="C55" s="1426" t="str">
        <f>'3.1 - ENV_BELOW GRADE WALLS'!F39</f>
        <v>see below</v>
      </c>
      <c r="D55" s="1426" t="str">
        <f>'3.1 - ENV_BELOW GRADE WALLS'!G39</f>
        <v>see below</v>
      </c>
      <c r="E55" s="1427">
        <f>'3.1 - ENV_BELOW GRADE WALLS'!J39</f>
        <v>0</v>
      </c>
      <c r="F55" s="1427">
        <f>'3.1 - ENV_BELOW GRADE WALLS'!H39</f>
        <v>0</v>
      </c>
      <c r="G55" s="923"/>
      <c r="H55" s="923"/>
      <c r="I55" s="923"/>
      <c r="J55" s="1428" t="str">
        <f t="shared" si="0"/>
        <v>No</v>
      </c>
    </row>
    <row r="56" spans="1:44" ht="24">
      <c r="A56" s="1429" t="s">
        <v>3284</v>
      </c>
      <c r="B56" s="1433" t="s">
        <v>3875</v>
      </c>
      <c r="C56" s="1426" t="str">
        <f>'3.1 - ENV_BELOW GRADE WALLS'!F40</f>
        <v>, C-</v>
      </c>
      <c r="D56" s="1426" t="str">
        <f>'3.1 - ENV_BELOW GRADE WALLS'!G40</f>
        <v>Baseline: C- (res) &amp; C- (non-res)
Proposed: C-</v>
      </c>
      <c r="E56" s="1427">
        <f>'3.1 - ENV_BELOW GRADE WALLS'!I40</f>
        <v>0</v>
      </c>
      <c r="F56" s="1427">
        <f>'3.1 - ENV_BELOW GRADE WALLS'!H40</f>
        <v>0</v>
      </c>
      <c r="G56" s="923"/>
      <c r="H56" s="923"/>
      <c r="I56" s="923"/>
      <c r="J56" s="1428" t="str">
        <f t="shared" si="0"/>
        <v>No</v>
      </c>
    </row>
    <row r="57" spans="1:44" s="898" customFormat="1" ht="24">
      <c r="A57" s="1429" t="s">
        <v>3286</v>
      </c>
      <c r="B57" s="1433" t="s">
        <v>3287</v>
      </c>
      <c r="C57" s="1426" t="s">
        <v>2677</v>
      </c>
      <c r="D57" s="1426" t="s">
        <v>2677</v>
      </c>
      <c r="E57" s="1427">
        <f>'3.1 - ENV_BELOW GRADE WALLS'!I41</f>
        <v>0</v>
      </c>
      <c r="F57" s="1427">
        <f>'3.1 - ENV_BELOW GRADE WALLS'!H41</f>
        <v>0</v>
      </c>
      <c r="G57" s="923"/>
      <c r="H57" s="923"/>
      <c r="I57" s="923"/>
      <c r="J57" s="1428" t="str">
        <f t="shared" si="0"/>
        <v>No</v>
      </c>
      <c r="AK57" s="897"/>
      <c r="AL57" s="897"/>
      <c r="AM57" s="897"/>
      <c r="AN57" s="897"/>
      <c r="AO57" s="897"/>
      <c r="AP57" s="897"/>
      <c r="AQ57" s="897"/>
      <c r="AR57" s="897"/>
    </row>
    <row r="58" spans="1:44" s="898" customFormat="1">
      <c r="A58" s="2309" t="s">
        <v>3290</v>
      </c>
      <c r="B58" s="2310"/>
      <c r="C58" s="2310"/>
      <c r="D58" s="2310"/>
      <c r="E58" s="2310"/>
      <c r="F58" s="2311"/>
      <c r="G58" s="923"/>
      <c r="H58" s="923"/>
      <c r="I58" s="923"/>
      <c r="J58" s="1432"/>
      <c r="AK58" s="897"/>
      <c r="AL58" s="897"/>
      <c r="AM58" s="897"/>
      <c r="AN58" s="897"/>
      <c r="AO58" s="897"/>
      <c r="AP58" s="897"/>
      <c r="AQ58" s="897"/>
      <c r="AR58" s="897"/>
    </row>
    <row r="59" spans="1:44" s="898" customFormat="1">
      <c r="A59" s="1429" t="s">
        <v>3291</v>
      </c>
      <c r="B59" s="1433" t="s">
        <v>3876</v>
      </c>
      <c r="C59" s="1426" t="str">
        <f>'3.1 - ENV_ABOVE GRADE WALLS'!F68</f>
        <v>see below</v>
      </c>
      <c r="D59" s="1426" t="str">
        <f>'3.1 - ENV_ABOVE GRADE WALLS'!G68</f>
        <v>see below</v>
      </c>
      <c r="E59" s="1427">
        <f>'3.1 - ENV_ABOVE GRADE WALLS'!I68</f>
        <v>0</v>
      </c>
      <c r="F59" s="1427">
        <f>'3.1 - ENV_ABOVE GRADE WALLS'!H68</f>
        <v>0</v>
      </c>
      <c r="G59" s="923"/>
      <c r="H59" s="923"/>
      <c r="I59" s="923"/>
      <c r="J59" s="1428" t="str">
        <f t="shared" si="0"/>
        <v>No</v>
      </c>
      <c r="AK59" s="897"/>
      <c r="AL59" s="897"/>
      <c r="AM59" s="897"/>
      <c r="AN59" s="897"/>
      <c r="AO59" s="897"/>
      <c r="AP59" s="897"/>
      <c r="AQ59" s="897"/>
      <c r="AR59" s="897"/>
    </row>
    <row r="60" spans="1:44" s="898" customFormat="1" ht="36">
      <c r="A60" s="1429" t="s">
        <v>3293</v>
      </c>
      <c r="B60" s="1433" t="s">
        <v>3877</v>
      </c>
      <c r="C60" s="1426" t="str">
        <f>'3.1 - ENV_ABOVE GRADE WALLS'!F71</f>
        <v>, U-</v>
      </c>
      <c r="D60" s="1426" t="str">
        <f>'3.1 - ENV_ABOVE GRADE WALLS'!G71</f>
        <v>Baseline: U- (res) &amp; U- (non-res)
Proposed: U-</v>
      </c>
      <c r="E60" s="1427">
        <f>'3.1 - ENV_ABOVE GRADE WALLS'!I71</f>
        <v>0</v>
      </c>
      <c r="F60" s="1427">
        <f>'3.1 - ENV_ABOVE GRADE WALLS'!H71</f>
        <v>0</v>
      </c>
      <c r="G60" s="923"/>
      <c r="H60" s="923"/>
      <c r="I60" s="923"/>
      <c r="J60" s="1428" t="str">
        <f t="shared" si="0"/>
        <v>No</v>
      </c>
      <c r="AK60" s="897"/>
      <c r="AL60" s="897"/>
      <c r="AM60" s="897"/>
      <c r="AN60" s="897"/>
      <c r="AO60" s="897"/>
      <c r="AP60" s="897"/>
      <c r="AQ60" s="897"/>
      <c r="AR60" s="897"/>
    </row>
    <row r="61" spans="1:44" s="898" customFormat="1" ht="36">
      <c r="A61" s="1429" t="s">
        <v>3295</v>
      </c>
      <c r="B61" s="1433" t="s">
        <v>3296</v>
      </c>
      <c r="C61" s="1426" t="str">
        <f>'3.1 - ENV_ABOVE GRADE WALLS'!F72</f>
        <v>, U-</v>
      </c>
      <c r="D61" s="1426" t="str">
        <f>'3.1 - ENV_ABOVE GRADE WALLS'!G72</f>
        <v>Baseline: U- (res) &amp; U- (non-res)
Proposed: U-</v>
      </c>
      <c r="E61" s="1427">
        <f>'3.1 - ENV_ABOVE GRADE WALLS'!I72</f>
        <v>0</v>
      </c>
      <c r="F61" s="1427">
        <f>'3.1 - ENV_ABOVE GRADE WALLS'!H72</f>
        <v>0</v>
      </c>
      <c r="G61" s="923"/>
      <c r="H61" s="923"/>
      <c r="I61" s="923"/>
      <c r="J61" s="1428" t="str">
        <f t="shared" si="0"/>
        <v>No</v>
      </c>
      <c r="AK61" s="897"/>
      <c r="AL61" s="897"/>
      <c r="AM61" s="897"/>
      <c r="AN61" s="897"/>
      <c r="AO61" s="897"/>
      <c r="AP61" s="897"/>
      <c r="AQ61" s="897"/>
      <c r="AR61" s="897"/>
    </row>
    <row r="62" spans="1:44" s="898" customFormat="1" ht="24">
      <c r="A62" s="1429" t="s">
        <v>3297</v>
      </c>
      <c r="B62" s="1433" t="s">
        <v>3298</v>
      </c>
      <c r="C62" s="1426" t="s">
        <v>2677</v>
      </c>
      <c r="D62" s="1426" t="s">
        <v>2677</v>
      </c>
      <c r="E62" s="1427">
        <f>'3.1 - ENV_ABOVE GRADE WALLS'!I73</f>
        <v>0</v>
      </c>
      <c r="F62" s="1427">
        <f>'3.1 - ENV_ABOVE GRADE WALLS'!H73</f>
        <v>0</v>
      </c>
      <c r="G62" s="923"/>
      <c r="H62" s="923"/>
      <c r="I62" s="923"/>
      <c r="J62" s="1428" t="str">
        <f t="shared" si="0"/>
        <v>No</v>
      </c>
      <c r="AK62" s="897"/>
      <c r="AL62" s="897"/>
      <c r="AM62" s="897"/>
      <c r="AN62" s="897"/>
      <c r="AO62" s="897"/>
      <c r="AP62" s="897"/>
      <c r="AQ62" s="897"/>
      <c r="AR62" s="897"/>
    </row>
    <row r="63" spans="1:44" s="898" customFormat="1">
      <c r="A63" s="2309" t="s">
        <v>3301</v>
      </c>
      <c r="B63" s="2310"/>
      <c r="C63" s="2310"/>
      <c r="D63" s="2310"/>
      <c r="E63" s="2310"/>
      <c r="F63" s="2311"/>
      <c r="G63" s="923"/>
      <c r="H63" s="923"/>
      <c r="I63" s="923"/>
      <c r="J63" s="1432"/>
      <c r="AK63" s="897"/>
      <c r="AL63" s="897"/>
      <c r="AM63" s="897"/>
      <c r="AN63" s="897"/>
      <c r="AO63" s="897"/>
      <c r="AP63" s="897"/>
      <c r="AQ63" s="897"/>
      <c r="AR63" s="897"/>
    </row>
    <row r="64" spans="1:44" s="898" customFormat="1">
      <c r="A64" s="1429" t="s">
        <v>3302</v>
      </c>
      <c r="B64" s="1433" t="s">
        <v>3878</v>
      </c>
      <c r="C64" s="1426" t="str">
        <f>'3.2 - ENV_ROOF'!F46</f>
        <v>see below</v>
      </c>
      <c r="D64" s="1426" t="str">
        <f>'3.2 - ENV_ROOF'!G46</f>
        <v>see below</v>
      </c>
      <c r="E64" s="1427">
        <f>'3.2 - ENV_ROOF'!I46</f>
        <v>0</v>
      </c>
      <c r="F64" s="1427">
        <f>'3.2 - ENV_ROOF'!H46</f>
        <v>0</v>
      </c>
      <c r="G64" s="923"/>
      <c r="H64" s="923"/>
      <c r="I64" s="923"/>
      <c r="J64" s="1428" t="str">
        <f t="shared" si="0"/>
        <v>No</v>
      </c>
      <c r="AK64" s="897"/>
      <c r="AL64" s="897"/>
      <c r="AM64" s="897"/>
      <c r="AN64" s="897"/>
      <c r="AO64" s="897"/>
      <c r="AP64" s="897"/>
      <c r="AQ64" s="897"/>
      <c r="AR64" s="897"/>
    </row>
    <row r="65" spans="1:44" s="898" customFormat="1" ht="24">
      <c r="A65" s="1429" t="s">
        <v>3304</v>
      </c>
      <c r="B65" s="1433" t="s">
        <v>3305</v>
      </c>
      <c r="C65" s="1426" t="str">
        <f>'3.2 - ENV_ROOF'!F48</f>
        <v>, U-</v>
      </c>
      <c r="D65" s="1426" t="str">
        <f>'3.2 - ENV_ROOF'!G48</f>
        <v>Baseline: U-
Proposed: U-</v>
      </c>
      <c r="E65" s="1427">
        <f>'3.2 - ENV_ROOF'!I48</f>
        <v>0</v>
      </c>
      <c r="F65" s="1427">
        <f>'3.2 - ENV_ROOF'!H48</f>
        <v>0</v>
      </c>
      <c r="G65" s="923"/>
      <c r="H65" s="923"/>
      <c r="I65" s="923"/>
      <c r="J65" s="1428" t="str">
        <f t="shared" si="0"/>
        <v>No</v>
      </c>
      <c r="AK65" s="897"/>
      <c r="AL65" s="897"/>
      <c r="AM65" s="897"/>
      <c r="AN65" s="897"/>
      <c r="AO65" s="897"/>
      <c r="AP65" s="897"/>
      <c r="AQ65" s="897"/>
      <c r="AR65" s="897"/>
    </row>
    <row r="66" spans="1:44" s="898" customFormat="1">
      <c r="A66" s="1429" t="s">
        <v>3306</v>
      </c>
      <c r="B66" s="1433" t="s">
        <v>3307</v>
      </c>
      <c r="C66" s="1426" t="s">
        <v>2677</v>
      </c>
      <c r="D66" s="1426" t="s">
        <v>2677</v>
      </c>
      <c r="E66" s="1427">
        <f>'3.2 - ENV_ROOF'!I49</f>
        <v>0</v>
      </c>
      <c r="F66" s="1427">
        <f>'3.2 - ENV_ROOF'!H49</f>
        <v>0</v>
      </c>
      <c r="G66" s="923"/>
      <c r="H66" s="923"/>
      <c r="I66" s="923"/>
      <c r="J66" s="1428" t="str">
        <f t="shared" si="0"/>
        <v>No</v>
      </c>
      <c r="AK66" s="897"/>
      <c r="AL66" s="897"/>
      <c r="AM66" s="897"/>
      <c r="AN66" s="897"/>
      <c r="AO66" s="897"/>
      <c r="AP66" s="897"/>
      <c r="AQ66" s="897"/>
      <c r="AR66" s="897"/>
    </row>
    <row r="67" spans="1:44" s="898" customFormat="1">
      <c r="A67" s="2309" t="s">
        <v>3310</v>
      </c>
      <c r="B67" s="2310"/>
      <c r="C67" s="2310"/>
      <c r="D67" s="2310"/>
      <c r="E67" s="2310"/>
      <c r="F67" s="2311"/>
      <c r="G67" s="923"/>
      <c r="H67" s="923"/>
      <c r="I67" s="923"/>
      <c r="J67" s="1432"/>
      <c r="AK67" s="897"/>
      <c r="AL67" s="897"/>
      <c r="AM67" s="897"/>
      <c r="AN67" s="897"/>
      <c r="AO67" s="897"/>
      <c r="AP67" s="897"/>
      <c r="AQ67" s="897"/>
      <c r="AR67" s="897"/>
    </row>
    <row r="68" spans="1:44" s="898" customFormat="1">
      <c r="A68" s="1429" t="s">
        <v>3311</v>
      </c>
      <c r="B68" s="1433" t="s">
        <v>3879</v>
      </c>
      <c r="C68" s="1426" t="str">
        <f>'3.3 - ENV_FLOORS'!F49</f>
        <v>see below</v>
      </c>
      <c r="D68" s="1426" t="str">
        <f>'3.3 - ENV_FLOORS'!G49</f>
        <v>see below</v>
      </c>
      <c r="E68" s="1427">
        <f>'3.3 - ENV_FLOORS'!I49</f>
        <v>0</v>
      </c>
      <c r="F68" s="1427">
        <f>'3.3 - ENV_FLOORS'!H49</f>
        <v>0</v>
      </c>
      <c r="G68" s="923"/>
      <c r="H68" s="923"/>
      <c r="I68" s="923"/>
      <c r="J68" s="1428" t="str">
        <f t="shared" si="0"/>
        <v>No</v>
      </c>
      <c r="AK68" s="897"/>
      <c r="AL68" s="897"/>
      <c r="AM68" s="897"/>
      <c r="AN68" s="897"/>
      <c r="AO68" s="897"/>
      <c r="AP68" s="897"/>
      <c r="AQ68" s="897"/>
      <c r="AR68" s="897"/>
    </row>
    <row r="69" spans="1:44" s="898" customFormat="1" ht="36">
      <c r="A69" s="1429" t="s">
        <v>3313</v>
      </c>
      <c r="B69" s="1433" t="s">
        <v>3880</v>
      </c>
      <c r="C69" s="1426" t="str">
        <f>'3.3 - ENV_FLOORS'!F51</f>
        <v>, U-</v>
      </c>
      <c r="D69" s="1426" t="str">
        <f>'3.3 - ENV_FLOORS'!G51</f>
        <v>Baseline: U- (res) &amp; U- (non-res)
Proposed: U-</v>
      </c>
      <c r="E69" s="1427">
        <f>'3.3 - ENV_FLOORS'!I51</f>
        <v>0</v>
      </c>
      <c r="F69" s="1427">
        <f>'3.3 - ENV_FLOORS'!H51</f>
        <v>0</v>
      </c>
      <c r="G69" s="923"/>
      <c r="H69" s="923"/>
      <c r="I69" s="923"/>
      <c r="J69" s="1428" t="str">
        <f t="shared" si="0"/>
        <v>No</v>
      </c>
      <c r="AK69" s="897"/>
      <c r="AL69" s="897"/>
      <c r="AM69" s="897"/>
      <c r="AN69" s="897"/>
      <c r="AO69" s="897"/>
      <c r="AP69" s="897"/>
      <c r="AQ69" s="897"/>
      <c r="AR69" s="897"/>
    </row>
    <row r="70" spans="1:44" s="898" customFormat="1" ht="24">
      <c r="A70" s="1429" t="s">
        <v>3315</v>
      </c>
      <c r="B70" s="1433" t="s">
        <v>3316</v>
      </c>
      <c r="C70" s="1426" t="str">
        <f>'3.3 - ENV_FLOORS'!F52</f>
        <v>, C-</v>
      </c>
      <c r="D70" s="1426" t="str">
        <f>'3.3 - ENV_FLOORS'!G52</f>
        <v>Baseline: C-
Proposed: C-</v>
      </c>
      <c r="E70" s="1427">
        <f>'3.3 - ENV_FLOORS'!I52</f>
        <v>0</v>
      </c>
      <c r="F70" s="1427">
        <f>'3.3 - ENV_FLOORS'!H52</f>
        <v>0</v>
      </c>
      <c r="G70" s="923"/>
      <c r="H70" s="923"/>
      <c r="I70" s="923"/>
      <c r="J70" s="1428" t="str">
        <f t="shared" si="0"/>
        <v>No</v>
      </c>
      <c r="AK70" s="897"/>
      <c r="AL70" s="897"/>
      <c r="AM70" s="897"/>
      <c r="AN70" s="897"/>
      <c r="AO70" s="897"/>
      <c r="AP70" s="897"/>
      <c r="AQ70" s="897"/>
      <c r="AR70" s="897"/>
    </row>
    <row r="71" spans="1:44" s="898" customFormat="1" ht="24">
      <c r="A71" s="1429" t="s">
        <v>3317</v>
      </c>
      <c r="B71" s="1433" t="s">
        <v>3318</v>
      </c>
      <c r="C71" s="1426" t="str">
        <f>'3.3 - ENV_FLOORS'!F53</f>
        <v>, F-</v>
      </c>
      <c r="D71" s="1426" t="str">
        <f>'3.3 - ENV_FLOORS'!G53</f>
        <v>Baseline: F- (res) &amp; F- (non-res)
Proposed: F-</v>
      </c>
      <c r="E71" s="1427">
        <f>'3.3 - ENV_FLOORS'!I53</f>
        <v>0</v>
      </c>
      <c r="F71" s="1427">
        <f>'3.3 - ENV_FLOORS'!H53</f>
        <v>0</v>
      </c>
      <c r="G71" s="923"/>
      <c r="H71" s="923"/>
      <c r="I71" s="923"/>
      <c r="J71" s="1428" t="str">
        <f t="shared" si="0"/>
        <v>No</v>
      </c>
      <c r="AK71" s="897"/>
      <c r="AL71" s="897"/>
      <c r="AM71" s="897"/>
      <c r="AN71" s="897"/>
      <c r="AO71" s="897"/>
      <c r="AP71" s="897"/>
      <c r="AQ71" s="897"/>
      <c r="AR71" s="897"/>
    </row>
    <row r="72" spans="1:44" s="898" customFormat="1" ht="24">
      <c r="A72" s="1429" t="s">
        <v>3319</v>
      </c>
      <c r="B72" s="1433" t="s">
        <v>3320</v>
      </c>
      <c r="C72" s="1426" t="str">
        <f>'3.3 - ENV_FLOORS'!F54</f>
        <v>, F-</v>
      </c>
      <c r="D72" s="1426" t="str">
        <f>'3.3 - ENV_FLOORS'!G54</f>
        <v>Baseline: F- (res) &amp; F- (non-res)
Proposed: F-</v>
      </c>
      <c r="E72" s="1427">
        <f>'3.3 - ENV_FLOORS'!I54</f>
        <v>0</v>
      </c>
      <c r="F72" s="1427">
        <f>'3.3 - ENV_FLOORS'!H54</f>
        <v>0</v>
      </c>
      <c r="G72" s="923"/>
      <c r="H72" s="923"/>
      <c r="I72" s="923"/>
      <c r="J72" s="1428" t="str">
        <f t="shared" si="0"/>
        <v>No</v>
      </c>
      <c r="AK72" s="897"/>
      <c r="AL72" s="897"/>
      <c r="AM72" s="897"/>
      <c r="AN72" s="897"/>
      <c r="AO72" s="897"/>
      <c r="AP72" s="897"/>
      <c r="AQ72" s="897"/>
      <c r="AR72" s="897"/>
    </row>
    <row r="73" spans="1:44" s="898" customFormat="1">
      <c r="A73" s="1429" t="s">
        <v>3321</v>
      </c>
      <c r="B73" s="1433" t="s">
        <v>3307</v>
      </c>
      <c r="C73" s="1426" t="s">
        <v>2677</v>
      </c>
      <c r="D73" s="1426" t="s">
        <v>2677</v>
      </c>
      <c r="E73" s="1427">
        <f>'3.3 - ENV_FLOORS'!I55</f>
        <v>0</v>
      </c>
      <c r="F73" s="1427">
        <f>'3.3 - ENV_FLOORS'!H55</f>
        <v>0</v>
      </c>
      <c r="G73" s="923"/>
      <c r="H73" s="923"/>
      <c r="I73" s="923"/>
      <c r="J73" s="1428" t="str">
        <f t="shared" si="0"/>
        <v>No</v>
      </c>
      <c r="AK73" s="897"/>
      <c r="AL73" s="897"/>
      <c r="AM73" s="897"/>
      <c r="AN73" s="897"/>
      <c r="AO73" s="897"/>
      <c r="AP73" s="897"/>
      <c r="AQ73" s="897"/>
      <c r="AR73" s="897"/>
    </row>
    <row r="74" spans="1:44" s="898" customFormat="1">
      <c r="A74" s="2309" t="s">
        <v>3323</v>
      </c>
      <c r="B74" s="2310"/>
      <c r="C74" s="2310"/>
      <c r="D74" s="2310"/>
      <c r="E74" s="2310"/>
      <c r="F74" s="2311"/>
      <c r="G74" s="923"/>
      <c r="H74" s="923"/>
      <c r="I74" s="923"/>
      <c r="J74" s="1432"/>
      <c r="AK74" s="897"/>
      <c r="AL74" s="897"/>
      <c r="AM74" s="897"/>
      <c r="AN74" s="897"/>
      <c r="AO74" s="897"/>
      <c r="AP74" s="897"/>
      <c r="AQ74" s="897"/>
      <c r="AR74" s="897"/>
    </row>
    <row r="75" spans="1:44" s="898" customFormat="1" ht="24">
      <c r="A75" s="1429" t="s">
        <v>3324</v>
      </c>
      <c r="B75" s="1433" t="s">
        <v>3881</v>
      </c>
      <c r="C75" s="1426" t="str">
        <f>'3.4 - ENV_WINDOWS'!I41</f>
        <v>, , U-, SHGC-</v>
      </c>
      <c r="D75" s="1426" t="str">
        <f>'3.4 - ENV_WINDOWS'!K41</f>
        <v>Baseline: U-, SHGC-
Proposed: U-, SHGC-</v>
      </c>
      <c r="E75" s="1427">
        <f>'3.4 - ENV_WINDOWS'!N41</f>
        <v>0</v>
      </c>
      <c r="F75" s="1427">
        <f>'3.4 - ENV_WINDOWS'!M41</f>
        <v>0</v>
      </c>
      <c r="G75" s="923"/>
      <c r="H75" s="923"/>
      <c r="I75" s="923"/>
      <c r="J75" s="1428" t="str">
        <f t="shared" si="0"/>
        <v>No</v>
      </c>
      <c r="AK75" s="897"/>
      <c r="AL75" s="897"/>
      <c r="AM75" s="897"/>
      <c r="AN75" s="897"/>
      <c r="AO75" s="897"/>
      <c r="AP75" s="897"/>
      <c r="AQ75" s="897"/>
      <c r="AR75" s="897"/>
    </row>
    <row r="76" spans="1:44" s="898" customFormat="1" ht="24">
      <c r="A76" s="1429" t="s">
        <v>3334</v>
      </c>
      <c r="B76" s="1433" t="s">
        <v>3882</v>
      </c>
      <c r="C76" s="1426" t="s">
        <v>2677</v>
      </c>
      <c r="D76" s="1426" t="s">
        <v>2677</v>
      </c>
      <c r="E76" s="1427">
        <f>'3.4 - ENV_WINDOWS'!N47</f>
        <v>0</v>
      </c>
      <c r="F76" s="1427">
        <f>'3.4 - ENV_WINDOWS'!M47</f>
        <v>0</v>
      </c>
      <c r="G76" s="923"/>
      <c r="H76" s="923"/>
      <c r="I76" s="923"/>
      <c r="J76" s="1428" t="str">
        <f t="shared" si="0"/>
        <v>No</v>
      </c>
      <c r="AK76" s="897"/>
      <c r="AL76" s="897"/>
      <c r="AM76" s="897"/>
      <c r="AN76" s="897"/>
      <c r="AO76" s="897"/>
      <c r="AP76" s="897"/>
      <c r="AQ76" s="897"/>
      <c r="AR76" s="897"/>
    </row>
    <row r="77" spans="1:44" s="898" customFormat="1" ht="24">
      <c r="A77" s="1429" t="s">
        <v>3336</v>
      </c>
      <c r="B77" s="1433" t="s">
        <v>3215</v>
      </c>
      <c r="C77" s="1426" t="s">
        <v>2677</v>
      </c>
      <c r="D77" s="1426" t="s">
        <v>2677</v>
      </c>
      <c r="E77" s="1427">
        <f>'3.4 - ENV_WINDOWS'!N48</f>
        <v>0</v>
      </c>
      <c r="F77" s="1427">
        <f>'3.4 - ENV_WINDOWS'!M48</f>
        <v>0</v>
      </c>
      <c r="G77" s="923"/>
      <c r="H77" s="923"/>
      <c r="I77" s="923"/>
      <c r="J77" s="1428" t="str">
        <f t="shared" si="0"/>
        <v>No</v>
      </c>
      <c r="AK77" s="897"/>
      <c r="AL77" s="897"/>
      <c r="AM77" s="897"/>
      <c r="AN77" s="897"/>
      <c r="AO77" s="897"/>
      <c r="AP77" s="897"/>
      <c r="AQ77" s="897"/>
      <c r="AR77" s="897"/>
    </row>
    <row r="78" spans="1:44" s="898" customFormat="1">
      <c r="A78" s="2309" t="s">
        <v>3337</v>
      </c>
      <c r="B78" s="2310"/>
      <c r="C78" s="2310"/>
      <c r="D78" s="2310"/>
      <c r="E78" s="2310"/>
      <c r="F78" s="2311"/>
      <c r="G78" s="923"/>
      <c r="H78" s="923"/>
      <c r="I78" s="923"/>
      <c r="J78" s="1432"/>
      <c r="AK78" s="897"/>
      <c r="AL78" s="897"/>
      <c r="AM78" s="897"/>
      <c r="AN78" s="897"/>
      <c r="AO78" s="897"/>
      <c r="AP78" s="897"/>
      <c r="AQ78" s="897"/>
      <c r="AR78" s="897"/>
    </row>
    <row r="79" spans="1:44" s="898" customFormat="1" ht="24">
      <c r="A79" s="1429" t="s">
        <v>3338</v>
      </c>
      <c r="B79" s="1433" t="s">
        <v>3883</v>
      </c>
      <c r="C79" s="1426" t="str">
        <f>'3.5 - ENV_EXTERIOR DOORS'!F39</f>
        <v>, U-</v>
      </c>
      <c r="D79" s="1426" t="str">
        <f>'3.5 - ENV_EXTERIOR DOORS'!H39</f>
        <v>Baseline: U-
Proposed: U-</v>
      </c>
      <c r="E79" s="1427">
        <f>'3.5 - ENV_EXTERIOR DOORS'!K39</f>
        <v>0</v>
      </c>
      <c r="F79" s="1427">
        <f>'3.5 - ENV_EXTERIOR DOORS'!J39</f>
        <v>0</v>
      </c>
      <c r="G79" s="923"/>
      <c r="H79" s="923"/>
      <c r="I79" s="923"/>
      <c r="J79" s="1428" t="str">
        <f t="shared" si="0"/>
        <v>No</v>
      </c>
      <c r="AK79" s="897"/>
      <c r="AL79" s="897"/>
      <c r="AM79" s="897"/>
      <c r="AN79" s="897"/>
      <c r="AO79" s="897"/>
      <c r="AP79" s="897"/>
      <c r="AQ79" s="897"/>
      <c r="AR79" s="897"/>
    </row>
    <row r="80" spans="1:44" ht="24">
      <c r="A80" s="1429" t="s">
        <v>3348</v>
      </c>
      <c r="B80" s="1433" t="s">
        <v>3215</v>
      </c>
      <c r="C80" s="1426" t="s">
        <v>2677</v>
      </c>
      <c r="D80" s="1426" t="s">
        <v>2677</v>
      </c>
      <c r="E80" s="1427">
        <f>'3.5 - ENV_EXTERIOR DOORS'!K44</f>
        <v>0</v>
      </c>
      <c r="F80" s="1427">
        <f>'3.5 - ENV_EXTERIOR DOORS'!J44</f>
        <v>0</v>
      </c>
      <c r="G80" s="923"/>
      <c r="H80" s="923"/>
      <c r="I80" s="923"/>
      <c r="J80" s="1428" t="str">
        <f t="shared" ref="J80:J143" si="1">IF(OR(F80="No",F80=0), "No", "Yes")</f>
        <v>No</v>
      </c>
    </row>
    <row r="81" spans="1:44" s="913" customFormat="1">
      <c r="A81" s="1418">
        <v>4</v>
      </c>
      <c r="B81" s="2306" t="s">
        <v>3349</v>
      </c>
      <c r="C81" s="2307"/>
      <c r="D81" s="2307"/>
      <c r="E81" s="2307"/>
      <c r="F81" s="2308"/>
      <c r="G81" s="911"/>
      <c r="H81" s="911"/>
      <c r="I81" s="911"/>
      <c r="J81" s="1419"/>
      <c r="K81" s="912"/>
      <c r="L81" s="912"/>
      <c r="M81" s="912"/>
      <c r="N81" s="912"/>
      <c r="O81" s="912"/>
      <c r="P81" s="912"/>
      <c r="Q81" s="912"/>
      <c r="R81" s="912"/>
      <c r="S81" s="912"/>
      <c r="T81" s="912"/>
      <c r="U81" s="912"/>
      <c r="V81" s="912"/>
      <c r="W81" s="912"/>
      <c r="X81" s="912"/>
      <c r="Y81" s="912"/>
      <c r="Z81" s="912"/>
      <c r="AA81" s="912"/>
      <c r="AB81" s="912"/>
      <c r="AC81" s="912"/>
      <c r="AD81" s="912"/>
      <c r="AE81" s="912"/>
      <c r="AF81" s="912"/>
      <c r="AG81" s="912"/>
      <c r="AH81" s="912"/>
      <c r="AI81" s="912"/>
      <c r="AJ81" s="912"/>
    </row>
    <row r="82" spans="1:44">
      <c r="A82" s="1429" t="s">
        <v>3350</v>
      </c>
      <c r="B82" s="1425" t="s">
        <v>3351</v>
      </c>
      <c r="C82" s="1431" t="s">
        <v>2677</v>
      </c>
      <c r="D82" s="1431" t="s">
        <v>2677</v>
      </c>
      <c r="E82" s="1409">
        <f>'4.2 - GARAGES_CMPTZ &amp; HEATING '!J23</f>
        <v>0</v>
      </c>
      <c r="F82" s="1409">
        <f>'4.2 - GARAGES_CMPTZ &amp; HEATING '!I23</f>
        <v>0</v>
      </c>
      <c r="G82" s="923"/>
      <c r="H82" s="923"/>
      <c r="I82" s="923"/>
      <c r="J82" s="1428" t="str">
        <f t="shared" si="1"/>
        <v>No</v>
      </c>
    </row>
    <row r="83" spans="1:44">
      <c r="A83" s="1429" t="s">
        <v>3352</v>
      </c>
      <c r="B83" s="1425" t="s">
        <v>3353</v>
      </c>
      <c r="C83" s="1431" t="s">
        <v>2677</v>
      </c>
      <c r="D83" s="1431" t="s">
        <v>2677</v>
      </c>
      <c r="E83" s="1409">
        <f>'4.2 - GARAGES_CMPTZ &amp; HEATING '!J24</f>
        <v>0</v>
      </c>
      <c r="F83" s="1409">
        <f>'4.2 - GARAGES_CMPTZ &amp; HEATING '!I24</f>
        <v>0</v>
      </c>
      <c r="G83" s="923"/>
      <c r="H83" s="923"/>
      <c r="I83" s="923"/>
      <c r="J83" s="1428" t="str">
        <f t="shared" si="1"/>
        <v>No</v>
      </c>
    </row>
    <row r="84" spans="1:44">
      <c r="A84" s="1429" t="s">
        <v>3354</v>
      </c>
      <c r="B84" s="1425" t="s">
        <v>3307</v>
      </c>
      <c r="C84" s="1431" t="s">
        <v>2677</v>
      </c>
      <c r="D84" s="1431" t="s">
        <v>2677</v>
      </c>
      <c r="E84" s="1409">
        <f>'4.2 - GARAGES_CMPTZ &amp; HEATING '!J25</f>
        <v>0</v>
      </c>
      <c r="F84" s="1409">
        <f>'4.2 - GARAGES_CMPTZ &amp; HEATING '!I25</f>
        <v>0</v>
      </c>
      <c r="G84" s="923"/>
      <c r="H84" s="923"/>
      <c r="I84" s="923"/>
      <c r="J84" s="1428" t="str">
        <f t="shared" si="1"/>
        <v>No</v>
      </c>
    </row>
    <row r="85" spans="1:44" s="913" customFormat="1">
      <c r="A85" s="1418">
        <v>5</v>
      </c>
      <c r="B85" s="2306" t="s">
        <v>3357</v>
      </c>
      <c r="C85" s="2307"/>
      <c r="D85" s="2307"/>
      <c r="E85" s="2307"/>
      <c r="F85" s="2308"/>
      <c r="G85" s="911"/>
      <c r="H85" s="911"/>
      <c r="I85" s="911"/>
      <c r="J85" s="1419"/>
      <c r="K85" s="912"/>
      <c r="L85" s="912"/>
      <c r="M85" s="912"/>
      <c r="N85" s="912"/>
      <c r="O85" s="912"/>
      <c r="P85" s="912"/>
      <c r="Q85" s="912"/>
      <c r="R85" s="912"/>
      <c r="S85" s="912"/>
      <c r="T85" s="912"/>
      <c r="U85" s="912"/>
      <c r="V85" s="912"/>
      <c r="W85" s="912"/>
      <c r="X85" s="912"/>
      <c r="Y85" s="912"/>
      <c r="Z85" s="912"/>
      <c r="AA85" s="912"/>
      <c r="AB85" s="912"/>
      <c r="AC85" s="912"/>
      <c r="AD85" s="912"/>
      <c r="AE85" s="912"/>
      <c r="AF85" s="912"/>
      <c r="AG85" s="912"/>
      <c r="AH85" s="912"/>
      <c r="AI85" s="912"/>
      <c r="AJ85" s="912"/>
    </row>
    <row r="86" spans="1:44">
      <c r="A86" s="1429" t="s">
        <v>3358</v>
      </c>
      <c r="B86" s="1425" t="s">
        <v>3873</v>
      </c>
      <c r="C86" s="1431" t="str">
        <f>'5.2, 5.4 - COOLING'!I33</f>
        <v>see below</v>
      </c>
      <c r="D86" s="1431" t="str">
        <f>'5.2, 5.4 - COOLING'!K33</f>
        <v>see below</v>
      </c>
      <c r="E86" s="1409">
        <f>'5.2, 5.4 - COOLING'!N33</f>
        <v>0</v>
      </c>
      <c r="F86" s="1409">
        <f>'5.2, 5.4 - COOLING'!M33</f>
        <v>0</v>
      </c>
      <c r="G86" s="923"/>
      <c r="H86" s="923"/>
      <c r="I86" s="923"/>
      <c r="J86" s="1428" t="str">
        <f t="shared" si="1"/>
        <v>No</v>
      </c>
    </row>
    <row r="87" spans="1:44">
      <c r="A87" s="2303" t="s">
        <v>3219</v>
      </c>
      <c r="B87" s="2304"/>
      <c r="C87" s="2304"/>
      <c r="D87" s="2304"/>
      <c r="E87" s="2304"/>
      <c r="F87" s="2305"/>
      <c r="G87" s="923"/>
      <c r="H87" s="923"/>
      <c r="I87" s="923"/>
      <c r="J87" s="1432"/>
    </row>
    <row r="88" spans="1:44" ht="36">
      <c r="A88" s="1429" t="s">
        <v>3359</v>
      </c>
      <c r="B88" s="1425" t="s">
        <v>3171</v>
      </c>
      <c r="C88" s="1431" t="str">
        <f>'5.2, 5.4 - COOLING'!I35</f>
        <v>Primary System:   serving ,  SEER 
Secondary system:   serving ,  SEER</v>
      </c>
      <c r="D88" s="1431" t="str">
        <f>'5.2, 5.4 - COOLING'!K35</f>
        <v>Baseline:  SEER
Proposed (Primary):  SEER
Proposed (Secondary):  SEER</v>
      </c>
      <c r="E88" s="1409">
        <f>'5.2, 5.4 - COOLING'!N35</f>
        <v>0</v>
      </c>
      <c r="F88" s="1409">
        <f>'5.2, 5.4 - COOLING'!M35</f>
        <v>0</v>
      </c>
      <c r="G88" s="923"/>
      <c r="H88" s="923"/>
      <c r="I88" s="923"/>
      <c r="J88" s="1428" t="str">
        <f t="shared" si="1"/>
        <v>No</v>
      </c>
    </row>
    <row r="89" spans="1:44" ht="36">
      <c r="A89" s="1429" t="s">
        <v>3360</v>
      </c>
      <c r="B89" s="1425" t="s">
        <v>3361</v>
      </c>
      <c r="C89" s="1431" t="str">
        <f>'5.2, 5.4 - COOLING'!I36</f>
        <v>Primary system:  tons
Secondary system:  tons</v>
      </c>
      <c r="D89" s="1431" t="str">
        <f>'5.2, 5.4 - COOLING'!K36</f>
        <v>Baseline:  tons
Proposed (primary):  tons
Proposed (secondary):  tons</v>
      </c>
      <c r="E89" s="1409">
        <f>'5.2, 5.4 - COOLING'!N36</f>
        <v>0</v>
      </c>
      <c r="F89" s="1409">
        <f>'5.2, 5.4 - COOLING'!M36</f>
        <v>0</v>
      </c>
      <c r="G89" s="923"/>
      <c r="H89" s="923"/>
      <c r="I89" s="923"/>
      <c r="J89" s="1428" t="str">
        <f t="shared" si="1"/>
        <v>No</v>
      </c>
    </row>
    <row r="90" spans="1:44">
      <c r="A90" s="2303" t="s">
        <v>3243</v>
      </c>
      <c r="B90" s="2304"/>
      <c r="C90" s="2304"/>
      <c r="D90" s="2304"/>
      <c r="E90" s="2304"/>
      <c r="F90" s="2305"/>
      <c r="G90" s="923"/>
      <c r="H90" s="923"/>
      <c r="I90" s="923"/>
      <c r="J90" s="1432"/>
    </row>
    <row r="91" spans="1:44" s="898" customFormat="1" ht="24">
      <c r="A91" s="1429" t="s">
        <v>3364</v>
      </c>
      <c r="B91" s="1425" t="s">
        <v>3365</v>
      </c>
      <c r="C91" s="1431" t="s">
        <v>2677</v>
      </c>
      <c r="D91" s="1431" t="s">
        <v>2677</v>
      </c>
      <c r="E91" s="1409">
        <f>'5.2, 5.4 - COOLING'!N39</f>
        <v>0</v>
      </c>
      <c r="F91" s="1409">
        <f>'5.2, 5.4 - COOLING'!M39</f>
        <v>0</v>
      </c>
      <c r="G91" s="923"/>
      <c r="H91" s="923"/>
      <c r="I91" s="923"/>
      <c r="J91" s="1428" t="str">
        <f t="shared" si="1"/>
        <v>No</v>
      </c>
      <c r="AK91" s="897"/>
      <c r="AL91" s="897"/>
      <c r="AM91" s="897"/>
      <c r="AN91" s="897"/>
      <c r="AO91" s="897"/>
      <c r="AP91" s="897"/>
      <c r="AQ91" s="897"/>
      <c r="AR91" s="897"/>
    </row>
    <row r="92" spans="1:44" s="898" customFormat="1">
      <c r="A92" s="1429" t="s">
        <v>3366</v>
      </c>
      <c r="B92" s="1425" t="s">
        <v>3367</v>
      </c>
      <c r="C92" s="1431" t="s">
        <v>2677</v>
      </c>
      <c r="D92" s="1431" t="s">
        <v>2677</v>
      </c>
      <c r="E92" s="1409">
        <f>'5.2, 5.4 - COOLING'!N40</f>
        <v>0</v>
      </c>
      <c r="F92" s="1409">
        <f>'5.2, 5.4 - COOLING'!M40</f>
        <v>0</v>
      </c>
      <c r="G92" s="923"/>
      <c r="H92" s="923"/>
      <c r="I92" s="923"/>
      <c r="J92" s="1428" t="str">
        <f t="shared" si="1"/>
        <v>No</v>
      </c>
      <c r="AK92" s="897"/>
      <c r="AL92" s="897"/>
      <c r="AM92" s="897"/>
      <c r="AN92" s="897"/>
      <c r="AO92" s="897"/>
      <c r="AP92" s="897"/>
      <c r="AQ92" s="897"/>
      <c r="AR92" s="897"/>
    </row>
    <row r="93" spans="1:44" s="898" customFormat="1" ht="24">
      <c r="A93" s="1429" t="s">
        <v>3370</v>
      </c>
      <c r="B93" s="1425" t="s">
        <v>3371</v>
      </c>
      <c r="C93" s="1431" t="s">
        <v>2677</v>
      </c>
      <c r="D93" s="1431" t="s">
        <v>2677</v>
      </c>
      <c r="E93" s="1409">
        <f>'5.2, 5.4 - COOLING'!N42</f>
        <v>0</v>
      </c>
      <c r="F93" s="1409">
        <f>'5.2, 5.4 - COOLING'!M42</f>
        <v>0</v>
      </c>
      <c r="G93" s="923"/>
      <c r="H93" s="923"/>
      <c r="I93" s="923"/>
      <c r="J93" s="1428" t="str">
        <f t="shared" si="1"/>
        <v>No</v>
      </c>
      <c r="AK93" s="897"/>
      <c r="AL93" s="897"/>
      <c r="AM93" s="897"/>
      <c r="AN93" s="897"/>
      <c r="AO93" s="897"/>
      <c r="AP93" s="897"/>
      <c r="AQ93" s="897"/>
      <c r="AR93" s="897"/>
    </row>
    <row r="94" spans="1:44" s="898" customFormat="1" ht="24">
      <c r="A94" s="1429" t="s">
        <v>3372</v>
      </c>
      <c r="B94" s="1425" t="s">
        <v>3373</v>
      </c>
      <c r="C94" s="1431" t="s">
        <v>2677</v>
      </c>
      <c r="D94" s="1431" t="s">
        <v>2677</v>
      </c>
      <c r="E94" s="1409">
        <f>'5.2, 5.4 - COOLING'!N43</f>
        <v>0</v>
      </c>
      <c r="F94" s="1409">
        <f>'5.2, 5.4 - COOLING'!M43</f>
        <v>0</v>
      </c>
      <c r="G94" s="923"/>
      <c r="H94" s="923"/>
      <c r="I94" s="923"/>
      <c r="J94" s="1428" t="str">
        <f t="shared" si="1"/>
        <v>No</v>
      </c>
      <c r="AK94" s="897"/>
      <c r="AL94" s="897"/>
      <c r="AM94" s="897"/>
      <c r="AN94" s="897"/>
      <c r="AO94" s="897"/>
      <c r="AP94" s="897"/>
      <c r="AQ94" s="897"/>
      <c r="AR94" s="897"/>
    </row>
    <row r="95" spans="1:44" s="898" customFormat="1" ht="24">
      <c r="A95" s="1429" t="s">
        <v>3374</v>
      </c>
      <c r="B95" s="1425" t="s">
        <v>3375</v>
      </c>
      <c r="C95" s="1431" t="s">
        <v>2677</v>
      </c>
      <c r="D95" s="1431" t="s">
        <v>2677</v>
      </c>
      <c r="E95" s="1409">
        <f>'5.2, 5.4 - COOLING'!N44</f>
        <v>0</v>
      </c>
      <c r="F95" s="1409">
        <f>'5.2, 5.4 - COOLING'!M44</f>
        <v>0</v>
      </c>
      <c r="G95" s="923"/>
      <c r="H95" s="923"/>
      <c r="I95" s="923"/>
      <c r="J95" s="1428" t="str">
        <f t="shared" si="1"/>
        <v>No</v>
      </c>
      <c r="AK95" s="897"/>
      <c r="AL95" s="897"/>
      <c r="AM95" s="897"/>
      <c r="AN95" s="897"/>
      <c r="AO95" s="897"/>
      <c r="AP95" s="897"/>
      <c r="AQ95" s="897"/>
      <c r="AR95" s="897"/>
    </row>
    <row r="96" spans="1:44" s="898" customFormat="1">
      <c r="A96" s="2303" t="s">
        <v>3376</v>
      </c>
      <c r="B96" s="2304"/>
      <c r="C96" s="2304"/>
      <c r="D96" s="2304"/>
      <c r="E96" s="2304"/>
      <c r="F96" s="2305"/>
      <c r="G96" s="923"/>
      <c r="H96" s="923"/>
      <c r="I96" s="923"/>
      <c r="J96" s="1432"/>
      <c r="AK96" s="897"/>
      <c r="AL96" s="897"/>
      <c r="AM96" s="897"/>
      <c r="AN96" s="897"/>
      <c r="AO96" s="897"/>
      <c r="AP96" s="897"/>
      <c r="AQ96" s="897"/>
      <c r="AR96" s="897"/>
    </row>
    <row r="97" spans="1:44" s="898" customFormat="1" ht="24">
      <c r="A97" s="1429" t="s">
        <v>3377</v>
      </c>
      <c r="B97" s="1425" t="s">
        <v>3378</v>
      </c>
      <c r="C97" s="1431" t="s">
        <v>2677</v>
      </c>
      <c r="D97" s="1431" t="s">
        <v>2677</v>
      </c>
      <c r="E97" s="1409">
        <f>'5.2, 5.4 - COOLING'!N46</f>
        <v>0</v>
      </c>
      <c r="F97" s="1409">
        <f>'5.2, 5.4 - COOLING'!M46</f>
        <v>0</v>
      </c>
      <c r="G97" s="923"/>
      <c r="H97" s="923"/>
      <c r="I97" s="923"/>
      <c r="J97" s="1428" t="str">
        <f t="shared" si="1"/>
        <v>No</v>
      </c>
      <c r="AK97" s="897"/>
      <c r="AL97" s="897"/>
      <c r="AM97" s="897"/>
      <c r="AN97" s="897"/>
      <c r="AO97" s="897"/>
      <c r="AP97" s="897"/>
      <c r="AQ97" s="897"/>
      <c r="AR97" s="897"/>
    </row>
    <row r="98" spans="1:44" s="898" customFormat="1" ht="24">
      <c r="A98" s="1429" t="s">
        <v>3379</v>
      </c>
      <c r="B98" s="1425" t="s">
        <v>3380</v>
      </c>
      <c r="C98" s="1431" t="s">
        <v>2677</v>
      </c>
      <c r="D98" s="1431" t="s">
        <v>2677</v>
      </c>
      <c r="E98" s="1409">
        <f>'5.2, 5.4 - COOLING'!N48</f>
        <v>0</v>
      </c>
      <c r="F98" s="1409">
        <f>'5.2, 5.4 - COOLING'!M48</f>
        <v>0</v>
      </c>
      <c r="G98" s="923"/>
      <c r="H98" s="923"/>
      <c r="I98" s="923"/>
      <c r="J98" s="1428" t="str">
        <f t="shared" si="1"/>
        <v>No</v>
      </c>
      <c r="AK98" s="897"/>
      <c r="AL98" s="897"/>
      <c r="AM98" s="897"/>
      <c r="AN98" s="897"/>
      <c r="AO98" s="897"/>
      <c r="AP98" s="897"/>
      <c r="AQ98" s="897"/>
      <c r="AR98" s="897"/>
    </row>
    <row r="99" spans="1:44" s="898" customFormat="1" ht="24">
      <c r="A99" s="1429" t="s">
        <v>3381</v>
      </c>
      <c r="B99" s="1425" t="s">
        <v>3382</v>
      </c>
      <c r="C99" s="1431" t="s">
        <v>2677</v>
      </c>
      <c r="D99" s="1431" t="s">
        <v>2677</v>
      </c>
      <c r="E99" s="1409">
        <f>'5.2, 5.4 - COOLING'!N49</f>
        <v>0</v>
      </c>
      <c r="F99" s="1409">
        <f>'5.2, 5.4 - COOLING'!M49</f>
        <v>0</v>
      </c>
      <c r="G99" s="923"/>
      <c r="H99" s="923"/>
      <c r="I99" s="923"/>
      <c r="J99" s="1428" t="str">
        <f t="shared" si="1"/>
        <v>No</v>
      </c>
      <c r="AK99" s="897"/>
      <c r="AL99" s="897"/>
      <c r="AM99" s="897"/>
      <c r="AN99" s="897"/>
      <c r="AO99" s="897"/>
      <c r="AP99" s="897"/>
      <c r="AQ99" s="897"/>
      <c r="AR99" s="897"/>
    </row>
    <row r="100" spans="1:44" s="898" customFormat="1" ht="24">
      <c r="A100" s="1429" t="s">
        <v>3383</v>
      </c>
      <c r="B100" s="1425" t="s">
        <v>3384</v>
      </c>
      <c r="C100" s="1431" t="s">
        <v>2677</v>
      </c>
      <c r="D100" s="1431" t="s">
        <v>2677</v>
      </c>
      <c r="E100" s="1409">
        <f>'5.2, 5.4 - COOLING'!N50</f>
        <v>0</v>
      </c>
      <c r="F100" s="1409">
        <f>'5.2, 5.4 - COOLING'!M50</f>
        <v>0</v>
      </c>
      <c r="G100" s="923"/>
      <c r="H100" s="923"/>
      <c r="I100" s="923"/>
      <c r="J100" s="1428" t="str">
        <f t="shared" si="1"/>
        <v>No</v>
      </c>
      <c r="AK100" s="897"/>
      <c r="AL100" s="897"/>
      <c r="AM100" s="897"/>
      <c r="AN100" s="897"/>
      <c r="AO100" s="897"/>
      <c r="AP100" s="897"/>
      <c r="AQ100" s="897"/>
      <c r="AR100" s="897"/>
    </row>
    <row r="101" spans="1:44" s="898" customFormat="1" ht="24">
      <c r="A101" s="1429" t="s">
        <v>3385</v>
      </c>
      <c r="B101" s="1425" t="s">
        <v>3386</v>
      </c>
      <c r="C101" s="1431" t="s">
        <v>2677</v>
      </c>
      <c r="D101" s="1431" t="s">
        <v>2677</v>
      </c>
      <c r="E101" s="1409">
        <f>'5.2, 5.4 - COOLING'!N51</f>
        <v>0</v>
      </c>
      <c r="F101" s="1409">
        <f>'5.2, 5.4 - COOLING'!M51</f>
        <v>0</v>
      </c>
      <c r="G101" s="923"/>
      <c r="H101" s="923"/>
      <c r="I101" s="923"/>
      <c r="J101" s="1428" t="str">
        <f t="shared" si="1"/>
        <v>No</v>
      </c>
      <c r="AK101" s="897"/>
      <c r="AL101" s="897"/>
      <c r="AM101" s="897"/>
      <c r="AN101" s="897"/>
      <c r="AO101" s="897"/>
      <c r="AP101" s="897"/>
      <c r="AQ101" s="897"/>
      <c r="AR101" s="897"/>
    </row>
    <row r="102" spans="1:44" s="898" customFormat="1" ht="24">
      <c r="A102" s="1429" t="s">
        <v>3387</v>
      </c>
      <c r="B102" s="1425" t="s">
        <v>3388</v>
      </c>
      <c r="C102" s="1431" t="s">
        <v>2677</v>
      </c>
      <c r="D102" s="1431" t="s">
        <v>2677</v>
      </c>
      <c r="E102" s="1409">
        <f>'5.2, 5.4 - COOLING'!N52</f>
        <v>0</v>
      </c>
      <c r="F102" s="1409">
        <f>'5.2, 5.4 - COOLING'!M52</f>
        <v>0</v>
      </c>
      <c r="G102" s="923"/>
      <c r="H102" s="923"/>
      <c r="I102" s="923"/>
      <c r="J102" s="1428" t="str">
        <f t="shared" si="1"/>
        <v>No</v>
      </c>
      <c r="AK102" s="897"/>
      <c r="AL102" s="897"/>
      <c r="AM102" s="897"/>
      <c r="AN102" s="897"/>
      <c r="AO102" s="897"/>
      <c r="AP102" s="897"/>
      <c r="AQ102" s="897"/>
      <c r="AR102" s="897"/>
    </row>
    <row r="103" spans="1:44" s="898" customFormat="1" ht="24">
      <c r="A103" s="1429" t="s">
        <v>3389</v>
      </c>
      <c r="B103" s="1425" t="s">
        <v>3390</v>
      </c>
      <c r="C103" s="1431" t="s">
        <v>2677</v>
      </c>
      <c r="D103" s="1431" t="s">
        <v>2677</v>
      </c>
      <c r="E103" s="1409">
        <f>'5.2, 5.4 - COOLING'!N53</f>
        <v>0</v>
      </c>
      <c r="F103" s="1409">
        <f>'5.2, 5.4 - COOLING'!M53</f>
        <v>0</v>
      </c>
      <c r="G103" s="923"/>
      <c r="H103" s="923"/>
      <c r="I103" s="923"/>
      <c r="J103" s="1428" t="str">
        <f t="shared" si="1"/>
        <v>No</v>
      </c>
      <c r="AK103" s="897"/>
      <c r="AL103" s="897"/>
      <c r="AM103" s="897"/>
      <c r="AN103" s="897"/>
      <c r="AO103" s="897"/>
      <c r="AP103" s="897"/>
      <c r="AQ103" s="897"/>
      <c r="AR103" s="897"/>
    </row>
    <row r="104" spans="1:44" s="898" customFormat="1" ht="24">
      <c r="A104" s="1429" t="s">
        <v>3391</v>
      </c>
      <c r="B104" s="1425" t="s">
        <v>3392</v>
      </c>
      <c r="C104" s="1431" t="s">
        <v>2677</v>
      </c>
      <c r="D104" s="1431" t="s">
        <v>2677</v>
      </c>
      <c r="E104" s="1409">
        <f>'5.2, 5.4 - COOLING'!N54</f>
        <v>0</v>
      </c>
      <c r="F104" s="1409">
        <f>'5.2, 5.4 - COOLING'!M54</f>
        <v>0</v>
      </c>
      <c r="G104" s="923"/>
      <c r="H104" s="923"/>
      <c r="I104" s="923"/>
      <c r="J104" s="1428" t="str">
        <f t="shared" si="1"/>
        <v>No</v>
      </c>
      <c r="AK104" s="897"/>
      <c r="AL104" s="897"/>
      <c r="AM104" s="897"/>
      <c r="AN104" s="897"/>
      <c r="AO104" s="897"/>
      <c r="AP104" s="897"/>
      <c r="AQ104" s="897"/>
      <c r="AR104" s="897"/>
    </row>
    <row r="105" spans="1:44" s="898" customFormat="1">
      <c r="A105" s="2303" t="s">
        <v>3393</v>
      </c>
      <c r="B105" s="2304"/>
      <c r="C105" s="2304"/>
      <c r="D105" s="2304"/>
      <c r="E105" s="2304"/>
      <c r="F105" s="2305"/>
      <c r="G105" s="923"/>
      <c r="H105" s="923"/>
      <c r="I105" s="923"/>
      <c r="J105" s="1432"/>
      <c r="AK105" s="897"/>
      <c r="AL105" s="897"/>
      <c r="AM105" s="897"/>
      <c r="AN105" s="897"/>
      <c r="AO105" s="897"/>
      <c r="AP105" s="897"/>
      <c r="AQ105" s="897"/>
      <c r="AR105" s="897"/>
    </row>
    <row r="106" spans="1:44">
      <c r="A106" s="1429" t="s">
        <v>3394</v>
      </c>
      <c r="B106" s="1425" t="s">
        <v>3395</v>
      </c>
      <c r="C106" s="1431" t="s">
        <v>2677</v>
      </c>
      <c r="D106" s="1431" t="s">
        <v>2677</v>
      </c>
      <c r="E106" s="1409">
        <f>'5.2, 5.4 - COOLING'!N56</f>
        <v>0</v>
      </c>
      <c r="F106" s="1409">
        <f>'5.2, 5.4 - COOLING'!M56</f>
        <v>0</v>
      </c>
      <c r="G106" s="923"/>
      <c r="H106" s="923"/>
      <c r="I106" s="923"/>
      <c r="J106" s="1428" t="str">
        <f t="shared" si="1"/>
        <v>No</v>
      </c>
    </row>
    <row r="107" spans="1:44">
      <c r="A107" s="1429" t="s">
        <v>3396</v>
      </c>
      <c r="B107" s="1425" t="s">
        <v>3397</v>
      </c>
      <c r="C107" s="1431" t="s">
        <v>2677</v>
      </c>
      <c r="D107" s="1431" t="s">
        <v>2677</v>
      </c>
      <c r="E107" s="1409">
        <f>'5.2, 5.4 - COOLING'!N57</f>
        <v>0</v>
      </c>
      <c r="F107" s="1409">
        <f>'5.2, 5.4 - COOLING'!M57</f>
        <v>0</v>
      </c>
      <c r="G107" s="923"/>
      <c r="H107" s="923"/>
      <c r="I107" s="923"/>
      <c r="J107" s="1428" t="str">
        <f t="shared" si="1"/>
        <v>No</v>
      </c>
    </row>
    <row r="108" spans="1:44" ht="24">
      <c r="A108" s="1429" t="s">
        <v>3402</v>
      </c>
      <c r="B108" s="1430" t="s">
        <v>3280</v>
      </c>
      <c r="C108" s="1431" t="s">
        <v>2677</v>
      </c>
      <c r="D108" s="1431" t="s">
        <v>2677</v>
      </c>
      <c r="E108" s="1409">
        <f>'5.2, 5.4 - COOLING'!N60</f>
        <v>0</v>
      </c>
      <c r="F108" s="1409">
        <f>'5.2, 5.4 - COOLING'!M60</f>
        <v>0</v>
      </c>
      <c r="G108" s="923"/>
      <c r="H108" s="923"/>
      <c r="I108" s="923"/>
      <c r="J108" s="1428" t="str">
        <f t="shared" si="1"/>
        <v>No</v>
      </c>
      <c r="AK108" s="898"/>
      <c r="AL108" s="898"/>
    </row>
    <row r="109" spans="1:44" s="913" customFormat="1">
      <c r="A109" s="1418">
        <v>6</v>
      </c>
      <c r="B109" s="2306" t="s">
        <v>3403</v>
      </c>
      <c r="C109" s="2307"/>
      <c r="D109" s="2307"/>
      <c r="E109" s="2307"/>
      <c r="F109" s="2308"/>
      <c r="G109" s="911"/>
      <c r="H109" s="911"/>
      <c r="I109" s="911"/>
      <c r="J109" s="1419"/>
      <c r="K109" s="912"/>
      <c r="L109" s="912"/>
      <c r="M109" s="912"/>
      <c r="N109" s="912"/>
      <c r="O109" s="912"/>
      <c r="P109" s="912"/>
      <c r="Q109" s="912"/>
      <c r="R109" s="912"/>
      <c r="S109" s="912"/>
      <c r="T109" s="912"/>
      <c r="U109" s="912"/>
      <c r="V109" s="912"/>
      <c r="W109" s="912"/>
      <c r="X109" s="912"/>
      <c r="Y109" s="912"/>
      <c r="Z109" s="912"/>
      <c r="AA109" s="912"/>
      <c r="AB109" s="912"/>
      <c r="AC109" s="912"/>
      <c r="AD109" s="912"/>
      <c r="AE109" s="912"/>
      <c r="AF109" s="912"/>
      <c r="AG109" s="912"/>
      <c r="AH109" s="912"/>
      <c r="AI109" s="912"/>
      <c r="AJ109" s="912"/>
    </row>
    <row r="110" spans="1:44">
      <c r="A110" s="1429" t="s">
        <v>3404</v>
      </c>
      <c r="B110" s="1430" t="s">
        <v>3405</v>
      </c>
      <c r="C110" s="1431" t="s">
        <v>2677</v>
      </c>
      <c r="D110" s="1431" t="s">
        <v>2677</v>
      </c>
      <c r="E110" s="1409">
        <f>'6.1, 6.2, 6.3 - LIGHTING'!L96</f>
        <v>0</v>
      </c>
      <c r="F110" s="1409">
        <f>'6.1, 6.2, 6.3 - LIGHTING'!K96</f>
        <v>0</v>
      </c>
      <c r="G110" s="923"/>
      <c r="H110" s="923"/>
      <c r="I110" s="923"/>
      <c r="J110" s="1428" t="str">
        <f t="shared" si="1"/>
        <v>No</v>
      </c>
    </row>
    <row r="111" spans="1:44" ht="24">
      <c r="A111" s="1429" t="s">
        <v>3406</v>
      </c>
      <c r="B111" s="1430" t="s">
        <v>3407</v>
      </c>
      <c r="C111" s="1431">
        <f>'6.1, 6.2, 6.3 - LIGHTING'!H100</f>
        <v>0</v>
      </c>
      <c r="D111" s="1431" t="str">
        <f>'6.1, 6.2, 6.3 - LIGHTING'!J100</f>
        <v xml:space="preserve">Baseline: N/A
Proposed: </v>
      </c>
      <c r="E111" s="1409">
        <f>'6.1, 6.2, 6.3 - LIGHTING'!L100</f>
        <v>0</v>
      </c>
      <c r="F111" s="1409">
        <f>'6.1, 6.2, 6.3 - LIGHTING'!K100</f>
        <v>0</v>
      </c>
      <c r="G111" s="923"/>
      <c r="H111" s="923"/>
      <c r="I111" s="923"/>
      <c r="J111" s="1428" t="str">
        <f t="shared" si="1"/>
        <v>No</v>
      </c>
    </row>
    <row r="112" spans="1:44" ht="24">
      <c r="A112" s="1429" t="s">
        <v>3408</v>
      </c>
      <c r="B112" s="1430" t="s">
        <v>3409</v>
      </c>
      <c r="C112" s="1431">
        <f>'6.1, 6.2, 6.3 - LIGHTING'!H101</f>
        <v>0</v>
      </c>
      <c r="D112" s="1431" t="str">
        <f>'6.1, 6.2, 6.3 - LIGHTING'!J101</f>
        <v xml:space="preserve">Baseline: 
Proposed: </v>
      </c>
      <c r="E112" s="1409">
        <f>'6.1, 6.2, 6.3 - LIGHTING'!L101</f>
        <v>0</v>
      </c>
      <c r="F112" s="1409">
        <f>'6.1, 6.2, 6.3 - LIGHTING'!K101</f>
        <v>0</v>
      </c>
      <c r="G112" s="923"/>
      <c r="H112" s="923"/>
      <c r="I112" s="923"/>
      <c r="J112" s="1428" t="str">
        <f t="shared" si="1"/>
        <v>No</v>
      </c>
    </row>
    <row r="113" spans="1:36">
      <c r="A113" s="1429" t="s">
        <v>3410</v>
      </c>
      <c r="B113" s="1430" t="s">
        <v>3411</v>
      </c>
      <c r="C113" s="1431" t="e">
        <f>'6.1, 6.2, 6.3 - LIGHTING'!#REF!</f>
        <v>#REF!</v>
      </c>
      <c r="D113" s="1431" t="e">
        <f>'6.1, 6.2, 6.3 - LIGHTING'!#REF!</f>
        <v>#REF!</v>
      </c>
      <c r="E113" s="1409" t="e">
        <f>'6.1, 6.2, 6.3 - LIGHTING'!#REF!</f>
        <v>#REF!</v>
      </c>
      <c r="F113" s="1409" t="e">
        <f>'6.1, 6.2, 6.3 - LIGHTING'!#REF!</f>
        <v>#REF!</v>
      </c>
      <c r="G113" s="923"/>
      <c r="H113" s="923"/>
      <c r="I113" s="923"/>
      <c r="J113" s="1428" t="e">
        <f t="shared" si="1"/>
        <v>#REF!</v>
      </c>
    </row>
    <row r="114" spans="1:36" ht="24">
      <c r="A114" s="1429" t="s">
        <v>3412</v>
      </c>
      <c r="B114" s="1430" t="s">
        <v>3413</v>
      </c>
      <c r="C114" s="1431" t="str">
        <f>'6.1, 6.2, 6.3 - LIGHTING'!H102</f>
        <v xml:space="preserve"> kW</v>
      </c>
      <c r="D114" s="1431" t="str">
        <f>'6.1, 6.2, 6.3 - LIGHTING'!J102</f>
        <v>Baseline:  kW
Proposed:  kW</v>
      </c>
      <c r="E114" s="1409">
        <f>'6.1, 6.2, 6.3 - LIGHTING'!L102</f>
        <v>0</v>
      </c>
      <c r="F114" s="1409">
        <f>'6.1, 6.2, 6.3 - LIGHTING'!K102</f>
        <v>0</v>
      </c>
      <c r="G114" s="923"/>
      <c r="H114" s="923"/>
      <c r="I114" s="923"/>
      <c r="J114" s="1428" t="str">
        <f t="shared" si="1"/>
        <v>No</v>
      </c>
    </row>
    <row r="115" spans="1:36" ht="24">
      <c r="A115" s="1429" t="s">
        <v>3414</v>
      </c>
      <c r="B115" s="1430" t="s">
        <v>3415</v>
      </c>
      <c r="C115" s="1431" t="str">
        <f>'6.1, 6.2, 6.3 - LIGHTING'!H103</f>
        <v xml:space="preserve"> kW</v>
      </c>
      <c r="D115" s="1431" t="str">
        <f>'6.1, 6.2, 6.3 - LIGHTING'!J103</f>
        <v>Baseline:  kW, 12 hr/day
Proposed:  kW, 12 hr/day</v>
      </c>
      <c r="E115" s="1409">
        <f>'6.1, 6.2, 6.3 - LIGHTING'!L103</f>
        <v>0</v>
      </c>
      <c r="F115" s="1409">
        <f>'6.1, 6.2, 6.3 - LIGHTING'!K103</f>
        <v>0</v>
      </c>
      <c r="G115" s="923"/>
      <c r="H115" s="923"/>
      <c r="I115" s="923"/>
      <c r="J115" s="1428" t="str">
        <f t="shared" si="1"/>
        <v>No</v>
      </c>
    </row>
    <row r="116" spans="1:36" ht="24">
      <c r="A116" s="1429" t="s">
        <v>3416</v>
      </c>
      <c r="B116" s="1430" t="s">
        <v>3178</v>
      </c>
      <c r="C116" s="1431" t="str">
        <f>'6.1, 6.2, 6.3 - LIGHTING'!H104</f>
        <v xml:space="preserve"> W/SF</v>
      </c>
      <c r="D116" s="1431" t="str">
        <f>'6.1, 6.2, 6.3 - LIGHTING'!J104</f>
        <v>Baseline:  W/SF, 24 hr/day
Proposed:  W/SF, 24 hr/day</v>
      </c>
      <c r="E116" s="1409">
        <f>'6.1, 6.2, 6.3 - LIGHTING'!L104</f>
        <v>0</v>
      </c>
      <c r="F116" s="1409">
        <f>'6.1, 6.2, 6.3 - LIGHTING'!K104</f>
        <v>0</v>
      </c>
      <c r="G116" s="923"/>
      <c r="H116" s="923"/>
      <c r="I116" s="923"/>
      <c r="J116" s="1428" t="str">
        <f t="shared" si="1"/>
        <v>No</v>
      </c>
    </row>
    <row r="117" spans="1:36" ht="24">
      <c r="A117" s="1429" t="s">
        <v>3417</v>
      </c>
      <c r="B117" s="1430" t="s">
        <v>3418</v>
      </c>
      <c r="C117" s="1431" t="str">
        <f>'6.1, 6.2, 6.3 - LIGHTING'!H105</f>
        <v xml:space="preserve"> W/SF</v>
      </c>
      <c r="D117" s="1431" t="str">
        <f>'6.1, 6.2, 6.3 - LIGHTING'!J105</f>
        <v>Baseline: 0.7 W/SF, 2.34 hr/day
Proposed:  W/SF, 2.34 hr/day</v>
      </c>
      <c r="E117" s="1409">
        <f>'6.1, 6.2, 6.3 - LIGHTING'!L105</f>
        <v>0</v>
      </c>
      <c r="F117" s="1409">
        <f>'6.1, 6.2, 6.3 - LIGHTING'!K105</f>
        <v>0</v>
      </c>
      <c r="G117" s="923"/>
      <c r="H117" s="923"/>
      <c r="I117" s="923"/>
      <c r="J117" s="1428" t="str">
        <f t="shared" si="1"/>
        <v>No</v>
      </c>
    </row>
    <row r="118" spans="1:36">
      <c r="A118" s="2303" t="s">
        <v>3419</v>
      </c>
      <c r="B118" s="2304"/>
      <c r="C118" s="2304"/>
      <c r="D118" s="2304"/>
      <c r="E118" s="2304"/>
      <c r="F118" s="2305"/>
      <c r="G118" s="923"/>
      <c r="H118" s="923"/>
      <c r="I118" s="923"/>
      <c r="J118" s="1432"/>
    </row>
    <row r="119" spans="1:36">
      <c r="A119" s="1429" t="s">
        <v>3420</v>
      </c>
      <c r="B119" s="1430" t="s">
        <v>3421</v>
      </c>
      <c r="C119" s="1431" t="s">
        <v>2677</v>
      </c>
      <c r="D119" s="1431" t="s">
        <v>2677</v>
      </c>
      <c r="E119" s="1409">
        <f>'6.1, 6.2, 6.3 - LIGHTING'!L106</f>
        <v>0</v>
      </c>
      <c r="F119" s="1409">
        <f>'6.1, 6.2, 6.3 - LIGHTING'!K106</f>
        <v>0</v>
      </c>
      <c r="G119" s="923"/>
      <c r="H119" s="923"/>
      <c r="I119" s="923"/>
      <c r="J119" s="1428" t="str">
        <f t="shared" si="1"/>
        <v>No</v>
      </c>
    </row>
    <row r="120" spans="1:36">
      <c r="A120" s="1429" t="s">
        <v>3422</v>
      </c>
      <c r="B120" s="1430" t="s">
        <v>3423</v>
      </c>
      <c r="C120" s="1431" t="s">
        <v>2677</v>
      </c>
      <c r="D120" s="1431" t="s">
        <v>2677</v>
      </c>
      <c r="E120" s="1409">
        <f>'6.1, 6.2, 6.3 - LIGHTING'!L107</f>
        <v>0</v>
      </c>
      <c r="F120" s="1409">
        <f>'6.1, 6.2, 6.3 - LIGHTING'!K107</f>
        <v>0</v>
      </c>
      <c r="G120" s="923"/>
      <c r="H120" s="923"/>
      <c r="I120" s="923"/>
      <c r="J120" s="1428" t="str">
        <f t="shared" si="1"/>
        <v>No</v>
      </c>
    </row>
    <row r="121" spans="1:36" ht="24">
      <c r="A121" s="1429" t="s">
        <v>3424</v>
      </c>
      <c r="B121" s="1430" t="s">
        <v>3425</v>
      </c>
      <c r="C121" s="1431" t="s">
        <v>2677</v>
      </c>
      <c r="D121" s="1431" t="s">
        <v>2677</v>
      </c>
      <c r="E121" s="1409">
        <f>'6.1, 6.2, 6.3 - LIGHTING'!L108</f>
        <v>0</v>
      </c>
      <c r="F121" s="1409">
        <f>'6.1, 6.2, 6.3 - LIGHTING'!K108</f>
        <v>0</v>
      </c>
      <c r="G121" s="923"/>
      <c r="H121" s="923"/>
      <c r="I121" s="923"/>
      <c r="J121" s="1428" t="str">
        <f t="shared" si="1"/>
        <v>No</v>
      </c>
    </row>
    <row r="122" spans="1:36" ht="24">
      <c r="A122" s="1429" t="s">
        <v>3426</v>
      </c>
      <c r="B122" s="1430" t="s">
        <v>3427</v>
      </c>
      <c r="C122" s="1431" t="s">
        <v>2677</v>
      </c>
      <c r="D122" s="1431" t="s">
        <v>2677</v>
      </c>
      <c r="E122" s="1409">
        <f>'6.1, 6.2, 6.3 - LIGHTING'!L109</f>
        <v>0</v>
      </c>
      <c r="F122" s="1409">
        <f>'6.1, 6.2, 6.3 - LIGHTING'!K109</f>
        <v>0</v>
      </c>
      <c r="G122" s="923"/>
      <c r="H122" s="923"/>
      <c r="I122" s="923"/>
      <c r="J122" s="1428" t="str">
        <f t="shared" si="1"/>
        <v>No</v>
      </c>
    </row>
    <row r="123" spans="1:36" s="913" customFormat="1">
      <c r="A123" s="1418">
        <v>7</v>
      </c>
      <c r="B123" s="2306" t="s">
        <v>3428</v>
      </c>
      <c r="C123" s="2307"/>
      <c r="D123" s="2307"/>
      <c r="E123" s="2307"/>
      <c r="F123" s="2308"/>
      <c r="G123" s="911"/>
      <c r="H123" s="911"/>
      <c r="I123" s="911"/>
      <c r="J123" s="1419"/>
      <c r="K123" s="912"/>
      <c r="L123" s="912"/>
      <c r="M123" s="912"/>
      <c r="N123" s="912"/>
      <c r="O123" s="912"/>
      <c r="P123" s="912"/>
      <c r="Q123" s="912"/>
      <c r="R123" s="912"/>
      <c r="S123" s="912"/>
      <c r="T123" s="912"/>
      <c r="U123" s="912"/>
      <c r="V123" s="912"/>
      <c r="W123" s="912"/>
      <c r="X123" s="912"/>
      <c r="Y123" s="912"/>
      <c r="Z123" s="912"/>
      <c r="AA123" s="912"/>
      <c r="AB123" s="912"/>
      <c r="AC123" s="912"/>
      <c r="AD123" s="912"/>
      <c r="AE123" s="912"/>
      <c r="AF123" s="912"/>
      <c r="AG123" s="912"/>
      <c r="AH123" s="912"/>
      <c r="AI123" s="912"/>
      <c r="AJ123" s="912"/>
    </row>
    <row r="124" spans="1:36">
      <c r="A124" s="1429" t="s">
        <v>3429</v>
      </c>
      <c r="B124" s="1425" t="s">
        <v>3873</v>
      </c>
      <c r="C124" s="1431" t="str">
        <f>'7.1 - MOTORS'!H35</f>
        <v>See below</v>
      </c>
      <c r="D124" s="1431" t="str">
        <f>'7.1 - MOTORS'!I35</f>
        <v>See below</v>
      </c>
      <c r="E124" s="1409">
        <f>'7.1 - MOTORS'!K35</f>
        <v>0</v>
      </c>
      <c r="F124" s="1409">
        <f>'7.1 - MOTORS'!J35</f>
        <v>0</v>
      </c>
      <c r="G124" s="923"/>
      <c r="H124" s="923"/>
      <c r="I124" s="923"/>
      <c r="J124" s="1428" t="str">
        <f t="shared" si="1"/>
        <v>No</v>
      </c>
    </row>
    <row r="125" spans="1:36" ht="24">
      <c r="A125" s="1429" t="s">
        <v>3430</v>
      </c>
      <c r="B125" s="1425" t="s">
        <v>3431</v>
      </c>
      <c r="C125" s="1431" t="str">
        <f>'7.1 - MOTORS'!H36</f>
        <v xml:space="preserve"> hp NEMA Standard Motor, 19 W/GPM</v>
      </c>
      <c r="D125" s="1431" t="str">
        <f>'7.1 - MOTORS'!I36</f>
        <v>Baseline: 19 W/GPM
Proposed:  W/GPM</v>
      </c>
      <c r="E125" s="1409">
        <f>'7.1 - MOTORS'!K36</f>
        <v>0</v>
      </c>
      <c r="F125" s="1409">
        <f>'7.1 - MOTORS'!J36</f>
        <v>0</v>
      </c>
      <c r="G125" s="923"/>
      <c r="H125" s="923"/>
      <c r="I125" s="923"/>
      <c r="J125" s="1428" t="str">
        <f t="shared" si="1"/>
        <v>No</v>
      </c>
    </row>
    <row r="126" spans="1:36" ht="24">
      <c r="A126" s="1429" t="s">
        <v>3432</v>
      </c>
      <c r="B126" s="1425" t="s">
        <v>3433</v>
      </c>
      <c r="C126" s="1431" t="str">
        <f>'7.1 - MOTORS'!H37</f>
        <v xml:space="preserve">  hp NEMA  efficiency motor, 0.0% efficient</v>
      </c>
      <c r="D126" s="1431" t="str">
        <f>'7.1 - MOTORS'!I37</f>
        <v>Baseline: 0.0%
Proposed: 0.0%</v>
      </c>
      <c r="E126" s="1409">
        <f>'7.1 - MOTORS'!K37</f>
        <v>0</v>
      </c>
      <c r="F126" s="1409">
        <f>'7.1 - MOTORS'!J37</f>
        <v>0</v>
      </c>
      <c r="G126" s="923"/>
      <c r="H126" s="923"/>
      <c r="I126" s="923"/>
      <c r="J126" s="1428" t="str">
        <f t="shared" si="1"/>
        <v>No</v>
      </c>
    </row>
    <row r="127" spans="1:36">
      <c r="A127" s="1429" t="s">
        <v>3434</v>
      </c>
      <c r="B127" s="1425" t="s">
        <v>3884</v>
      </c>
      <c r="C127" s="1431" t="s">
        <v>2677</v>
      </c>
      <c r="D127" s="1431" t="s">
        <v>2677</v>
      </c>
      <c r="E127" s="1409">
        <f>'7.1 - MOTORS'!K38</f>
        <v>0</v>
      </c>
      <c r="F127" s="1409">
        <f>'7.1 - MOTORS'!J38</f>
        <v>0</v>
      </c>
      <c r="G127" s="923"/>
      <c r="H127" s="923"/>
      <c r="I127" s="923"/>
      <c r="J127" s="1428" t="str">
        <f t="shared" si="1"/>
        <v>No</v>
      </c>
    </row>
    <row r="128" spans="1:36" ht="24">
      <c r="A128" s="1429" t="s">
        <v>3440</v>
      </c>
      <c r="B128" s="1425" t="s">
        <v>3215</v>
      </c>
      <c r="C128" s="1431" t="s">
        <v>2677</v>
      </c>
      <c r="D128" s="1431" t="s">
        <v>2677</v>
      </c>
      <c r="E128" s="1409">
        <f>'7.1 - MOTORS'!K41</f>
        <v>0</v>
      </c>
      <c r="F128" s="1409">
        <f>'7.1 - MOTORS'!J41</f>
        <v>0</v>
      </c>
      <c r="G128" s="923"/>
      <c r="H128" s="923"/>
      <c r="I128" s="923"/>
      <c r="J128" s="1428" t="str">
        <f t="shared" si="1"/>
        <v>No</v>
      </c>
    </row>
    <row r="129" spans="1:44" s="913" customFormat="1">
      <c r="A129" s="1418">
        <v>8</v>
      </c>
      <c r="B129" s="2306" t="s">
        <v>3441</v>
      </c>
      <c r="C129" s="2307"/>
      <c r="D129" s="2307"/>
      <c r="E129" s="2307"/>
      <c r="F129" s="2308"/>
      <c r="G129" s="911"/>
      <c r="H129" s="911"/>
      <c r="I129" s="911"/>
      <c r="J129" s="1419"/>
      <c r="K129" s="912"/>
      <c r="L129" s="912"/>
      <c r="M129" s="912"/>
      <c r="N129" s="912"/>
      <c r="O129" s="912"/>
      <c r="P129" s="912"/>
      <c r="Q129" s="912"/>
      <c r="R129" s="912"/>
      <c r="S129" s="912"/>
      <c r="T129" s="912"/>
      <c r="U129" s="912"/>
      <c r="V129" s="912"/>
      <c r="W129" s="912"/>
      <c r="X129" s="912"/>
      <c r="Y129" s="912"/>
      <c r="Z129" s="912"/>
      <c r="AA129" s="912"/>
      <c r="AB129" s="912"/>
      <c r="AC129" s="912"/>
      <c r="AD129" s="912"/>
      <c r="AE129" s="912"/>
      <c r="AF129" s="912"/>
      <c r="AG129" s="912"/>
      <c r="AH129" s="912"/>
      <c r="AI129" s="912"/>
      <c r="AJ129" s="912"/>
    </row>
    <row r="130" spans="1:44">
      <c r="A130" s="2303" t="s">
        <v>3442</v>
      </c>
      <c r="B130" s="2304"/>
      <c r="C130" s="2304"/>
      <c r="D130" s="2304"/>
      <c r="E130" s="2304"/>
      <c r="F130" s="2305"/>
      <c r="G130" s="923"/>
      <c r="H130" s="923"/>
      <c r="I130" s="923"/>
      <c r="J130" s="1432"/>
    </row>
    <row r="131" spans="1:44">
      <c r="A131" s="1429" t="s">
        <v>3443</v>
      </c>
      <c r="B131" s="1425" t="s">
        <v>3885</v>
      </c>
      <c r="C131" s="1431" t="s">
        <v>2677</v>
      </c>
      <c r="D131" s="1431" t="s">
        <v>2677</v>
      </c>
      <c r="E131" s="1409">
        <f>'8.1 - INF_EXT AIR BARRIER'!I45</f>
        <v>0</v>
      </c>
      <c r="F131" s="1409">
        <f>'8.1 - INF_EXT AIR BARRIER'!H45</f>
        <v>0</v>
      </c>
      <c r="G131" s="923"/>
      <c r="H131" s="923"/>
      <c r="I131" s="923"/>
      <c r="J131" s="1428" t="str">
        <f t="shared" si="1"/>
        <v>No</v>
      </c>
    </row>
    <row r="132" spans="1:44">
      <c r="A132" s="1429" t="s">
        <v>3445</v>
      </c>
      <c r="B132" s="1425" t="s">
        <v>3307</v>
      </c>
      <c r="C132" s="1431" t="s">
        <v>2677</v>
      </c>
      <c r="D132" s="1431" t="s">
        <v>2677</v>
      </c>
      <c r="E132" s="1409">
        <f>'8.1 - INF_EXT AIR BARRIER'!I46</f>
        <v>0</v>
      </c>
      <c r="F132" s="1409">
        <f>'8.1 - INF_EXT AIR BARRIER'!H46</f>
        <v>0</v>
      </c>
      <c r="G132" s="923"/>
      <c r="H132" s="923"/>
      <c r="I132" s="923"/>
      <c r="J132" s="1428" t="str">
        <f t="shared" si="1"/>
        <v>No</v>
      </c>
    </row>
    <row r="133" spans="1:44" s="898" customFormat="1">
      <c r="A133" s="2303" t="s">
        <v>3480</v>
      </c>
      <c r="B133" s="2304"/>
      <c r="C133" s="2304"/>
      <c r="D133" s="2304"/>
      <c r="E133" s="2304"/>
      <c r="F133" s="2305"/>
      <c r="G133" s="923"/>
      <c r="H133" s="923"/>
      <c r="I133" s="923"/>
      <c r="J133" s="1432"/>
      <c r="AK133" s="897"/>
      <c r="AL133" s="897"/>
      <c r="AM133" s="897"/>
      <c r="AN133" s="897"/>
      <c r="AO133" s="897"/>
      <c r="AP133" s="897"/>
      <c r="AQ133" s="897"/>
      <c r="AR133" s="897"/>
    </row>
    <row r="134" spans="1:44" s="898" customFormat="1" ht="24">
      <c r="A134" s="1429" t="s">
        <v>3481</v>
      </c>
      <c r="B134" s="1425" t="s">
        <v>3886</v>
      </c>
      <c r="C134" s="1431" t="s">
        <v>2677</v>
      </c>
      <c r="D134" s="1431" t="s">
        <v>2677</v>
      </c>
      <c r="E134" s="1409">
        <f>'8.1-INF_COMPTZN VIS INSPECTION'!J31</f>
        <v>0</v>
      </c>
      <c r="F134" s="1409">
        <f>'8.1-INF_COMPTZN VIS INSPECTION'!I31</f>
        <v>0</v>
      </c>
      <c r="G134" s="923"/>
      <c r="H134" s="923"/>
      <c r="I134" s="923"/>
      <c r="J134" s="1428" t="str">
        <f t="shared" si="1"/>
        <v>No</v>
      </c>
      <c r="AK134" s="897"/>
      <c r="AL134" s="897"/>
      <c r="AM134" s="897"/>
      <c r="AN134" s="897"/>
      <c r="AO134" s="897"/>
      <c r="AP134" s="897"/>
      <c r="AQ134" s="897"/>
      <c r="AR134" s="897"/>
    </row>
    <row r="135" spans="1:44">
      <c r="A135" s="2303" t="s">
        <v>3522</v>
      </c>
      <c r="B135" s="2304"/>
      <c r="C135" s="2304"/>
      <c r="D135" s="2304"/>
      <c r="E135" s="2304"/>
      <c r="F135" s="2305"/>
      <c r="G135" s="923"/>
      <c r="H135" s="923"/>
      <c r="I135" s="923"/>
      <c r="J135" s="1432"/>
    </row>
    <row r="136" spans="1:44">
      <c r="A136" s="1429" t="s">
        <v>3523</v>
      </c>
      <c r="B136" s="1434" t="s">
        <v>3887</v>
      </c>
      <c r="C136" s="1431" t="s">
        <v>2677</v>
      </c>
      <c r="D136" s="1431" t="s">
        <v>2677</v>
      </c>
      <c r="E136" s="1409">
        <f>'8.1 - INF_BLOWER DOOR TEST'!J37</f>
        <v>0</v>
      </c>
      <c r="F136" s="1409">
        <f>'8.1 - INF_BLOWER DOOR TEST'!I37</f>
        <v>0</v>
      </c>
      <c r="G136" s="923"/>
      <c r="H136" s="923"/>
      <c r="I136" s="923"/>
      <c r="J136" s="1428" t="str">
        <f t="shared" si="1"/>
        <v>No</v>
      </c>
    </row>
    <row r="137" spans="1:44">
      <c r="A137" s="1429" t="s">
        <v>3525</v>
      </c>
      <c r="B137" s="1434" t="s">
        <v>3526</v>
      </c>
      <c r="C137" s="1431" t="s">
        <v>2677</v>
      </c>
      <c r="D137" s="1431" t="s">
        <v>2677</v>
      </c>
      <c r="E137" s="1409">
        <f>'8.1 - INF_BLOWER DOOR TEST'!J38</f>
        <v>0</v>
      </c>
      <c r="F137" s="1409">
        <f>'8.1 - INF_BLOWER DOOR TEST'!I38</f>
        <v>0</v>
      </c>
      <c r="G137" s="923"/>
      <c r="H137" s="923"/>
      <c r="I137" s="923"/>
      <c r="J137" s="1428" t="str">
        <f t="shared" si="1"/>
        <v>No</v>
      </c>
    </row>
    <row r="138" spans="1:44" s="913" customFormat="1">
      <c r="A138" s="1418">
        <v>8.5</v>
      </c>
      <c r="B138" s="2306" t="s">
        <v>3184</v>
      </c>
      <c r="C138" s="2307"/>
      <c r="D138" s="2307"/>
      <c r="E138" s="2307"/>
      <c r="F138" s="2308"/>
      <c r="G138" s="911"/>
      <c r="H138" s="911"/>
      <c r="I138" s="911"/>
      <c r="J138" s="1419"/>
      <c r="K138" s="912"/>
      <c r="L138" s="912"/>
      <c r="M138" s="912"/>
      <c r="N138" s="912"/>
      <c r="O138" s="912"/>
      <c r="P138" s="912"/>
      <c r="Q138" s="912"/>
      <c r="R138" s="912"/>
      <c r="S138" s="912"/>
      <c r="T138" s="912"/>
      <c r="U138" s="912"/>
      <c r="V138" s="912"/>
      <c r="W138" s="912"/>
      <c r="X138" s="912"/>
      <c r="Y138" s="912"/>
      <c r="Z138" s="912"/>
      <c r="AA138" s="912"/>
      <c r="AB138" s="912"/>
      <c r="AC138" s="912"/>
      <c r="AD138" s="912"/>
      <c r="AE138" s="912"/>
      <c r="AF138" s="912"/>
      <c r="AG138" s="912"/>
      <c r="AH138" s="912"/>
      <c r="AI138" s="912"/>
      <c r="AJ138" s="912"/>
    </row>
    <row r="139" spans="1:44">
      <c r="A139" s="2303" t="s">
        <v>3527</v>
      </c>
      <c r="B139" s="2304"/>
      <c r="C139" s="2304"/>
      <c r="D139" s="2304"/>
      <c r="E139" s="2304"/>
      <c r="F139" s="2305"/>
      <c r="G139" s="923"/>
      <c r="H139" s="923"/>
      <c r="I139" s="923"/>
      <c r="J139" s="1432"/>
    </row>
    <row r="140" spans="1:44" ht="24">
      <c r="A140" s="1429" t="s">
        <v>3528</v>
      </c>
      <c r="B140" s="1425" t="s">
        <v>3529</v>
      </c>
      <c r="C140" s="1431" t="str">
        <f>'8.2,4.1 - VENT_SCHEDULE&amp;TAB'!I62</f>
        <v xml:space="preserve"> non-apt ventilation fans,  CFM,  hp, 0%</v>
      </c>
      <c r="D140" s="1431" t="str">
        <f>'8.2,4.1 - VENT_SCHEDULE&amp;TAB'!K62</f>
        <v>Baseline:  kW
Proposed:  kW</v>
      </c>
      <c r="E140" s="1409">
        <f>'8.2,4.1 - VENT_SCHEDULE&amp;TAB'!N62</f>
        <v>0</v>
      </c>
      <c r="F140" s="1409">
        <f>'8.2,4.1 - VENT_SCHEDULE&amp;TAB'!L62</f>
        <v>0</v>
      </c>
      <c r="G140" s="923"/>
      <c r="H140" s="923"/>
      <c r="I140" s="923"/>
      <c r="J140" s="1428" t="str">
        <f t="shared" si="1"/>
        <v>No</v>
      </c>
    </row>
    <row r="141" spans="1:44" ht="24">
      <c r="A141" s="1429" t="s">
        <v>3530</v>
      </c>
      <c r="B141" s="1425" t="s">
        <v>3531</v>
      </c>
      <c r="C141" s="1431" t="str">
        <f>'8.2,4.1 - VENT_SCHEDULE&amp;TAB'!I63</f>
        <v xml:space="preserve">  hp fans, 0% ( CFM per fan)</v>
      </c>
      <c r="D141" s="1431" t="str">
        <f>'8.2,4.1 - VENT_SCHEDULE&amp;TAB'!K63</f>
        <v>Baseline:  kW
Proposed:  kW</v>
      </c>
      <c r="E141" s="1409">
        <f>'8.2,4.1 - VENT_SCHEDULE&amp;TAB'!N63</f>
        <v>0</v>
      </c>
      <c r="F141" s="1409">
        <f>'8.2,4.1 - VENT_SCHEDULE&amp;TAB'!L63</f>
        <v>0</v>
      </c>
      <c r="G141" s="923"/>
      <c r="H141" s="923"/>
      <c r="I141" s="923"/>
      <c r="J141" s="1428" t="str">
        <f t="shared" si="1"/>
        <v>No</v>
      </c>
    </row>
    <row r="142" spans="1:44" ht="24">
      <c r="A142" s="1429" t="s">
        <v>3532</v>
      </c>
      <c r="B142" s="1425" t="s">
        <v>3533</v>
      </c>
      <c r="C142" s="1431" t="str">
        <f>'8.2,4.1 - VENT_SCHEDULE&amp;TAB'!I64</f>
        <v xml:space="preserve"> ,  CFM/W</v>
      </c>
      <c r="D142" s="1431" t="str">
        <f>'8.2,4.1 - VENT_SCHEDULE&amp;TAB'!K64</f>
        <v>Baseline:  CFM/W
Proposed:  CFM/W</v>
      </c>
      <c r="E142" s="1409">
        <f>'8.2,4.1 - VENT_SCHEDULE&amp;TAB'!N64</f>
        <v>0</v>
      </c>
      <c r="F142" s="1409">
        <f>'8.2,4.1 - VENT_SCHEDULE&amp;TAB'!L64</f>
        <v>0</v>
      </c>
      <c r="G142" s="923"/>
      <c r="H142" s="923"/>
      <c r="I142" s="923"/>
      <c r="J142" s="1428" t="str">
        <f t="shared" si="1"/>
        <v>No</v>
      </c>
    </row>
    <row r="143" spans="1:44" ht="24">
      <c r="A143" s="1429" t="s">
        <v>3534</v>
      </c>
      <c r="B143" s="1425" t="s">
        <v>3535</v>
      </c>
      <c r="C143" s="1431" t="str">
        <f>'8.2,4.1 - VENT_SCHEDULE&amp;TAB'!I65</f>
        <v>Kitchen:  CFM ()
Bathroom:  CFM ()</v>
      </c>
      <c r="D143" s="1431" t="str">
        <f>'8.2,4.1 - VENT_SCHEDULE&amp;TAB'!K65</f>
        <v>Baseline: 0 CFM
Proposed: 0 CFM</v>
      </c>
      <c r="E143" s="1409">
        <f>'8.2,4.1 - VENT_SCHEDULE&amp;TAB'!N65</f>
        <v>0</v>
      </c>
      <c r="F143" s="1409">
        <f>'8.2,4.1 - VENT_SCHEDULE&amp;TAB'!L65</f>
        <v>0</v>
      </c>
      <c r="G143" s="923"/>
      <c r="H143" s="923"/>
      <c r="I143" s="923"/>
      <c r="J143" s="1428" t="str">
        <f t="shared" si="1"/>
        <v>No</v>
      </c>
    </row>
    <row r="144" spans="1:44" ht="24">
      <c r="A144" s="1429" t="s">
        <v>3536</v>
      </c>
      <c r="B144" s="1425" t="s">
        <v>3537</v>
      </c>
      <c r="C144" s="1431" t="str">
        <f>'8.2,4.1 - VENT_SCHEDULE&amp;TAB'!I67</f>
        <v xml:space="preserve">Demand control ventilation: </v>
      </c>
      <c r="D144" s="1431" t="str">
        <f>'8.2,4.1 - VENT_SCHEDULE&amp;TAB'!K67</f>
        <v>Baseline:  kW,  hr/day
Proposed:  kW,  hr/day</v>
      </c>
      <c r="E144" s="1409">
        <f>'8.2,4.1 - VENT_SCHEDULE&amp;TAB'!N67</f>
        <v>0</v>
      </c>
      <c r="F144" s="1409">
        <f>'8.2,4.1 - VENT_SCHEDULE&amp;TAB'!L67</f>
        <v>0</v>
      </c>
      <c r="G144" s="923"/>
      <c r="H144" s="923"/>
      <c r="I144" s="923"/>
      <c r="J144" s="1428" t="str">
        <f t="shared" ref="J144:J163" si="2">IF(OR(F144="No",F144=0), "No", "Yes")</f>
        <v>No</v>
      </c>
    </row>
    <row r="145" spans="1:44" s="898" customFormat="1" ht="24">
      <c r="A145" s="1429" t="s">
        <v>3538</v>
      </c>
      <c r="B145" s="1425" t="s">
        <v>3539</v>
      </c>
      <c r="C145" s="1431" t="str">
        <f>'8.2,4.1 - VENT_SCHEDULE&amp;TAB'!I68</f>
        <v xml:space="preserve"> CFM</v>
      </c>
      <c r="D145" s="1431" t="str">
        <f>'8.2,4.1 - VENT_SCHEDULE&amp;TAB'!K68</f>
        <v>Baseline:  CFM
Proposed:  CFM</v>
      </c>
      <c r="E145" s="1409">
        <f>'8.2,4.1 - VENT_SCHEDULE&amp;TAB'!N68</f>
        <v>0</v>
      </c>
      <c r="F145" s="1409">
        <f>'8.2,4.1 - VENT_SCHEDULE&amp;TAB'!L68</f>
        <v>0</v>
      </c>
      <c r="G145" s="923"/>
      <c r="H145" s="923"/>
      <c r="I145" s="923"/>
      <c r="J145" s="1428" t="str">
        <f t="shared" si="2"/>
        <v>No</v>
      </c>
      <c r="AK145" s="897"/>
      <c r="AL145" s="897"/>
      <c r="AM145" s="897"/>
      <c r="AN145" s="897"/>
      <c r="AO145" s="897"/>
      <c r="AP145" s="897"/>
      <c r="AQ145" s="897"/>
      <c r="AR145" s="897"/>
    </row>
    <row r="146" spans="1:44" s="898" customFormat="1">
      <c r="A146" s="1429" t="s">
        <v>3540</v>
      </c>
      <c r="B146" s="1425" t="s">
        <v>3541</v>
      </c>
      <c r="C146" s="1431">
        <f>'8.2,4.1 - VENT_SCHEDULE&amp;TAB'!F71</f>
        <v>0</v>
      </c>
      <c r="D146" s="1431">
        <f>'8.2,4.1 - VENT_SCHEDULE&amp;TAB'!G71</f>
        <v>0</v>
      </c>
      <c r="E146" s="1409">
        <f>'8.2,4.1 - VENT_SCHEDULE&amp;TAB'!N70</f>
        <v>0</v>
      </c>
      <c r="F146" s="1409">
        <f>'8.2,4.1 - VENT_SCHEDULE&amp;TAB'!L70</f>
        <v>0</v>
      </c>
      <c r="G146" s="923"/>
      <c r="H146" s="923"/>
      <c r="I146" s="923"/>
      <c r="J146" s="1428" t="str">
        <f t="shared" si="2"/>
        <v>No</v>
      </c>
      <c r="AK146" s="897"/>
      <c r="AL146" s="897"/>
      <c r="AM146" s="897"/>
      <c r="AN146" s="897"/>
      <c r="AO146" s="897"/>
      <c r="AP146" s="897"/>
      <c r="AQ146" s="897"/>
      <c r="AR146" s="897"/>
    </row>
    <row r="147" spans="1:44" s="898" customFormat="1">
      <c r="A147" s="2303" t="s">
        <v>3542</v>
      </c>
      <c r="B147" s="2304"/>
      <c r="C147" s="2304"/>
      <c r="D147" s="2304"/>
      <c r="E147" s="2304"/>
      <c r="F147" s="2305"/>
      <c r="G147" s="923"/>
      <c r="H147" s="923"/>
      <c r="I147" s="923"/>
      <c r="J147" s="1432"/>
      <c r="AK147" s="897"/>
      <c r="AL147" s="897"/>
      <c r="AM147" s="897"/>
      <c r="AN147" s="897"/>
      <c r="AO147" s="897"/>
      <c r="AP147" s="897"/>
      <c r="AQ147" s="897"/>
      <c r="AR147" s="897"/>
    </row>
    <row r="148" spans="1:44" s="898" customFormat="1" ht="24">
      <c r="A148" s="1429" t="s">
        <v>3543</v>
      </c>
      <c r="B148" s="1425" t="s">
        <v>3544</v>
      </c>
      <c r="C148" s="1431" t="str">
        <f>'8.2,4.1 - VENT_SCHEDULE&amp;TAB'!I72</f>
        <v>N/A</v>
      </c>
      <c r="D148" s="1431" t="str">
        <f>'8.2,4.1 - VENT_SCHEDULE&amp;TAB'!K72</f>
        <v>N/A</v>
      </c>
      <c r="E148" s="1409">
        <f>'8.2,4.1 - VENT_SCHEDULE&amp;TAB'!N72</f>
        <v>0</v>
      </c>
      <c r="F148" s="1409">
        <f>'8.2,4.1 - VENT_SCHEDULE&amp;TAB'!L72</f>
        <v>0</v>
      </c>
      <c r="G148" s="923"/>
      <c r="H148" s="923"/>
      <c r="I148" s="923"/>
      <c r="J148" s="1428" t="str">
        <f t="shared" si="2"/>
        <v>No</v>
      </c>
      <c r="AK148" s="897"/>
      <c r="AL148" s="897"/>
      <c r="AM148" s="897"/>
      <c r="AN148" s="897"/>
      <c r="AO148" s="897"/>
      <c r="AP148" s="897"/>
      <c r="AQ148" s="897"/>
      <c r="AR148" s="897"/>
    </row>
    <row r="149" spans="1:44" s="898" customFormat="1" ht="36">
      <c r="A149" s="1429" t="s">
        <v>3545</v>
      </c>
      <c r="B149" s="1425" t="s">
        <v>3546</v>
      </c>
      <c r="C149" s="1431" t="s">
        <v>2677</v>
      </c>
      <c r="D149" s="1431" t="s">
        <v>2677</v>
      </c>
      <c r="E149" s="1409">
        <f>'8.2,4.1 - VENT_SCHEDULE&amp;TAB'!N73</f>
        <v>0</v>
      </c>
      <c r="F149" s="1409">
        <f>'8.2,4.1 - VENT_SCHEDULE&amp;TAB'!L73</f>
        <v>0</v>
      </c>
      <c r="G149" s="923"/>
      <c r="H149" s="923"/>
      <c r="I149" s="923"/>
      <c r="J149" s="1428" t="str">
        <f t="shared" si="2"/>
        <v>No</v>
      </c>
      <c r="AK149" s="897"/>
      <c r="AL149" s="897"/>
      <c r="AM149" s="897"/>
      <c r="AN149" s="897"/>
      <c r="AO149" s="897"/>
      <c r="AP149" s="897"/>
      <c r="AQ149" s="897"/>
      <c r="AR149" s="897"/>
    </row>
    <row r="150" spans="1:44" s="898" customFormat="1">
      <c r="A150" s="2303" t="s">
        <v>3551</v>
      </c>
      <c r="B150" s="2304"/>
      <c r="C150" s="2304"/>
      <c r="D150" s="2304"/>
      <c r="E150" s="2304"/>
      <c r="F150" s="2305"/>
      <c r="G150" s="923"/>
      <c r="H150" s="923"/>
      <c r="I150" s="923"/>
      <c r="J150" s="1432"/>
      <c r="AK150" s="897"/>
      <c r="AL150" s="897"/>
      <c r="AM150" s="897"/>
      <c r="AN150" s="897"/>
      <c r="AO150" s="897"/>
      <c r="AP150" s="897"/>
      <c r="AQ150" s="897"/>
      <c r="AR150" s="897"/>
    </row>
    <row r="151" spans="1:44" s="898" customFormat="1" ht="36">
      <c r="A151" s="1429" t="s">
        <v>3552</v>
      </c>
      <c r="B151" s="1425" t="s">
        <v>3553</v>
      </c>
      <c r="C151" s="1431" t="s">
        <v>2677</v>
      </c>
      <c r="D151" s="1431" t="s">
        <v>2677</v>
      </c>
      <c r="E151" s="1409">
        <f>'8.2,4.1 - VENT_SCHEDULE&amp;TAB'!N77</f>
        <v>0</v>
      </c>
      <c r="F151" s="1409">
        <f>'8.2,4.1 - VENT_SCHEDULE&amp;TAB'!L77</f>
        <v>0</v>
      </c>
      <c r="G151" s="923"/>
      <c r="H151" s="923"/>
      <c r="I151" s="923"/>
      <c r="J151" s="1428" t="str">
        <f t="shared" si="2"/>
        <v>No</v>
      </c>
      <c r="AK151" s="897"/>
      <c r="AL151" s="897"/>
      <c r="AM151" s="897"/>
      <c r="AN151" s="897"/>
      <c r="AO151" s="897"/>
      <c r="AP151" s="897"/>
      <c r="AQ151" s="897"/>
      <c r="AR151" s="897"/>
    </row>
    <row r="152" spans="1:44" s="898" customFormat="1">
      <c r="A152" s="1429" t="s">
        <v>3556</v>
      </c>
      <c r="B152" s="1425" t="s">
        <v>3557</v>
      </c>
      <c r="C152" s="1431" t="s">
        <v>2677</v>
      </c>
      <c r="D152" s="1431" t="s">
        <v>2677</v>
      </c>
      <c r="E152" s="1409">
        <f>'8.2,4.1 - VENT_SCHEDULE&amp;TAB'!N79</f>
        <v>0</v>
      </c>
      <c r="F152" s="1409">
        <f>'8.2,4.1 - VENT_SCHEDULE&amp;TAB'!L79</f>
        <v>0</v>
      </c>
      <c r="G152" s="923"/>
      <c r="H152" s="923"/>
      <c r="I152" s="923"/>
      <c r="J152" s="1428" t="str">
        <f t="shared" si="2"/>
        <v>No</v>
      </c>
      <c r="AK152" s="897"/>
      <c r="AL152" s="897"/>
      <c r="AM152" s="897"/>
      <c r="AN152" s="897"/>
      <c r="AO152" s="897"/>
      <c r="AP152" s="897"/>
      <c r="AQ152" s="897"/>
      <c r="AR152" s="897"/>
    </row>
    <row r="153" spans="1:44" s="898" customFormat="1" ht="24">
      <c r="A153" s="1429" t="s">
        <v>3558</v>
      </c>
      <c r="B153" s="1425" t="s">
        <v>3559</v>
      </c>
      <c r="C153" s="1431" t="s">
        <v>2677</v>
      </c>
      <c r="D153" s="1431" t="s">
        <v>2677</v>
      </c>
      <c r="E153" s="1409">
        <f>'8.2,4.1 - VENT_SCHEDULE&amp;TAB'!N80</f>
        <v>0</v>
      </c>
      <c r="F153" s="1409">
        <f>'8.2,4.1 - VENT_SCHEDULE&amp;TAB'!L80</f>
        <v>0</v>
      </c>
      <c r="G153" s="923"/>
      <c r="H153" s="923"/>
      <c r="I153" s="923"/>
      <c r="J153" s="1428" t="str">
        <f t="shared" si="2"/>
        <v>No</v>
      </c>
      <c r="AK153" s="897"/>
      <c r="AL153" s="897"/>
      <c r="AM153" s="897"/>
      <c r="AN153" s="897"/>
      <c r="AO153" s="897"/>
      <c r="AP153" s="897"/>
      <c r="AQ153" s="897"/>
      <c r="AR153" s="897"/>
    </row>
    <row r="154" spans="1:44" s="898" customFormat="1" ht="24">
      <c r="A154" s="1429" t="s">
        <v>3562</v>
      </c>
      <c r="B154" s="1425" t="s">
        <v>3563</v>
      </c>
      <c r="C154" s="1431" t="s">
        <v>2677</v>
      </c>
      <c r="D154" s="1431" t="s">
        <v>2677</v>
      </c>
      <c r="E154" s="1409">
        <f>'8.2,4.1 - VENT_SCHEDULE&amp;TAB'!N82</f>
        <v>0</v>
      </c>
      <c r="F154" s="1409">
        <f>'8.2,4.1 - VENT_SCHEDULE&amp;TAB'!L82</f>
        <v>0</v>
      </c>
      <c r="G154" s="923"/>
      <c r="H154" s="923"/>
      <c r="I154" s="923"/>
      <c r="J154" s="1428" t="str">
        <f t="shared" si="2"/>
        <v>No</v>
      </c>
      <c r="AK154" s="897"/>
      <c r="AL154" s="897"/>
      <c r="AM154" s="897"/>
      <c r="AN154" s="897"/>
      <c r="AO154" s="897"/>
      <c r="AP154" s="897"/>
      <c r="AQ154" s="897"/>
      <c r="AR154" s="897"/>
    </row>
    <row r="155" spans="1:44" s="898" customFormat="1" ht="24">
      <c r="A155" s="1429" t="s">
        <v>3564</v>
      </c>
      <c r="B155" s="1425" t="s">
        <v>3888</v>
      </c>
      <c r="C155" s="1431" t="s">
        <v>2677</v>
      </c>
      <c r="D155" s="1431" t="s">
        <v>2677</v>
      </c>
      <c r="E155" s="1409">
        <f>'8.2,4.1 - VENT_SCHEDULE&amp;TAB'!N83</f>
        <v>0</v>
      </c>
      <c r="F155" s="1409">
        <f>'8.2,4.1 - VENT_SCHEDULE&amp;TAB'!L83</f>
        <v>0</v>
      </c>
      <c r="G155" s="923"/>
      <c r="H155" s="923"/>
      <c r="I155" s="923"/>
      <c r="J155" s="1428" t="str">
        <f t="shared" si="2"/>
        <v>No</v>
      </c>
      <c r="AK155" s="897"/>
      <c r="AL155" s="897"/>
      <c r="AM155" s="897"/>
      <c r="AN155" s="897"/>
      <c r="AO155" s="897"/>
      <c r="AP155" s="897"/>
      <c r="AQ155" s="897"/>
      <c r="AR155" s="897"/>
    </row>
    <row r="156" spans="1:44" s="898" customFormat="1">
      <c r="A156" s="1429" t="s">
        <v>3566</v>
      </c>
      <c r="B156" s="1425" t="s">
        <v>3567</v>
      </c>
      <c r="C156" s="1431" t="s">
        <v>2677</v>
      </c>
      <c r="D156" s="1431" t="s">
        <v>2677</v>
      </c>
      <c r="E156" s="1409">
        <f>'8.2,4.1 - VENT_SCHEDULE&amp;TAB'!N84</f>
        <v>0</v>
      </c>
      <c r="F156" s="1409">
        <f>'8.2,4.1 - VENT_SCHEDULE&amp;TAB'!L84</f>
        <v>0</v>
      </c>
      <c r="G156" s="923"/>
      <c r="H156" s="923"/>
      <c r="I156" s="923"/>
      <c r="J156" s="1435" t="str">
        <f t="shared" si="2"/>
        <v>No</v>
      </c>
      <c r="AK156" s="897"/>
      <c r="AL156" s="897"/>
      <c r="AM156" s="897"/>
      <c r="AN156" s="897"/>
      <c r="AO156" s="897"/>
      <c r="AP156" s="897"/>
      <c r="AQ156" s="897"/>
      <c r="AR156" s="897"/>
    </row>
    <row r="157" spans="1:44">
      <c r="A157" s="2303" t="s">
        <v>3568</v>
      </c>
      <c r="B157" s="2304"/>
      <c r="C157" s="2304"/>
      <c r="D157" s="2304"/>
      <c r="E157" s="2304"/>
      <c r="F157" s="2305"/>
      <c r="G157" s="923"/>
      <c r="H157" s="923"/>
      <c r="I157" s="923"/>
      <c r="J157" s="1432"/>
    </row>
    <row r="158" spans="1:44" ht="24">
      <c r="A158" s="1429" t="s">
        <v>3569</v>
      </c>
      <c r="B158" s="1425" t="s">
        <v>3889</v>
      </c>
      <c r="C158" s="1431" t="str">
        <f>'8.2 - VENT_DUCT TIGHTNESS'!G42</f>
        <v xml:space="preserve"> CFM</v>
      </c>
      <c r="D158" s="1431" t="str">
        <f>'8.2 - VENT_DUCT TIGHTNESS'!H42</f>
        <v>Baseline:  CFM
Proposed:  CFM</v>
      </c>
      <c r="E158" s="1409">
        <f>'8.2 - VENT_DUCT TIGHTNESS'!J42</f>
        <v>0</v>
      </c>
      <c r="F158" s="1409">
        <f>'8.2 - VENT_DUCT TIGHTNESS'!I42</f>
        <v>0</v>
      </c>
      <c r="G158" s="923"/>
      <c r="H158" s="923"/>
      <c r="I158" s="923"/>
      <c r="J158" s="1424" t="str">
        <f t="shared" si="2"/>
        <v>No</v>
      </c>
    </row>
    <row r="159" spans="1:44" ht="24">
      <c r="A159" s="1429" t="s">
        <v>3571</v>
      </c>
      <c r="B159" s="1425" t="s">
        <v>3890</v>
      </c>
      <c r="C159" s="1431" t="s">
        <v>2677</v>
      </c>
      <c r="D159" s="1431" t="s">
        <v>2677</v>
      </c>
      <c r="E159" s="1409">
        <f>'8.2 - VENT_DUCT TIGHTNESS'!J44</f>
        <v>0</v>
      </c>
      <c r="F159" s="1409">
        <f>'8.2 - VENT_DUCT TIGHTNESS'!I44</f>
        <v>0</v>
      </c>
      <c r="G159" s="923"/>
      <c r="H159" s="923"/>
      <c r="I159" s="923"/>
      <c r="J159" s="1428" t="str">
        <f t="shared" si="2"/>
        <v>No</v>
      </c>
    </row>
    <row r="160" spans="1:44" s="913" customFormat="1">
      <c r="A160" s="1418">
        <v>9</v>
      </c>
      <c r="B160" s="2306" t="s">
        <v>3585</v>
      </c>
      <c r="C160" s="2307"/>
      <c r="D160" s="2307"/>
      <c r="E160" s="2307"/>
      <c r="F160" s="2308"/>
      <c r="G160" s="911"/>
      <c r="H160" s="911"/>
      <c r="I160" s="911"/>
      <c r="J160" s="1419"/>
      <c r="K160" s="912"/>
      <c r="L160" s="912"/>
      <c r="M160" s="912"/>
      <c r="N160" s="912"/>
      <c r="O160" s="912"/>
      <c r="P160" s="912"/>
      <c r="Q160" s="912"/>
      <c r="R160" s="912"/>
      <c r="S160" s="912"/>
      <c r="T160" s="912"/>
      <c r="U160" s="912"/>
      <c r="V160" s="912"/>
      <c r="W160" s="912"/>
      <c r="X160" s="912"/>
      <c r="Y160" s="912"/>
      <c r="Z160" s="912"/>
      <c r="AA160" s="912"/>
      <c r="AB160" s="912"/>
      <c r="AC160" s="912"/>
      <c r="AD160" s="912"/>
      <c r="AE160" s="912"/>
      <c r="AF160" s="912"/>
      <c r="AG160" s="912"/>
      <c r="AH160" s="912"/>
      <c r="AI160" s="912"/>
      <c r="AJ160" s="912"/>
    </row>
    <row r="161" spans="1:44">
      <c r="A161" s="1429" t="s">
        <v>3588</v>
      </c>
      <c r="B161" s="1433" t="s">
        <v>3589</v>
      </c>
      <c r="C161" s="1426" t="s">
        <v>2677</v>
      </c>
      <c r="D161" s="1426" t="s">
        <v>2677</v>
      </c>
      <c r="E161" s="1427">
        <f>'10.1 - METERS'!J31</f>
        <v>0</v>
      </c>
      <c r="F161" s="1427">
        <f>'10.1 - METERS'!I31</f>
        <v>0</v>
      </c>
      <c r="G161" s="923"/>
      <c r="H161" s="923"/>
      <c r="I161" s="923"/>
      <c r="J161" s="1428" t="str">
        <f t="shared" si="2"/>
        <v>No</v>
      </c>
    </row>
    <row r="162" spans="1:44">
      <c r="A162" s="1429" t="s">
        <v>3592</v>
      </c>
      <c r="B162" s="1436" t="s">
        <v>3593</v>
      </c>
      <c r="C162" s="1426" t="s">
        <v>2677</v>
      </c>
      <c r="D162" s="1426" t="s">
        <v>2677</v>
      </c>
      <c r="E162" s="1427">
        <f>'10.1 - METERS'!J34</f>
        <v>0</v>
      </c>
      <c r="F162" s="1427">
        <f>'10.1 - METERS'!I34</f>
        <v>0</v>
      </c>
      <c r="G162" s="923"/>
      <c r="H162" s="923"/>
      <c r="I162" s="923"/>
      <c r="J162" s="1428" t="str">
        <f t="shared" si="2"/>
        <v>No</v>
      </c>
    </row>
    <row r="163" spans="1:44" ht="24">
      <c r="A163" s="1429" t="s">
        <v>3594</v>
      </c>
      <c r="B163" s="1436" t="s">
        <v>3215</v>
      </c>
      <c r="C163" s="1426" t="s">
        <v>2677</v>
      </c>
      <c r="D163" s="1426" t="s">
        <v>2677</v>
      </c>
      <c r="E163" s="1427">
        <f>'10.1 - METERS'!J35</f>
        <v>0</v>
      </c>
      <c r="F163" s="1427">
        <f>'10.1 - METERS'!I35</f>
        <v>0</v>
      </c>
      <c r="G163" s="923"/>
      <c r="H163" s="923"/>
      <c r="I163" s="923"/>
      <c r="J163" s="1428" t="str">
        <f t="shared" si="2"/>
        <v>No</v>
      </c>
    </row>
    <row r="164" spans="1:44" s="898" customFormat="1">
      <c r="A164" s="929"/>
      <c r="B164" s="899"/>
      <c r="C164" s="900"/>
      <c r="D164" s="894"/>
      <c r="E164" s="895"/>
      <c r="F164" s="896"/>
      <c r="G164" s="897"/>
      <c r="H164" s="897"/>
      <c r="I164" s="923"/>
      <c r="J164" s="923"/>
      <c r="AK164" s="897"/>
      <c r="AL164" s="897"/>
      <c r="AM164" s="897"/>
      <c r="AN164" s="897"/>
      <c r="AO164" s="897"/>
      <c r="AP164" s="897"/>
      <c r="AQ164" s="897"/>
      <c r="AR164" s="897"/>
    </row>
    <row r="165" spans="1:44" s="898" customFormat="1">
      <c r="A165" s="929"/>
      <c r="B165" s="899"/>
      <c r="C165" s="900"/>
      <c r="D165" s="894"/>
      <c r="E165" s="895"/>
      <c r="F165" s="896"/>
      <c r="G165" s="897"/>
      <c r="H165" s="897"/>
      <c r="I165" s="923"/>
      <c r="J165" s="923"/>
      <c r="AK165" s="897"/>
      <c r="AL165" s="897"/>
      <c r="AM165" s="897"/>
      <c r="AN165" s="897"/>
      <c r="AO165" s="897"/>
      <c r="AP165" s="897"/>
      <c r="AQ165" s="897"/>
      <c r="AR165" s="897"/>
    </row>
    <row r="166" spans="1:44" s="898" customFormat="1">
      <c r="A166" s="929"/>
      <c r="B166" s="899"/>
      <c r="C166" s="900"/>
      <c r="D166" s="894"/>
      <c r="E166" s="895"/>
      <c r="F166" s="896"/>
      <c r="G166" s="897"/>
      <c r="H166" s="897"/>
      <c r="I166" s="923"/>
      <c r="J166" s="923"/>
      <c r="AK166" s="897"/>
      <c r="AL166" s="897"/>
      <c r="AM166" s="897"/>
      <c r="AN166" s="897"/>
      <c r="AO166" s="897"/>
      <c r="AP166" s="897"/>
      <c r="AQ166" s="897"/>
      <c r="AR166" s="897"/>
    </row>
    <row r="167" spans="1:44" s="898" customFormat="1">
      <c r="A167" s="929"/>
      <c r="B167" s="899"/>
      <c r="C167" s="900"/>
      <c r="D167" s="894"/>
      <c r="E167" s="895"/>
      <c r="F167" s="896"/>
      <c r="G167" s="897"/>
      <c r="H167" s="897"/>
      <c r="I167" s="923"/>
      <c r="J167" s="923"/>
      <c r="AK167" s="897"/>
      <c r="AL167" s="897"/>
      <c r="AM167" s="897"/>
      <c r="AN167" s="897"/>
      <c r="AO167" s="897"/>
      <c r="AP167" s="897"/>
      <c r="AQ167" s="897"/>
      <c r="AR167" s="897"/>
    </row>
    <row r="168" spans="1:44" s="898" customFormat="1">
      <c r="A168" s="929"/>
      <c r="B168" s="899"/>
      <c r="C168" s="900"/>
      <c r="D168" s="894"/>
      <c r="E168" s="895"/>
      <c r="F168" s="896"/>
      <c r="G168" s="897"/>
      <c r="H168" s="897"/>
      <c r="I168" s="923"/>
      <c r="J168" s="923"/>
      <c r="AK168" s="897"/>
      <c r="AL168" s="897"/>
      <c r="AM168" s="897"/>
      <c r="AN168" s="897"/>
      <c r="AO168" s="897"/>
      <c r="AP168" s="897"/>
      <c r="AQ168" s="897"/>
      <c r="AR168" s="897"/>
    </row>
    <row r="169" spans="1:44" s="898" customFormat="1">
      <c r="A169" s="929"/>
      <c r="B169" s="899"/>
      <c r="C169" s="900"/>
      <c r="D169" s="894"/>
      <c r="E169" s="895"/>
      <c r="F169" s="896"/>
      <c r="G169" s="897"/>
      <c r="H169" s="897"/>
      <c r="I169" s="923"/>
      <c r="J169" s="923"/>
      <c r="AK169" s="897"/>
      <c r="AL169" s="897"/>
      <c r="AM169" s="897"/>
      <c r="AN169" s="897"/>
      <c r="AO169" s="897"/>
      <c r="AP169" s="897"/>
      <c r="AQ169" s="897"/>
      <c r="AR169" s="897"/>
    </row>
    <row r="170" spans="1:44" s="898" customFormat="1">
      <c r="A170" s="929"/>
      <c r="B170" s="899"/>
      <c r="C170" s="900"/>
      <c r="D170" s="894"/>
      <c r="E170" s="895"/>
      <c r="F170" s="896"/>
      <c r="G170" s="897"/>
      <c r="H170" s="897"/>
      <c r="I170" s="923"/>
      <c r="J170" s="923"/>
      <c r="AK170" s="897"/>
      <c r="AL170" s="897"/>
      <c r="AM170" s="897"/>
      <c r="AN170" s="897"/>
      <c r="AO170" s="897"/>
      <c r="AP170" s="897"/>
      <c r="AQ170" s="897"/>
      <c r="AR170" s="897"/>
    </row>
    <row r="171" spans="1:44" s="898" customFormat="1">
      <c r="A171" s="929"/>
      <c r="B171" s="899"/>
      <c r="C171" s="900"/>
      <c r="D171" s="894"/>
      <c r="E171" s="895"/>
      <c r="F171" s="896"/>
      <c r="G171" s="897"/>
      <c r="H171" s="897"/>
      <c r="I171" s="923"/>
      <c r="J171" s="923"/>
      <c r="AK171" s="897"/>
      <c r="AL171" s="897"/>
      <c r="AM171" s="897"/>
      <c r="AN171" s="897"/>
      <c r="AO171" s="897"/>
      <c r="AP171" s="897"/>
      <c r="AQ171" s="897"/>
      <c r="AR171" s="897"/>
    </row>
    <row r="172" spans="1:44" s="898" customFormat="1">
      <c r="A172" s="929"/>
      <c r="B172" s="899"/>
      <c r="C172" s="900"/>
      <c r="D172" s="894"/>
      <c r="E172" s="895"/>
      <c r="F172" s="896"/>
      <c r="G172" s="897"/>
      <c r="H172" s="897"/>
      <c r="I172" s="923"/>
      <c r="J172" s="923"/>
      <c r="AK172" s="897"/>
      <c r="AL172" s="897"/>
      <c r="AM172" s="897"/>
      <c r="AN172" s="897"/>
      <c r="AO172" s="897"/>
      <c r="AP172" s="897"/>
      <c r="AQ172" s="897"/>
      <c r="AR172" s="897"/>
    </row>
    <row r="173" spans="1:44" s="898" customFormat="1">
      <c r="A173" s="929"/>
      <c r="B173" s="899"/>
      <c r="C173" s="900"/>
      <c r="D173" s="894"/>
      <c r="E173" s="895"/>
      <c r="F173" s="896"/>
      <c r="G173" s="897"/>
      <c r="H173" s="897"/>
      <c r="I173" s="923"/>
      <c r="J173" s="923"/>
      <c r="AK173" s="897"/>
      <c r="AL173" s="897"/>
      <c r="AM173" s="897"/>
      <c r="AN173" s="897"/>
      <c r="AO173" s="897"/>
      <c r="AP173" s="897"/>
      <c r="AQ173" s="897"/>
      <c r="AR173" s="897"/>
    </row>
    <row r="174" spans="1:44" s="898" customFormat="1">
      <c r="A174" s="892"/>
      <c r="B174" s="899"/>
      <c r="C174" s="900"/>
      <c r="D174" s="894"/>
      <c r="E174" s="895"/>
      <c r="F174" s="896"/>
      <c r="G174" s="897"/>
      <c r="H174" s="897"/>
      <c r="I174" s="923"/>
      <c r="J174" s="923"/>
      <c r="AK174" s="897"/>
      <c r="AL174" s="897"/>
      <c r="AM174" s="897"/>
      <c r="AN174" s="897"/>
      <c r="AO174" s="897"/>
      <c r="AP174" s="897"/>
      <c r="AQ174" s="897"/>
      <c r="AR174" s="897"/>
    </row>
    <row r="175" spans="1:44" s="898" customFormat="1">
      <c r="A175" s="892"/>
      <c r="B175" s="899"/>
      <c r="C175" s="900"/>
      <c r="D175" s="894"/>
      <c r="E175" s="895"/>
      <c r="F175" s="896"/>
      <c r="G175" s="897"/>
      <c r="H175" s="897"/>
      <c r="I175" s="923"/>
      <c r="J175" s="923"/>
      <c r="AK175" s="897"/>
      <c r="AL175" s="897"/>
      <c r="AM175" s="897"/>
      <c r="AN175" s="897"/>
      <c r="AO175" s="897"/>
      <c r="AP175" s="897"/>
      <c r="AQ175" s="897"/>
      <c r="AR175" s="897"/>
    </row>
    <row r="176" spans="1:44" s="898" customFormat="1">
      <c r="A176" s="892"/>
      <c r="B176" s="899"/>
      <c r="C176" s="900"/>
      <c r="D176" s="894"/>
      <c r="E176" s="895"/>
      <c r="F176" s="896"/>
      <c r="G176" s="897"/>
      <c r="H176" s="897"/>
      <c r="I176" s="923"/>
      <c r="J176" s="923"/>
      <c r="AK176" s="897"/>
      <c r="AL176" s="897"/>
      <c r="AM176" s="897"/>
      <c r="AN176" s="897"/>
      <c r="AO176" s="897"/>
      <c r="AP176" s="897"/>
      <c r="AQ176" s="897"/>
      <c r="AR176" s="897"/>
    </row>
    <row r="177" spans="1:44" s="898" customFormat="1">
      <c r="A177" s="892"/>
      <c r="B177" s="1437"/>
      <c r="C177" s="900"/>
      <c r="D177" s="894"/>
      <c r="E177" s="895"/>
      <c r="F177" s="896"/>
      <c r="G177" s="897"/>
      <c r="H177" s="897"/>
      <c r="AK177" s="897"/>
      <c r="AL177" s="897"/>
      <c r="AM177" s="897"/>
      <c r="AN177" s="897"/>
      <c r="AO177" s="897"/>
      <c r="AP177" s="897"/>
      <c r="AQ177" s="897"/>
      <c r="AR177" s="897"/>
    </row>
    <row r="178" spans="1:44" s="898" customFormat="1">
      <c r="A178" s="892"/>
      <c r="B178" s="899"/>
      <c r="C178" s="900"/>
      <c r="D178" s="894"/>
      <c r="E178" s="895"/>
      <c r="F178" s="896"/>
      <c r="G178" s="897"/>
      <c r="H178" s="897"/>
      <c r="AK178" s="897"/>
      <c r="AL178" s="897"/>
      <c r="AM178" s="897"/>
      <c r="AN178" s="897"/>
      <c r="AO178" s="897"/>
      <c r="AP178" s="897"/>
      <c r="AQ178" s="897"/>
      <c r="AR178" s="897"/>
    </row>
    <row r="179" spans="1:44" s="898" customFormat="1">
      <c r="A179" s="892"/>
      <c r="B179" s="899"/>
      <c r="C179" s="900"/>
      <c r="D179" s="894"/>
      <c r="E179" s="895"/>
      <c r="F179" s="896"/>
      <c r="G179" s="897"/>
      <c r="H179" s="897"/>
      <c r="AK179" s="897"/>
      <c r="AL179" s="897"/>
      <c r="AM179" s="897"/>
      <c r="AN179" s="897"/>
      <c r="AO179" s="897"/>
      <c r="AP179" s="897"/>
      <c r="AQ179" s="897"/>
      <c r="AR179" s="897"/>
    </row>
    <row r="180" spans="1:44">
      <c r="B180" s="899"/>
      <c r="C180" s="900"/>
      <c r="D180" s="894"/>
      <c r="E180" s="895"/>
      <c r="F180" s="896"/>
      <c r="G180" s="897"/>
      <c r="H180" s="897"/>
    </row>
    <row r="181" spans="1:44">
      <c r="B181" s="899"/>
      <c r="C181" s="900"/>
      <c r="D181" s="894"/>
      <c r="E181" s="895"/>
      <c r="F181" s="896"/>
      <c r="G181" s="897"/>
      <c r="H181" s="897"/>
    </row>
    <row r="182" spans="1:44" s="930" customFormat="1">
      <c r="A182" s="892"/>
      <c r="B182" s="899"/>
      <c r="C182" s="900"/>
      <c r="D182" s="894"/>
      <c r="E182" s="895"/>
      <c r="F182" s="896"/>
      <c r="G182" s="897"/>
      <c r="H182" s="897"/>
      <c r="I182" s="898"/>
      <c r="J182" s="898"/>
      <c r="K182" s="898"/>
      <c r="L182" s="898"/>
      <c r="M182" s="898"/>
      <c r="N182" s="898"/>
      <c r="O182" s="898"/>
      <c r="P182" s="898"/>
      <c r="Q182" s="898"/>
      <c r="R182" s="898"/>
      <c r="S182" s="898"/>
      <c r="T182" s="898"/>
      <c r="U182" s="898"/>
      <c r="V182" s="898"/>
      <c r="W182" s="898"/>
      <c r="X182" s="898"/>
      <c r="Y182" s="898"/>
      <c r="Z182" s="898"/>
      <c r="AA182" s="898"/>
      <c r="AB182" s="898"/>
      <c r="AC182" s="898"/>
      <c r="AD182" s="898"/>
      <c r="AE182" s="898"/>
      <c r="AF182" s="898"/>
      <c r="AG182" s="898"/>
      <c r="AH182" s="898"/>
      <c r="AI182" s="898"/>
      <c r="AJ182" s="898"/>
      <c r="AK182" s="897"/>
      <c r="AL182" s="897"/>
      <c r="AM182" s="897"/>
      <c r="AN182" s="897"/>
      <c r="AO182" s="897"/>
      <c r="AP182" s="897"/>
      <c r="AQ182" s="897"/>
      <c r="AR182" s="897"/>
    </row>
    <row r="183" spans="1:44" s="930" customFormat="1">
      <c r="A183" s="892"/>
      <c r="B183" s="899"/>
      <c r="C183" s="900"/>
      <c r="D183" s="894"/>
      <c r="E183" s="895"/>
      <c r="F183" s="896"/>
      <c r="G183" s="897"/>
      <c r="H183" s="897"/>
      <c r="I183" s="898"/>
      <c r="J183" s="898"/>
      <c r="K183" s="898"/>
      <c r="L183" s="898"/>
      <c r="M183" s="898"/>
      <c r="N183" s="898"/>
      <c r="O183" s="898"/>
      <c r="P183" s="898"/>
      <c r="Q183" s="898"/>
      <c r="R183" s="898"/>
      <c r="S183" s="898"/>
      <c r="T183" s="898"/>
      <c r="U183" s="898"/>
      <c r="V183" s="898"/>
      <c r="W183" s="898"/>
      <c r="X183" s="898"/>
      <c r="Y183" s="898"/>
      <c r="Z183" s="898"/>
      <c r="AA183" s="898"/>
      <c r="AB183" s="898"/>
      <c r="AC183" s="898"/>
      <c r="AD183" s="898"/>
      <c r="AE183" s="898"/>
      <c r="AF183" s="898"/>
      <c r="AG183" s="898"/>
      <c r="AH183" s="898"/>
      <c r="AI183" s="898"/>
      <c r="AJ183" s="898"/>
      <c r="AK183" s="897"/>
      <c r="AL183" s="897"/>
      <c r="AM183" s="897"/>
      <c r="AN183" s="897"/>
      <c r="AO183" s="897"/>
      <c r="AP183" s="897"/>
      <c r="AQ183" s="897"/>
      <c r="AR183" s="897"/>
    </row>
    <row r="184" spans="1:44" s="930" customFormat="1">
      <c r="A184" s="892"/>
      <c r="B184" s="899"/>
      <c r="C184" s="900"/>
      <c r="D184" s="894"/>
      <c r="E184" s="895"/>
      <c r="F184" s="896"/>
      <c r="G184" s="897"/>
      <c r="H184" s="897"/>
      <c r="I184" s="898"/>
      <c r="J184" s="898"/>
      <c r="K184" s="898"/>
      <c r="L184" s="898"/>
      <c r="M184" s="898"/>
      <c r="N184" s="898"/>
      <c r="O184" s="898"/>
      <c r="P184" s="898"/>
      <c r="Q184" s="898"/>
      <c r="R184" s="898"/>
      <c r="S184" s="898"/>
      <c r="T184" s="898"/>
      <c r="U184" s="898"/>
      <c r="V184" s="898"/>
      <c r="W184" s="898"/>
      <c r="X184" s="898"/>
      <c r="Y184" s="898"/>
      <c r="Z184" s="898"/>
      <c r="AA184" s="898"/>
      <c r="AB184" s="898"/>
      <c r="AC184" s="898"/>
      <c r="AD184" s="898"/>
      <c r="AE184" s="898"/>
      <c r="AF184" s="898"/>
      <c r="AG184" s="898"/>
      <c r="AH184" s="898"/>
      <c r="AI184" s="898"/>
      <c r="AJ184" s="898"/>
      <c r="AK184" s="897"/>
      <c r="AL184" s="897"/>
      <c r="AM184" s="897"/>
      <c r="AN184" s="897"/>
      <c r="AO184" s="897"/>
      <c r="AP184" s="897"/>
      <c r="AQ184" s="897"/>
      <c r="AR184" s="897"/>
    </row>
    <row r="185" spans="1:44" s="930" customFormat="1">
      <c r="A185" s="892"/>
      <c r="B185" s="899"/>
      <c r="C185" s="900"/>
      <c r="D185" s="894"/>
      <c r="E185" s="895"/>
      <c r="F185" s="896"/>
      <c r="G185" s="897"/>
      <c r="H185" s="897"/>
      <c r="I185" s="898"/>
      <c r="J185" s="898"/>
      <c r="K185" s="898"/>
      <c r="L185" s="898"/>
      <c r="M185" s="898"/>
      <c r="N185" s="898"/>
      <c r="O185" s="898"/>
      <c r="P185" s="898"/>
      <c r="Q185" s="898"/>
      <c r="R185" s="898"/>
      <c r="S185" s="898"/>
      <c r="T185" s="898"/>
      <c r="U185" s="898"/>
      <c r="V185" s="898"/>
      <c r="W185" s="898"/>
      <c r="X185" s="898"/>
      <c r="Y185" s="898"/>
      <c r="Z185" s="898"/>
      <c r="AA185" s="898"/>
      <c r="AB185" s="898"/>
      <c r="AC185" s="898"/>
      <c r="AD185" s="898"/>
      <c r="AE185" s="898"/>
      <c r="AF185" s="898"/>
      <c r="AG185" s="898"/>
      <c r="AH185" s="898"/>
      <c r="AI185" s="898"/>
      <c r="AJ185" s="898"/>
      <c r="AK185" s="897"/>
      <c r="AL185" s="897"/>
      <c r="AM185" s="897"/>
      <c r="AN185" s="897"/>
      <c r="AO185" s="897"/>
      <c r="AP185" s="897"/>
      <c r="AQ185" s="897"/>
      <c r="AR185" s="897"/>
    </row>
    <row r="186" spans="1:44" s="930" customFormat="1">
      <c r="A186" s="892"/>
      <c r="B186" s="899"/>
      <c r="C186" s="900"/>
      <c r="D186" s="894"/>
      <c r="E186" s="895"/>
      <c r="F186" s="896"/>
      <c r="G186" s="897"/>
      <c r="H186" s="897"/>
      <c r="I186" s="898"/>
      <c r="J186" s="898"/>
      <c r="K186" s="898"/>
      <c r="L186" s="898"/>
      <c r="M186" s="898"/>
      <c r="N186" s="898"/>
      <c r="O186" s="898"/>
      <c r="P186" s="898"/>
      <c r="Q186" s="898"/>
      <c r="R186" s="898"/>
      <c r="S186" s="898"/>
      <c r="T186" s="898"/>
      <c r="U186" s="898"/>
      <c r="V186" s="898"/>
      <c r="W186" s="898"/>
      <c r="X186" s="898"/>
      <c r="Y186" s="898"/>
      <c r="Z186" s="898"/>
      <c r="AA186" s="898"/>
      <c r="AB186" s="898"/>
      <c r="AC186" s="898"/>
      <c r="AD186" s="898"/>
      <c r="AE186" s="898"/>
      <c r="AF186" s="898"/>
      <c r="AG186" s="898"/>
      <c r="AH186" s="898"/>
      <c r="AI186" s="898"/>
      <c r="AJ186" s="898"/>
      <c r="AK186" s="897"/>
      <c r="AL186" s="897"/>
      <c r="AM186" s="897"/>
      <c r="AN186" s="897"/>
      <c r="AO186" s="897"/>
      <c r="AP186" s="897"/>
      <c r="AQ186" s="897"/>
      <c r="AR186" s="897"/>
    </row>
    <row r="187" spans="1:44" s="930" customFormat="1">
      <c r="A187" s="892"/>
      <c r="B187" s="899"/>
      <c r="C187" s="900"/>
      <c r="D187" s="894"/>
      <c r="E187" s="895"/>
      <c r="F187" s="896"/>
      <c r="G187" s="897"/>
      <c r="H187" s="897"/>
      <c r="I187" s="898"/>
      <c r="J187" s="898"/>
      <c r="K187" s="898"/>
      <c r="L187" s="898"/>
      <c r="M187" s="898"/>
      <c r="N187" s="898"/>
      <c r="O187" s="898"/>
      <c r="P187" s="898"/>
      <c r="Q187" s="898"/>
      <c r="R187" s="898"/>
      <c r="S187" s="898"/>
      <c r="T187" s="898"/>
      <c r="U187" s="898"/>
      <c r="V187" s="898"/>
      <c r="W187" s="898"/>
      <c r="X187" s="898"/>
      <c r="Y187" s="898"/>
      <c r="Z187" s="898"/>
      <c r="AA187" s="898"/>
      <c r="AB187" s="898"/>
      <c r="AC187" s="898"/>
      <c r="AD187" s="898"/>
      <c r="AE187" s="898"/>
      <c r="AF187" s="898"/>
      <c r="AG187" s="898"/>
      <c r="AH187" s="898"/>
      <c r="AI187" s="898"/>
      <c r="AJ187" s="898"/>
      <c r="AK187" s="897"/>
      <c r="AL187" s="897"/>
      <c r="AM187" s="897"/>
      <c r="AN187" s="897"/>
      <c r="AO187" s="897"/>
      <c r="AP187" s="897"/>
      <c r="AQ187" s="897"/>
      <c r="AR187" s="897"/>
    </row>
    <row r="188" spans="1:44" s="930" customFormat="1">
      <c r="A188" s="892"/>
      <c r="B188" s="899"/>
      <c r="C188" s="900"/>
      <c r="D188" s="894"/>
      <c r="E188" s="895"/>
      <c r="F188" s="896"/>
      <c r="G188" s="897"/>
      <c r="H188" s="897"/>
      <c r="I188" s="898"/>
      <c r="J188" s="898"/>
      <c r="K188" s="898"/>
      <c r="L188" s="898"/>
      <c r="M188" s="898"/>
      <c r="N188" s="898"/>
      <c r="O188" s="898"/>
      <c r="P188" s="898"/>
      <c r="Q188" s="898"/>
      <c r="R188" s="898"/>
      <c r="S188" s="898"/>
      <c r="T188" s="898"/>
      <c r="U188" s="898"/>
      <c r="V188" s="898"/>
      <c r="W188" s="898"/>
      <c r="X188" s="898"/>
      <c r="Y188" s="898"/>
      <c r="Z188" s="898"/>
      <c r="AA188" s="898"/>
      <c r="AB188" s="898"/>
      <c r="AC188" s="898"/>
      <c r="AD188" s="898"/>
      <c r="AE188" s="898"/>
      <c r="AF188" s="898"/>
      <c r="AG188" s="898"/>
      <c r="AH188" s="898"/>
      <c r="AI188" s="898"/>
      <c r="AJ188" s="898"/>
      <c r="AK188" s="897"/>
      <c r="AL188" s="897"/>
      <c r="AM188" s="897"/>
      <c r="AN188" s="897"/>
      <c r="AO188" s="897"/>
      <c r="AP188" s="897"/>
      <c r="AQ188" s="897"/>
      <c r="AR188" s="897"/>
    </row>
    <row r="189" spans="1:44" s="930" customFormat="1">
      <c r="A189" s="892"/>
      <c r="B189" s="899"/>
      <c r="C189" s="900"/>
      <c r="D189" s="894"/>
      <c r="E189" s="895"/>
      <c r="F189" s="896"/>
      <c r="G189" s="897"/>
      <c r="H189" s="897"/>
      <c r="I189" s="898"/>
      <c r="J189" s="898"/>
      <c r="K189" s="898"/>
      <c r="L189" s="898"/>
      <c r="M189" s="898"/>
      <c r="N189" s="898"/>
      <c r="O189" s="898"/>
      <c r="P189" s="898"/>
      <c r="Q189" s="898"/>
      <c r="R189" s="898"/>
      <c r="S189" s="898"/>
      <c r="T189" s="898"/>
      <c r="U189" s="898"/>
      <c r="V189" s="898"/>
      <c r="W189" s="898"/>
      <c r="X189" s="898"/>
      <c r="Y189" s="898"/>
      <c r="Z189" s="898"/>
      <c r="AA189" s="898"/>
      <c r="AB189" s="898"/>
      <c r="AC189" s="898"/>
      <c r="AD189" s="898"/>
      <c r="AE189" s="898"/>
      <c r="AF189" s="898"/>
      <c r="AG189" s="898"/>
      <c r="AH189" s="898"/>
      <c r="AI189" s="898"/>
      <c r="AJ189" s="898"/>
      <c r="AK189" s="897"/>
      <c r="AL189" s="897"/>
      <c r="AM189" s="897"/>
      <c r="AN189" s="897"/>
      <c r="AO189" s="897"/>
      <c r="AP189" s="897"/>
      <c r="AQ189" s="897"/>
      <c r="AR189" s="897"/>
    </row>
    <row r="190" spans="1:44" s="930" customFormat="1">
      <c r="A190" s="892"/>
      <c r="B190" s="899"/>
      <c r="C190" s="900"/>
      <c r="D190" s="894"/>
      <c r="E190" s="895"/>
      <c r="F190" s="896"/>
      <c r="G190" s="897"/>
      <c r="H190" s="897"/>
      <c r="I190" s="898"/>
      <c r="J190" s="898"/>
      <c r="K190" s="898"/>
      <c r="L190" s="898"/>
      <c r="M190" s="898"/>
      <c r="N190" s="898"/>
      <c r="O190" s="898"/>
      <c r="P190" s="898"/>
      <c r="Q190" s="898"/>
      <c r="R190" s="898"/>
      <c r="S190" s="898"/>
      <c r="T190" s="898"/>
      <c r="U190" s="898"/>
      <c r="V190" s="898"/>
      <c r="W190" s="898"/>
      <c r="X190" s="898"/>
      <c r="Y190" s="898"/>
      <c r="Z190" s="898"/>
      <c r="AA190" s="898"/>
      <c r="AB190" s="898"/>
      <c r="AC190" s="898"/>
      <c r="AD190" s="898"/>
      <c r="AE190" s="898"/>
      <c r="AF190" s="898"/>
      <c r="AG190" s="898"/>
      <c r="AH190" s="898"/>
      <c r="AI190" s="898"/>
      <c r="AJ190" s="898"/>
      <c r="AK190" s="897"/>
      <c r="AL190" s="897"/>
      <c r="AM190" s="897"/>
      <c r="AN190" s="897"/>
      <c r="AO190" s="897"/>
      <c r="AP190" s="897"/>
      <c r="AQ190" s="897"/>
      <c r="AR190" s="897"/>
    </row>
    <row r="191" spans="1:44" s="930" customFormat="1">
      <c r="A191" s="892"/>
      <c r="B191" s="899"/>
      <c r="C191" s="900"/>
      <c r="D191" s="894"/>
      <c r="E191" s="895"/>
      <c r="F191" s="896"/>
      <c r="G191" s="897"/>
      <c r="H191" s="897"/>
      <c r="I191" s="898"/>
      <c r="J191" s="898"/>
      <c r="K191" s="898"/>
      <c r="L191" s="898"/>
      <c r="M191" s="898"/>
      <c r="N191" s="898"/>
      <c r="O191" s="898"/>
      <c r="P191" s="898"/>
      <c r="Q191" s="898"/>
      <c r="R191" s="898"/>
      <c r="S191" s="898"/>
      <c r="T191" s="898"/>
      <c r="U191" s="898"/>
      <c r="V191" s="898"/>
      <c r="W191" s="898"/>
      <c r="X191" s="898"/>
      <c r="Y191" s="898"/>
      <c r="Z191" s="898"/>
      <c r="AA191" s="898"/>
      <c r="AB191" s="898"/>
      <c r="AC191" s="898"/>
      <c r="AD191" s="898"/>
      <c r="AE191" s="898"/>
      <c r="AF191" s="898"/>
      <c r="AG191" s="898"/>
      <c r="AH191" s="898"/>
      <c r="AI191" s="898"/>
      <c r="AJ191" s="898"/>
      <c r="AK191" s="897"/>
      <c r="AL191" s="897"/>
      <c r="AM191" s="897"/>
      <c r="AN191" s="897"/>
      <c r="AO191" s="897"/>
      <c r="AP191" s="897"/>
      <c r="AQ191" s="897"/>
      <c r="AR191" s="897"/>
    </row>
    <row r="192" spans="1:44" s="930" customFormat="1">
      <c r="A192" s="892"/>
      <c r="B192" s="899"/>
      <c r="C192" s="900"/>
      <c r="D192" s="894"/>
      <c r="E192" s="895"/>
      <c r="F192" s="896"/>
      <c r="G192" s="897"/>
      <c r="H192" s="897"/>
      <c r="I192" s="898"/>
      <c r="J192" s="898"/>
      <c r="K192" s="898"/>
      <c r="L192" s="898"/>
      <c r="M192" s="898"/>
      <c r="N192" s="898"/>
      <c r="O192" s="898"/>
      <c r="P192" s="898"/>
      <c r="Q192" s="898"/>
      <c r="R192" s="898"/>
      <c r="S192" s="898"/>
      <c r="T192" s="898"/>
      <c r="U192" s="898"/>
      <c r="V192" s="898"/>
      <c r="W192" s="898"/>
      <c r="X192" s="898"/>
      <c r="Y192" s="898"/>
      <c r="Z192" s="898"/>
      <c r="AA192" s="898"/>
      <c r="AB192" s="898"/>
      <c r="AC192" s="898"/>
      <c r="AD192" s="898"/>
      <c r="AE192" s="898"/>
      <c r="AF192" s="898"/>
      <c r="AG192" s="898"/>
      <c r="AH192" s="898"/>
      <c r="AI192" s="898"/>
      <c r="AJ192" s="898"/>
      <c r="AK192" s="897"/>
      <c r="AL192" s="897"/>
      <c r="AM192" s="897"/>
      <c r="AN192" s="897"/>
      <c r="AO192" s="897"/>
      <c r="AP192" s="897"/>
      <c r="AQ192" s="897"/>
      <c r="AR192" s="897"/>
    </row>
    <row r="193" spans="1:44" s="930" customFormat="1">
      <c r="A193" s="892"/>
      <c r="B193" s="899"/>
      <c r="C193" s="900"/>
      <c r="D193" s="894"/>
      <c r="E193" s="895"/>
      <c r="F193" s="896"/>
      <c r="G193" s="897"/>
      <c r="H193" s="897"/>
      <c r="I193" s="898"/>
      <c r="J193" s="898"/>
      <c r="K193" s="898"/>
      <c r="L193" s="898"/>
      <c r="M193" s="898"/>
      <c r="N193" s="898"/>
      <c r="O193" s="898"/>
      <c r="P193" s="898"/>
      <c r="Q193" s="898"/>
      <c r="R193" s="898"/>
      <c r="S193" s="898"/>
      <c r="T193" s="898"/>
      <c r="U193" s="898"/>
      <c r="V193" s="898"/>
      <c r="W193" s="898"/>
      <c r="X193" s="898"/>
      <c r="Y193" s="898"/>
      <c r="Z193" s="898"/>
      <c r="AA193" s="898"/>
      <c r="AB193" s="898"/>
      <c r="AC193" s="898"/>
      <c r="AD193" s="898"/>
      <c r="AE193" s="898"/>
      <c r="AF193" s="898"/>
      <c r="AG193" s="898"/>
      <c r="AH193" s="898"/>
      <c r="AI193" s="898"/>
      <c r="AJ193" s="898"/>
      <c r="AK193" s="897"/>
      <c r="AL193" s="897"/>
      <c r="AM193" s="897"/>
      <c r="AN193" s="897"/>
      <c r="AO193" s="897"/>
      <c r="AP193" s="897"/>
      <c r="AQ193" s="897"/>
      <c r="AR193" s="897"/>
    </row>
    <row r="194" spans="1:44" s="930" customFormat="1">
      <c r="A194" s="892"/>
      <c r="B194" s="899"/>
      <c r="C194" s="900"/>
      <c r="D194" s="894"/>
      <c r="E194" s="895"/>
      <c r="F194" s="896"/>
      <c r="G194" s="897"/>
      <c r="H194" s="897"/>
      <c r="I194" s="898"/>
      <c r="J194" s="898"/>
      <c r="K194" s="898"/>
      <c r="L194" s="898"/>
      <c r="M194" s="898"/>
      <c r="N194" s="898"/>
      <c r="O194" s="898"/>
      <c r="P194" s="898"/>
      <c r="Q194" s="898"/>
      <c r="R194" s="898"/>
      <c r="S194" s="898"/>
      <c r="T194" s="898"/>
      <c r="U194" s="898"/>
      <c r="V194" s="898"/>
      <c r="W194" s="898"/>
      <c r="X194" s="898"/>
      <c r="Y194" s="898"/>
      <c r="Z194" s="898"/>
      <c r="AA194" s="898"/>
      <c r="AB194" s="898"/>
      <c r="AC194" s="898"/>
      <c r="AD194" s="898"/>
      <c r="AE194" s="898"/>
      <c r="AF194" s="898"/>
      <c r="AG194" s="898"/>
      <c r="AH194" s="898"/>
      <c r="AI194" s="898"/>
      <c r="AJ194" s="898"/>
      <c r="AK194" s="897"/>
      <c r="AL194" s="897"/>
      <c r="AM194" s="897"/>
      <c r="AN194" s="897"/>
      <c r="AO194" s="897"/>
      <c r="AP194" s="897"/>
      <c r="AQ194" s="897"/>
      <c r="AR194" s="897"/>
    </row>
    <row r="195" spans="1:44" s="930" customFormat="1">
      <c r="A195" s="892"/>
      <c r="B195" s="899"/>
      <c r="C195" s="900"/>
      <c r="D195" s="894"/>
      <c r="E195" s="895"/>
      <c r="F195" s="896"/>
      <c r="G195" s="897"/>
      <c r="H195" s="897"/>
      <c r="I195" s="898"/>
      <c r="J195" s="898"/>
      <c r="K195" s="898"/>
      <c r="L195" s="898"/>
      <c r="M195" s="898"/>
      <c r="N195" s="898"/>
      <c r="O195" s="898"/>
      <c r="P195" s="898"/>
      <c r="Q195" s="898"/>
      <c r="R195" s="898"/>
      <c r="S195" s="898"/>
      <c r="T195" s="898"/>
      <c r="U195" s="898"/>
      <c r="V195" s="898"/>
      <c r="W195" s="898"/>
      <c r="X195" s="898"/>
      <c r="Y195" s="898"/>
      <c r="Z195" s="898"/>
      <c r="AA195" s="898"/>
      <c r="AB195" s="898"/>
      <c r="AC195" s="898"/>
      <c r="AD195" s="898"/>
      <c r="AE195" s="898"/>
      <c r="AF195" s="898"/>
      <c r="AG195" s="898"/>
      <c r="AH195" s="898"/>
      <c r="AI195" s="898"/>
      <c r="AJ195" s="898"/>
      <c r="AK195" s="897"/>
      <c r="AL195" s="897"/>
      <c r="AM195" s="897"/>
      <c r="AN195" s="897"/>
      <c r="AO195" s="897"/>
      <c r="AP195" s="897"/>
      <c r="AQ195" s="897"/>
      <c r="AR195" s="897"/>
    </row>
    <row r="196" spans="1:44" s="930" customFormat="1">
      <c r="A196" s="892"/>
      <c r="B196" s="899"/>
      <c r="C196" s="900"/>
      <c r="D196" s="894"/>
      <c r="E196" s="895"/>
      <c r="F196" s="896"/>
      <c r="G196" s="897"/>
      <c r="H196" s="897"/>
      <c r="I196" s="898"/>
      <c r="J196" s="898"/>
      <c r="K196" s="898"/>
      <c r="L196" s="898"/>
      <c r="M196" s="898"/>
      <c r="N196" s="898"/>
      <c r="O196" s="898"/>
      <c r="P196" s="898"/>
      <c r="Q196" s="898"/>
      <c r="R196" s="898"/>
      <c r="S196" s="898"/>
      <c r="T196" s="898"/>
      <c r="U196" s="898"/>
      <c r="V196" s="898"/>
      <c r="W196" s="898"/>
      <c r="X196" s="898"/>
      <c r="Y196" s="898"/>
      <c r="Z196" s="898"/>
      <c r="AA196" s="898"/>
      <c r="AB196" s="898"/>
      <c r="AC196" s="898"/>
      <c r="AD196" s="898"/>
      <c r="AE196" s="898"/>
      <c r="AF196" s="898"/>
      <c r="AG196" s="898"/>
      <c r="AH196" s="898"/>
      <c r="AI196" s="898"/>
      <c r="AJ196" s="898"/>
      <c r="AK196" s="897"/>
      <c r="AL196" s="897"/>
      <c r="AM196" s="897"/>
      <c r="AN196" s="897"/>
      <c r="AO196" s="897"/>
      <c r="AP196" s="897"/>
      <c r="AQ196" s="897"/>
      <c r="AR196" s="897"/>
    </row>
    <row r="197" spans="1:44" s="930" customFormat="1">
      <c r="A197" s="892"/>
      <c r="B197" s="899"/>
      <c r="C197" s="900"/>
      <c r="D197" s="894"/>
      <c r="E197" s="895"/>
      <c r="F197" s="896"/>
      <c r="G197" s="897"/>
      <c r="H197" s="897"/>
      <c r="I197" s="898"/>
      <c r="J197" s="898"/>
      <c r="K197" s="898"/>
      <c r="L197" s="898"/>
      <c r="M197" s="898"/>
      <c r="N197" s="898"/>
      <c r="O197" s="898"/>
      <c r="P197" s="898"/>
      <c r="Q197" s="898"/>
      <c r="R197" s="898"/>
      <c r="S197" s="898"/>
      <c r="T197" s="898"/>
      <c r="U197" s="898"/>
      <c r="V197" s="898"/>
      <c r="W197" s="898"/>
      <c r="X197" s="898"/>
      <c r="Y197" s="898"/>
      <c r="Z197" s="898"/>
      <c r="AA197" s="898"/>
      <c r="AB197" s="898"/>
      <c r="AC197" s="898"/>
      <c r="AD197" s="898"/>
      <c r="AE197" s="898"/>
      <c r="AF197" s="898"/>
      <c r="AG197" s="898"/>
      <c r="AH197" s="898"/>
      <c r="AI197" s="898"/>
      <c r="AJ197" s="898"/>
      <c r="AK197" s="897"/>
      <c r="AL197" s="897"/>
      <c r="AM197" s="897"/>
      <c r="AN197" s="897"/>
      <c r="AO197" s="897"/>
      <c r="AP197" s="897"/>
      <c r="AQ197" s="897"/>
      <c r="AR197" s="897"/>
    </row>
    <row r="198" spans="1:44" s="930" customFormat="1">
      <c r="A198" s="892"/>
      <c r="B198" s="899"/>
      <c r="C198" s="900"/>
      <c r="D198" s="894"/>
      <c r="E198" s="895"/>
      <c r="F198" s="896"/>
      <c r="G198" s="897"/>
      <c r="H198" s="897"/>
      <c r="I198" s="898"/>
      <c r="J198" s="898"/>
      <c r="K198" s="898"/>
      <c r="L198" s="898"/>
      <c r="M198" s="898"/>
      <c r="N198" s="898"/>
      <c r="O198" s="898"/>
      <c r="P198" s="898"/>
      <c r="Q198" s="898"/>
      <c r="R198" s="898"/>
      <c r="S198" s="898"/>
      <c r="T198" s="898"/>
      <c r="U198" s="898"/>
      <c r="V198" s="898"/>
      <c r="W198" s="898"/>
      <c r="X198" s="898"/>
      <c r="Y198" s="898"/>
      <c r="Z198" s="898"/>
      <c r="AA198" s="898"/>
      <c r="AB198" s="898"/>
      <c r="AC198" s="898"/>
      <c r="AD198" s="898"/>
      <c r="AE198" s="898"/>
      <c r="AF198" s="898"/>
      <c r="AG198" s="898"/>
      <c r="AH198" s="898"/>
      <c r="AI198" s="898"/>
      <c r="AJ198" s="898"/>
      <c r="AK198" s="897"/>
      <c r="AL198" s="897"/>
      <c r="AM198" s="897"/>
      <c r="AN198" s="897"/>
      <c r="AO198" s="897"/>
      <c r="AP198" s="897"/>
      <c r="AQ198" s="897"/>
      <c r="AR198" s="897"/>
    </row>
    <row r="199" spans="1:44" s="930" customFormat="1">
      <c r="A199" s="892"/>
      <c r="B199" s="899"/>
      <c r="C199" s="900"/>
      <c r="D199" s="894"/>
      <c r="E199" s="895"/>
      <c r="F199" s="896"/>
      <c r="G199" s="897"/>
      <c r="H199" s="897"/>
      <c r="I199" s="898"/>
      <c r="J199" s="898"/>
      <c r="K199" s="898"/>
      <c r="L199" s="898"/>
      <c r="M199" s="898"/>
      <c r="N199" s="898"/>
      <c r="O199" s="898"/>
      <c r="P199" s="898"/>
      <c r="Q199" s="898"/>
      <c r="R199" s="898"/>
      <c r="S199" s="898"/>
      <c r="T199" s="898"/>
      <c r="U199" s="898"/>
      <c r="V199" s="898"/>
      <c r="W199" s="898"/>
      <c r="X199" s="898"/>
      <c r="Y199" s="898"/>
      <c r="Z199" s="898"/>
      <c r="AA199" s="898"/>
      <c r="AB199" s="898"/>
      <c r="AC199" s="898"/>
      <c r="AD199" s="898"/>
      <c r="AE199" s="898"/>
      <c r="AF199" s="898"/>
      <c r="AG199" s="898"/>
      <c r="AH199" s="898"/>
      <c r="AI199" s="898"/>
      <c r="AJ199" s="898"/>
      <c r="AK199" s="897"/>
      <c r="AL199" s="897"/>
      <c r="AM199" s="897"/>
      <c r="AN199" s="897"/>
      <c r="AO199" s="897"/>
      <c r="AP199" s="897"/>
      <c r="AQ199" s="897"/>
      <c r="AR199" s="897"/>
    </row>
    <row r="200" spans="1:44" s="930" customFormat="1">
      <c r="A200" s="892"/>
      <c r="B200" s="899"/>
      <c r="C200" s="900"/>
      <c r="D200" s="894"/>
      <c r="E200" s="895"/>
      <c r="F200" s="896"/>
      <c r="G200" s="897"/>
      <c r="H200" s="897"/>
      <c r="I200" s="898"/>
      <c r="J200" s="898"/>
      <c r="K200" s="898"/>
      <c r="L200" s="898"/>
      <c r="M200" s="898"/>
      <c r="N200" s="898"/>
      <c r="O200" s="898"/>
      <c r="P200" s="898"/>
      <c r="Q200" s="898"/>
      <c r="R200" s="898"/>
      <c r="S200" s="898"/>
      <c r="T200" s="898"/>
      <c r="U200" s="898"/>
      <c r="V200" s="898"/>
      <c r="W200" s="898"/>
      <c r="X200" s="898"/>
      <c r="Y200" s="898"/>
      <c r="Z200" s="898"/>
      <c r="AA200" s="898"/>
      <c r="AB200" s="898"/>
      <c r="AC200" s="898"/>
      <c r="AD200" s="898"/>
      <c r="AE200" s="898"/>
      <c r="AF200" s="898"/>
      <c r="AG200" s="898"/>
      <c r="AH200" s="898"/>
      <c r="AI200" s="898"/>
      <c r="AJ200" s="898"/>
      <c r="AK200" s="897"/>
      <c r="AL200" s="897"/>
      <c r="AM200" s="897"/>
      <c r="AN200" s="897"/>
      <c r="AO200" s="897"/>
      <c r="AP200" s="897"/>
      <c r="AQ200" s="897"/>
      <c r="AR200" s="897"/>
    </row>
    <row r="201" spans="1:44" s="930" customFormat="1">
      <c r="A201" s="892"/>
      <c r="B201" s="899"/>
      <c r="C201" s="900"/>
      <c r="D201" s="894"/>
      <c r="E201" s="895"/>
      <c r="F201" s="896"/>
      <c r="G201" s="897"/>
      <c r="H201" s="897"/>
      <c r="I201" s="898"/>
      <c r="J201" s="898"/>
      <c r="K201" s="898"/>
      <c r="L201" s="898"/>
      <c r="M201" s="898"/>
      <c r="N201" s="898"/>
      <c r="O201" s="898"/>
      <c r="P201" s="898"/>
      <c r="Q201" s="898"/>
      <c r="R201" s="898"/>
      <c r="S201" s="898"/>
      <c r="T201" s="898"/>
      <c r="U201" s="898"/>
      <c r="V201" s="898"/>
      <c r="W201" s="898"/>
      <c r="X201" s="898"/>
      <c r="Y201" s="898"/>
      <c r="Z201" s="898"/>
      <c r="AA201" s="898"/>
      <c r="AB201" s="898"/>
      <c r="AC201" s="898"/>
      <c r="AD201" s="898"/>
      <c r="AE201" s="898"/>
      <c r="AF201" s="898"/>
      <c r="AG201" s="898"/>
      <c r="AH201" s="898"/>
      <c r="AI201" s="898"/>
      <c r="AJ201" s="898"/>
      <c r="AK201" s="897"/>
      <c r="AL201" s="897"/>
      <c r="AM201" s="897"/>
      <c r="AN201" s="897"/>
      <c r="AO201" s="897"/>
      <c r="AP201" s="897"/>
      <c r="AQ201" s="897"/>
      <c r="AR201" s="897"/>
    </row>
    <row r="202" spans="1:44" s="930" customFormat="1">
      <c r="A202" s="892"/>
      <c r="B202" s="899"/>
      <c r="C202" s="900"/>
      <c r="D202" s="894"/>
      <c r="E202" s="895"/>
      <c r="F202" s="896"/>
      <c r="G202" s="897"/>
      <c r="H202" s="897"/>
      <c r="I202" s="898"/>
      <c r="J202" s="898"/>
      <c r="K202" s="898"/>
      <c r="L202" s="898"/>
      <c r="M202" s="898"/>
      <c r="N202" s="898"/>
      <c r="O202" s="898"/>
      <c r="P202" s="898"/>
      <c r="Q202" s="898"/>
      <c r="R202" s="898"/>
      <c r="S202" s="898"/>
      <c r="T202" s="898"/>
      <c r="U202" s="898"/>
      <c r="V202" s="898"/>
      <c r="W202" s="898"/>
      <c r="X202" s="898"/>
      <c r="Y202" s="898"/>
      <c r="Z202" s="898"/>
      <c r="AA202" s="898"/>
      <c r="AB202" s="898"/>
      <c r="AC202" s="898"/>
      <c r="AD202" s="898"/>
      <c r="AE202" s="898"/>
      <c r="AF202" s="898"/>
      <c r="AG202" s="898"/>
      <c r="AH202" s="898"/>
      <c r="AI202" s="898"/>
      <c r="AJ202" s="898"/>
      <c r="AK202" s="897"/>
      <c r="AL202" s="897"/>
      <c r="AM202" s="897"/>
      <c r="AN202" s="897"/>
      <c r="AO202" s="897"/>
      <c r="AP202" s="897"/>
      <c r="AQ202" s="897"/>
      <c r="AR202" s="897"/>
    </row>
    <row r="203" spans="1:44" s="930" customFormat="1">
      <c r="A203" s="892"/>
      <c r="B203" s="899"/>
      <c r="C203" s="900"/>
      <c r="D203" s="894"/>
      <c r="E203" s="895"/>
      <c r="F203" s="896"/>
      <c r="G203" s="897"/>
      <c r="H203" s="897"/>
      <c r="I203" s="898"/>
      <c r="J203" s="898"/>
      <c r="K203" s="898"/>
      <c r="L203" s="898"/>
      <c r="M203" s="898"/>
      <c r="N203" s="898"/>
      <c r="O203" s="898"/>
      <c r="P203" s="898"/>
      <c r="Q203" s="898"/>
      <c r="R203" s="898"/>
      <c r="S203" s="898"/>
      <c r="T203" s="898"/>
      <c r="U203" s="898"/>
      <c r="V203" s="898"/>
      <c r="W203" s="898"/>
      <c r="X203" s="898"/>
      <c r="Y203" s="898"/>
      <c r="Z203" s="898"/>
      <c r="AA203" s="898"/>
      <c r="AB203" s="898"/>
      <c r="AC203" s="898"/>
      <c r="AD203" s="898"/>
      <c r="AE203" s="898"/>
      <c r="AF203" s="898"/>
      <c r="AG203" s="898"/>
      <c r="AH203" s="898"/>
      <c r="AI203" s="898"/>
      <c r="AJ203" s="898"/>
      <c r="AK203" s="897"/>
      <c r="AL203" s="897"/>
      <c r="AM203" s="897"/>
      <c r="AN203" s="897"/>
      <c r="AO203" s="897"/>
      <c r="AP203" s="897"/>
      <c r="AQ203" s="897"/>
      <c r="AR203" s="897"/>
    </row>
    <row r="204" spans="1:44" s="930" customFormat="1">
      <c r="A204" s="892"/>
      <c r="B204" s="899"/>
      <c r="C204" s="900"/>
      <c r="D204" s="894"/>
      <c r="E204" s="895"/>
      <c r="F204" s="896"/>
      <c r="G204" s="897"/>
      <c r="H204" s="897"/>
      <c r="I204" s="898"/>
      <c r="J204" s="898"/>
      <c r="K204" s="898"/>
      <c r="L204" s="898"/>
      <c r="M204" s="898"/>
      <c r="N204" s="898"/>
      <c r="O204" s="898"/>
      <c r="P204" s="898"/>
      <c r="Q204" s="898"/>
      <c r="R204" s="898"/>
      <c r="S204" s="898"/>
      <c r="T204" s="898"/>
      <c r="U204" s="898"/>
      <c r="V204" s="898"/>
      <c r="W204" s="898"/>
      <c r="X204" s="898"/>
      <c r="Y204" s="898"/>
      <c r="Z204" s="898"/>
      <c r="AA204" s="898"/>
      <c r="AB204" s="898"/>
      <c r="AC204" s="898"/>
      <c r="AD204" s="898"/>
      <c r="AE204" s="898"/>
      <c r="AF204" s="898"/>
      <c r="AG204" s="898"/>
      <c r="AH204" s="898"/>
      <c r="AI204" s="898"/>
      <c r="AJ204" s="898"/>
      <c r="AK204" s="897"/>
      <c r="AL204" s="897"/>
      <c r="AM204" s="897"/>
      <c r="AN204" s="897"/>
      <c r="AO204" s="897"/>
      <c r="AP204" s="897"/>
      <c r="AQ204" s="897"/>
      <c r="AR204" s="897"/>
    </row>
    <row r="205" spans="1:44" s="930" customFormat="1">
      <c r="A205" s="892"/>
      <c r="B205" s="899"/>
      <c r="C205" s="900"/>
      <c r="D205" s="894"/>
      <c r="E205" s="895"/>
      <c r="F205" s="896"/>
      <c r="G205" s="897"/>
      <c r="H205" s="897"/>
      <c r="I205" s="898"/>
      <c r="J205" s="898"/>
      <c r="K205" s="898"/>
      <c r="L205" s="898"/>
      <c r="M205" s="898"/>
      <c r="N205" s="898"/>
      <c r="O205" s="898"/>
      <c r="P205" s="898"/>
      <c r="Q205" s="898"/>
      <c r="R205" s="898"/>
      <c r="S205" s="898"/>
      <c r="T205" s="898"/>
      <c r="U205" s="898"/>
      <c r="V205" s="898"/>
      <c r="W205" s="898"/>
      <c r="X205" s="898"/>
      <c r="Y205" s="898"/>
      <c r="Z205" s="898"/>
      <c r="AA205" s="898"/>
      <c r="AB205" s="898"/>
      <c r="AC205" s="898"/>
      <c r="AD205" s="898"/>
      <c r="AE205" s="898"/>
      <c r="AF205" s="898"/>
      <c r="AG205" s="898"/>
      <c r="AH205" s="898"/>
      <c r="AI205" s="898"/>
      <c r="AJ205" s="898"/>
      <c r="AK205" s="897"/>
      <c r="AL205" s="897"/>
      <c r="AM205" s="897"/>
      <c r="AN205" s="897"/>
      <c r="AO205" s="897"/>
      <c r="AP205" s="897"/>
      <c r="AQ205" s="897"/>
      <c r="AR205" s="897"/>
    </row>
    <row r="206" spans="1:44" s="930" customFormat="1">
      <c r="A206" s="892"/>
      <c r="B206" s="899"/>
      <c r="C206" s="900"/>
      <c r="D206" s="894"/>
      <c r="E206" s="895"/>
      <c r="F206" s="896"/>
      <c r="G206" s="897"/>
      <c r="H206" s="897"/>
      <c r="I206" s="898"/>
      <c r="J206" s="898"/>
      <c r="K206" s="898"/>
      <c r="L206" s="898"/>
      <c r="M206" s="898"/>
      <c r="N206" s="898"/>
      <c r="O206" s="898"/>
      <c r="P206" s="898"/>
      <c r="Q206" s="898"/>
      <c r="R206" s="898"/>
      <c r="S206" s="898"/>
      <c r="T206" s="898"/>
      <c r="U206" s="898"/>
      <c r="V206" s="898"/>
      <c r="W206" s="898"/>
      <c r="X206" s="898"/>
      <c r="Y206" s="898"/>
      <c r="Z206" s="898"/>
      <c r="AA206" s="898"/>
      <c r="AB206" s="898"/>
      <c r="AC206" s="898"/>
      <c r="AD206" s="898"/>
      <c r="AE206" s="898"/>
      <c r="AF206" s="898"/>
      <c r="AG206" s="898"/>
      <c r="AH206" s="898"/>
      <c r="AI206" s="898"/>
      <c r="AJ206" s="898"/>
      <c r="AK206" s="897"/>
      <c r="AL206" s="897"/>
      <c r="AM206" s="897"/>
      <c r="AN206" s="897"/>
      <c r="AO206" s="897"/>
      <c r="AP206" s="897"/>
      <c r="AQ206" s="897"/>
      <c r="AR206" s="897"/>
    </row>
    <row r="207" spans="1:44" s="930" customFormat="1">
      <c r="A207" s="892"/>
      <c r="B207" s="899"/>
      <c r="C207" s="900"/>
      <c r="D207" s="894"/>
      <c r="E207" s="895"/>
      <c r="F207" s="896"/>
      <c r="G207" s="897"/>
      <c r="H207" s="897"/>
      <c r="I207" s="898"/>
      <c r="J207" s="898"/>
      <c r="K207" s="898"/>
      <c r="L207" s="898"/>
      <c r="M207" s="898"/>
      <c r="N207" s="898"/>
      <c r="O207" s="898"/>
      <c r="P207" s="898"/>
      <c r="Q207" s="898"/>
      <c r="R207" s="898"/>
      <c r="S207" s="898"/>
      <c r="T207" s="898"/>
      <c r="U207" s="898"/>
      <c r="V207" s="898"/>
      <c r="W207" s="898"/>
      <c r="X207" s="898"/>
      <c r="Y207" s="898"/>
      <c r="Z207" s="898"/>
      <c r="AA207" s="898"/>
      <c r="AB207" s="898"/>
      <c r="AC207" s="898"/>
      <c r="AD207" s="898"/>
      <c r="AE207" s="898"/>
      <c r="AF207" s="898"/>
      <c r="AG207" s="898"/>
      <c r="AH207" s="898"/>
      <c r="AI207" s="898"/>
      <c r="AJ207" s="898"/>
      <c r="AK207" s="897"/>
      <c r="AL207" s="897"/>
      <c r="AM207" s="897"/>
      <c r="AN207" s="897"/>
      <c r="AO207" s="897"/>
      <c r="AP207" s="897"/>
      <c r="AQ207" s="897"/>
      <c r="AR207" s="897"/>
    </row>
    <row r="208" spans="1:44" s="930" customFormat="1">
      <c r="A208" s="892"/>
      <c r="B208" s="899"/>
      <c r="C208" s="900"/>
      <c r="D208" s="894"/>
      <c r="E208" s="895"/>
      <c r="F208" s="896"/>
      <c r="G208" s="897"/>
      <c r="H208" s="897"/>
      <c r="I208" s="898"/>
      <c r="J208" s="898"/>
      <c r="K208" s="898"/>
      <c r="L208" s="898"/>
      <c r="M208" s="898"/>
      <c r="N208" s="898"/>
      <c r="O208" s="898"/>
      <c r="P208" s="898"/>
      <c r="Q208" s="898"/>
      <c r="R208" s="898"/>
      <c r="S208" s="898"/>
      <c r="T208" s="898"/>
      <c r="U208" s="898"/>
      <c r="V208" s="898"/>
      <c r="W208" s="898"/>
      <c r="X208" s="898"/>
      <c r="Y208" s="898"/>
      <c r="Z208" s="898"/>
      <c r="AA208" s="898"/>
      <c r="AB208" s="898"/>
      <c r="AC208" s="898"/>
      <c r="AD208" s="898"/>
      <c r="AE208" s="898"/>
      <c r="AF208" s="898"/>
      <c r="AG208" s="898"/>
      <c r="AH208" s="898"/>
      <c r="AI208" s="898"/>
      <c r="AJ208" s="898"/>
      <c r="AK208" s="897"/>
      <c r="AL208" s="897"/>
      <c r="AM208" s="897"/>
      <c r="AN208" s="897"/>
      <c r="AO208" s="897"/>
      <c r="AP208" s="897"/>
      <c r="AQ208" s="897"/>
      <c r="AR208" s="897"/>
    </row>
    <row r="209" spans="1:44" s="930" customFormat="1">
      <c r="A209" s="892"/>
      <c r="B209" s="899"/>
      <c r="C209" s="900"/>
      <c r="D209" s="894"/>
      <c r="E209" s="895"/>
      <c r="F209" s="896"/>
      <c r="G209" s="897"/>
      <c r="H209" s="897"/>
      <c r="I209" s="898"/>
      <c r="J209" s="898"/>
      <c r="K209" s="898"/>
      <c r="L209" s="898"/>
      <c r="M209" s="898"/>
      <c r="N209" s="898"/>
      <c r="O209" s="898"/>
      <c r="P209" s="898"/>
      <c r="Q209" s="898"/>
      <c r="R209" s="898"/>
      <c r="S209" s="898"/>
      <c r="T209" s="898"/>
      <c r="U209" s="898"/>
      <c r="V209" s="898"/>
      <c r="W209" s="898"/>
      <c r="X209" s="898"/>
      <c r="Y209" s="898"/>
      <c r="Z209" s="898"/>
      <c r="AA209" s="898"/>
      <c r="AB209" s="898"/>
      <c r="AC209" s="898"/>
      <c r="AD209" s="898"/>
      <c r="AE209" s="898"/>
      <c r="AF209" s="898"/>
      <c r="AG209" s="898"/>
      <c r="AH209" s="898"/>
      <c r="AI209" s="898"/>
      <c r="AJ209" s="898"/>
      <c r="AK209" s="897"/>
      <c r="AL209" s="897"/>
      <c r="AM209" s="897"/>
      <c r="AN209" s="897"/>
      <c r="AO209" s="897"/>
      <c r="AP209" s="897"/>
      <c r="AQ209" s="897"/>
      <c r="AR209" s="897"/>
    </row>
    <row r="210" spans="1:44" s="930" customFormat="1">
      <c r="A210" s="892"/>
      <c r="B210" s="899"/>
      <c r="C210" s="900"/>
      <c r="D210" s="894"/>
      <c r="E210" s="895"/>
      <c r="F210" s="896"/>
      <c r="G210" s="897"/>
      <c r="H210" s="897"/>
      <c r="I210" s="898"/>
      <c r="J210" s="898"/>
      <c r="K210" s="898"/>
      <c r="L210" s="898"/>
      <c r="M210" s="898"/>
      <c r="N210" s="898"/>
      <c r="O210" s="898"/>
      <c r="P210" s="898"/>
      <c r="Q210" s="898"/>
      <c r="R210" s="898"/>
      <c r="S210" s="898"/>
      <c r="T210" s="898"/>
      <c r="U210" s="898"/>
      <c r="V210" s="898"/>
      <c r="W210" s="898"/>
      <c r="X210" s="898"/>
      <c r="Y210" s="898"/>
      <c r="Z210" s="898"/>
      <c r="AA210" s="898"/>
      <c r="AB210" s="898"/>
      <c r="AC210" s="898"/>
      <c r="AD210" s="898"/>
      <c r="AE210" s="898"/>
      <c r="AF210" s="898"/>
      <c r="AG210" s="898"/>
      <c r="AH210" s="898"/>
      <c r="AI210" s="898"/>
      <c r="AJ210" s="898"/>
      <c r="AK210" s="897"/>
      <c r="AL210" s="897"/>
      <c r="AM210" s="897"/>
      <c r="AN210" s="897"/>
      <c r="AO210" s="897"/>
      <c r="AP210" s="897"/>
      <c r="AQ210" s="897"/>
      <c r="AR210" s="897"/>
    </row>
    <row r="211" spans="1:44" s="930" customFormat="1">
      <c r="A211" s="892"/>
      <c r="B211" s="899"/>
      <c r="C211" s="900"/>
      <c r="D211" s="894"/>
      <c r="E211" s="895"/>
      <c r="F211" s="896"/>
      <c r="G211" s="897"/>
      <c r="H211" s="897"/>
      <c r="I211" s="898"/>
      <c r="J211" s="898"/>
      <c r="K211" s="898"/>
      <c r="L211" s="898"/>
      <c r="M211" s="898"/>
      <c r="N211" s="898"/>
      <c r="O211" s="898"/>
      <c r="P211" s="898"/>
      <c r="Q211" s="898"/>
      <c r="R211" s="898"/>
      <c r="S211" s="898"/>
      <c r="T211" s="898"/>
      <c r="U211" s="898"/>
      <c r="V211" s="898"/>
      <c r="W211" s="898"/>
      <c r="X211" s="898"/>
      <c r="Y211" s="898"/>
      <c r="Z211" s="898"/>
      <c r="AA211" s="898"/>
      <c r="AB211" s="898"/>
      <c r="AC211" s="898"/>
      <c r="AD211" s="898"/>
      <c r="AE211" s="898"/>
      <c r="AF211" s="898"/>
      <c r="AG211" s="898"/>
      <c r="AH211" s="898"/>
      <c r="AI211" s="898"/>
      <c r="AJ211" s="898"/>
      <c r="AK211" s="897"/>
      <c r="AL211" s="897"/>
      <c r="AM211" s="897"/>
      <c r="AN211" s="897"/>
      <c r="AO211" s="897"/>
      <c r="AP211" s="897"/>
      <c r="AQ211" s="897"/>
      <c r="AR211" s="897"/>
    </row>
    <row r="212" spans="1:44" s="930" customFormat="1">
      <c r="A212" s="892"/>
      <c r="B212" s="899"/>
      <c r="C212" s="900"/>
      <c r="D212" s="894"/>
      <c r="E212" s="895"/>
      <c r="F212" s="896"/>
      <c r="G212" s="897"/>
      <c r="H212" s="897"/>
      <c r="I212" s="898"/>
      <c r="J212" s="898"/>
      <c r="K212" s="898"/>
      <c r="L212" s="898"/>
      <c r="M212" s="898"/>
      <c r="N212" s="898"/>
      <c r="O212" s="898"/>
      <c r="P212" s="898"/>
      <c r="Q212" s="898"/>
      <c r="R212" s="898"/>
      <c r="S212" s="898"/>
      <c r="T212" s="898"/>
      <c r="U212" s="898"/>
      <c r="V212" s="898"/>
      <c r="W212" s="898"/>
      <c r="X212" s="898"/>
      <c r="Y212" s="898"/>
      <c r="Z212" s="898"/>
      <c r="AA212" s="898"/>
      <c r="AB212" s="898"/>
      <c r="AC212" s="898"/>
      <c r="AD212" s="898"/>
      <c r="AE212" s="898"/>
      <c r="AF212" s="898"/>
      <c r="AG212" s="898"/>
      <c r="AH212" s="898"/>
      <c r="AI212" s="898"/>
      <c r="AJ212" s="898"/>
      <c r="AK212" s="897"/>
      <c r="AL212" s="897"/>
      <c r="AM212" s="897"/>
      <c r="AN212" s="897"/>
      <c r="AO212" s="897"/>
      <c r="AP212" s="897"/>
      <c r="AQ212" s="897"/>
      <c r="AR212" s="897"/>
    </row>
    <row r="213" spans="1:44" s="930" customFormat="1">
      <c r="A213" s="892"/>
      <c r="B213" s="899"/>
      <c r="C213" s="900"/>
      <c r="D213" s="894"/>
      <c r="E213" s="895"/>
      <c r="F213" s="896"/>
      <c r="G213" s="897"/>
      <c r="H213" s="897"/>
      <c r="I213" s="898"/>
      <c r="J213" s="898"/>
      <c r="K213" s="898"/>
      <c r="L213" s="898"/>
      <c r="M213" s="898"/>
      <c r="N213" s="898"/>
      <c r="O213" s="898"/>
      <c r="P213" s="898"/>
      <c r="Q213" s="898"/>
      <c r="R213" s="898"/>
      <c r="S213" s="898"/>
      <c r="T213" s="898"/>
      <c r="U213" s="898"/>
      <c r="V213" s="898"/>
      <c r="W213" s="898"/>
      <c r="X213" s="898"/>
      <c r="Y213" s="898"/>
      <c r="Z213" s="898"/>
      <c r="AA213" s="898"/>
      <c r="AB213" s="898"/>
      <c r="AC213" s="898"/>
      <c r="AD213" s="898"/>
      <c r="AE213" s="898"/>
      <c r="AF213" s="898"/>
      <c r="AG213" s="898"/>
      <c r="AH213" s="898"/>
      <c r="AI213" s="898"/>
      <c r="AJ213" s="898"/>
      <c r="AK213" s="897"/>
      <c r="AL213" s="897"/>
      <c r="AM213" s="897"/>
      <c r="AN213" s="897"/>
      <c r="AO213" s="897"/>
      <c r="AP213" s="897"/>
      <c r="AQ213" s="897"/>
      <c r="AR213" s="897"/>
    </row>
    <row r="214" spans="1:44" s="930" customFormat="1">
      <c r="A214" s="892"/>
      <c r="B214" s="899"/>
      <c r="C214" s="900"/>
      <c r="D214" s="894"/>
      <c r="E214" s="895"/>
      <c r="F214" s="896"/>
      <c r="G214" s="897"/>
      <c r="H214" s="897"/>
      <c r="I214" s="898"/>
      <c r="J214" s="898"/>
      <c r="K214" s="898"/>
      <c r="L214" s="898"/>
      <c r="M214" s="898"/>
      <c r="N214" s="898"/>
      <c r="O214" s="898"/>
      <c r="P214" s="898"/>
      <c r="Q214" s="898"/>
      <c r="R214" s="898"/>
      <c r="S214" s="898"/>
      <c r="T214" s="898"/>
      <c r="U214" s="898"/>
      <c r="V214" s="898"/>
      <c r="W214" s="898"/>
      <c r="X214" s="898"/>
      <c r="Y214" s="898"/>
      <c r="Z214" s="898"/>
      <c r="AA214" s="898"/>
      <c r="AB214" s="898"/>
      <c r="AC214" s="898"/>
      <c r="AD214" s="898"/>
      <c r="AE214" s="898"/>
      <c r="AF214" s="898"/>
      <c r="AG214" s="898"/>
      <c r="AH214" s="898"/>
      <c r="AI214" s="898"/>
      <c r="AJ214" s="898"/>
      <c r="AK214" s="897"/>
      <c r="AL214" s="897"/>
      <c r="AM214" s="897"/>
      <c r="AN214" s="897"/>
      <c r="AO214" s="897"/>
      <c r="AP214" s="897"/>
      <c r="AQ214" s="897"/>
      <c r="AR214" s="897"/>
    </row>
    <row r="215" spans="1:44" s="930" customFormat="1">
      <c r="A215" s="892"/>
      <c r="B215" s="899"/>
      <c r="C215" s="900"/>
      <c r="D215" s="894"/>
      <c r="E215" s="895"/>
      <c r="F215" s="896"/>
      <c r="G215" s="897"/>
      <c r="H215" s="897"/>
      <c r="I215" s="898"/>
      <c r="J215" s="898"/>
      <c r="K215" s="898"/>
      <c r="L215" s="898"/>
      <c r="M215" s="898"/>
      <c r="N215" s="898"/>
      <c r="O215" s="898"/>
      <c r="P215" s="898"/>
      <c r="Q215" s="898"/>
      <c r="R215" s="898"/>
      <c r="S215" s="898"/>
      <c r="T215" s="898"/>
      <c r="U215" s="898"/>
      <c r="V215" s="898"/>
      <c r="W215" s="898"/>
      <c r="X215" s="898"/>
      <c r="Y215" s="898"/>
      <c r="Z215" s="898"/>
      <c r="AA215" s="898"/>
      <c r="AB215" s="898"/>
      <c r="AC215" s="898"/>
      <c r="AD215" s="898"/>
      <c r="AE215" s="898"/>
      <c r="AF215" s="898"/>
      <c r="AG215" s="898"/>
      <c r="AH215" s="898"/>
      <c r="AI215" s="898"/>
      <c r="AJ215" s="898"/>
      <c r="AK215" s="897"/>
      <c r="AL215" s="897"/>
      <c r="AM215" s="897"/>
      <c r="AN215" s="897"/>
      <c r="AO215" s="897"/>
      <c r="AP215" s="897"/>
      <c r="AQ215" s="897"/>
      <c r="AR215" s="897"/>
    </row>
    <row r="216" spans="1:44" s="930" customFormat="1">
      <c r="A216" s="892"/>
      <c r="B216" s="899"/>
      <c r="C216" s="900"/>
      <c r="D216" s="894"/>
      <c r="E216" s="895"/>
      <c r="F216" s="896"/>
      <c r="G216" s="897"/>
      <c r="H216" s="897"/>
      <c r="I216" s="898"/>
      <c r="J216" s="898"/>
      <c r="K216" s="898"/>
      <c r="L216" s="898"/>
      <c r="M216" s="898"/>
      <c r="N216" s="898"/>
      <c r="O216" s="898"/>
      <c r="P216" s="898"/>
      <c r="Q216" s="898"/>
      <c r="R216" s="898"/>
      <c r="S216" s="898"/>
      <c r="T216" s="898"/>
      <c r="U216" s="898"/>
      <c r="V216" s="898"/>
      <c r="W216" s="898"/>
      <c r="X216" s="898"/>
      <c r="Y216" s="898"/>
      <c r="Z216" s="898"/>
      <c r="AA216" s="898"/>
      <c r="AB216" s="898"/>
      <c r="AC216" s="898"/>
      <c r="AD216" s="898"/>
      <c r="AE216" s="898"/>
      <c r="AF216" s="898"/>
      <c r="AG216" s="898"/>
      <c r="AH216" s="898"/>
      <c r="AI216" s="898"/>
      <c r="AJ216" s="898"/>
      <c r="AK216" s="897"/>
      <c r="AL216" s="897"/>
      <c r="AM216" s="897"/>
      <c r="AN216" s="897"/>
      <c r="AO216" s="897"/>
      <c r="AP216" s="897"/>
      <c r="AQ216" s="897"/>
      <c r="AR216" s="897"/>
    </row>
    <row r="217" spans="1:44" s="930" customFormat="1">
      <c r="A217" s="892"/>
      <c r="B217" s="899"/>
      <c r="C217" s="900"/>
      <c r="D217" s="894"/>
      <c r="E217" s="895"/>
      <c r="F217" s="896"/>
      <c r="G217" s="897"/>
      <c r="H217" s="897"/>
      <c r="I217" s="898"/>
      <c r="J217" s="898"/>
      <c r="K217" s="898"/>
      <c r="L217" s="898"/>
      <c r="M217" s="898"/>
      <c r="N217" s="898"/>
      <c r="O217" s="898"/>
      <c r="P217" s="898"/>
      <c r="Q217" s="898"/>
      <c r="R217" s="898"/>
      <c r="S217" s="898"/>
      <c r="T217" s="898"/>
      <c r="U217" s="898"/>
      <c r="V217" s="898"/>
      <c r="W217" s="898"/>
      <c r="X217" s="898"/>
      <c r="Y217" s="898"/>
      <c r="Z217" s="898"/>
      <c r="AA217" s="898"/>
      <c r="AB217" s="898"/>
      <c r="AC217" s="898"/>
      <c r="AD217" s="898"/>
      <c r="AE217" s="898"/>
      <c r="AF217" s="898"/>
      <c r="AG217" s="898"/>
      <c r="AH217" s="898"/>
      <c r="AI217" s="898"/>
      <c r="AJ217" s="898"/>
      <c r="AK217" s="897"/>
      <c r="AL217" s="897"/>
      <c r="AM217" s="897"/>
      <c r="AN217" s="897"/>
      <c r="AO217" s="897"/>
      <c r="AP217" s="897"/>
      <c r="AQ217" s="897"/>
      <c r="AR217" s="897"/>
    </row>
    <row r="218" spans="1:44" s="930" customFormat="1">
      <c r="A218" s="892"/>
      <c r="B218" s="899"/>
      <c r="C218" s="900"/>
      <c r="D218" s="894"/>
      <c r="E218" s="895"/>
      <c r="F218" s="896"/>
      <c r="G218" s="897"/>
      <c r="H218" s="897"/>
      <c r="I218" s="898"/>
      <c r="J218" s="898"/>
      <c r="K218" s="898"/>
      <c r="L218" s="898"/>
      <c r="M218" s="898"/>
      <c r="N218" s="898"/>
      <c r="O218" s="898"/>
      <c r="P218" s="898"/>
      <c r="Q218" s="898"/>
      <c r="R218" s="898"/>
      <c r="S218" s="898"/>
      <c r="T218" s="898"/>
      <c r="U218" s="898"/>
      <c r="V218" s="898"/>
      <c r="W218" s="898"/>
      <c r="X218" s="898"/>
      <c r="Y218" s="898"/>
      <c r="Z218" s="898"/>
      <c r="AA218" s="898"/>
      <c r="AB218" s="898"/>
      <c r="AC218" s="898"/>
      <c r="AD218" s="898"/>
      <c r="AE218" s="898"/>
      <c r="AF218" s="898"/>
      <c r="AG218" s="898"/>
      <c r="AH218" s="898"/>
      <c r="AI218" s="898"/>
      <c r="AJ218" s="898"/>
      <c r="AK218" s="897"/>
      <c r="AL218" s="897"/>
      <c r="AM218" s="897"/>
      <c r="AN218" s="897"/>
      <c r="AO218" s="897"/>
      <c r="AP218" s="897"/>
      <c r="AQ218" s="897"/>
      <c r="AR218" s="897"/>
    </row>
    <row r="219" spans="1:44" s="930" customFormat="1">
      <c r="A219" s="892"/>
      <c r="B219" s="899"/>
      <c r="C219" s="900"/>
      <c r="D219" s="894"/>
      <c r="E219" s="895"/>
      <c r="F219" s="896"/>
      <c r="G219" s="897"/>
      <c r="H219" s="897"/>
      <c r="I219" s="898"/>
      <c r="J219" s="898"/>
      <c r="K219" s="898"/>
      <c r="L219" s="898"/>
      <c r="M219" s="898"/>
      <c r="N219" s="898"/>
      <c r="O219" s="898"/>
      <c r="P219" s="898"/>
      <c r="Q219" s="898"/>
      <c r="R219" s="898"/>
      <c r="S219" s="898"/>
      <c r="T219" s="898"/>
      <c r="U219" s="898"/>
      <c r="V219" s="898"/>
      <c r="W219" s="898"/>
      <c r="X219" s="898"/>
      <c r="Y219" s="898"/>
      <c r="Z219" s="898"/>
      <c r="AA219" s="898"/>
      <c r="AB219" s="898"/>
      <c r="AC219" s="898"/>
      <c r="AD219" s="898"/>
      <c r="AE219" s="898"/>
      <c r="AF219" s="898"/>
      <c r="AG219" s="898"/>
      <c r="AH219" s="898"/>
      <c r="AI219" s="898"/>
      <c r="AJ219" s="898"/>
      <c r="AK219" s="897"/>
      <c r="AL219" s="897"/>
      <c r="AM219" s="897"/>
      <c r="AN219" s="897"/>
      <c r="AO219" s="897"/>
      <c r="AP219" s="897"/>
      <c r="AQ219" s="897"/>
      <c r="AR219" s="897"/>
    </row>
    <row r="220" spans="1:44" s="930" customFormat="1">
      <c r="A220" s="892"/>
      <c r="B220" s="899"/>
      <c r="C220" s="900"/>
      <c r="D220" s="894"/>
      <c r="E220" s="895"/>
      <c r="F220" s="896"/>
      <c r="G220" s="897"/>
      <c r="H220" s="897"/>
      <c r="I220" s="898"/>
      <c r="J220" s="898"/>
      <c r="K220" s="898"/>
      <c r="L220" s="898"/>
      <c r="M220" s="898"/>
      <c r="N220" s="898"/>
      <c r="O220" s="898"/>
      <c r="P220" s="898"/>
      <c r="Q220" s="898"/>
      <c r="R220" s="898"/>
      <c r="S220" s="898"/>
      <c r="T220" s="898"/>
      <c r="U220" s="898"/>
      <c r="V220" s="898"/>
      <c r="W220" s="898"/>
      <c r="X220" s="898"/>
      <c r="Y220" s="898"/>
      <c r="Z220" s="898"/>
      <c r="AA220" s="898"/>
      <c r="AB220" s="898"/>
      <c r="AC220" s="898"/>
      <c r="AD220" s="898"/>
      <c r="AE220" s="898"/>
      <c r="AF220" s="898"/>
      <c r="AG220" s="898"/>
      <c r="AH220" s="898"/>
      <c r="AI220" s="898"/>
      <c r="AJ220" s="898"/>
      <c r="AK220" s="897"/>
      <c r="AL220" s="897"/>
      <c r="AM220" s="897"/>
      <c r="AN220" s="897"/>
      <c r="AO220" s="897"/>
      <c r="AP220" s="897"/>
      <c r="AQ220" s="897"/>
      <c r="AR220" s="897"/>
    </row>
    <row r="221" spans="1:44" s="930" customFormat="1">
      <c r="A221" s="892"/>
      <c r="B221" s="899"/>
      <c r="C221" s="900"/>
      <c r="D221" s="894"/>
      <c r="E221" s="895"/>
      <c r="F221" s="896"/>
      <c r="G221" s="897"/>
      <c r="H221" s="897"/>
      <c r="I221" s="898"/>
      <c r="J221" s="898"/>
      <c r="K221" s="898"/>
      <c r="L221" s="898"/>
      <c r="M221" s="898"/>
      <c r="N221" s="898"/>
      <c r="O221" s="898"/>
      <c r="P221" s="898"/>
      <c r="Q221" s="898"/>
      <c r="R221" s="898"/>
      <c r="S221" s="898"/>
      <c r="T221" s="898"/>
      <c r="U221" s="898"/>
      <c r="V221" s="898"/>
      <c r="W221" s="898"/>
      <c r="X221" s="898"/>
      <c r="Y221" s="898"/>
      <c r="Z221" s="898"/>
      <c r="AA221" s="898"/>
      <c r="AB221" s="898"/>
      <c r="AC221" s="898"/>
      <c r="AD221" s="898"/>
      <c r="AE221" s="898"/>
      <c r="AF221" s="898"/>
      <c r="AG221" s="898"/>
      <c r="AH221" s="898"/>
      <c r="AI221" s="898"/>
      <c r="AJ221" s="898"/>
      <c r="AK221" s="897"/>
      <c r="AL221" s="897"/>
      <c r="AM221" s="897"/>
      <c r="AN221" s="897"/>
      <c r="AO221" s="897"/>
      <c r="AP221" s="897"/>
      <c r="AQ221" s="897"/>
      <c r="AR221" s="897"/>
    </row>
    <row r="222" spans="1:44" s="930" customFormat="1">
      <c r="A222" s="892"/>
      <c r="B222" s="899"/>
      <c r="C222" s="900"/>
      <c r="D222" s="894"/>
      <c r="E222" s="895"/>
      <c r="F222" s="896"/>
      <c r="G222" s="897"/>
      <c r="H222" s="897"/>
      <c r="I222" s="898"/>
      <c r="J222" s="898"/>
      <c r="K222" s="898"/>
      <c r="L222" s="898"/>
      <c r="M222" s="898"/>
      <c r="N222" s="898"/>
      <c r="O222" s="898"/>
      <c r="P222" s="898"/>
      <c r="Q222" s="898"/>
      <c r="R222" s="898"/>
      <c r="S222" s="898"/>
      <c r="T222" s="898"/>
      <c r="U222" s="898"/>
      <c r="V222" s="898"/>
      <c r="W222" s="898"/>
      <c r="X222" s="898"/>
      <c r="Y222" s="898"/>
      <c r="Z222" s="898"/>
      <c r="AA222" s="898"/>
      <c r="AB222" s="898"/>
      <c r="AC222" s="898"/>
      <c r="AD222" s="898"/>
      <c r="AE222" s="898"/>
      <c r="AF222" s="898"/>
      <c r="AG222" s="898"/>
      <c r="AH222" s="898"/>
      <c r="AI222" s="898"/>
      <c r="AJ222" s="898"/>
      <c r="AK222" s="897"/>
      <c r="AL222" s="897"/>
      <c r="AM222" s="897"/>
      <c r="AN222" s="897"/>
      <c r="AO222" s="897"/>
      <c r="AP222" s="897"/>
      <c r="AQ222" s="897"/>
      <c r="AR222" s="897"/>
    </row>
    <row r="223" spans="1:44" s="930" customFormat="1">
      <c r="A223" s="892"/>
      <c r="B223" s="899"/>
      <c r="C223" s="900"/>
      <c r="D223" s="894"/>
      <c r="E223" s="895"/>
      <c r="F223" s="896"/>
      <c r="G223" s="897"/>
      <c r="H223" s="897"/>
      <c r="I223" s="898"/>
      <c r="J223" s="898"/>
      <c r="K223" s="898"/>
      <c r="L223" s="898"/>
      <c r="M223" s="898"/>
      <c r="N223" s="898"/>
      <c r="O223" s="898"/>
      <c r="P223" s="898"/>
      <c r="Q223" s="898"/>
      <c r="R223" s="898"/>
      <c r="S223" s="898"/>
      <c r="T223" s="898"/>
      <c r="U223" s="898"/>
      <c r="V223" s="898"/>
      <c r="W223" s="898"/>
      <c r="X223" s="898"/>
      <c r="Y223" s="898"/>
      <c r="Z223" s="898"/>
      <c r="AA223" s="898"/>
      <c r="AB223" s="898"/>
      <c r="AC223" s="898"/>
      <c r="AD223" s="898"/>
      <c r="AE223" s="898"/>
      <c r="AF223" s="898"/>
      <c r="AG223" s="898"/>
      <c r="AH223" s="898"/>
      <c r="AI223" s="898"/>
      <c r="AJ223" s="898"/>
      <c r="AK223" s="897"/>
      <c r="AL223" s="897"/>
      <c r="AM223" s="897"/>
      <c r="AN223" s="897"/>
      <c r="AO223" s="897"/>
      <c r="AP223" s="897"/>
      <c r="AQ223" s="897"/>
      <c r="AR223" s="897"/>
    </row>
    <row r="224" spans="1:44" s="930" customFormat="1">
      <c r="A224" s="892"/>
      <c r="B224" s="899"/>
      <c r="C224" s="900"/>
      <c r="D224" s="894"/>
      <c r="E224" s="895"/>
      <c r="F224" s="896"/>
      <c r="G224" s="897"/>
      <c r="H224" s="897"/>
      <c r="I224" s="898"/>
      <c r="J224" s="898"/>
      <c r="K224" s="898"/>
      <c r="L224" s="898"/>
      <c r="M224" s="898"/>
      <c r="N224" s="898"/>
      <c r="O224" s="898"/>
      <c r="P224" s="898"/>
      <c r="Q224" s="898"/>
      <c r="R224" s="898"/>
      <c r="S224" s="898"/>
      <c r="T224" s="898"/>
      <c r="U224" s="898"/>
      <c r="V224" s="898"/>
      <c r="W224" s="898"/>
      <c r="X224" s="898"/>
      <c r="Y224" s="898"/>
      <c r="Z224" s="898"/>
      <c r="AA224" s="898"/>
      <c r="AB224" s="898"/>
      <c r="AC224" s="898"/>
      <c r="AD224" s="898"/>
      <c r="AE224" s="898"/>
      <c r="AF224" s="898"/>
      <c r="AG224" s="898"/>
      <c r="AH224" s="898"/>
      <c r="AI224" s="898"/>
      <c r="AJ224" s="898"/>
      <c r="AK224" s="897"/>
      <c r="AL224" s="897"/>
      <c r="AM224" s="897"/>
      <c r="AN224" s="897"/>
      <c r="AO224" s="897"/>
      <c r="AP224" s="897"/>
      <c r="AQ224" s="897"/>
      <c r="AR224" s="897"/>
    </row>
    <row r="225" spans="1:44" s="930" customFormat="1">
      <c r="A225" s="892"/>
      <c r="B225" s="899"/>
      <c r="C225" s="900"/>
      <c r="D225" s="894"/>
      <c r="E225" s="895"/>
      <c r="F225" s="896"/>
      <c r="G225" s="897"/>
      <c r="H225" s="897"/>
      <c r="I225" s="898"/>
      <c r="J225" s="898"/>
      <c r="K225" s="898"/>
      <c r="L225" s="898"/>
      <c r="M225" s="898"/>
      <c r="N225" s="898"/>
      <c r="O225" s="898"/>
      <c r="P225" s="898"/>
      <c r="Q225" s="898"/>
      <c r="R225" s="898"/>
      <c r="S225" s="898"/>
      <c r="T225" s="898"/>
      <c r="U225" s="898"/>
      <c r="V225" s="898"/>
      <c r="W225" s="898"/>
      <c r="X225" s="898"/>
      <c r="Y225" s="898"/>
      <c r="Z225" s="898"/>
      <c r="AA225" s="898"/>
      <c r="AB225" s="898"/>
      <c r="AC225" s="898"/>
      <c r="AD225" s="898"/>
      <c r="AE225" s="898"/>
      <c r="AF225" s="898"/>
      <c r="AG225" s="898"/>
      <c r="AH225" s="898"/>
      <c r="AI225" s="898"/>
      <c r="AJ225" s="898"/>
      <c r="AK225" s="897"/>
      <c r="AL225" s="897"/>
      <c r="AM225" s="897"/>
      <c r="AN225" s="897"/>
      <c r="AO225" s="897"/>
      <c r="AP225" s="897"/>
      <c r="AQ225" s="897"/>
      <c r="AR225" s="897"/>
    </row>
    <row r="226" spans="1:44" s="930" customFormat="1">
      <c r="A226" s="892"/>
      <c r="B226" s="899"/>
      <c r="C226" s="900"/>
      <c r="D226" s="894"/>
      <c r="E226" s="895"/>
      <c r="F226" s="896"/>
      <c r="G226" s="897"/>
      <c r="H226" s="897"/>
      <c r="I226" s="898"/>
      <c r="J226" s="898"/>
      <c r="K226" s="898"/>
      <c r="L226" s="898"/>
      <c r="M226" s="898"/>
      <c r="N226" s="898"/>
      <c r="O226" s="898"/>
      <c r="P226" s="898"/>
      <c r="Q226" s="898"/>
      <c r="R226" s="898"/>
      <c r="S226" s="898"/>
      <c r="T226" s="898"/>
      <c r="U226" s="898"/>
      <c r="V226" s="898"/>
      <c r="W226" s="898"/>
      <c r="X226" s="898"/>
      <c r="Y226" s="898"/>
      <c r="Z226" s="898"/>
      <c r="AA226" s="898"/>
      <c r="AB226" s="898"/>
      <c r="AC226" s="898"/>
      <c r="AD226" s="898"/>
      <c r="AE226" s="898"/>
      <c r="AF226" s="898"/>
      <c r="AG226" s="898"/>
      <c r="AH226" s="898"/>
      <c r="AI226" s="898"/>
      <c r="AJ226" s="898"/>
      <c r="AK226" s="897"/>
      <c r="AL226" s="897"/>
      <c r="AM226" s="897"/>
      <c r="AN226" s="897"/>
      <c r="AO226" s="897"/>
      <c r="AP226" s="897"/>
      <c r="AQ226" s="897"/>
      <c r="AR226" s="897"/>
    </row>
    <row r="227" spans="1:44" s="930" customFormat="1">
      <c r="A227" s="892"/>
      <c r="B227" s="899"/>
      <c r="C227" s="900"/>
      <c r="D227" s="894"/>
      <c r="E227" s="895"/>
      <c r="F227" s="896"/>
      <c r="G227" s="897"/>
      <c r="H227" s="897"/>
      <c r="I227" s="898"/>
      <c r="J227" s="898"/>
      <c r="K227" s="898"/>
      <c r="L227" s="898"/>
      <c r="M227" s="898"/>
      <c r="N227" s="898"/>
      <c r="O227" s="898"/>
      <c r="P227" s="898"/>
      <c r="Q227" s="898"/>
      <c r="R227" s="898"/>
      <c r="S227" s="898"/>
      <c r="T227" s="898"/>
      <c r="U227" s="898"/>
      <c r="V227" s="898"/>
      <c r="W227" s="898"/>
      <c r="X227" s="898"/>
      <c r="Y227" s="898"/>
      <c r="Z227" s="898"/>
      <c r="AA227" s="898"/>
      <c r="AB227" s="898"/>
      <c r="AC227" s="898"/>
      <c r="AD227" s="898"/>
      <c r="AE227" s="898"/>
      <c r="AF227" s="898"/>
      <c r="AG227" s="898"/>
      <c r="AH227" s="898"/>
      <c r="AI227" s="898"/>
      <c r="AJ227" s="898"/>
      <c r="AK227" s="897"/>
      <c r="AL227" s="897"/>
      <c r="AM227" s="897"/>
      <c r="AN227" s="897"/>
      <c r="AO227" s="897"/>
      <c r="AP227" s="897"/>
      <c r="AQ227" s="897"/>
      <c r="AR227" s="897"/>
    </row>
    <row r="228" spans="1:44" s="930" customFormat="1">
      <c r="A228" s="892"/>
      <c r="B228" s="899"/>
      <c r="C228" s="900"/>
      <c r="D228" s="894"/>
      <c r="E228" s="895"/>
      <c r="F228" s="896"/>
      <c r="G228" s="897"/>
      <c r="H228" s="897"/>
      <c r="I228" s="898"/>
      <c r="J228" s="898"/>
      <c r="K228" s="898"/>
      <c r="L228" s="898"/>
      <c r="M228" s="898"/>
      <c r="N228" s="898"/>
      <c r="O228" s="898"/>
      <c r="P228" s="898"/>
      <c r="Q228" s="898"/>
      <c r="R228" s="898"/>
      <c r="S228" s="898"/>
      <c r="T228" s="898"/>
      <c r="U228" s="898"/>
      <c r="V228" s="898"/>
      <c r="W228" s="898"/>
      <c r="X228" s="898"/>
      <c r="Y228" s="898"/>
      <c r="Z228" s="898"/>
      <c r="AA228" s="898"/>
      <c r="AB228" s="898"/>
      <c r="AC228" s="898"/>
      <c r="AD228" s="898"/>
      <c r="AE228" s="898"/>
      <c r="AF228" s="898"/>
      <c r="AG228" s="898"/>
      <c r="AH228" s="898"/>
      <c r="AI228" s="898"/>
      <c r="AJ228" s="898"/>
      <c r="AK228" s="897"/>
      <c r="AL228" s="897"/>
      <c r="AM228" s="897"/>
      <c r="AN228" s="897"/>
      <c r="AO228" s="897"/>
      <c r="AP228" s="897"/>
      <c r="AQ228" s="897"/>
      <c r="AR228" s="897"/>
    </row>
    <row r="229" spans="1:44" s="930" customFormat="1">
      <c r="A229" s="892"/>
      <c r="B229" s="899"/>
      <c r="C229" s="900"/>
      <c r="D229" s="894"/>
      <c r="E229" s="895"/>
      <c r="F229" s="896"/>
      <c r="G229" s="897"/>
      <c r="H229" s="897"/>
      <c r="I229" s="898"/>
      <c r="J229" s="898"/>
      <c r="K229" s="898"/>
      <c r="L229" s="898"/>
      <c r="M229" s="898"/>
      <c r="N229" s="898"/>
      <c r="O229" s="898"/>
      <c r="P229" s="898"/>
      <c r="Q229" s="898"/>
      <c r="R229" s="898"/>
      <c r="S229" s="898"/>
      <c r="T229" s="898"/>
      <c r="U229" s="898"/>
      <c r="V229" s="898"/>
      <c r="W229" s="898"/>
      <c r="X229" s="898"/>
      <c r="Y229" s="898"/>
      <c r="Z229" s="898"/>
      <c r="AA229" s="898"/>
      <c r="AB229" s="898"/>
      <c r="AC229" s="898"/>
      <c r="AD229" s="898"/>
      <c r="AE229" s="898"/>
      <c r="AF229" s="898"/>
      <c r="AG229" s="898"/>
      <c r="AH229" s="898"/>
      <c r="AI229" s="898"/>
      <c r="AJ229" s="898"/>
      <c r="AK229" s="897"/>
      <c r="AL229" s="897"/>
      <c r="AM229" s="897"/>
      <c r="AN229" s="897"/>
      <c r="AO229" s="897"/>
      <c r="AP229" s="897"/>
      <c r="AQ229" s="897"/>
      <c r="AR229" s="897"/>
    </row>
    <row r="230" spans="1:44" s="930" customFormat="1">
      <c r="A230" s="892"/>
      <c r="B230" s="899"/>
      <c r="C230" s="900"/>
      <c r="D230" s="894"/>
      <c r="E230" s="895"/>
      <c r="F230" s="896"/>
      <c r="G230" s="897"/>
      <c r="H230" s="897"/>
      <c r="I230" s="898"/>
      <c r="J230" s="898"/>
      <c r="K230" s="898"/>
      <c r="L230" s="898"/>
      <c r="M230" s="898"/>
      <c r="N230" s="898"/>
      <c r="O230" s="898"/>
      <c r="P230" s="898"/>
      <c r="Q230" s="898"/>
      <c r="R230" s="898"/>
      <c r="S230" s="898"/>
      <c r="T230" s="898"/>
      <c r="U230" s="898"/>
      <c r="V230" s="898"/>
      <c r="W230" s="898"/>
      <c r="X230" s="898"/>
      <c r="Y230" s="898"/>
      <c r="Z230" s="898"/>
      <c r="AA230" s="898"/>
      <c r="AB230" s="898"/>
      <c r="AC230" s="898"/>
      <c r="AD230" s="898"/>
      <c r="AE230" s="898"/>
      <c r="AF230" s="898"/>
      <c r="AG230" s="898"/>
      <c r="AH230" s="898"/>
      <c r="AI230" s="898"/>
      <c r="AJ230" s="898"/>
      <c r="AK230" s="897"/>
      <c r="AL230" s="897"/>
      <c r="AM230" s="897"/>
      <c r="AN230" s="897"/>
      <c r="AO230" s="897"/>
      <c r="AP230" s="897"/>
      <c r="AQ230" s="897"/>
      <c r="AR230" s="897"/>
    </row>
    <row r="231" spans="1:44" s="930" customFormat="1">
      <c r="A231" s="892"/>
      <c r="B231" s="899"/>
      <c r="C231" s="900"/>
      <c r="D231" s="894"/>
      <c r="E231" s="895"/>
      <c r="F231" s="896"/>
      <c r="G231" s="897"/>
      <c r="H231" s="897"/>
      <c r="I231" s="898"/>
      <c r="J231" s="898"/>
      <c r="K231" s="898"/>
      <c r="L231" s="898"/>
      <c r="M231" s="898"/>
      <c r="N231" s="898"/>
      <c r="O231" s="898"/>
      <c r="P231" s="898"/>
      <c r="Q231" s="898"/>
      <c r="R231" s="898"/>
      <c r="S231" s="898"/>
      <c r="T231" s="898"/>
      <c r="U231" s="898"/>
      <c r="V231" s="898"/>
      <c r="W231" s="898"/>
      <c r="X231" s="898"/>
      <c r="Y231" s="898"/>
      <c r="Z231" s="898"/>
      <c r="AA231" s="898"/>
      <c r="AB231" s="898"/>
      <c r="AC231" s="898"/>
      <c r="AD231" s="898"/>
      <c r="AE231" s="898"/>
      <c r="AF231" s="898"/>
      <c r="AG231" s="898"/>
      <c r="AH231" s="898"/>
      <c r="AI231" s="898"/>
      <c r="AJ231" s="898"/>
      <c r="AK231" s="897"/>
      <c r="AL231" s="897"/>
      <c r="AM231" s="897"/>
      <c r="AN231" s="897"/>
      <c r="AO231" s="897"/>
      <c r="AP231" s="897"/>
      <c r="AQ231" s="897"/>
      <c r="AR231" s="897"/>
    </row>
    <row r="232" spans="1:44" s="930" customFormat="1">
      <c r="A232" s="892"/>
      <c r="B232" s="899"/>
      <c r="C232" s="900"/>
      <c r="D232" s="894"/>
      <c r="E232" s="895"/>
      <c r="F232" s="896"/>
      <c r="G232" s="897"/>
      <c r="H232" s="897"/>
      <c r="I232" s="898"/>
      <c r="J232" s="898"/>
      <c r="K232" s="898"/>
      <c r="L232" s="898"/>
      <c r="M232" s="898"/>
      <c r="N232" s="898"/>
      <c r="O232" s="898"/>
      <c r="P232" s="898"/>
      <c r="Q232" s="898"/>
      <c r="R232" s="898"/>
      <c r="S232" s="898"/>
      <c r="T232" s="898"/>
      <c r="U232" s="898"/>
      <c r="V232" s="898"/>
      <c r="W232" s="898"/>
      <c r="X232" s="898"/>
      <c r="Y232" s="898"/>
      <c r="Z232" s="898"/>
      <c r="AA232" s="898"/>
      <c r="AB232" s="898"/>
      <c r="AC232" s="898"/>
      <c r="AD232" s="898"/>
      <c r="AE232" s="898"/>
      <c r="AF232" s="898"/>
      <c r="AG232" s="898"/>
      <c r="AH232" s="898"/>
      <c r="AI232" s="898"/>
      <c r="AJ232" s="898"/>
      <c r="AK232" s="897"/>
      <c r="AL232" s="897"/>
      <c r="AM232" s="897"/>
      <c r="AN232" s="897"/>
      <c r="AO232" s="897"/>
      <c r="AP232" s="897"/>
      <c r="AQ232" s="897"/>
      <c r="AR232" s="897"/>
    </row>
    <row r="233" spans="1:44" s="930" customFormat="1">
      <c r="A233" s="892"/>
      <c r="B233" s="899"/>
      <c r="C233" s="900"/>
      <c r="D233" s="894"/>
      <c r="E233" s="895"/>
      <c r="F233" s="896"/>
      <c r="G233" s="897"/>
      <c r="H233" s="897"/>
      <c r="I233" s="898"/>
      <c r="J233" s="898"/>
      <c r="K233" s="898"/>
      <c r="L233" s="898"/>
      <c r="M233" s="898"/>
      <c r="N233" s="898"/>
      <c r="O233" s="898"/>
      <c r="P233" s="898"/>
      <c r="Q233" s="898"/>
      <c r="R233" s="898"/>
      <c r="S233" s="898"/>
      <c r="T233" s="898"/>
      <c r="U233" s="898"/>
      <c r="V233" s="898"/>
      <c r="W233" s="898"/>
      <c r="X233" s="898"/>
      <c r="Y233" s="898"/>
      <c r="Z233" s="898"/>
      <c r="AA233" s="898"/>
      <c r="AB233" s="898"/>
      <c r="AC233" s="898"/>
      <c r="AD233" s="898"/>
      <c r="AE233" s="898"/>
      <c r="AF233" s="898"/>
      <c r="AG233" s="898"/>
      <c r="AH233" s="898"/>
      <c r="AI233" s="898"/>
      <c r="AJ233" s="898"/>
      <c r="AK233" s="897"/>
      <c r="AL233" s="897"/>
      <c r="AM233" s="897"/>
      <c r="AN233" s="897"/>
      <c r="AO233" s="897"/>
      <c r="AP233" s="897"/>
      <c r="AQ233" s="897"/>
      <c r="AR233" s="897"/>
    </row>
    <row r="234" spans="1:44" s="930" customFormat="1">
      <c r="A234" s="892"/>
      <c r="B234" s="899"/>
      <c r="C234" s="900"/>
      <c r="D234" s="894"/>
      <c r="E234" s="895"/>
      <c r="F234" s="896"/>
      <c r="G234" s="897"/>
      <c r="H234" s="897"/>
      <c r="I234" s="898"/>
      <c r="J234" s="898"/>
      <c r="K234" s="898"/>
      <c r="L234" s="898"/>
      <c r="M234" s="898"/>
      <c r="N234" s="898"/>
      <c r="O234" s="898"/>
      <c r="P234" s="898"/>
      <c r="Q234" s="898"/>
      <c r="R234" s="898"/>
      <c r="S234" s="898"/>
      <c r="T234" s="898"/>
      <c r="U234" s="898"/>
      <c r="V234" s="898"/>
      <c r="W234" s="898"/>
      <c r="X234" s="898"/>
      <c r="Y234" s="898"/>
      <c r="Z234" s="898"/>
      <c r="AA234" s="898"/>
      <c r="AB234" s="898"/>
      <c r="AC234" s="898"/>
      <c r="AD234" s="898"/>
      <c r="AE234" s="898"/>
      <c r="AF234" s="898"/>
      <c r="AG234" s="898"/>
      <c r="AH234" s="898"/>
      <c r="AI234" s="898"/>
      <c r="AJ234" s="898"/>
      <c r="AK234" s="897"/>
      <c r="AL234" s="897"/>
      <c r="AM234" s="897"/>
      <c r="AN234" s="897"/>
      <c r="AO234" s="897"/>
      <c r="AP234" s="897"/>
      <c r="AQ234" s="897"/>
      <c r="AR234" s="897"/>
    </row>
    <row r="235" spans="1:44" s="930" customFormat="1">
      <c r="A235" s="892"/>
      <c r="B235" s="899"/>
      <c r="C235" s="900"/>
      <c r="D235" s="894"/>
      <c r="E235" s="895"/>
      <c r="F235" s="896"/>
      <c r="G235" s="897"/>
      <c r="H235" s="897"/>
      <c r="I235" s="898"/>
      <c r="J235" s="898"/>
      <c r="K235" s="898"/>
      <c r="L235" s="898"/>
      <c r="M235" s="898"/>
      <c r="N235" s="898"/>
      <c r="O235" s="898"/>
      <c r="P235" s="898"/>
      <c r="Q235" s="898"/>
      <c r="R235" s="898"/>
      <c r="S235" s="898"/>
      <c r="T235" s="898"/>
      <c r="U235" s="898"/>
      <c r="V235" s="898"/>
      <c r="W235" s="898"/>
      <c r="X235" s="898"/>
      <c r="Y235" s="898"/>
      <c r="Z235" s="898"/>
      <c r="AA235" s="898"/>
      <c r="AB235" s="898"/>
      <c r="AC235" s="898"/>
      <c r="AD235" s="898"/>
      <c r="AE235" s="898"/>
      <c r="AF235" s="898"/>
      <c r="AG235" s="898"/>
      <c r="AH235" s="898"/>
      <c r="AI235" s="898"/>
      <c r="AJ235" s="898"/>
      <c r="AK235" s="897"/>
      <c r="AL235" s="897"/>
      <c r="AM235" s="897"/>
      <c r="AN235" s="897"/>
      <c r="AO235" s="897"/>
      <c r="AP235" s="897"/>
      <c r="AQ235" s="897"/>
      <c r="AR235" s="897"/>
    </row>
    <row r="236" spans="1:44" s="930" customFormat="1">
      <c r="A236" s="892"/>
      <c r="B236" s="899"/>
      <c r="C236" s="900"/>
      <c r="D236" s="894"/>
      <c r="E236" s="895"/>
      <c r="F236" s="896"/>
      <c r="G236" s="897"/>
      <c r="H236" s="897"/>
      <c r="I236" s="898"/>
      <c r="J236" s="898"/>
      <c r="K236" s="898"/>
      <c r="L236" s="898"/>
      <c r="M236" s="898"/>
      <c r="N236" s="898"/>
      <c r="O236" s="898"/>
      <c r="P236" s="898"/>
      <c r="Q236" s="898"/>
      <c r="R236" s="898"/>
      <c r="S236" s="898"/>
      <c r="T236" s="898"/>
      <c r="U236" s="898"/>
      <c r="V236" s="898"/>
      <c r="W236" s="898"/>
      <c r="X236" s="898"/>
      <c r="Y236" s="898"/>
      <c r="Z236" s="898"/>
      <c r="AA236" s="898"/>
      <c r="AB236" s="898"/>
      <c r="AC236" s="898"/>
      <c r="AD236" s="898"/>
      <c r="AE236" s="898"/>
      <c r="AF236" s="898"/>
      <c r="AG236" s="898"/>
      <c r="AH236" s="898"/>
      <c r="AI236" s="898"/>
      <c r="AJ236" s="898"/>
      <c r="AK236" s="897"/>
      <c r="AL236" s="897"/>
      <c r="AM236" s="897"/>
      <c r="AN236" s="897"/>
      <c r="AO236" s="897"/>
      <c r="AP236" s="897"/>
      <c r="AQ236" s="897"/>
      <c r="AR236" s="897"/>
    </row>
    <row r="237" spans="1:44" s="930" customFormat="1">
      <c r="A237" s="892"/>
      <c r="B237" s="899"/>
      <c r="C237" s="900"/>
      <c r="D237" s="894"/>
      <c r="E237" s="895"/>
      <c r="F237" s="896"/>
      <c r="G237" s="897"/>
      <c r="H237" s="897"/>
      <c r="I237" s="898"/>
      <c r="J237" s="898"/>
      <c r="K237" s="898"/>
      <c r="L237" s="898"/>
      <c r="M237" s="898"/>
      <c r="N237" s="898"/>
      <c r="O237" s="898"/>
      <c r="P237" s="898"/>
      <c r="Q237" s="898"/>
      <c r="R237" s="898"/>
      <c r="S237" s="898"/>
      <c r="T237" s="898"/>
      <c r="U237" s="898"/>
      <c r="V237" s="898"/>
      <c r="W237" s="898"/>
      <c r="X237" s="898"/>
      <c r="Y237" s="898"/>
      <c r="Z237" s="898"/>
      <c r="AA237" s="898"/>
      <c r="AB237" s="898"/>
      <c r="AC237" s="898"/>
      <c r="AD237" s="898"/>
      <c r="AE237" s="898"/>
      <c r="AF237" s="898"/>
      <c r="AG237" s="898"/>
      <c r="AH237" s="898"/>
      <c r="AI237" s="898"/>
      <c r="AJ237" s="898"/>
      <c r="AK237" s="897"/>
      <c r="AL237" s="897"/>
      <c r="AM237" s="897"/>
      <c r="AN237" s="897"/>
      <c r="AO237" s="897"/>
      <c r="AP237" s="897"/>
      <c r="AQ237" s="897"/>
      <c r="AR237" s="897"/>
    </row>
    <row r="238" spans="1:44" s="930" customFormat="1">
      <c r="A238" s="892"/>
      <c r="B238" s="899"/>
      <c r="C238" s="900"/>
      <c r="D238" s="894"/>
      <c r="E238" s="895"/>
      <c r="F238" s="896"/>
      <c r="G238" s="897"/>
      <c r="H238" s="897"/>
      <c r="I238" s="898"/>
      <c r="J238" s="898"/>
      <c r="K238" s="898"/>
      <c r="L238" s="898"/>
      <c r="M238" s="898"/>
      <c r="N238" s="898"/>
      <c r="O238" s="898"/>
      <c r="P238" s="898"/>
      <c r="Q238" s="898"/>
      <c r="R238" s="898"/>
      <c r="S238" s="898"/>
      <c r="T238" s="898"/>
      <c r="U238" s="898"/>
      <c r="V238" s="898"/>
      <c r="W238" s="898"/>
      <c r="X238" s="898"/>
      <c r="Y238" s="898"/>
      <c r="Z238" s="898"/>
      <c r="AA238" s="898"/>
      <c r="AB238" s="898"/>
      <c r="AC238" s="898"/>
      <c r="AD238" s="898"/>
      <c r="AE238" s="898"/>
      <c r="AF238" s="898"/>
      <c r="AG238" s="898"/>
      <c r="AH238" s="898"/>
      <c r="AI238" s="898"/>
      <c r="AJ238" s="898"/>
      <c r="AK238" s="897"/>
      <c r="AL238" s="897"/>
      <c r="AM238" s="897"/>
      <c r="AN238" s="897"/>
      <c r="AO238" s="897"/>
      <c r="AP238" s="897"/>
      <c r="AQ238" s="897"/>
      <c r="AR238" s="897"/>
    </row>
    <row r="239" spans="1:44" s="930" customFormat="1">
      <c r="A239" s="892"/>
      <c r="B239" s="899"/>
      <c r="C239" s="900"/>
      <c r="D239" s="894"/>
      <c r="E239" s="895"/>
      <c r="F239" s="896"/>
      <c r="G239" s="897"/>
      <c r="H239" s="897"/>
      <c r="I239" s="898"/>
      <c r="J239" s="898"/>
      <c r="K239" s="898"/>
      <c r="L239" s="898"/>
      <c r="M239" s="898"/>
      <c r="N239" s="898"/>
      <c r="O239" s="898"/>
      <c r="P239" s="898"/>
      <c r="Q239" s="898"/>
      <c r="R239" s="898"/>
      <c r="S239" s="898"/>
      <c r="T239" s="898"/>
      <c r="U239" s="898"/>
      <c r="V239" s="898"/>
      <c r="W239" s="898"/>
      <c r="X239" s="898"/>
      <c r="Y239" s="898"/>
      <c r="Z239" s="898"/>
      <c r="AA239" s="898"/>
      <c r="AB239" s="898"/>
      <c r="AC239" s="898"/>
      <c r="AD239" s="898"/>
      <c r="AE239" s="898"/>
      <c r="AF239" s="898"/>
      <c r="AG239" s="898"/>
      <c r="AH239" s="898"/>
      <c r="AI239" s="898"/>
      <c r="AJ239" s="898"/>
      <c r="AK239" s="897"/>
      <c r="AL239" s="897"/>
      <c r="AM239" s="897"/>
      <c r="AN239" s="897"/>
      <c r="AO239" s="897"/>
      <c r="AP239" s="897"/>
      <c r="AQ239" s="897"/>
      <c r="AR239" s="897"/>
    </row>
    <row r="240" spans="1:44" s="930" customFormat="1">
      <c r="A240" s="892"/>
      <c r="B240" s="899"/>
      <c r="C240" s="900"/>
      <c r="D240" s="894"/>
      <c r="E240" s="895"/>
      <c r="F240" s="896"/>
      <c r="G240" s="897"/>
      <c r="H240" s="897"/>
      <c r="I240" s="898"/>
      <c r="J240" s="898"/>
      <c r="K240" s="898"/>
      <c r="L240" s="898"/>
      <c r="M240" s="898"/>
      <c r="N240" s="898"/>
      <c r="O240" s="898"/>
      <c r="P240" s="898"/>
      <c r="Q240" s="898"/>
      <c r="R240" s="898"/>
      <c r="S240" s="898"/>
      <c r="T240" s="898"/>
      <c r="U240" s="898"/>
      <c r="V240" s="898"/>
      <c r="W240" s="898"/>
      <c r="X240" s="898"/>
      <c r="Y240" s="898"/>
      <c r="Z240" s="898"/>
      <c r="AA240" s="898"/>
      <c r="AB240" s="898"/>
      <c r="AC240" s="898"/>
      <c r="AD240" s="898"/>
      <c r="AE240" s="898"/>
      <c r="AF240" s="898"/>
      <c r="AG240" s="898"/>
      <c r="AH240" s="898"/>
      <c r="AI240" s="898"/>
      <c r="AJ240" s="898"/>
      <c r="AK240" s="897"/>
      <c r="AL240" s="897"/>
      <c r="AM240" s="897"/>
      <c r="AN240" s="897"/>
      <c r="AO240" s="897"/>
      <c r="AP240" s="897"/>
      <c r="AQ240" s="897"/>
      <c r="AR240" s="897"/>
    </row>
    <row r="241" spans="1:44" s="930" customFormat="1">
      <c r="A241" s="892"/>
      <c r="B241" s="899"/>
      <c r="C241" s="900"/>
      <c r="D241" s="894"/>
      <c r="E241" s="895"/>
      <c r="F241" s="896"/>
      <c r="G241" s="897"/>
      <c r="H241" s="897"/>
      <c r="I241" s="898"/>
      <c r="J241" s="898"/>
      <c r="K241" s="898"/>
      <c r="L241" s="898"/>
      <c r="M241" s="898"/>
      <c r="N241" s="898"/>
      <c r="O241" s="898"/>
      <c r="P241" s="898"/>
      <c r="Q241" s="898"/>
      <c r="R241" s="898"/>
      <c r="S241" s="898"/>
      <c r="T241" s="898"/>
      <c r="U241" s="898"/>
      <c r="V241" s="898"/>
      <c r="W241" s="898"/>
      <c r="X241" s="898"/>
      <c r="Y241" s="898"/>
      <c r="Z241" s="898"/>
      <c r="AA241" s="898"/>
      <c r="AB241" s="898"/>
      <c r="AC241" s="898"/>
      <c r="AD241" s="898"/>
      <c r="AE241" s="898"/>
      <c r="AF241" s="898"/>
      <c r="AG241" s="898"/>
      <c r="AH241" s="898"/>
      <c r="AI241" s="898"/>
      <c r="AJ241" s="898"/>
      <c r="AK241" s="897"/>
      <c r="AL241" s="897"/>
      <c r="AM241" s="897"/>
      <c r="AN241" s="897"/>
      <c r="AO241" s="897"/>
      <c r="AP241" s="897"/>
      <c r="AQ241" s="897"/>
      <c r="AR241" s="897"/>
    </row>
    <row r="242" spans="1:44" s="930" customFormat="1">
      <c r="A242" s="892"/>
      <c r="B242" s="899"/>
      <c r="C242" s="900"/>
      <c r="D242" s="894"/>
      <c r="E242" s="895"/>
      <c r="F242" s="896"/>
      <c r="G242" s="897"/>
      <c r="H242" s="897"/>
      <c r="I242" s="898"/>
      <c r="J242" s="898"/>
      <c r="K242" s="898"/>
      <c r="L242" s="898"/>
      <c r="M242" s="898"/>
      <c r="N242" s="898"/>
      <c r="O242" s="898"/>
      <c r="P242" s="898"/>
      <c r="Q242" s="898"/>
      <c r="R242" s="898"/>
      <c r="S242" s="898"/>
      <c r="T242" s="898"/>
      <c r="U242" s="898"/>
      <c r="V242" s="898"/>
      <c r="W242" s="898"/>
      <c r="X242" s="898"/>
      <c r="Y242" s="898"/>
      <c r="Z242" s="898"/>
      <c r="AA242" s="898"/>
      <c r="AB242" s="898"/>
      <c r="AC242" s="898"/>
      <c r="AD242" s="898"/>
      <c r="AE242" s="898"/>
      <c r="AF242" s="898"/>
      <c r="AG242" s="898"/>
      <c r="AH242" s="898"/>
      <c r="AI242" s="898"/>
      <c r="AJ242" s="898"/>
      <c r="AK242" s="897"/>
      <c r="AL242" s="897"/>
      <c r="AM242" s="897"/>
      <c r="AN242" s="897"/>
      <c r="AO242" s="897"/>
      <c r="AP242" s="897"/>
      <c r="AQ242" s="897"/>
      <c r="AR242" s="897"/>
    </row>
    <row r="243" spans="1:44" s="930" customFormat="1">
      <c r="A243" s="892"/>
      <c r="B243" s="899"/>
      <c r="C243" s="900"/>
      <c r="D243" s="894"/>
      <c r="E243" s="895"/>
      <c r="F243" s="896"/>
      <c r="G243" s="897"/>
      <c r="H243" s="897"/>
      <c r="I243" s="898"/>
      <c r="J243" s="898"/>
      <c r="K243" s="898"/>
      <c r="L243" s="898"/>
      <c r="M243" s="898"/>
      <c r="N243" s="898"/>
      <c r="O243" s="898"/>
      <c r="P243" s="898"/>
      <c r="Q243" s="898"/>
      <c r="R243" s="898"/>
      <c r="S243" s="898"/>
      <c r="T243" s="898"/>
      <c r="U243" s="898"/>
      <c r="V243" s="898"/>
      <c r="W243" s="898"/>
      <c r="X243" s="898"/>
      <c r="Y243" s="898"/>
      <c r="Z243" s="898"/>
      <c r="AA243" s="898"/>
      <c r="AB243" s="898"/>
      <c r="AC243" s="898"/>
      <c r="AD243" s="898"/>
      <c r="AE243" s="898"/>
      <c r="AF243" s="898"/>
      <c r="AG243" s="898"/>
      <c r="AH243" s="898"/>
      <c r="AI243" s="898"/>
      <c r="AJ243" s="898"/>
      <c r="AK243" s="897"/>
      <c r="AL243" s="897"/>
      <c r="AM243" s="897"/>
      <c r="AN243" s="897"/>
      <c r="AO243" s="897"/>
      <c r="AP243" s="897"/>
      <c r="AQ243" s="897"/>
      <c r="AR243" s="897"/>
    </row>
    <row r="244" spans="1:44" s="930" customFormat="1">
      <c r="A244" s="892"/>
      <c r="B244" s="899"/>
      <c r="C244" s="900"/>
      <c r="D244" s="894"/>
      <c r="E244" s="895"/>
      <c r="F244" s="896"/>
      <c r="G244" s="897"/>
      <c r="H244" s="897"/>
      <c r="I244" s="898"/>
      <c r="J244" s="898"/>
      <c r="K244" s="898"/>
      <c r="L244" s="898"/>
      <c r="M244" s="898"/>
      <c r="N244" s="898"/>
      <c r="O244" s="898"/>
      <c r="P244" s="898"/>
      <c r="Q244" s="898"/>
      <c r="R244" s="898"/>
      <c r="S244" s="898"/>
      <c r="T244" s="898"/>
      <c r="U244" s="898"/>
      <c r="V244" s="898"/>
      <c r="W244" s="898"/>
      <c r="X244" s="898"/>
      <c r="Y244" s="898"/>
      <c r="Z244" s="898"/>
      <c r="AA244" s="898"/>
      <c r="AB244" s="898"/>
      <c r="AC244" s="898"/>
      <c r="AD244" s="898"/>
      <c r="AE244" s="898"/>
      <c r="AF244" s="898"/>
      <c r="AG244" s="898"/>
      <c r="AH244" s="898"/>
      <c r="AI244" s="898"/>
      <c r="AJ244" s="898"/>
      <c r="AK244" s="897"/>
      <c r="AL244" s="897"/>
      <c r="AM244" s="897"/>
      <c r="AN244" s="897"/>
      <c r="AO244" s="897"/>
      <c r="AP244" s="897"/>
      <c r="AQ244" s="897"/>
      <c r="AR244" s="897"/>
    </row>
    <row r="245" spans="1:44" s="930" customFormat="1">
      <c r="A245" s="892"/>
      <c r="B245" s="899"/>
      <c r="C245" s="900"/>
      <c r="D245" s="894"/>
      <c r="E245" s="895"/>
      <c r="F245" s="896"/>
      <c r="G245" s="897"/>
      <c r="H245" s="897"/>
      <c r="I245" s="898"/>
      <c r="J245" s="898"/>
      <c r="K245" s="898"/>
      <c r="L245" s="898"/>
      <c r="M245" s="898"/>
      <c r="N245" s="898"/>
      <c r="O245" s="898"/>
      <c r="P245" s="898"/>
      <c r="Q245" s="898"/>
      <c r="R245" s="898"/>
      <c r="S245" s="898"/>
      <c r="T245" s="898"/>
      <c r="U245" s="898"/>
      <c r="V245" s="898"/>
      <c r="W245" s="898"/>
      <c r="X245" s="898"/>
      <c r="Y245" s="898"/>
      <c r="Z245" s="898"/>
      <c r="AA245" s="898"/>
      <c r="AB245" s="898"/>
      <c r="AC245" s="898"/>
      <c r="AD245" s="898"/>
      <c r="AE245" s="898"/>
      <c r="AF245" s="898"/>
      <c r="AG245" s="898"/>
      <c r="AH245" s="898"/>
      <c r="AI245" s="898"/>
      <c r="AJ245" s="898"/>
      <c r="AK245" s="897"/>
      <c r="AL245" s="897"/>
      <c r="AM245" s="897"/>
      <c r="AN245" s="897"/>
      <c r="AO245" s="897"/>
      <c r="AP245" s="897"/>
      <c r="AQ245" s="897"/>
      <c r="AR245" s="897"/>
    </row>
    <row r="246" spans="1:44" s="930" customFormat="1">
      <c r="A246" s="892"/>
      <c r="B246" s="899"/>
      <c r="C246" s="900"/>
      <c r="D246" s="894"/>
      <c r="E246" s="895"/>
      <c r="F246" s="896"/>
      <c r="G246" s="897"/>
      <c r="H246" s="897"/>
      <c r="I246" s="898"/>
      <c r="J246" s="898"/>
      <c r="K246" s="898"/>
      <c r="L246" s="898"/>
      <c r="M246" s="898"/>
      <c r="N246" s="898"/>
      <c r="O246" s="898"/>
      <c r="P246" s="898"/>
      <c r="Q246" s="898"/>
      <c r="R246" s="898"/>
      <c r="S246" s="898"/>
      <c r="T246" s="898"/>
      <c r="U246" s="898"/>
      <c r="V246" s="898"/>
      <c r="W246" s="898"/>
      <c r="X246" s="898"/>
      <c r="Y246" s="898"/>
      <c r="Z246" s="898"/>
      <c r="AA246" s="898"/>
      <c r="AB246" s="898"/>
      <c r="AC246" s="898"/>
      <c r="AD246" s="898"/>
      <c r="AE246" s="898"/>
      <c r="AF246" s="898"/>
      <c r="AG246" s="898"/>
      <c r="AH246" s="898"/>
      <c r="AI246" s="898"/>
      <c r="AJ246" s="898"/>
      <c r="AK246" s="897"/>
      <c r="AL246" s="897"/>
      <c r="AM246" s="897"/>
      <c r="AN246" s="897"/>
      <c r="AO246" s="897"/>
      <c r="AP246" s="897"/>
      <c r="AQ246" s="897"/>
      <c r="AR246" s="897"/>
    </row>
    <row r="247" spans="1:44" s="930" customFormat="1">
      <c r="A247" s="892"/>
      <c r="B247" s="899"/>
      <c r="C247" s="900"/>
      <c r="D247" s="894"/>
      <c r="E247" s="895"/>
      <c r="F247" s="896"/>
      <c r="G247" s="897"/>
      <c r="H247" s="897"/>
      <c r="I247" s="898"/>
      <c r="J247" s="898"/>
      <c r="K247" s="898"/>
      <c r="L247" s="898"/>
      <c r="M247" s="898"/>
      <c r="N247" s="898"/>
      <c r="O247" s="898"/>
      <c r="P247" s="898"/>
      <c r="Q247" s="898"/>
      <c r="R247" s="898"/>
      <c r="S247" s="898"/>
      <c r="T247" s="898"/>
      <c r="U247" s="898"/>
      <c r="V247" s="898"/>
      <c r="W247" s="898"/>
      <c r="X247" s="898"/>
      <c r="Y247" s="898"/>
      <c r="Z247" s="898"/>
      <c r="AA247" s="898"/>
      <c r="AB247" s="898"/>
      <c r="AC247" s="898"/>
      <c r="AD247" s="898"/>
      <c r="AE247" s="898"/>
      <c r="AF247" s="898"/>
      <c r="AG247" s="898"/>
      <c r="AH247" s="898"/>
      <c r="AI247" s="898"/>
      <c r="AJ247" s="898"/>
      <c r="AK247" s="897"/>
      <c r="AL247" s="897"/>
      <c r="AM247" s="897"/>
      <c r="AN247" s="897"/>
      <c r="AO247" s="897"/>
      <c r="AP247" s="897"/>
      <c r="AQ247" s="897"/>
      <c r="AR247" s="897"/>
    </row>
    <row r="248" spans="1:44" s="930" customFormat="1">
      <c r="A248" s="892"/>
      <c r="B248" s="899"/>
      <c r="C248" s="900"/>
      <c r="D248" s="894"/>
      <c r="E248" s="895"/>
      <c r="F248" s="896"/>
      <c r="G248" s="897"/>
      <c r="H248" s="897"/>
      <c r="I248" s="898"/>
      <c r="J248" s="898"/>
      <c r="K248" s="898"/>
      <c r="L248" s="898"/>
      <c r="M248" s="898"/>
      <c r="N248" s="898"/>
      <c r="O248" s="898"/>
      <c r="P248" s="898"/>
      <c r="Q248" s="898"/>
      <c r="R248" s="898"/>
      <c r="S248" s="898"/>
      <c r="T248" s="898"/>
      <c r="U248" s="898"/>
      <c r="V248" s="898"/>
      <c r="W248" s="898"/>
      <c r="X248" s="898"/>
      <c r="Y248" s="898"/>
      <c r="Z248" s="898"/>
      <c r="AA248" s="898"/>
      <c r="AB248" s="898"/>
      <c r="AC248" s="898"/>
      <c r="AD248" s="898"/>
      <c r="AE248" s="898"/>
      <c r="AF248" s="898"/>
      <c r="AG248" s="898"/>
      <c r="AH248" s="898"/>
      <c r="AI248" s="898"/>
      <c r="AJ248" s="898"/>
      <c r="AK248" s="897"/>
      <c r="AL248" s="897"/>
      <c r="AM248" s="897"/>
      <c r="AN248" s="897"/>
      <c r="AO248" s="897"/>
      <c r="AP248" s="897"/>
      <c r="AQ248" s="897"/>
      <c r="AR248" s="897"/>
    </row>
    <row r="249" spans="1:44" s="930" customFormat="1">
      <c r="A249" s="892"/>
      <c r="B249" s="899"/>
      <c r="C249" s="900"/>
      <c r="D249" s="894"/>
      <c r="E249" s="895"/>
      <c r="F249" s="896"/>
      <c r="G249" s="897"/>
      <c r="H249" s="897"/>
      <c r="I249" s="898"/>
      <c r="J249" s="898"/>
      <c r="K249" s="898"/>
      <c r="L249" s="898"/>
      <c r="M249" s="898"/>
      <c r="N249" s="898"/>
      <c r="O249" s="898"/>
      <c r="P249" s="898"/>
      <c r="Q249" s="898"/>
      <c r="R249" s="898"/>
      <c r="S249" s="898"/>
      <c r="T249" s="898"/>
      <c r="U249" s="898"/>
      <c r="V249" s="898"/>
      <c r="W249" s="898"/>
      <c r="X249" s="898"/>
      <c r="Y249" s="898"/>
      <c r="Z249" s="898"/>
      <c r="AA249" s="898"/>
      <c r="AB249" s="898"/>
      <c r="AC249" s="898"/>
      <c r="AD249" s="898"/>
      <c r="AE249" s="898"/>
      <c r="AF249" s="898"/>
      <c r="AG249" s="898"/>
      <c r="AH249" s="898"/>
      <c r="AI249" s="898"/>
      <c r="AJ249" s="898"/>
      <c r="AK249" s="897"/>
      <c r="AL249" s="897"/>
      <c r="AM249" s="897"/>
      <c r="AN249" s="897"/>
      <c r="AO249" s="897"/>
      <c r="AP249" s="897"/>
      <c r="AQ249" s="897"/>
      <c r="AR249" s="897"/>
    </row>
    <row r="250" spans="1:44" s="930" customFormat="1">
      <c r="A250" s="892"/>
      <c r="B250" s="899"/>
      <c r="C250" s="900"/>
      <c r="D250" s="894"/>
      <c r="E250" s="895"/>
      <c r="F250" s="896"/>
      <c r="G250" s="897"/>
      <c r="H250" s="897"/>
      <c r="I250" s="898"/>
      <c r="J250" s="898"/>
      <c r="K250" s="898"/>
      <c r="L250" s="898"/>
      <c r="M250" s="898"/>
      <c r="N250" s="898"/>
      <c r="O250" s="898"/>
      <c r="P250" s="898"/>
      <c r="Q250" s="898"/>
      <c r="R250" s="898"/>
      <c r="S250" s="898"/>
      <c r="T250" s="898"/>
      <c r="U250" s="898"/>
      <c r="V250" s="898"/>
      <c r="W250" s="898"/>
      <c r="X250" s="898"/>
      <c r="Y250" s="898"/>
      <c r="Z250" s="898"/>
      <c r="AA250" s="898"/>
      <c r="AB250" s="898"/>
      <c r="AC250" s="898"/>
      <c r="AD250" s="898"/>
      <c r="AE250" s="898"/>
      <c r="AF250" s="898"/>
      <c r="AG250" s="898"/>
      <c r="AH250" s="898"/>
      <c r="AI250" s="898"/>
      <c r="AJ250" s="898"/>
      <c r="AK250" s="897"/>
      <c r="AL250" s="897"/>
      <c r="AM250" s="897"/>
      <c r="AN250" s="897"/>
      <c r="AO250" s="897"/>
      <c r="AP250" s="897"/>
      <c r="AQ250" s="897"/>
      <c r="AR250" s="897"/>
    </row>
    <row r="251" spans="1:44" s="930" customFormat="1">
      <c r="A251" s="892"/>
      <c r="B251" s="899"/>
      <c r="C251" s="900"/>
      <c r="D251" s="894"/>
      <c r="E251" s="895"/>
      <c r="F251" s="896"/>
      <c r="G251" s="897"/>
      <c r="H251" s="897"/>
      <c r="I251" s="898"/>
      <c r="J251" s="898"/>
      <c r="K251" s="898"/>
      <c r="L251" s="898"/>
      <c r="M251" s="898"/>
      <c r="N251" s="898"/>
      <c r="O251" s="898"/>
      <c r="P251" s="898"/>
      <c r="Q251" s="898"/>
      <c r="R251" s="898"/>
      <c r="S251" s="898"/>
      <c r="T251" s="898"/>
      <c r="U251" s="898"/>
      <c r="V251" s="898"/>
      <c r="W251" s="898"/>
      <c r="X251" s="898"/>
      <c r="Y251" s="898"/>
      <c r="Z251" s="898"/>
      <c r="AA251" s="898"/>
      <c r="AB251" s="898"/>
      <c r="AC251" s="898"/>
      <c r="AD251" s="898"/>
      <c r="AE251" s="898"/>
      <c r="AF251" s="898"/>
      <c r="AG251" s="898"/>
      <c r="AH251" s="898"/>
      <c r="AI251" s="898"/>
      <c r="AJ251" s="898"/>
      <c r="AK251" s="897"/>
      <c r="AL251" s="897"/>
      <c r="AM251" s="897"/>
      <c r="AN251" s="897"/>
      <c r="AO251" s="897"/>
      <c r="AP251" s="897"/>
      <c r="AQ251" s="897"/>
      <c r="AR251" s="897"/>
    </row>
    <row r="252" spans="1:44" s="930" customFormat="1">
      <c r="A252" s="892"/>
      <c r="B252" s="899"/>
      <c r="C252" s="900"/>
      <c r="D252" s="894"/>
      <c r="E252" s="895"/>
      <c r="F252" s="896"/>
      <c r="G252" s="897"/>
      <c r="H252" s="897"/>
      <c r="I252" s="898"/>
      <c r="J252" s="898"/>
      <c r="K252" s="898"/>
      <c r="L252" s="898"/>
      <c r="M252" s="898"/>
      <c r="N252" s="898"/>
      <c r="O252" s="898"/>
      <c r="P252" s="898"/>
      <c r="Q252" s="898"/>
      <c r="R252" s="898"/>
      <c r="S252" s="898"/>
      <c r="T252" s="898"/>
      <c r="U252" s="898"/>
      <c r="V252" s="898"/>
      <c r="W252" s="898"/>
      <c r="X252" s="898"/>
      <c r="Y252" s="898"/>
      <c r="Z252" s="898"/>
      <c r="AA252" s="898"/>
      <c r="AB252" s="898"/>
      <c r="AC252" s="898"/>
      <c r="AD252" s="898"/>
      <c r="AE252" s="898"/>
      <c r="AF252" s="898"/>
      <c r="AG252" s="898"/>
      <c r="AH252" s="898"/>
      <c r="AI252" s="898"/>
      <c r="AJ252" s="898"/>
      <c r="AK252" s="897"/>
      <c r="AL252" s="897"/>
      <c r="AM252" s="897"/>
      <c r="AN252" s="897"/>
      <c r="AO252" s="897"/>
      <c r="AP252" s="897"/>
      <c r="AQ252" s="897"/>
      <c r="AR252" s="897"/>
    </row>
    <row r="253" spans="1:44" s="930" customFormat="1">
      <c r="A253" s="892"/>
      <c r="B253" s="899"/>
      <c r="C253" s="900"/>
      <c r="D253" s="894"/>
      <c r="E253" s="895"/>
      <c r="F253" s="896"/>
      <c r="G253" s="897"/>
      <c r="H253" s="897"/>
      <c r="I253" s="898"/>
      <c r="J253" s="898"/>
      <c r="K253" s="898"/>
      <c r="L253" s="898"/>
      <c r="M253" s="898"/>
      <c r="N253" s="898"/>
      <c r="O253" s="898"/>
      <c r="P253" s="898"/>
      <c r="Q253" s="898"/>
      <c r="R253" s="898"/>
      <c r="S253" s="898"/>
      <c r="T253" s="898"/>
      <c r="U253" s="898"/>
      <c r="V253" s="898"/>
      <c r="W253" s="898"/>
      <c r="X253" s="898"/>
      <c r="Y253" s="898"/>
      <c r="Z253" s="898"/>
      <c r="AA253" s="898"/>
      <c r="AB253" s="898"/>
      <c r="AC253" s="898"/>
      <c r="AD253" s="898"/>
      <c r="AE253" s="898"/>
      <c r="AF253" s="898"/>
      <c r="AG253" s="898"/>
      <c r="AH253" s="898"/>
      <c r="AI253" s="898"/>
      <c r="AJ253" s="898"/>
      <c r="AK253" s="897"/>
      <c r="AL253" s="897"/>
      <c r="AM253" s="897"/>
      <c r="AN253" s="897"/>
      <c r="AO253" s="897"/>
      <c r="AP253" s="897"/>
      <c r="AQ253" s="897"/>
      <c r="AR253" s="897"/>
    </row>
    <row r="254" spans="1:44" s="930" customFormat="1">
      <c r="A254" s="892"/>
      <c r="B254" s="899"/>
      <c r="C254" s="900"/>
      <c r="D254" s="894"/>
      <c r="E254" s="895"/>
      <c r="F254" s="896"/>
      <c r="G254" s="897"/>
      <c r="H254" s="897"/>
      <c r="I254" s="898"/>
      <c r="J254" s="898"/>
      <c r="K254" s="898"/>
      <c r="L254" s="898"/>
      <c r="M254" s="898"/>
      <c r="N254" s="898"/>
      <c r="O254" s="898"/>
      <c r="P254" s="898"/>
      <c r="Q254" s="898"/>
      <c r="R254" s="898"/>
      <c r="S254" s="898"/>
      <c r="T254" s="898"/>
      <c r="U254" s="898"/>
      <c r="V254" s="898"/>
      <c r="W254" s="898"/>
      <c r="X254" s="898"/>
      <c r="Y254" s="898"/>
      <c r="Z254" s="898"/>
      <c r="AA254" s="898"/>
      <c r="AB254" s="898"/>
      <c r="AC254" s="898"/>
      <c r="AD254" s="898"/>
      <c r="AE254" s="898"/>
      <c r="AF254" s="898"/>
      <c r="AG254" s="898"/>
      <c r="AH254" s="898"/>
      <c r="AI254" s="898"/>
      <c r="AJ254" s="898"/>
      <c r="AK254" s="897"/>
      <c r="AL254" s="897"/>
      <c r="AM254" s="897"/>
      <c r="AN254" s="897"/>
      <c r="AO254" s="897"/>
      <c r="AP254" s="897"/>
      <c r="AQ254" s="897"/>
      <c r="AR254" s="897"/>
    </row>
    <row r="255" spans="1:44" s="930" customFormat="1">
      <c r="A255" s="892"/>
      <c r="B255" s="899"/>
      <c r="C255" s="900"/>
      <c r="D255" s="894"/>
      <c r="E255" s="895"/>
      <c r="F255" s="896"/>
      <c r="G255" s="897"/>
      <c r="H255" s="897"/>
      <c r="I255" s="898"/>
      <c r="J255" s="898"/>
      <c r="K255" s="898"/>
      <c r="L255" s="898"/>
      <c r="M255" s="898"/>
      <c r="N255" s="898"/>
      <c r="O255" s="898"/>
      <c r="P255" s="898"/>
      <c r="Q255" s="898"/>
      <c r="R255" s="898"/>
      <c r="S255" s="898"/>
      <c r="T255" s="898"/>
      <c r="U255" s="898"/>
      <c r="V255" s="898"/>
      <c r="W255" s="898"/>
      <c r="X255" s="898"/>
      <c r="Y255" s="898"/>
      <c r="Z255" s="898"/>
      <c r="AA255" s="898"/>
      <c r="AB255" s="898"/>
      <c r="AC255" s="898"/>
      <c r="AD255" s="898"/>
      <c r="AE255" s="898"/>
      <c r="AF255" s="898"/>
      <c r="AG255" s="898"/>
      <c r="AH255" s="898"/>
      <c r="AI255" s="898"/>
      <c r="AJ255" s="898"/>
      <c r="AK255" s="897"/>
      <c r="AL255" s="897"/>
      <c r="AM255" s="897"/>
      <c r="AN255" s="897"/>
      <c r="AO255" s="897"/>
      <c r="AP255" s="897"/>
      <c r="AQ255" s="897"/>
      <c r="AR255" s="897"/>
    </row>
    <row r="256" spans="1:44" s="930" customFormat="1">
      <c r="A256" s="892"/>
      <c r="B256" s="899"/>
      <c r="C256" s="900"/>
      <c r="D256" s="894"/>
      <c r="E256" s="895"/>
      <c r="F256" s="896"/>
      <c r="G256" s="897"/>
      <c r="H256" s="897"/>
      <c r="I256" s="898"/>
      <c r="J256" s="898"/>
      <c r="K256" s="898"/>
      <c r="L256" s="898"/>
      <c r="M256" s="898"/>
      <c r="N256" s="898"/>
      <c r="O256" s="898"/>
      <c r="P256" s="898"/>
      <c r="Q256" s="898"/>
      <c r="R256" s="898"/>
      <c r="S256" s="898"/>
      <c r="T256" s="898"/>
      <c r="U256" s="898"/>
      <c r="V256" s="898"/>
      <c r="W256" s="898"/>
      <c r="X256" s="898"/>
      <c r="Y256" s="898"/>
      <c r="Z256" s="898"/>
      <c r="AA256" s="898"/>
      <c r="AB256" s="898"/>
      <c r="AC256" s="898"/>
      <c r="AD256" s="898"/>
      <c r="AE256" s="898"/>
      <c r="AF256" s="898"/>
      <c r="AG256" s="898"/>
      <c r="AH256" s="898"/>
      <c r="AI256" s="898"/>
      <c r="AJ256" s="898"/>
      <c r="AK256" s="897"/>
      <c r="AL256" s="897"/>
      <c r="AM256" s="897"/>
      <c r="AN256" s="897"/>
      <c r="AO256" s="897"/>
      <c r="AP256" s="897"/>
      <c r="AQ256" s="897"/>
      <c r="AR256" s="897"/>
    </row>
    <row r="257" spans="1:44" s="930" customFormat="1">
      <c r="A257" s="892"/>
      <c r="B257" s="899"/>
      <c r="C257" s="900"/>
      <c r="D257" s="894"/>
      <c r="E257" s="895"/>
      <c r="F257" s="896"/>
      <c r="G257" s="897"/>
      <c r="H257" s="897"/>
      <c r="I257" s="898"/>
      <c r="J257" s="898"/>
      <c r="K257" s="898"/>
      <c r="L257" s="898"/>
      <c r="M257" s="898"/>
      <c r="N257" s="898"/>
      <c r="O257" s="898"/>
      <c r="P257" s="898"/>
      <c r="Q257" s="898"/>
      <c r="R257" s="898"/>
      <c r="S257" s="898"/>
      <c r="T257" s="898"/>
      <c r="U257" s="898"/>
      <c r="V257" s="898"/>
      <c r="W257" s="898"/>
      <c r="X257" s="898"/>
      <c r="Y257" s="898"/>
      <c r="Z257" s="898"/>
      <c r="AA257" s="898"/>
      <c r="AB257" s="898"/>
      <c r="AC257" s="898"/>
      <c r="AD257" s="898"/>
      <c r="AE257" s="898"/>
      <c r="AF257" s="898"/>
      <c r="AG257" s="898"/>
      <c r="AH257" s="898"/>
      <c r="AI257" s="898"/>
      <c r="AJ257" s="898"/>
      <c r="AK257" s="897"/>
      <c r="AL257" s="897"/>
      <c r="AM257" s="897"/>
      <c r="AN257" s="897"/>
      <c r="AO257" s="897"/>
      <c r="AP257" s="897"/>
      <c r="AQ257" s="897"/>
      <c r="AR257" s="897"/>
    </row>
    <row r="258" spans="1:44" s="930" customFormat="1">
      <c r="A258" s="892"/>
      <c r="B258" s="899"/>
      <c r="C258" s="900"/>
      <c r="D258" s="894"/>
      <c r="E258" s="895"/>
      <c r="F258" s="896"/>
      <c r="G258" s="897"/>
      <c r="H258" s="897"/>
      <c r="I258" s="898"/>
      <c r="J258" s="898"/>
      <c r="K258" s="898"/>
      <c r="L258" s="898"/>
      <c r="M258" s="898"/>
      <c r="N258" s="898"/>
      <c r="O258" s="898"/>
      <c r="P258" s="898"/>
      <c r="Q258" s="898"/>
      <c r="R258" s="898"/>
      <c r="S258" s="898"/>
      <c r="T258" s="898"/>
      <c r="U258" s="898"/>
      <c r="V258" s="898"/>
      <c r="W258" s="898"/>
      <c r="X258" s="898"/>
      <c r="Y258" s="898"/>
      <c r="Z258" s="898"/>
      <c r="AA258" s="898"/>
      <c r="AB258" s="898"/>
      <c r="AC258" s="898"/>
      <c r="AD258" s="898"/>
      <c r="AE258" s="898"/>
      <c r="AF258" s="898"/>
      <c r="AG258" s="898"/>
      <c r="AH258" s="898"/>
      <c r="AI258" s="898"/>
      <c r="AJ258" s="898"/>
      <c r="AK258" s="897"/>
      <c r="AL258" s="897"/>
      <c r="AM258" s="897"/>
      <c r="AN258" s="897"/>
      <c r="AO258" s="897"/>
      <c r="AP258" s="897"/>
      <c r="AQ258" s="897"/>
      <c r="AR258" s="897"/>
    </row>
    <row r="259" spans="1:44" s="930" customFormat="1">
      <c r="A259" s="892"/>
      <c r="B259" s="899"/>
      <c r="C259" s="900"/>
      <c r="D259" s="894"/>
      <c r="E259" s="895"/>
      <c r="F259" s="896"/>
      <c r="G259" s="897"/>
      <c r="H259" s="897"/>
      <c r="I259" s="898"/>
      <c r="J259" s="898"/>
      <c r="K259" s="898"/>
      <c r="L259" s="898"/>
      <c r="M259" s="898"/>
      <c r="N259" s="898"/>
      <c r="O259" s="898"/>
      <c r="P259" s="898"/>
      <c r="Q259" s="898"/>
      <c r="R259" s="898"/>
      <c r="S259" s="898"/>
      <c r="T259" s="898"/>
      <c r="U259" s="898"/>
      <c r="V259" s="898"/>
      <c r="W259" s="898"/>
      <c r="X259" s="898"/>
      <c r="Y259" s="898"/>
      <c r="Z259" s="898"/>
      <c r="AA259" s="898"/>
      <c r="AB259" s="898"/>
      <c r="AC259" s="898"/>
      <c r="AD259" s="898"/>
      <c r="AE259" s="898"/>
      <c r="AF259" s="898"/>
      <c r="AG259" s="898"/>
      <c r="AH259" s="898"/>
      <c r="AI259" s="898"/>
      <c r="AJ259" s="898"/>
      <c r="AK259" s="897"/>
      <c r="AL259" s="897"/>
      <c r="AM259" s="897"/>
      <c r="AN259" s="897"/>
      <c r="AO259" s="897"/>
      <c r="AP259" s="897"/>
      <c r="AQ259" s="897"/>
      <c r="AR259" s="897"/>
    </row>
    <row r="260" spans="1:44" s="930" customFormat="1">
      <c r="A260" s="892"/>
      <c r="B260" s="899"/>
      <c r="C260" s="900"/>
      <c r="D260" s="894"/>
      <c r="E260" s="895"/>
      <c r="F260" s="896"/>
      <c r="G260" s="897"/>
      <c r="H260" s="897"/>
      <c r="I260" s="898"/>
      <c r="J260" s="898"/>
      <c r="K260" s="898"/>
      <c r="L260" s="898"/>
      <c r="M260" s="898"/>
      <c r="N260" s="898"/>
      <c r="O260" s="898"/>
      <c r="P260" s="898"/>
      <c r="Q260" s="898"/>
      <c r="R260" s="898"/>
      <c r="S260" s="898"/>
      <c r="T260" s="898"/>
      <c r="U260" s="898"/>
      <c r="V260" s="898"/>
      <c r="W260" s="898"/>
      <c r="X260" s="898"/>
      <c r="Y260" s="898"/>
      <c r="Z260" s="898"/>
      <c r="AA260" s="898"/>
      <c r="AB260" s="898"/>
      <c r="AC260" s="898"/>
      <c r="AD260" s="898"/>
      <c r="AE260" s="898"/>
      <c r="AF260" s="898"/>
      <c r="AG260" s="898"/>
      <c r="AH260" s="898"/>
      <c r="AI260" s="898"/>
      <c r="AJ260" s="898"/>
      <c r="AK260" s="897"/>
      <c r="AL260" s="897"/>
      <c r="AM260" s="897"/>
      <c r="AN260" s="897"/>
      <c r="AO260" s="897"/>
      <c r="AP260" s="897"/>
      <c r="AQ260" s="897"/>
      <c r="AR260" s="897"/>
    </row>
    <row r="261" spans="1:44" s="930" customFormat="1">
      <c r="A261" s="892"/>
      <c r="B261" s="899"/>
      <c r="C261" s="900"/>
      <c r="D261" s="894"/>
      <c r="E261" s="895"/>
      <c r="F261" s="896"/>
      <c r="G261" s="897"/>
      <c r="H261" s="897"/>
      <c r="I261" s="898"/>
      <c r="J261" s="898"/>
      <c r="K261" s="898"/>
      <c r="L261" s="898"/>
      <c r="M261" s="898"/>
      <c r="N261" s="898"/>
      <c r="O261" s="898"/>
      <c r="P261" s="898"/>
      <c r="Q261" s="898"/>
      <c r="R261" s="898"/>
      <c r="S261" s="898"/>
      <c r="T261" s="898"/>
      <c r="U261" s="898"/>
      <c r="V261" s="898"/>
      <c r="W261" s="898"/>
      <c r="X261" s="898"/>
      <c r="Y261" s="898"/>
      <c r="Z261" s="898"/>
      <c r="AA261" s="898"/>
      <c r="AB261" s="898"/>
      <c r="AC261" s="898"/>
      <c r="AD261" s="898"/>
      <c r="AE261" s="898"/>
      <c r="AF261" s="898"/>
      <c r="AG261" s="898"/>
      <c r="AH261" s="898"/>
      <c r="AI261" s="898"/>
      <c r="AJ261" s="898"/>
      <c r="AK261" s="897"/>
      <c r="AL261" s="897"/>
      <c r="AM261" s="897"/>
      <c r="AN261" s="897"/>
      <c r="AO261" s="897"/>
      <c r="AP261" s="897"/>
      <c r="AQ261" s="897"/>
      <c r="AR261" s="897"/>
    </row>
    <row r="262" spans="1:44" s="930" customFormat="1">
      <c r="A262" s="892"/>
      <c r="B262" s="899"/>
      <c r="C262" s="900"/>
      <c r="D262" s="894"/>
      <c r="E262" s="895"/>
      <c r="F262" s="896"/>
      <c r="G262" s="897"/>
      <c r="H262" s="897"/>
      <c r="I262" s="898"/>
      <c r="J262" s="898"/>
      <c r="K262" s="898"/>
      <c r="L262" s="898"/>
      <c r="M262" s="898"/>
      <c r="N262" s="898"/>
      <c r="O262" s="898"/>
      <c r="P262" s="898"/>
      <c r="Q262" s="898"/>
      <c r="R262" s="898"/>
      <c r="S262" s="898"/>
      <c r="T262" s="898"/>
      <c r="U262" s="898"/>
      <c r="V262" s="898"/>
      <c r="W262" s="898"/>
      <c r="X262" s="898"/>
      <c r="Y262" s="898"/>
      <c r="Z262" s="898"/>
      <c r="AA262" s="898"/>
      <c r="AB262" s="898"/>
      <c r="AC262" s="898"/>
      <c r="AD262" s="898"/>
      <c r="AE262" s="898"/>
      <c r="AF262" s="898"/>
      <c r="AG262" s="898"/>
      <c r="AH262" s="898"/>
      <c r="AI262" s="898"/>
      <c r="AJ262" s="898"/>
      <c r="AK262" s="897"/>
      <c r="AL262" s="897"/>
      <c r="AM262" s="897"/>
      <c r="AN262" s="897"/>
      <c r="AO262" s="897"/>
      <c r="AP262" s="897"/>
      <c r="AQ262" s="897"/>
      <c r="AR262" s="897"/>
    </row>
    <row r="263" spans="1:44" s="930" customFormat="1">
      <c r="A263" s="892"/>
      <c r="B263" s="899"/>
      <c r="C263" s="900"/>
      <c r="D263" s="894"/>
      <c r="E263" s="895"/>
      <c r="F263" s="896"/>
      <c r="G263" s="897"/>
      <c r="H263" s="897"/>
      <c r="I263" s="898"/>
      <c r="J263" s="898"/>
      <c r="K263" s="898"/>
      <c r="L263" s="898"/>
      <c r="M263" s="898"/>
      <c r="N263" s="898"/>
      <c r="O263" s="898"/>
      <c r="P263" s="898"/>
      <c r="Q263" s="898"/>
      <c r="R263" s="898"/>
      <c r="S263" s="898"/>
      <c r="T263" s="898"/>
      <c r="U263" s="898"/>
      <c r="V263" s="898"/>
      <c r="W263" s="898"/>
      <c r="X263" s="898"/>
      <c r="Y263" s="898"/>
      <c r="Z263" s="898"/>
      <c r="AA263" s="898"/>
      <c r="AB263" s="898"/>
      <c r="AC263" s="898"/>
      <c r="AD263" s="898"/>
      <c r="AE263" s="898"/>
      <c r="AF263" s="898"/>
      <c r="AG263" s="898"/>
      <c r="AH263" s="898"/>
      <c r="AI263" s="898"/>
      <c r="AJ263" s="898"/>
      <c r="AK263" s="897"/>
      <c r="AL263" s="897"/>
      <c r="AM263" s="897"/>
      <c r="AN263" s="897"/>
      <c r="AO263" s="897"/>
      <c r="AP263" s="897"/>
      <c r="AQ263" s="897"/>
      <c r="AR263" s="897"/>
    </row>
    <row r="264" spans="1:44" s="930" customFormat="1">
      <c r="A264" s="892"/>
      <c r="B264" s="899"/>
      <c r="C264" s="900"/>
      <c r="D264" s="894"/>
      <c r="E264" s="895"/>
      <c r="F264" s="896"/>
      <c r="G264" s="897"/>
      <c r="H264" s="897"/>
      <c r="I264" s="898"/>
      <c r="J264" s="898"/>
      <c r="K264" s="898"/>
      <c r="L264" s="898"/>
      <c r="M264" s="898"/>
      <c r="N264" s="898"/>
      <c r="O264" s="898"/>
      <c r="P264" s="898"/>
      <c r="Q264" s="898"/>
      <c r="R264" s="898"/>
      <c r="S264" s="898"/>
      <c r="T264" s="898"/>
      <c r="U264" s="898"/>
      <c r="V264" s="898"/>
      <c r="W264" s="898"/>
      <c r="X264" s="898"/>
      <c r="Y264" s="898"/>
      <c r="Z264" s="898"/>
      <c r="AA264" s="898"/>
      <c r="AB264" s="898"/>
      <c r="AC264" s="898"/>
      <c r="AD264" s="898"/>
      <c r="AE264" s="898"/>
      <c r="AF264" s="898"/>
      <c r="AG264" s="898"/>
      <c r="AH264" s="898"/>
      <c r="AI264" s="898"/>
      <c r="AJ264" s="898"/>
      <c r="AK264" s="897"/>
      <c r="AL264" s="897"/>
      <c r="AM264" s="897"/>
      <c r="AN264" s="897"/>
      <c r="AO264" s="897"/>
      <c r="AP264" s="897"/>
      <c r="AQ264" s="897"/>
      <c r="AR264" s="897"/>
    </row>
    <row r="265" spans="1:44" s="930" customFormat="1">
      <c r="A265" s="892"/>
      <c r="B265" s="899"/>
      <c r="C265" s="900"/>
      <c r="D265" s="894"/>
      <c r="E265" s="895"/>
      <c r="F265" s="896"/>
      <c r="G265" s="897"/>
      <c r="H265" s="897"/>
      <c r="I265" s="898"/>
      <c r="J265" s="898"/>
      <c r="K265" s="898"/>
      <c r="L265" s="898"/>
      <c r="M265" s="898"/>
      <c r="N265" s="898"/>
      <c r="O265" s="898"/>
      <c r="P265" s="898"/>
      <c r="Q265" s="898"/>
      <c r="R265" s="898"/>
      <c r="S265" s="898"/>
      <c r="T265" s="898"/>
      <c r="U265" s="898"/>
      <c r="V265" s="898"/>
      <c r="W265" s="898"/>
      <c r="X265" s="898"/>
      <c r="Y265" s="898"/>
      <c r="Z265" s="898"/>
      <c r="AA265" s="898"/>
      <c r="AB265" s="898"/>
      <c r="AC265" s="898"/>
      <c r="AD265" s="898"/>
      <c r="AE265" s="898"/>
      <c r="AF265" s="898"/>
      <c r="AG265" s="898"/>
      <c r="AH265" s="898"/>
      <c r="AI265" s="898"/>
      <c r="AJ265" s="898"/>
      <c r="AK265" s="897"/>
      <c r="AL265" s="897"/>
      <c r="AM265" s="897"/>
      <c r="AN265" s="897"/>
      <c r="AO265" s="897"/>
      <c r="AP265" s="897"/>
      <c r="AQ265" s="897"/>
      <c r="AR265" s="897"/>
    </row>
    <row r="266" spans="1:44" s="930" customFormat="1">
      <c r="A266" s="892"/>
      <c r="B266" s="899"/>
      <c r="C266" s="900"/>
      <c r="D266" s="894"/>
      <c r="E266" s="895"/>
      <c r="F266" s="896"/>
      <c r="G266" s="897"/>
      <c r="H266" s="897"/>
      <c r="I266" s="898"/>
      <c r="J266" s="898"/>
      <c r="K266" s="898"/>
      <c r="L266" s="898"/>
      <c r="M266" s="898"/>
      <c r="N266" s="898"/>
      <c r="O266" s="898"/>
      <c r="P266" s="898"/>
      <c r="Q266" s="898"/>
      <c r="R266" s="898"/>
      <c r="S266" s="898"/>
      <c r="T266" s="898"/>
      <c r="U266" s="898"/>
      <c r="V266" s="898"/>
      <c r="W266" s="898"/>
      <c r="X266" s="898"/>
      <c r="Y266" s="898"/>
      <c r="Z266" s="898"/>
      <c r="AA266" s="898"/>
      <c r="AB266" s="898"/>
      <c r="AC266" s="898"/>
      <c r="AD266" s="898"/>
      <c r="AE266" s="898"/>
      <c r="AF266" s="898"/>
      <c r="AG266" s="898"/>
      <c r="AH266" s="898"/>
      <c r="AI266" s="898"/>
      <c r="AJ266" s="898"/>
      <c r="AK266" s="897"/>
      <c r="AL266" s="897"/>
      <c r="AM266" s="897"/>
      <c r="AN266" s="897"/>
      <c r="AO266" s="897"/>
      <c r="AP266" s="897"/>
      <c r="AQ266" s="897"/>
      <c r="AR266" s="897"/>
    </row>
    <row r="267" spans="1:44" s="930" customFormat="1">
      <c r="A267" s="892"/>
      <c r="B267" s="899"/>
      <c r="C267" s="900"/>
      <c r="D267" s="894"/>
      <c r="E267" s="895"/>
      <c r="F267" s="896"/>
      <c r="G267" s="897"/>
      <c r="H267" s="897"/>
      <c r="I267" s="898"/>
      <c r="J267" s="898"/>
      <c r="K267" s="898"/>
      <c r="L267" s="898"/>
      <c r="M267" s="898"/>
      <c r="N267" s="898"/>
      <c r="O267" s="898"/>
      <c r="P267" s="898"/>
      <c r="Q267" s="898"/>
      <c r="R267" s="898"/>
      <c r="S267" s="898"/>
      <c r="T267" s="898"/>
      <c r="U267" s="898"/>
      <c r="V267" s="898"/>
      <c r="W267" s="898"/>
      <c r="X267" s="898"/>
      <c r="Y267" s="898"/>
      <c r="Z267" s="898"/>
      <c r="AA267" s="898"/>
      <c r="AB267" s="898"/>
      <c r="AC267" s="898"/>
      <c r="AD267" s="898"/>
      <c r="AE267" s="898"/>
      <c r="AF267" s="898"/>
      <c r="AG267" s="898"/>
      <c r="AH267" s="898"/>
      <c r="AI267" s="898"/>
      <c r="AJ267" s="898"/>
      <c r="AK267" s="897"/>
      <c r="AL267" s="897"/>
      <c r="AM267" s="897"/>
      <c r="AN267" s="897"/>
      <c r="AO267" s="897"/>
      <c r="AP267" s="897"/>
      <c r="AQ267" s="897"/>
      <c r="AR267" s="897"/>
    </row>
    <row r="268" spans="1:44" s="930" customFormat="1">
      <c r="A268" s="892"/>
      <c r="B268" s="899"/>
      <c r="C268" s="900"/>
      <c r="D268" s="894"/>
      <c r="E268" s="895"/>
      <c r="F268" s="896"/>
      <c r="G268" s="897"/>
      <c r="H268" s="897"/>
      <c r="I268" s="898"/>
      <c r="J268" s="898"/>
      <c r="K268" s="898"/>
      <c r="L268" s="898"/>
      <c r="M268" s="898"/>
      <c r="N268" s="898"/>
      <c r="O268" s="898"/>
      <c r="P268" s="898"/>
      <c r="Q268" s="898"/>
      <c r="R268" s="898"/>
      <c r="S268" s="898"/>
      <c r="T268" s="898"/>
      <c r="U268" s="898"/>
      <c r="V268" s="898"/>
      <c r="W268" s="898"/>
      <c r="X268" s="898"/>
      <c r="Y268" s="898"/>
      <c r="Z268" s="898"/>
      <c r="AA268" s="898"/>
      <c r="AB268" s="898"/>
      <c r="AC268" s="898"/>
      <c r="AD268" s="898"/>
      <c r="AE268" s="898"/>
      <c r="AF268" s="898"/>
      <c r="AG268" s="898"/>
      <c r="AH268" s="898"/>
      <c r="AI268" s="898"/>
      <c r="AJ268" s="898"/>
      <c r="AK268" s="897"/>
      <c r="AL268" s="897"/>
      <c r="AM268" s="897"/>
      <c r="AN268" s="897"/>
      <c r="AO268" s="897"/>
      <c r="AP268" s="897"/>
      <c r="AQ268" s="897"/>
      <c r="AR268" s="897"/>
    </row>
    <row r="269" spans="1:44" s="930" customFormat="1">
      <c r="A269" s="892"/>
      <c r="B269" s="899"/>
      <c r="C269" s="900"/>
      <c r="D269" s="894"/>
      <c r="E269" s="895"/>
      <c r="F269" s="896"/>
      <c r="G269" s="897"/>
      <c r="H269" s="897"/>
      <c r="I269" s="898"/>
      <c r="J269" s="898"/>
      <c r="K269" s="898"/>
      <c r="L269" s="898"/>
      <c r="M269" s="898"/>
      <c r="N269" s="898"/>
      <c r="O269" s="898"/>
      <c r="P269" s="898"/>
      <c r="Q269" s="898"/>
      <c r="R269" s="898"/>
      <c r="S269" s="898"/>
      <c r="T269" s="898"/>
      <c r="U269" s="898"/>
      <c r="V269" s="898"/>
      <c r="W269" s="898"/>
      <c r="X269" s="898"/>
      <c r="Y269" s="898"/>
      <c r="Z269" s="898"/>
      <c r="AA269" s="898"/>
      <c r="AB269" s="898"/>
      <c r="AC269" s="898"/>
      <c r="AD269" s="898"/>
      <c r="AE269" s="898"/>
      <c r="AF269" s="898"/>
      <c r="AG269" s="898"/>
      <c r="AH269" s="898"/>
      <c r="AI269" s="898"/>
      <c r="AJ269" s="898"/>
      <c r="AK269" s="897"/>
      <c r="AL269" s="897"/>
      <c r="AM269" s="897"/>
      <c r="AN269" s="897"/>
      <c r="AO269" s="897"/>
      <c r="AP269" s="897"/>
      <c r="AQ269" s="897"/>
      <c r="AR269" s="897"/>
    </row>
    <row r="270" spans="1:44" s="930" customFormat="1">
      <c r="A270" s="892"/>
      <c r="B270" s="899"/>
      <c r="C270" s="900"/>
      <c r="D270" s="894"/>
      <c r="E270" s="895"/>
      <c r="F270" s="896"/>
      <c r="G270" s="897"/>
      <c r="H270" s="897"/>
      <c r="I270" s="898"/>
      <c r="J270" s="898"/>
      <c r="K270" s="898"/>
      <c r="L270" s="898"/>
      <c r="M270" s="898"/>
      <c r="N270" s="898"/>
      <c r="O270" s="898"/>
      <c r="P270" s="898"/>
      <c r="Q270" s="898"/>
      <c r="R270" s="898"/>
      <c r="S270" s="898"/>
      <c r="T270" s="898"/>
      <c r="U270" s="898"/>
      <c r="V270" s="898"/>
      <c r="W270" s="898"/>
      <c r="X270" s="898"/>
      <c r="Y270" s="898"/>
      <c r="Z270" s="898"/>
      <c r="AA270" s="898"/>
      <c r="AB270" s="898"/>
      <c r="AC270" s="898"/>
      <c r="AD270" s="898"/>
      <c r="AE270" s="898"/>
      <c r="AF270" s="898"/>
      <c r="AG270" s="898"/>
      <c r="AH270" s="898"/>
      <c r="AI270" s="898"/>
      <c r="AJ270" s="898"/>
      <c r="AK270" s="897"/>
      <c r="AL270" s="897"/>
      <c r="AM270" s="897"/>
      <c r="AN270" s="897"/>
      <c r="AO270" s="897"/>
      <c r="AP270" s="897"/>
      <c r="AQ270" s="897"/>
      <c r="AR270" s="897"/>
    </row>
    <row r="271" spans="1:44" s="930" customFormat="1">
      <c r="A271" s="892"/>
      <c r="B271" s="899"/>
      <c r="C271" s="900"/>
      <c r="D271" s="894"/>
      <c r="E271" s="895"/>
      <c r="F271" s="896"/>
      <c r="G271" s="897"/>
      <c r="H271" s="897"/>
      <c r="I271" s="898"/>
      <c r="J271" s="898"/>
      <c r="K271" s="898"/>
      <c r="L271" s="898"/>
      <c r="M271" s="898"/>
      <c r="N271" s="898"/>
      <c r="O271" s="898"/>
      <c r="P271" s="898"/>
      <c r="Q271" s="898"/>
      <c r="R271" s="898"/>
      <c r="S271" s="898"/>
      <c r="T271" s="898"/>
      <c r="U271" s="898"/>
      <c r="V271" s="898"/>
      <c r="W271" s="898"/>
      <c r="X271" s="898"/>
      <c r="Y271" s="898"/>
      <c r="Z271" s="898"/>
      <c r="AA271" s="898"/>
      <c r="AB271" s="898"/>
      <c r="AC271" s="898"/>
      <c r="AD271" s="898"/>
      <c r="AE271" s="898"/>
      <c r="AF271" s="898"/>
      <c r="AG271" s="898"/>
      <c r="AH271" s="898"/>
      <c r="AI271" s="898"/>
      <c r="AJ271" s="898"/>
      <c r="AK271" s="897"/>
      <c r="AL271" s="897"/>
      <c r="AM271" s="897"/>
      <c r="AN271" s="897"/>
      <c r="AO271" s="897"/>
      <c r="AP271" s="897"/>
      <c r="AQ271" s="897"/>
      <c r="AR271" s="897"/>
    </row>
    <row r="272" spans="1:44" s="930" customFormat="1">
      <c r="A272" s="892"/>
      <c r="B272" s="899"/>
      <c r="C272" s="900"/>
      <c r="D272" s="894"/>
      <c r="E272" s="895"/>
      <c r="F272" s="896"/>
      <c r="G272" s="897"/>
      <c r="H272" s="897"/>
      <c r="I272" s="898"/>
      <c r="J272" s="898"/>
      <c r="K272" s="898"/>
      <c r="L272" s="898"/>
      <c r="M272" s="898"/>
      <c r="N272" s="898"/>
      <c r="O272" s="898"/>
      <c r="P272" s="898"/>
      <c r="Q272" s="898"/>
      <c r="R272" s="898"/>
      <c r="S272" s="898"/>
      <c r="T272" s="898"/>
      <c r="U272" s="898"/>
      <c r="V272" s="898"/>
      <c r="W272" s="898"/>
      <c r="X272" s="898"/>
      <c r="Y272" s="898"/>
      <c r="Z272" s="898"/>
      <c r="AA272" s="898"/>
      <c r="AB272" s="898"/>
      <c r="AC272" s="898"/>
      <c r="AD272" s="898"/>
      <c r="AE272" s="898"/>
      <c r="AF272" s="898"/>
      <c r="AG272" s="898"/>
      <c r="AH272" s="898"/>
      <c r="AI272" s="898"/>
      <c r="AJ272" s="898"/>
      <c r="AK272" s="897"/>
      <c r="AL272" s="897"/>
      <c r="AM272" s="897"/>
      <c r="AN272" s="897"/>
      <c r="AO272" s="897"/>
      <c r="AP272" s="897"/>
      <c r="AQ272" s="897"/>
      <c r="AR272" s="897"/>
    </row>
    <row r="273" spans="1:44" s="930" customFormat="1">
      <c r="A273" s="892"/>
      <c r="B273" s="899"/>
      <c r="C273" s="900"/>
      <c r="D273" s="894"/>
      <c r="E273" s="895"/>
      <c r="F273" s="896"/>
      <c r="G273" s="897"/>
      <c r="H273" s="897"/>
      <c r="I273" s="898"/>
      <c r="J273" s="898"/>
      <c r="K273" s="898"/>
      <c r="L273" s="898"/>
      <c r="M273" s="898"/>
      <c r="N273" s="898"/>
      <c r="O273" s="898"/>
      <c r="P273" s="898"/>
      <c r="Q273" s="898"/>
      <c r="R273" s="898"/>
      <c r="S273" s="898"/>
      <c r="T273" s="898"/>
      <c r="U273" s="898"/>
      <c r="V273" s="898"/>
      <c r="W273" s="898"/>
      <c r="X273" s="898"/>
      <c r="Y273" s="898"/>
      <c r="Z273" s="898"/>
      <c r="AA273" s="898"/>
      <c r="AB273" s="898"/>
      <c r="AC273" s="898"/>
      <c r="AD273" s="898"/>
      <c r="AE273" s="898"/>
      <c r="AF273" s="898"/>
      <c r="AG273" s="898"/>
      <c r="AH273" s="898"/>
      <c r="AI273" s="898"/>
      <c r="AJ273" s="898"/>
      <c r="AK273" s="897"/>
      <c r="AL273" s="897"/>
      <c r="AM273" s="897"/>
      <c r="AN273" s="897"/>
      <c r="AO273" s="897"/>
      <c r="AP273" s="897"/>
      <c r="AQ273" s="897"/>
      <c r="AR273" s="897"/>
    </row>
    <row r="274" spans="1:44" s="930" customFormat="1">
      <c r="A274" s="892"/>
      <c r="B274" s="899"/>
      <c r="C274" s="900"/>
      <c r="D274" s="894"/>
      <c r="E274" s="895"/>
      <c r="F274" s="896"/>
      <c r="G274" s="897"/>
      <c r="H274" s="897"/>
      <c r="I274" s="898"/>
      <c r="J274" s="898"/>
      <c r="K274" s="898"/>
      <c r="L274" s="898"/>
      <c r="M274" s="898"/>
      <c r="N274" s="898"/>
      <c r="O274" s="898"/>
      <c r="P274" s="898"/>
      <c r="Q274" s="898"/>
      <c r="R274" s="898"/>
      <c r="S274" s="898"/>
      <c r="T274" s="898"/>
      <c r="U274" s="898"/>
      <c r="V274" s="898"/>
      <c r="W274" s="898"/>
      <c r="X274" s="898"/>
      <c r="Y274" s="898"/>
      <c r="Z274" s="898"/>
      <c r="AA274" s="898"/>
      <c r="AB274" s="898"/>
      <c r="AC274" s="898"/>
      <c r="AD274" s="898"/>
      <c r="AE274" s="898"/>
      <c r="AF274" s="898"/>
      <c r="AG274" s="898"/>
      <c r="AH274" s="898"/>
      <c r="AI274" s="898"/>
      <c r="AJ274" s="898"/>
      <c r="AK274" s="897"/>
      <c r="AL274" s="897"/>
      <c r="AM274" s="897"/>
      <c r="AN274" s="897"/>
      <c r="AO274" s="897"/>
      <c r="AP274" s="897"/>
      <c r="AQ274" s="897"/>
      <c r="AR274" s="897"/>
    </row>
    <row r="275" spans="1:44" s="930" customFormat="1">
      <c r="A275" s="892"/>
      <c r="B275" s="899"/>
      <c r="C275" s="900"/>
      <c r="D275" s="894"/>
      <c r="E275" s="895"/>
      <c r="F275" s="896"/>
      <c r="G275" s="897"/>
      <c r="H275" s="897"/>
      <c r="I275" s="898"/>
      <c r="J275" s="898"/>
      <c r="K275" s="898"/>
      <c r="L275" s="898"/>
      <c r="M275" s="898"/>
      <c r="N275" s="898"/>
      <c r="O275" s="898"/>
      <c r="P275" s="898"/>
      <c r="Q275" s="898"/>
      <c r="R275" s="898"/>
      <c r="S275" s="898"/>
      <c r="T275" s="898"/>
      <c r="U275" s="898"/>
      <c r="V275" s="898"/>
      <c r="W275" s="898"/>
      <c r="X275" s="898"/>
      <c r="Y275" s="898"/>
      <c r="Z275" s="898"/>
      <c r="AA275" s="898"/>
      <c r="AB275" s="898"/>
      <c r="AC275" s="898"/>
      <c r="AD275" s="898"/>
      <c r="AE275" s="898"/>
      <c r="AF275" s="898"/>
      <c r="AG275" s="898"/>
      <c r="AH275" s="898"/>
      <c r="AI275" s="898"/>
      <c r="AJ275" s="898"/>
      <c r="AK275" s="897"/>
      <c r="AL275" s="897"/>
      <c r="AM275" s="897"/>
      <c r="AN275" s="897"/>
      <c r="AO275" s="897"/>
      <c r="AP275" s="897"/>
      <c r="AQ275" s="897"/>
      <c r="AR275" s="897"/>
    </row>
    <row r="276" spans="1:44" s="930" customFormat="1">
      <c r="A276" s="892"/>
      <c r="B276" s="899"/>
      <c r="C276" s="900"/>
      <c r="D276" s="894"/>
      <c r="E276" s="895"/>
      <c r="F276" s="896"/>
      <c r="G276" s="897"/>
      <c r="H276" s="897"/>
      <c r="I276" s="898"/>
      <c r="J276" s="898"/>
      <c r="K276" s="898"/>
      <c r="L276" s="898"/>
      <c r="M276" s="898"/>
      <c r="N276" s="898"/>
      <c r="O276" s="898"/>
      <c r="P276" s="898"/>
      <c r="Q276" s="898"/>
      <c r="R276" s="898"/>
      <c r="S276" s="898"/>
      <c r="T276" s="898"/>
      <c r="U276" s="898"/>
      <c r="V276" s="898"/>
      <c r="W276" s="898"/>
      <c r="X276" s="898"/>
      <c r="Y276" s="898"/>
      <c r="Z276" s="898"/>
      <c r="AA276" s="898"/>
      <c r="AB276" s="898"/>
      <c r="AC276" s="898"/>
      <c r="AD276" s="898"/>
      <c r="AE276" s="898"/>
      <c r="AF276" s="898"/>
      <c r="AG276" s="898"/>
      <c r="AH276" s="898"/>
      <c r="AI276" s="898"/>
      <c r="AJ276" s="898"/>
      <c r="AK276" s="897"/>
      <c r="AL276" s="897"/>
      <c r="AM276" s="897"/>
      <c r="AN276" s="897"/>
      <c r="AO276" s="897"/>
      <c r="AP276" s="897"/>
      <c r="AQ276" s="897"/>
      <c r="AR276" s="897"/>
    </row>
    <row r="277" spans="1:44" s="930" customFormat="1">
      <c r="A277" s="892"/>
      <c r="B277" s="899"/>
      <c r="C277" s="900"/>
      <c r="D277" s="894"/>
      <c r="E277" s="895"/>
      <c r="F277" s="896"/>
      <c r="G277" s="897"/>
      <c r="H277" s="897"/>
      <c r="I277" s="898"/>
      <c r="J277" s="898"/>
      <c r="K277" s="898"/>
      <c r="L277" s="898"/>
      <c r="M277" s="898"/>
      <c r="N277" s="898"/>
      <c r="O277" s="898"/>
      <c r="P277" s="898"/>
      <c r="Q277" s="898"/>
      <c r="R277" s="898"/>
      <c r="S277" s="898"/>
      <c r="T277" s="898"/>
      <c r="U277" s="898"/>
      <c r="V277" s="898"/>
      <c r="W277" s="898"/>
      <c r="X277" s="898"/>
      <c r="Y277" s="898"/>
      <c r="Z277" s="898"/>
      <c r="AA277" s="898"/>
      <c r="AB277" s="898"/>
      <c r="AC277" s="898"/>
      <c r="AD277" s="898"/>
      <c r="AE277" s="898"/>
      <c r="AF277" s="898"/>
      <c r="AG277" s="898"/>
      <c r="AH277" s="898"/>
      <c r="AI277" s="898"/>
      <c r="AJ277" s="898"/>
      <c r="AK277" s="897"/>
      <c r="AL277" s="897"/>
      <c r="AM277" s="897"/>
      <c r="AN277" s="897"/>
      <c r="AO277" s="897"/>
      <c r="AP277" s="897"/>
      <c r="AQ277" s="897"/>
      <c r="AR277" s="897"/>
    </row>
    <row r="278" spans="1:44" s="930" customFormat="1">
      <c r="A278" s="892"/>
      <c r="B278" s="899"/>
      <c r="C278" s="900"/>
      <c r="D278" s="894"/>
      <c r="E278" s="895"/>
      <c r="F278" s="896"/>
      <c r="G278" s="897"/>
      <c r="H278" s="897"/>
      <c r="I278" s="898"/>
      <c r="J278" s="898"/>
      <c r="K278" s="898"/>
      <c r="L278" s="898"/>
      <c r="M278" s="898"/>
      <c r="N278" s="898"/>
      <c r="O278" s="898"/>
      <c r="P278" s="898"/>
      <c r="Q278" s="898"/>
      <c r="R278" s="898"/>
      <c r="S278" s="898"/>
      <c r="T278" s="898"/>
      <c r="U278" s="898"/>
      <c r="V278" s="898"/>
      <c r="W278" s="898"/>
      <c r="X278" s="898"/>
      <c r="Y278" s="898"/>
      <c r="Z278" s="898"/>
      <c r="AA278" s="898"/>
      <c r="AB278" s="898"/>
      <c r="AC278" s="898"/>
      <c r="AD278" s="898"/>
      <c r="AE278" s="898"/>
      <c r="AF278" s="898"/>
      <c r="AG278" s="898"/>
      <c r="AH278" s="898"/>
      <c r="AI278" s="898"/>
      <c r="AJ278" s="898"/>
      <c r="AK278" s="897"/>
      <c r="AL278" s="897"/>
      <c r="AM278" s="897"/>
      <c r="AN278" s="897"/>
      <c r="AO278" s="897"/>
      <c r="AP278" s="897"/>
      <c r="AQ278" s="897"/>
      <c r="AR278" s="897"/>
    </row>
    <row r="279" spans="1:44" s="930" customFormat="1">
      <c r="A279" s="892"/>
      <c r="B279" s="899"/>
      <c r="C279" s="900"/>
      <c r="D279" s="894"/>
      <c r="E279" s="895"/>
      <c r="F279" s="896"/>
      <c r="G279" s="897"/>
      <c r="H279" s="897"/>
      <c r="I279" s="898"/>
      <c r="J279" s="898"/>
      <c r="K279" s="898"/>
      <c r="L279" s="898"/>
      <c r="M279" s="898"/>
      <c r="N279" s="898"/>
      <c r="O279" s="898"/>
      <c r="P279" s="898"/>
      <c r="Q279" s="898"/>
      <c r="R279" s="898"/>
      <c r="S279" s="898"/>
      <c r="T279" s="898"/>
      <c r="U279" s="898"/>
      <c r="V279" s="898"/>
      <c r="W279" s="898"/>
      <c r="X279" s="898"/>
      <c r="Y279" s="898"/>
      <c r="Z279" s="898"/>
      <c r="AA279" s="898"/>
      <c r="AB279" s="898"/>
      <c r="AC279" s="898"/>
      <c r="AD279" s="898"/>
      <c r="AE279" s="898"/>
      <c r="AF279" s="898"/>
      <c r="AG279" s="898"/>
      <c r="AH279" s="898"/>
      <c r="AI279" s="898"/>
      <c r="AJ279" s="898"/>
      <c r="AK279" s="897"/>
      <c r="AL279" s="897"/>
      <c r="AM279" s="897"/>
      <c r="AN279" s="897"/>
      <c r="AO279" s="897"/>
      <c r="AP279" s="897"/>
      <c r="AQ279" s="897"/>
      <c r="AR279" s="897"/>
    </row>
    <row r="280" spans="1:44" s="930" customFormat="1">
      <c r="A280" s="892"/>
      <c r="B280" s="899"/>
      <c r="C280" s="900"/>
      <c r="D280" s="894"/>
      <c r="E280" s="895"/>
      <c r="F280" s="896"/>
      <c r="G280" s="897"/>
      <c r="H280" s="897"/>
      <c r="I280" s="898"/>
      <c r="J280" s="898"/>
      <c r="K280" s="898"/>
      <c r="L280" s="898"/>
      <c r="M280" s="898"/>
      <c r="N280" s="898"/>
      <c r="O280" s="898"/>
      <c r="P280" s="898"/>
      <c r="Q280" s="898"/>
      <c r="R280" s="898"/>
      <c r="S280" s="898"/>
      <c r="T280" s="898"/>
      <c r="U280" s="898"/>
      <c r="V280" s="898"/>
      <c r="W280" s="898"/>
      <c r="X280" s="898"/>
      <c r="Y280" s="898"/>
      <c r="Z280" s="898"/>
      <c r="AA280" s="898"/>
      <c r="AB280" s="898"/>
      <c r="AC280" s="898"/>
      <c r="AD280" s="898"/>
      <c r="AE280" s="898"/>
      <c r="AF280" s="898"/>
      <c r="AG280" s="898"/>
      <c r="AH280" s="898"/>
      <c r="AI280" s="898"/>
      <c r="AJ280" s="898"/>
      <c r="AK280" s="897"/>
      <c r="AL280" s="897"/>
      <c r="AM280" s="897"/>
      <c r="AN280" s="897"/>
      <c r="AO280" s="897"/>
      <c r="AP280" s="897"/>
      <c r="AQ280" s="897"/>
      <c r="AR280" s="897"/>
    </row>
    <row r="281" spans="1:44" s="930" customFormat="1">
      <c r="A281" s="892"/>
      <c r="B281" s="899"/>
      <c r="C281" s="900"/>
      <c r="D281" s="894"/>
      <c r="E281" s="895"/>
      <c r="F281" s="896"/>
      <c r="G281" s="897"/>
      <c r="H281" s="897"/>
      <c r="I281" s="898"/>
      <c r="J281" s="898"/>
      <c r="K281" s="898"/>
      <c r="L281" s="898"/>
      <c r="M281" s="898"/>
      <c r="N281" s="898"/>
      <c r="O281" s="898"/>
      <c r="P281" s="898"/>
      <c r="Q281" s="898"/>
      <c r="R281" s="898"/>
      <c r="S281" s="898"/>
      <c r="T281" s="898"/>
      <c r="U281" s="898"/>
      <c r="V281" s="898"/>
      <c r="W281" s="898"/>
      <c r="X281" s="898"/>
      <c r="Y281" s="898"/>
      <c r="Z281" s="898"/>
      <c r="AA281" s="898"/>
      <c r="AB281" s="898"/>
      <c r="AC281" s="898"/>
      <c r="AD281" s="898"/>
      <c r="AE281" s="898"/>
      <c r="AF281" s="898"/>
      <c r="AG281" s="898"/>
      <c r="AH281" s="898"/>
      <c r="AI281" s="898"/>
      <c r="AJ281" s="898"/>
      <c r="AK281" s="897"/>
      <c r="AL281" s="897"/>
      <c r="AM281" s="897"/>
      <c r="AN281" s="897"/>
      <c r="AO281" s="897"/>
      <c r="AP281" s="897"/>
      <c r="AQ281" s="897"/>
      <c r="AR281" s="897"/>
    </row>
    <row r="282" spans="1:44" s="930" customFormat="1">
      <c r="A282" s="892"/>
      <c r="B282" s="899"/>
      <c r="C282" s="900"/>
      <c r="D282" s="894"/>
      <c r="E282" s="895"/>
      <c r="F282" s="896"/>
      <c r="G282" s="897"/>
      <c r="H282" s="897"/>
      <c r="I282" s="898"/>
      <c r="J282" s="898"/>
      <c r="K282" s="898"/>
      <c r="L282" s="898"/>
      <c r="M282" s="898"/>
      <c r="N282" s="898"/>
      <c r="O282" s="898"/>
      <c r="P282" s="898"/>
      <c r="Q282" s="898"/>
      <c r="R282" s="898"/>
      <c r="S282" s="898"/>
      <c r="T282" s="898"/>
      <c r="U282" s="898"/>
      <c r="V282" s="898"/>
      <c r="W282" s="898"/>
      <c r="X282" s="898"/>
      <c r="Y282" s="898"/>
      <c r="Z282" s="898"/>
      <c r="AA282" s="898"/>
      <c r="AB282" s="898"/>
      <c r="AC282" s="898"/>
      <c r="AD282" s="898"/>
      <c r="AE282" s="898"/>
      <c r="AF282" s="898"/>
      <c r="AG282" s="898"/>
      <c r="AH282" s="898"/>
      <c r="AI282" s="898"/>
      <c r="AJ282" s="898"/>
      <c r="AK282" s="897"/>
      <c r="AL282" s="897"/>
      <c r="AM282" s="897"/>
      <c r="AN282" s="897"/>
      <c r="AO282" s="897"/>
      <c r="AP282" s="897"/>
      <c r="AQ282" s="897"/>
      <c r="AR282" s="897"/>
    </row>
    <row r="283" spans="1:44" s="930" customFormat="1">
      <c r="A283" s="892"/>
      <c r="B283" s="899"/>
      <c r="C283" s="900"/>
      <c r="D283" s="894"/>
      <c r="E283" s="895"/>
      <c r="F283" s="896"/>
      <c r="G283" s="897"/>
      <c r="H283" s="897"/>
      <c r="I283" s="898"/>
      <c r="J283" s="898"/>
      <c r="K283" s="898"/>
      <c r="L283" s="898"/>
      <c r="M283" s="898"/>
      <c r="N283" s="898"/>
      <c r="O283" s="898"/>
      <c r="P283" s="898"/>
      <c r="Q283" s="898"/>
      <c r="R283" s="898"/>
      <c r="S283" s="898"/>
      <c r="T283" s="898"/>
      <c r="U283" s="898"/>
      <c r="V283" s="898"/>
      <c r="W283" s="898"/>
      <c r="X283" s="898"/>
      <c r="Y283" s="898"/>
      <c r="Z283" s="898"/>
      <c r="AA283" s="898"/>
      <c r="AB283" s="898"/>
      <c r="AC283" s="898"/>
      <c r="AD283" s="898"/>
      <c r="AE283" s="898"/>
      <c r="AF283" s="898"/>
      <c r="AG283" s="898"/>
      <c r="AH283" s="898"/>
      <c r="AI283" s="898"/>
      <c r="AJ283" s="898"/>
      <c r="AK283" s="897"/>
      <c r="AL283" s="897"/>
      <c r="AM283" s="897"/>
      <c r="AN283" s="897"/>
      <c r="AO283" s="897"/>
      <c r="AP283" s="897"/>
      <c r="AQ283" s="897"/>
      <c r="AR283" s="897"/>
    </row>
    <row r="284" spans="1:44" s="930" customFormat="1">
      <c r="A284" s="892"/>
      <c r="B284" s="899"/>
      <c r="C284" s="900"/>
      <c r="D284" s="894"/>
      <c r="E284" s="895"/>
      <c r="F284" s="896"/>
      <c r="G284" s="897"/>
      <c r="H284" s="897"/>
      <c r="I284" s="898"/>
      <c r="J284" s="898"/>
      <c r="K284" s="898"/>
      <c r="L284" s="898"/>
      <c r="M284" s="898"/>
      <c r="N284" s="898"/>
      <c r="O284" s="898"/>
      <c r="P284" s="898"/>
      <c r="Q284" s="898"/>
      <c r="R284" s="898"/>
      <c r="S284" s="898"/>
      <c r="T284" s="898"/>
      <c r="U284" s="898"/>
      <c r="V284" s="898"/>
      <c r="W284" s="898"/>
      <c r="X284" s="898"/>
      <c r="Y284" s="898"/>
      <c r="Z284" s="898"/>
      <c r="AA284" s="898"/>
      <c r="AB284" s="898"/>
      <c r="AC284" s="898"/>
      <c r="AD284" s="898"/>
      <c r="AE284" s="898"/>
      <c r="AF284" s="898"/>
      <c r="AG284" s="898"/>
      <c r="AH284" s="898"/>
      <c r="AI284" s="898"/>
      <c r="AJ284" s="898"/>
      <c r="AK284" s="897"/>
      <c r="AL284" s="897"/>
      <c r="AM284" s="897"/>
      <c r="AN284" s="897"/>
      <c r="AO284" s="897"/>
      <c r="AP284" s="897"/>
      <c r="AQ284" s="897"/>
      <c r="AR284" s="897"/>
    </row>
    <row r="285" spans="1:44" s="930" customFormat="1">
      <c r="A285" s="892"/>
      <c r="B285" s="899"/>
      <c r="C285" s="900"/>
      <c r="D285" s="894"/>
      <c r="E285" s="895"/>
      <c r="F285" s="896"/>
      <c r="G285" s="897"/>
      <c r="H285" s="897"/>
      <c r="I285" s="898"/>
      <c r="J285" s="898"/>
      <c r="K285" s="898"/>
      <c r="L285" s="898"/>
      <c r="M285" s="898"/>
      <c r="N285" s="898"/>
      <c r="O285" s="898"/>
      <c r="P285" s="898"/>
      <c r="Q285" s="898"/>
      <c r="R285" s="898"/>
      <c r="S285" s="898"/>
      <c r="T285" s="898"/>
      <c r="U285" s="898"/>
      <c r="V285" s="898"/>
      <c r="W285" s="898"/>
      <c r="X285" s="898"/>
      <c r="Y285" s="898"/>
      <c r="Z285" s="898"/>
      <c r="AA285" s="898"/>
      <c r="AB285" s="898"/>
      <c r="AC285" s="898"/>
      <c r="AD285" s="898"/>
      <c r="AE285" s="898"/>
      <c r="AF285" s="898"/>
      <c r="AG285" s="898"/>
      <c r="AH285" s="898"/>
      <c r="AI285" s="898"/>
      <c r="AJ285" s="898"/>
      <c r="AK285" s="897"/>
      <c r="AL285" s="897"/>
      <c r="AM285" s="897"/>
      <c r="AN285" s="897"/>
      <c r="AO285" s="897"/>
      <c r="AP285" s="897"/>
      <c r="AQ285" s="897"/>
      <c r="AR285" s="897"/>
    </row>
    <row r="286" spans="1:44" s="930" customFormat="1">
      <c r="A286" s="892"/>
      <c r="B286" s="899"/>
      <c r="C286" s="900"/>
      <c r="D286" s="894"/>
      <c r="E286" s="895"/>
      <c r="F286" s="896"/>
      <c r="G286" s="897"/>
      <c r="H286" s="897"/>
      <c r="I286" s="898"/>
      <c r="J286" s="898"/>
      <c r="K286" s="898"/>
      <c r="L286" s="898"/>
      <c r="M286" s="898"/>
      <c r="N286" s="898"/>
      <c r="O286" s="898"/>
      <c r="P286" s="898"/>
      <c r="Q286" s="898"/>
      <c r="R286" s="898"/>
      <c r="S286" s="898"/>
      <c r="T286" s="898"/>
      <c r="U286" s="898"/>
      <c r="V286" s="898"/>
      <c r="W286" s="898"/>
      <c r="X286" s="898"/>
      <c r="Y286" s="898"/>
      <c r="Z286" s="898"/>
      <c r="AA286" s="898"/>
      <c r="AB286" s="898"/>
      <c r="AC286" s="898"/>
      <c r="AD286" s="898"/>
      <c r="AE286" s="898"/>
      <c r="AF286" s="898"/>
      <c r="AG286" s="898"/>
      <c r="AH286" s="898"/>
      <c r="AI286" s="898"/>
      <c r="AJ286" s="898"/>
      <c r="AK286" s="897"/>
      <c r="AL286" s="897"/>
      <c r="AM286" s="897"/>
      <c r="AN286" s="897"/>
      <c r="AO286" s="897"/>
      <c r="AP286" s="897"/>
      <c r="AQ286" s="897"/>
      <c r="AR286" s="897"/>
    </row>
    <row r="287" spans="1:44" s="930" customFormat="1">
      <c r="A287" s="892"/>
      <c r="B287" s="899"/>
      <c r="C287" s="900"/>
      <c r="D287" s="894"/>
      <c r="E287" s="895"/>
      <c r="F287" s="896"/>
      <c r="G287" s="897"/>
      <c r="H287" s="897"/>
      <c r="I287" s="898"/>
      <c r="J287" s="898"/>
      <c r="K287" s="898"/>
      <c r="L287" s="898"/>
      <c r="M287" s="898"/>
      <c r="N287" s="898"/>
      <c r="O287" s="898"/>
      <c r="P287" s="898"/>
      <c r="Q287" s="898"/>
      <c r="R287" s="898"/>
      <c r="S287" s="898"/>
      <c r="T287" s="898"/>
      <c r="U287" s="898"/>
      <c r="V287" s="898"/>
      <c r="W287" s="898"/>
      <c r="X287" s="898"/>
      <c r="Y287" s="898"/>
      <c r="Z287" s="898"/>
      <c r="AA287" s="898"/>
      <c r="AB287" s="898"/>
      <c r="AC287" s="898"/>
      <c r="AD287" s="898"/>
      <c r="AE287" s="898"/>
      <c r="AF287" s="898"/>
      <c r="AG287" s="898"/>
      <c r="AH287" s="898"/>
      <c r="AI287" s="898"/>
      <c r="AJ287" s="898"/>
      <c r="AK287" s="897"/>
      <c r="AL287" s="897"/>
      <c r="AM287" s="897"/>
      <c r="AN287" s="897"/>
      <c r="AO287" s="897"/>
      <c r="AP287" s="897"/>
      <c r="AQ287" s="897"/>
      <c r="AR287" s="897"/>
    </row>
    <row r="288" spans="1:44" s="930" customFormat="1">
      <c r="A288" s="892"/>
      <c r="B288" s="899"/>
      <c r="C288" s="900"/>
      <c r="D288" s="894"/>
      <c r="E288" s="895"/>
      <c r="F288" s="896"/>
      <c r="G288" s="897"/>
      <c r="H288" s="897"/>
      <c r="I288" s="898"/>
      <c r="J288" s="898"/>
      <c r="K288" s="898"/>
      <c r="L288" s="898"/>
      <c r="M288" s="898"/>
      <c r="N288" s="898"/>
      <c r="O288" s="898"/>
      <c r="P288" s="898"/>
      <c r="Q288" s="898"/>
      <c r="R288" s="898"/>
      <c r="S288" s="898"/>
      <c r="T288" s="898"/>
      <c r="U288" s="898"/>
      <c r="V288" s="898"/>
      <c r="W288" s="898"/>
      <c r="X288" s="898"/>
      <c r="Y288" s="898"/>
      <c r="Z288" s="898"/>
      <c r="AA288" s="898"/>
      <c r="AB288" s="898"/>
      <c r="AC288" s="898"/>
      <c r="AD288" s="898"/>
      <c r="AE288" s="898"/>
      <c r="AF288" s="898"/>
      <c r="AG288" s="898"/>
      <c r="AH288" s="898"/>
      <c r="AI288" s="898"/>
      <c r="AJ288" s="898"/>
      <c r="AK288" s="897"/>
      <c r="AL288" s="897"/>
      <c r="AM288" s="897"/>
      <c r="AN288" s="897"/>
      <c r="AO288" s="897"/>
      <c r="AP288" s="897"/>
      <c r="AQ288" s="897"/>
      <c r="AR288" s="897"/>
    </row>
    <row r="289" spans="1:44" s="930" customFormat="1">
      <c r="A289" s="892"/>
      <c r="B289" s="899"/>
      <c r="C289" s="900"/>
      <c r="D289" s="894"/>
      <c r="E289" s="895"/>
      <c r="F289" s="896"/>
      <c r="G289" s="897"/>
      <c r="H289" s="897"/>
      <c r="I289" s="898"/>
      <c r="J289" s="898"/>
      <c r="K289" s="898"/>
      <c r="L289" s="898"/>
      <c r="M289" s="898"/>
      <c r="N289" s="898"/>
      <c r="O289" s="898"/>
      <c r="P289" s="898"/>
      <c r="Q289" s="898"/>
      <c r="R289" s="898"/>
      <c r="S289" s="898"/>
      <c r="T289" s="898"/>
      <c r="U289" s="898"/>
      <c r="V289" s="898"/>
      <c r="W289" s="898"/>
      <c r="X289" s="898"/>
      <c r="Y289" s="898"/>
      <c r="Z289" s="898"/>
      <c r="AA289" s="898"/>
      <c r="AB289" s="898"/>
      <c r="AC289" s="898"/>
      <c r="AD289" s="898"/>
      <c r="AE289" s="898"/>
      <c r="AF289" s="898"/>
      <c r="AG289" s="898"/>
      <c r="AH289" s="898"/>
      <c r="AI289" s="898"/>
      <c r="AJ289" s="898"/>
      <c r="AK289" s="897"/>
      <c r="AL289" s="897"/>
      <c r="AM289" s="897"/>
      <c r="AN289" s="897"/>
      <c r="AO289" s="897"/>
      <c r="AP289" s="897"/>
      <c r="AQ289" s="897"/>
      <c r="AR289" s="897"/>
    </row>
    <row r="290" spans="1:44" s="930" customFormat="1">
      <c r="A290" s="892"/>
      <c r="B290" s="899"/>
      <c r="C290" s="900"/>
      <c r="D290" s="894"/>
      <c r="E290" s="895"/>
      <c r="F290" s="896"/>
      <c r="G290" s="897"/>
      <c r="H290" s="897"/>
      <c r="I290" s="898"/>
      <c r="J290" s="898"/>
      <c r="K290" s="898"/>
      <c r="L290" s="898"/>
      <c r="M290" s="898"/>
      <c r="N290" s="898"/>
      <c r="O290" s="898"/>
      <c r="P290" s="898"/>
      <c r="Q290" s="898"/>
      <c r="R290" s="898"/>
      <c r="S290" s="898"/>
      <c r="T290" s="898"/>
      <c r="U290" s="898"/>
      <c r="V290" s="898"/>
      <c r="W290" s="898"/>
      <c r="X290" s="898"/>
      <c r="Y290" s="898"/>
      <c r="Z290" s="898"/>
      <c r="AA290" s="898"/>
      <c r="AB290" s="898"/>
      <c r="AC290" s="898"/>
      <c r="AD290" s="898"/>
      <c r="AE290" s="898"/>
      <c r="AF290" s="898"/>
      <c r="AG290" s="898"/>
      <c r="AH290" s="898"/>
      <c r="AI290" s="898"/>
      <c r="AJ290" s="898"/>
      <c r="AK290" s="897"/>
      <c r="AL290" s="897"/>
      <c r="AM290" s="897"/>
      <c r="AN290" s="897"/>
      <c r="AO290" s="897"/>
      <c r="AP290" s="897"/>
      <c r="AQ290" s="897"/>
      <c r="AR290" s="897"/>
    </row>
    <row r="291" spans="1:44" s="930" customFormat="1">
      <c r="A291" s="892"/>
      <c r="B291" s="899"/>
      <c r="C291" s="900"/>
      <c r="D291" s="894"/>
      <c r="E291" s="895"/>
      <c r="F291" s="896"/>
      <c r="G291" s="897"/>
      <c r="H291" s="897"/>
      <c r="I291" s="898"/>
      <c r="J291" s="898"/>
      <c r="K291" s="898"/>
      <c r="L291" s="898"/>
      <c r="M291" s="898"/>
      <c r="N291" s="898"/>
      <c r="O291" s="898"/>
      <c r="P291" s="898"/>
      <c r="Q291" s="898"/>
      <c r="R291" s="898"/>
      <c r="S291" s="898"/>
      <c r="T291" s="898"/>
      <c r="U291" s="898"/>
      <c r="V291" s="898"/>
      <c r="W291" s="898"/>
      <c r="X291" s="898"/>
      <c r="Y291" s="898"/>
      <c r="Z291" s="898"/>
      <c r="AA291" s="898"/>
      <c r="AB291" s="898"/>
      <c r="AC291" s="898"/>
      <c r="AD291" s="898"/>
      <c r="AE291" s="898"/>
      <c r="AF291" s="898"/>
      <c r="AG291" s="898"/>
      <c r="AH291" s="898"/>
      <c r="AI291" s="898"/>
      <c r="AJ291" s="898"/>
      <c r="AK291" s="897"/>
      <c r="AL291" s="897"/>
      <c r="AM291" s="897"/>
      <c r="AN291" s="897"/>
      <c r="AO291" s="897"/>
      <c r="AP291" s="897"/>
      <c r="AQ291" s="897"/>
      <c r="AR291" s="897"/>
    </row>
    <row r="292" spans="1:44" s="930" customFormat="1">
      <c r="A292" s="892"/>
      <c r="B292" s="899"/>
      <c r="C292" s="900"/>
      <c r="D292" s="894"/>
      <c r="E292" s="895"/>
      <c r="F292" s="896"/>
      <c r="G292" s="897"/>
      <c r="H292" s="897"/>
      <c r="I292" s="898"/>
      <c r="J292" s="898"/>
      <c r="K292" s="898"/>
      <c r="L292" s="898"/>
      <c r="M292" s="898"/>
      <c r="N292" s="898"/>
      <c r="O292" s="898"/>
      <c r="P292" s="898"/>
      <c r="Q292" s="898"/>
      <c r="R292" s="898"/>
      <c r="S292" s="898"/>
      <c r="T292" s="898"/>
      <c r="U292" s="898"/>
      <c r="V292" s="898"/>
      <c r="W292" s="898"/>
      <c r="X292" s="898"/>
      <c r="Y292" s="898"/>
      <c r="Z292" s="898"/>
      <c r="AA292" s="898"/>
      <c r="AB292" s="898"/>
      <c r="AC292" s="898"/>
      <c r="AD292" s="898"/>
      <c r="AE292" s="898"/>
      <c r="AF292" s="898"/>
      <c r="AG292" s="898"/>
      <c r="AH292" s="898"/>
      <c r="AI292" s="898"/>
      <c r="AJ292" s="898"/>
      <c r="AK292" s="897"/>
      <c r="AL292" s="897"/>
      <c r="AM292" s="897"/>
      <c r="AN292" s="897"/>
      <c r="AO292" s="897"/>
      <c r="AP292" s="897"/>
      <c r="AQ292" s="897"/>
      <c r="AR292" s="897"/>
    </row>
    <row r="293" spans="1:44" s="930" customFormat="1">
      <c r="A293" s="892"/>
      <c r="B293" s="899"/>
      <c r="C293" s="900"/>
      <c r="D293" s="894"/>
      <c r="E293" s="895"/>
      <c r="F293" s="896"/>
      <c r="G293" s="897"/>
      <c r="H293" s="897"/>
      <c r="I293" s="898"/>
      <c r="J293" s="898"/>
      <c r="K293" s="898"/>
      <c r="L293" s="898"/>
      <c r="M293" s="898"/>
      <c r="N293" s="898"/>
      <c r="O293" s="898"/>
      <c r="P293" s="898"/>
      <c r="Q293" s="898"/>
      <c r="R293" s="898"/>
      <c r="S293" s="898"/>
      <c r="T293" s="898"/>
      <c r="U293" s="898"/>
      <c r="V293" s="898"/>
      <c r="W293" s="898"/>
      <c r="X293" s="898"/>
      <c r="Y293" s="898"/>
      <c r="Z293" s="898"/>
      <c r="AA293" s="898"/>
      <c r="AB293" s="898"/>
      <c r="AC293" s="898"/>
      <c r="AD293" s="898"/>
      <c r="AE293" s="898"/>
      <c r="AF293" s="898"/>
      <c r="AG293" s="898"/>
      <c r="AH293" s="898"/>
      <c r="AI293" s="898"/>
      <c r="AJ293" s="898"/>
      <c r="AK293" s="897"/>
      <c r="AL293" s="897"/>
      <c r="AM293" s="897"/>
      <c r="AN293" s="897"/>
      <c r="AO293" s="897"/>
      <c r="AP293" s="897"/>
      <c r="AQ293" s="897"/>
      <c r="AR293" s="897"/>
    </row>
    <row r="294" spans="1:44" s="930" customFormat="1">
      <c r="A294" s="892"/>
      <c r="B294" s="899"/>
      <c r="C294" s="900"/>
      <c r="D294" s="894"/>
      <c r="E294" s="895"/>
      <c r="F294" s="896"/>
      <c r="G294" s="897"/>
      <c r="H294" s="897"/>
      <c r="I294" s="898"/>
      <c r="J294" s="898"/>
      <c r="K294" s="898"/>
      <c r="L294" s="898"/>
      <c r="M294" s="898"/>
      <c r="N294" s="898"/>
      <c r="O294" s="898"/>
      <c r="P294" s="898"/>
      <c r="Q294" s="898"/>
      <c r="R294" s="898"/>
      <c r="S294" s="898"/>
      <c r="T294" s="898"/>
      <c r="U294" s="898"/>
      <c r="V294" s="898"/>
      <c r="W294" s="898"/>
      <c r="X294" s="898"/>
      <c r="Y294" s="898"/>
      <c r="Z294" s="898"/>
      <c r="AA294" s="898"/>
      <c r="AB294" s="898"/>
      <c r="AC294" s="898"/>
      <c r="AD294" s="898"/>
      <c r="AE294" s="898"/>
      <c r="AF294" s="898"/>
      <c r="AG294" s="898"/>
      <c r="AH294" s="898"/>
      <c r="AI294" s="898"/>
      <c r="AJ294" s="898"/>
      <c r="AK294" s="897"/>
      <c r="AL294" s="897"/>
      <c r="AM294" s="897"/>
      <c r="AN294" s="897"/>
      <c r="AO294" s="897"/>
      <c r="AP294" s="897"/>
      <c r="AQ294" s="897"/>
      <c r="AR294" s="897"/>
    </row>
    <row r="295" spans="1:44" s="930" customFormat="1">
      <c r="A295" s="892"/>
      <c r="B295" s="899"/>
      <c r="C295" s="900"/>
      <c r="D295" s="894"/>
      <c r="E295" s="895"/>
      <c r="F295" s="896"/>
      <c r="G295" s="897"/>
      <c r="H295" s="897"/>
      <c r="I295" s="898"/>
      <c r="J295" s="898"/>
      <c r="K295" s="898"/>
      <c r="L295" s="898"/>
      <c r="M295" s="898"/>
      <c r="N295" s="898"/>
      <c r="O295" s="898"/>
      <c r="P295" s="898"/>
      <c r="Q295" s="898"/>
      <c r="R295" s="898"/>
      <c r="S295" s="898"/>
      <c r="T295" s="898"/>
      <c r="U295" s="898"/>
      <c r="V295" s="898"/>
      <c r="W295" s="898"/>
      <c r="X295" s="898"/>
      <c r="Y295" s="898"/>
      <c r="Z295" s="898"/>
      <c r="AA295" s="898"/>
      <c r="AB295" s="898"/>
      <c r="AC295" s="898"/>
      <c r="AD295" s="898"/>
      <c r="AE295" s="898"/>
      <c r="AF295" s="898"/>
      <c r="AG295" s="898"/>
      <c r="AH295" s="898"/>
      <c r="AI295" s="898"/>
      <c r="AJ295" s="898"/>
      <c r="AK295" s="897"/>
      <c r="AL295" s="897"/>
      <c r="AM295" s="897"/>
      <c r="AN295" s="897"/>
      <c r="AO295" s="897"/>
      <c r="AP295" s="897"/>
      <c r="AQ295" s="897"/>
      <c r="AR295" s="897"/>
    </row>
    <row r="296" spans="1:44" s="930" customFormat="1">
      <c r="A296" s="892"/>
      <c r="B296" s="899"/>
      <c r="C296" s="900"/>
      <c r="D296" s="894"/>
      <c r="E296" s="895"/>
      <c r="F296" s="896"/>
      <c r="G296" s="897"/>
      <c r="H296" s="897"/>
      <c r="I296" s="898"/>
      <c r="J296" s="898"/>
      <c r="K296" s="898"/>
      <c r="L296" s="898"/>
      <c r="M296" s="898"/>
      <c r="N296" s="898"/>
      <c r="O296" s="898"/>
      <c r="P296" s="898"/>
      <c r="Q296" s="898"/>
      <c r="R296" s="898"/>
      <c r="S296" s="898"/>
      <c r="T296" s="898"/>
      <c r="U296" s="898"/>
      <c r="V296" s="898"/>
      <c r="W296" s="898"/>
      <c r="X296" s="898"/>
      <c r="Y296" s="898"/>
      <c r="Z296" s="898"/>
      <c r="AA296" s="898"/>
      <c r="AB296" s="898"/>
      <c r="AC296" s="898"/>
      <c r="AD296" s="898"/>
      <c r="AE296" s="898"/>
      <c r="AF296" s="898"/>
      <c r="AG296" s="898"/>
      <c r="AH296" s="898"/>
      <c r="AI296" s="898"/>
      <c r="AJ296" s="898"/>
      <c r="AK296" s="897"/>
      <c r="AL296" s="897"/>
      <c r="AM296" s="897"/>
      <c r="AN296" s="897"/>
      <c r="AO296" s="897"/>
      <c r="AP296" s="897"/>
      <c r="AQ296" s="897"/>
      <c r="AR296" s="897"/>
    </row>
    <row r="297" spans="1:44" s="930" customFormat="1">
      <c r="A297" s="892"/>
      <c r="B297" s="899"/>
      <c r="C297" s="900"/>
      <c r="D297" s="894"/>
      <c r="E297" s="895"/>
      <c r="F297" s="896"/>
      <c r="G297" s="897"/>
      <c r="H297" s="897"/>
      <c r="I297" s="898"/>
      <c r="J297" s="898"/>
      <c r="K297" s="898"/>
      <c r="L297" s="898"/>
      <c r="M297" s="898"/>
      <c r="N297" s="898"/>
      <c r="O297" s="898"/>
      <c r="P297" s="898"/>
      <c r="Q297" s="898"/>
      <c r="R297" s="898"/>
      <c r="S297" s="898"/>
      <c r="T297" s="898"/>
      <c r="U297" s="898"/>
      <c r="V297" s="898"/>
      <c r="W297" s="898"/>
      <c r="X297" s="898"/>
      <c r="Y297" s="898"/>
      <c r="Z297" s="898"/>
      <c r="AA297" s="898"/>
      <c r="AB297" s="898"/>
      <c r="AC297" s="898"/>
      <c r="AD297" s="898"/>
      <c r="AE297" s="898"/>
      <c r="AF297" s="898"/>
      <c r="AG297" s="898"/>
      <c r="AH297" s="898"/>
      <c r="AI297" s="898"/>
      <c r="AJ297" s="898"/>
      <c r="AK297" s="897"/>
      <c r="AL297" s="897"/>
      <c r="AM297" s="897"/>
      <c r="AN297" s="897"/>
      <c r="AO297" s="897"/>
      <c r="AP297" s="897"/>
      <c r="AQ297" s="897"/>
      <c r="AR297" s="897"/>
    </row>
    <row r="298" spans="1:44" s="930" customFormat="1">
      <c r="A298" s="892"/>
      <c r="B298" s="899"/>
      <c r="C298" s="900"/>
      <c r="D298" s="894"/>
      <c r="E298" s="895"/>
      <c r="F298" s="896"/>
      <c r="G298" s="897"/>
      <c r="H298" s="897"/>
      <c r="I298" s="898"/>
      <c r="J298" s="898"/>
      <c r="K298" s="898"/>
      <c r="L298" s="898"/>
      <c r="M298" s="898"/>
      <c r="N298" s="898"/>
      <c r="O298" s="898"/>
      <c r="P298" s="898"/>
      <c r="Q298" s="898"/>
      <c r="R298" s="898"/>
      <c r="S298" s="898"/>
      <c r="T298" s="898"/>
      <c r="U298" s="898"/>
      <c r="V298" s="898"/>
      <c r="W298" s="898"/>
      <c r="X298" s="898"/>
      <c r="Y298" s="898"/>
      <c r="Z298" s="898"/>
      <c r="AA298" s="898"/>
      <c r="AB298" s="898"/>
      <c r="AC298" s="898"/>
      <c r="AD298" s="898"/>
      <c r="AE298" s="898"/>
      <c r="AF298" s="898"/>
      <c r="AG298" s="898"/>
      <c r="AH298" s="898"/>
      <c r="AI298" s="898"/>
      <c r="AJ298" s="898"/>
      <c r="AK298" s="897"/>
      <c r="AL298" s="897"/>
      <c r="AM298" s="897"/>
      <c r="AN298" s="897"/>
      <c r="AO298" s="897"/>
      <c r="AP298" s="897"/>
      <c r="AQ298" s="897"/>
      <c r="AR298" s="897"/>
    </row>
    <row r="299" spans="1:44" s="930" customFormat="1">
      <c r="A299" s="892"/>
      <c r="B299" s="899"/>
      <c r="C299" s="900"/>
      <c r="D299" s="894"/>
      <c r="E299" s="895"/>
      <c r="F299" s="896"/>
      <c r="G299" s="897"/>
      <c r="H299" s="897"/>
      <c r="I299" s="898"/>
      <c r="J299" s="898"/>
      <c r="K299" s="898"/>
      <c r="L299" s="898"/>
      <c r="M299" s="898"/>
      <c r="N299" s="898"/>
      <c r="O299" s="898"/>
      <c r="P299" s="898"/>
      <c r="Q299" s="898"/>
      <c r="R299" s="898"/>
      <c r="S299" s="898"/>
      <c r="T299" s="898"/>
      <c r="U299" s="898"/>
      <c r="V299" s="898"/>
      <c r="W299" s="898"/>
      <c r="X299" s="898"/>
      <c r="Y299" s="898"/>
      <c r="Z299" s="898"/>
      <c r="AA299" s="898"/>
      <c r="AB299" s="898"/>
      <c r="AC299" s="898"/>
      <c r="AD299" s="898"/>
      <c r="AE299" s="898"/>
      <c r="AF299" s="898"/>
      <c r="AG299" s="898"/>
      <c r="AH299" s="898"/>
      <c r="AI299" s="898"/>
      <c r="AJ299" s="898"/>
      <c r="AK299" s="897"/>
      <c r="AL299" s="897"/>
      <c r="AM299" s="897"/>
      <c r="AN299" s="897"/>
      <c r="AO299" s="897"/>
      <c r="AP299" s="897"/>
      <c r="AQ299" s="897"/>
      <c r="AR299" s="897"/>
    </row>
    <row r="300" spans="1:44" s="930" customFormat="1">
      <c r="A300" s="892"/>
      <c r="B300" s="899"/>
      <c r="C300" s="900"/>
      <c r="D300" s="894"/>
      <c r="E300" s="895"/>
      <c r="F300" s="896"/>
      <c r="G300" s="897"/>
      <c r="H300" s="897"/>
      <c r="I300" s="898"/>
      <c r="J300" s="898"/>
      <c r="K300" s="898"/>
      <c r="L300" s="898"/>
      <c r="M300" s="898"/>
      <c r="N300" s="898"/>
      <c r="O300" s="898"/>
      <c r="P300" s="898"/>
      <c r="Q300" s="898"/>
      <c r="R300" s="898"/>
      <c r="S300" s="898"/>
      <c r="T300" s="898"/>
      <c r="U300" s="898"/>
      <c r="V300" s="898"/>
      <c r="W300" s="898"/>
      <c r="X300" s="898"/>
      <c r="Y300" s="898"/>
      <c r="Z300" s="898"/>
      <c r="AA300" s="898"/>
      <c r="AB300" s="898"/>
      <c r="AC300" s="898"/>
      <c r="AD300" s="898"/>
      <c r="AE300" s="898"/>
      <c r="AF300" s="898"/>
      <c r="AG300" s="898"/>
      <c r="AH300" s="898"/>
      <c r="AI300" s="898"/>
      <c r="AJ300" s="898"/>
      <c r="AK300" s="897"/>
      <c r="AL300" s="897"/>
      <c r="AM300" s="897"/>
      <c r="AN300" s="897"/>
      <c r="AO300" s="897"/>
      <c r="AP300" s="897"/>
      <c r="AQ300" s="897"/>
      <c r="AR300" s="897"/>
    </row>
    <row r="301" spans="1:44" s="930" customFormat="1">
      <c r="A301" s="892"/>
      <c r="B301" s="899"/>
      <c r="C301" s="900"/>
      <c r="D301" s="894"/>
      <c r="E301" s="895"/>
      <c r="F301" s="896"/>
      <c r="G301" s="897"/>
      <c r="H301" s="897"/>
      <c r="I301" s="898"/>
      <c r="J301" s="898"/>
      <c r="K301" s="898"/>
      <c r="L301" s="898"/>
      <c r="M301" s="898"/>
      <c r="N301" s="898"/>
      <c r="O301" s="898"/>
      <c r="P301" s="898"/>
      <c r="Q301" s="898"/>
      <c r="R301" s="898"/>
      <c r="S301" s="898"/>
      <c r="T301" s="898"/>
      <c r="U301" s="898"/>
      <c r="V301" s="898"/>
      <c r="W301" s="898"/>
      <c r="X301" s="898"/>
      <c r="Y301" s="898"/>
      <c r="Z301" s="898"/>
      <c r="AA301" s="898"/>
      <c r="AB301" s="898"/>
      <c r="AC301" s="898"/>
      <c r="AD301" s="898"/>
      <c r="AE301" s="898"/>
      <c r="AF301" s="898"/>
      <c r="AG301" s="898"/>
      <c r="AH301" s="898"/>
      <c r="AI301" s="898"/>
      <c r="AJ301" s="898"/>
      <c r="AK301" s="897"/>
      <c r="AL301" s="897"/>
      <c r="AM301" s="897"/>
      <c r="AN301" s="897"/>
      <c r="AO301" s="897"/>
      <c r="AP301" s="897"/>
      <c r="AQ301" s="897"/>
      <c r="AR301" s="897"/>
    </row>
    <row r="302" spans="1:44" s="930" customFormat="1">
      <c r="A302" s="892"/>
      <c r="B302" s="899"/>
      <c r="C302" s="900"/>
      <c r="D302" s="894"/>
      <c r="E302" s="895"/>
      <c r="F302" s="896"/>
      <c r="G302" s="897"/>
      <c r="H302" s="897"/>
      <c r="I302" s="898"/>
      <c r="J302" s="898"/>
      <c r="K302" s="898"/>
      <c r="L302" s="898"/>
      <c r="M302" s="898"/>
      <c r="N302" s="898"/>
      <c r="O302" s="898"/>
      <c r="P302" s="898"/>
      <c r="Q302" s="898"/>
      <c r="R302" s="898"/>
      <c r="S302" s="898"/>
      <c r="T302" s="898"/>
      <c r="U302" s="898"/>
      <c r="V302" s="898"/>
      <c r="W302" s="898"/>
      <c r="X302" s="898"/>
      <c r="Y302" s="898"/>
      <c r="Z302" s="898"/>
      <c r="AA302" s="898"/>
      <c r="AB302" s="898"/>
      <c r="AC302" s="898"/>
      <c r="AD302" s="898"/>
      <c r="AE302" s="898"/>
      <c r="AF302" s="898"/>
      <c r="AG302" s="898"/>
      <c r="AH302" s="898"/>
      <c r="AI302" s="898"/>
      <c r="AJ302" s="898"/>
      <c r="AK302" s="897"/>
      <c r="AL302" s="897"/>
      <c r="AM302" s="897"/>
      <c r="AN302" s="897"/>
      <c r="AO302" s="897"/>
      <c r="AP302" s="897"/>
      <c r="AQ302" s="897"/>
      <c r="AR302" s="897"/>
    </row>
    <row r="303" spans="1:44" s="930" customFormat="1">
      <c r="A303" s="892"/>
      <c r="B303" s="899"/>
      <c r="C303" s="900"/>
      <c r="D303" s="894"/>
      <c r="E303" s="895"/>
      <c r="F303" s="896"/>
      <c r="G303" s="897"/>
      <c r="H303" s="897"/>
      <c r="I303" s="898"/>
      <c r="J303" s="898"/>
      <c r="K303" s="898"/>
      <c r="L303" s="898"/>
      <c r="M303" s="898"/>
      <c r="N303" s="898"/>
      <c r="O303" s="898"/>
      <c r="P303" s="898"/>
      <c r="Q303" s="898"/>
      <c r="R303" s="898"/>
      <c r="S303" s="898"/>
      <c r="T303" s="898"/>
      <c r="U303" s="898"/>
      <c r="V303" s="898"/>
      <c r="W303" s="898"/>
      <c r="X303" s="898"/>
      <c r="Y303" s="898"/>
      <c r="Z303" s="898"/>
      <c r="AA303" s="898"/>
      <c r="AB303" s="898"/>
      <c r="AC303" s="898"/>
      <c r="AD303" s="898"/>
      <c r="AE303" s="898"/>
      <c r="AF303" s="898"/>
      <c r="AG303" s="898"/>
      <c r="AH303" s="898"/>
      <c r="AI303" s="898"/>
      <c r="AJ303" s="898"/>
      <c r="AK303" s="897"/>
      <c r="AL303" s="897"/>
      <c r="AM303" s="897"/>
      <c r="AN303" s="897"/>
      <c r="AO303" s="897"/>
      <c r="AP303" s="897"/>
      <c r="AQ303" s="897"/>
      <c r="AR303" s="897"/>
    </row>
    <row r="304" spans="1:44" s="930" customFormat="1">
      <c r="A304" s="892"/>
      <c r="B304" s="899"/>
      <c r="C304" s="900"/>
      <c r="D304" s="894"/>
      <c r="E304" s="895"/>
      <c r="F304" s="896"/>
      <c r="G304" s="897"/>
      <c r="H304" s="897"/>
      <c r="I304" s="898"/>
      <c r="J304" s="898"/>
      <c r="K304" s="898"/>
      <c r="L304" s="898"/>
      <c r="M304" s="898"/>
      <c r="N304" s="898"/>
      <c r="O304" s="898"/>
      <c r="P304" s="898"/>
      <c r="Q304" s="898"/>
      <c r="R304" s="898"/>
      <c r="S304" s="898"/>
      <c r="T304" s="898"/>
      <c r="U304" s="898"/>
      <c r="V304" s="898"/>
      <c r="W304" s="898"/>
      <c r="X304" s="898"/>
      <c r="Y304" s="898"/>
      <c r="Z304" s="898"/>
      <c r="AA304" s="898"/>
      <c r="AB304" s="898"/>
      <c r="AC304" s="898"/>
      <c r="AD304" s="898"/>
      <c r="AE304" s="898"/>
      <c r="AF304" s="898"/>
      <c r="AG304" s="898"/>
      <c r="AH304" s="898"/>
      <c r="AI304" s="898"/>
      <c r="AJ304" s="898"/>
      <c r="AK304" s="897"/>
      <c r="AL304" s="897"/>
      <c r="AM304" s="897"/>
      <c r="AN304" s="897"/>
      <c r="AO304" s="897"/>
      <c r="AP304" s="897"/>
      <c r="AQ304" s="897"/>
      <c r="AR304" s="897"/>
    </row>
    <row r="305" spans="1:44" s="930" customFormat="1">
      <c r="A305" s="892"/>
      <c r="B305" s="899"/>
      <c r="C305" s="900"/>
      <c r="D305" s="894"/>
      <c r="E305" s="895"/>
      <c r="F305" s="896"/>
      <c r="G305" s="897"/>
      <c r="H305" s="897"/>
      <c r="I305" s="898"/>
      <c r="J305" s="898"/>
      <c r="K305" s="898"/>
      <c r="L305" s="898"/>
      <c r="M305" s="898"/>
      <c r="N305" s="898"/>
      <c r="O305" s="898"/>
      <c r="P305" s="898"/>
      <c r="Q305" s="898"/>
      <c r="R305" s="898"/>
      <c r="S305" s="898"/>
      <c r="T305" s="898"/>
      <c r="U305" s="898"/>
      <c r="V305" s="898"/>
      <c r="W305" s="898"/>
      <c r="X305" s="898"/>
      <c r="Y305" s="898"/>
      <c r="Z305" s="898"/>
      <c r="AA305" s="898"/>
      <c r="AB305" s="898"/>
      <c r="AC305" s="898"/>
      <c r="AD305" s="898"/>
      <c r="AE305" s="898"/>
      <c r="AF305" s="898"/>
      <c r="AG305" s="898"/>
      <c r="AH305" s="898"/>
      <c r="AI305" s="898"/>
      <c r="AJ305" s="898"/>
      <c r="AK305" s="897"/>
      <c r="AL305" s="897"/>
      <c r="AM305" s="897"/>
      <c r="AN305" s="897"/>
      <c r="AO305" s="897"/>
      <c r="AP305" s="897"/>
      <c r="AQ305" s="897"/>
      <c r="AR305" s="897"/>
    </row>
    <row r="306" spans="1:44" s="930" customFormat="1">
      <c r="A306" s="892"/>
      <c r="B306" s="899"/>
      <c r="C306" s="900"/>
      <c r="D306" s="894"/>
      <c r="E306" s="895"/>
      <c r="F306" s="896"/>
      <c r="G306" s="897"/>
      <c r="H306" s="897"/>
      <c r="I306" s="898"/>
      <c r="J306" s="898"/>
      <c r="K306" s="898"/>
      <c r="L306" s="898"/>
      <c r="M306" s="898"/>
      <c r="N306" s="898"/>
      <c r="O306" s="898"/>
      <c r="P306" s="898"/>
      <c r="Q306" s="898"/>
      <c r="R306" s="898"/>
      <c r="S306" s="898"/>
      <c r="T306" s="898"/>
      <c r="U306" s="898"/>
      <c r="V306" s="898"/>
      <c r="W306" s="898"/>
      <c r="X306" s="898"/>
      <c r="Y306" s="898"/>
      <c r="Z306" s="898"/>
      <c r="AA306" s="898"/>
      <c r="AB306" s="898"/>
      <c r="AC306" s="898"/>
      <c r="AD306" s="898"/>
      <c r="AE306" s="898"/>
      <c r="AF306" s="898"/>
      <c r="AG306" s="898"/>
      <c r="AH306" s="898"/>
      <c r="AI306" s="898"/>
      <c r="AJ306" s="898"/>
      <c r="AK306" s="897"/>
      <c r="AL306" s="897"/>
      <c r="AM306" s="897"/>
      <c r="AN306" s="897"/>
      <c r="AO306" s="897"/>
      <c r="AP306" s="897"/>
      <c r="AQ306" s="897"/>
      <c r="AR306" s="897"/>
    </row>
    <row r="307" spans="1:44" s="930" customFormat="1">
      <c r="A307" s="892"/>
      <c r="B307" s="899"/>
      <c r="C307" s="900"/>
      <c r="D307" s="894"/>
      <c r="E307" s="895"/>
      <c r="F307" s="896"/>
      <c r="G307" s="897"/>
      <c r="H307" s="897"/>
      <c r="I307" s="898"/>
      <c r="J307" s="898"/>
      <c r="K307" s="898"/>
      <c r="L307" s="898"/>
      <c r="M307" s="898"/>
      <c r="N307" s="898"/>
      <c r="O307" s="898"/>
      <c r="P307" s="898"/>
      <c r="Q307" s="898"/>
      <c r="R307" s="898"/>
      <c r="S307" s="898"/>
      <c r="T307" s="898"/>
      <c r="U307" s="898"/>
      <c r="V307" s="898"/>
      <c r="W307" s="898"/>
      <c r="X307" s="898"/>
      <c r="Y307" s="898"/>
      <c r="Z307" s="898"/>
      <c r="AA307" s="898"/>
      <c r="AB307" s="898"/>
      <c r="AC307" s="898"/>
      <c r="AD307" s="898"/>
      <c r="AE307" s="898"/>
      <c r="AF307" s="898"/>
      <c r="AG307" s="898"/>
      <c r="AH307" s="898"/>
      <c r="AI307" s="898"/>
      <c r="AJ307" s="898"/>
      <c r="AK307" s="897"/>
      <c r="AL307" s="897"/>
      <c r="AM307" s="897"/>
      <c r="AN307" s="897"/>
      <c r="AO307" s="897"/>
      <c r="AP307" s="897"/>
      <c r="AQ307" s="897"/>
      <c r="AR307" s="897"/>
    </row>
    <row r="308" spans="1:44" s="930" customFormat="1">
      <c r="A308" s="892"/>
      <c r="B308" s="899"/>
      <c r="C308" s="900"/>
      <c r="D308" s="894"/>
      <c r="E308" s="895"/>
      <c r="F308" s="896"/>
      <c r="G308" s="897"/>
      <c r="H308" s="897"/>
      <c r="I308" s="898"/>
      <c r="J308" s="898"/>
      <c r="K308" s="898"/>
      <c r="L308" s="898"/>
      <c r="M308" s="898"/>
      <c r="N308" s="898"/>
      <c r="O308" s="898"/>
      <c r="P308" s="898"/>
      <c r="Q308" s="898"/>
      <c r="R308" s="898"/>
      <c r="S308" s="898"/>
      <c r="T308" s="898"/>
      <c r="U308" s="898"/>
      <c r="V308" s="898"/>
      <c r="W308" s="898"/>
      <c r="X308" s="898"/>
      <c r="Y308" s="898"/>
      <c r="Z308" s="898"/>
      <c r="AA308" s="898"/>
      <c r="AB308" s="898"/>
      <c r="AC308" s="898"/>
      <c r="AD308" s="898"/>
      <c r="AE308" s="898"/>
      <c r="AF308" s="898"/>
      <c r="AG308" s="898"/>
      <c r="AH308" s="898"/>
      <c r="AI308" s="898"/>
      <c r="AJ308" s="898"/>
      <c r="AK308" s="897"/>
      <c r="AL308" s="897"/>
      <c r="AM308" s="897"/>
      <c r="AN308" s="897"/>
      <c r="AO308" s="897"/>
      <c r="AP308" s="897"/>
      <c r="AQ308" s="897"/>
      <c r="AR308" s="897"/>
    </row>
    <row r="309" spans="1:44" s="930" customFormat="1">
      <c r="A309" s="892"/>
      <c r="B309" s="899"/>
      <c r="C309" s="900"/>
      <c r="D309" s="894"/>
      <c r="E309" s="895"/>
      <c r="F309" s="896"/>
      <c r="G309" s="897"/>
      <c r="H309" s="897"/>
      <c r="I309" s="898"/>
      <c r="J309" s="898"/>
      <c r="K309" s="898"/>
      <c r="L309" s="898"/>
      <c r="M309" s="898"/>
      <c r="N309" s="898"/>
      <c r="O309" s="898"/>
      <c r="P309" s="898"/>
      <c r="Q309" s="898"/>
      <c r="R309" s="898"/>
      <c r="S309" s="898"/>
      <c r="T309" s="898"/>
      <c r="U309" s="898"/>
      <c r="V309" s="898"/>
      <c r="W309" s="898"/>
      <c r="X309" s="898"/>
      <c r="Y309" s="898"/>
      <c r="Z309" s="898"/>
      <c r="AA309" s="898"/>
      <c r="AB309" s="898"/>
      <c r="AC309" s="898"/>
      <c r="AD309" s="898"/>
      <c r="AE309" s="898"/>
      <c r="AF309" s="898"/>
      <c r="AG309" s="898"/>
      <c r="AH309" s="898"/>
      <c r="AI309" s="898"/>
      <c r="AJ309" s="898"/>
      <c r="AK309" s="897"/>
      <c r="AL309" s="897"/>
      <c r="AM309" s="897"/>
      <c r="AN309" s="897"/>
      <c r="AO309" s="897"/>
      <c r="AP309" s="897"/>
      <c r="AQ309" s="897"/>
      <c r="AR309" s="897"/>
    </row>
    <row r="310" spans="1:44" s="930" customFormat="1">
      <c r="A310" s="892"/>
      <c r="B310" s="899"/>
      <c r="C310" s="900"/>
      <c r="D310" s="894"/>
      <c r="E310" s="895"/>
      <c r="F310" s="896"/>
      <c r="G310" s="897"/>
      <c r="H310" s="897"/>
      <c r="I310" s="898"/>
      <c r="J310" s="898"/>
      <c r="K310" s="898"/>
      <c r="L310" s="898"/>
      <c r="M310" s="898"/>
      <c r="N310" s="898"/>
      <c r="O310" s="898"/>
      <c r="P310" s="898"/>
      <c r="Q310" s="898"/>
      <c r="R310" s="898"/>
      <c r="S310" s="898"/>
      <c r="T310" s="898"/>
      <c r="U310" s="898"/>
      <c r="V310" s="898"/>
      <c r="W310" s="898"/>
      <c r="X310" s="898"/>
      <c r="Y310" s="898"/>
      <c r="Z310" s="898"/>
      <c r="AA310" s="898"/>
      <c r="AB310" s="898"/>
      <c r="AC310" s="898"/>
      <c r="AD310" s="898"/>
      <c r="AE310" s="898"/>
      <c r="AF310" s="898"/>
      <c r="AG310" s="898"/>
      <c r="AH310" s="898"/>
      <c r="AI310" s="898"/>
      <c r="AJ310" s="898"/>
      <c r="AK310" s="897"/>
      <c r="AL310" s="897"/>
      <c r="AM310" s="897"/>
      <c r="AN310" s="897"/>
      <c r="AO310" s="897"/>
      <c r="AP310" s="897"/>
      <c r="AQ310" s="897"/>
      <c r="AR310" s="897"/>
    </row>
    <row r="311" spans="1:44" s="930" customFormat="1">
      <c r="A311" s="892"/>
      <c r="B311" s="899"/>
      <c r="C311" s="900"/>
      <c r="D311" s="894"/>
      <c r="E311" s="895"/>
      <c r="F311" s="896"/>
      <c r="G311" s="897"/>
      <c r="H311" s="897"/>
      <c r="I311" s="898"/>
      <c r="J311" s="898"/>
      <c r="K311" s="898"/>
      <c r="L311" s="898"/>
      <c r="M311" s="898"/>
      <c r="N311" s="898"/>
      <c r="O311" s="898"/>
      <c r="P311" s="898"/>
      <c r="Q311" s="898"/>
      <c r="R311" s="898"/>
      <c r="S311" s="898"/>
      <c r="T311" s="898"/>
      <c r="U311" s="898"/>
      <c r="V311" s="898"/>
      <c r="W311" s="898"/>
      <c r="X311" s="898"/>
      <c r="Y311" s="898"/>
      <c r="Z311" s="898"/>
      <c r="AA311" s="898"/>
      <c r="AB311" s="898"/>
      <c r="AC311" s="898"/>
      <c r="AD311" s="898"/>
      <c r="AE311" s="898"/>
      <c r="AF311" s="898"/>
      <c r="AG311" s="898"/>
      <c r="AH311" s="898"/>
      <c r="AI311" s="898"/>
      <c r="AJ311" s="898"/>
      <c r="AK311" s="897"/>
      <c r="AL311" s="897"/>
      <c r="AM311" s="897"/>
      <c r="AN311" s="897"/>
      <c r="AO311" s="897"/>
      <c r="AP311" s="897"/>
      <c r="AQ311" s="897"/>
      <c r="AR311" s="897"/>
    </row>
    <row r="312" spans="1:44" s="930" customFormat="1">
      <c r="A312" s="892"/>
      <c r="B312" s="899"/>
      <c r="C312" s="900"/>
      <c r="D312" s="894"/>
      <c r="E312" s="895"/>
      <c r="F312" s="896"/>
      <c r="G312" s="897"/>
      <c r="H312" s="897"/>
      <c r="I312" s="898"/>
      <c r="J312" s="898"/>
      <c r="K312" s="898"/>
      <c r="L312" s="898"/>
      <c r="M312" s="898"/>
      <c r="N312" s="898"/>
      <c r="O312" s="898"/>
      <c r="P312" s="898"/>
      <c r="Q312" s="898"/>
      <c r="R312" s="898"/>
      <c r="S312" s="898"/>
      <c r="T312" s="898"/>
      <c r="U312" s="898"/>
      <c r="V312" s="898"/>
      <c r="W312" s="898"/>
      <c r="X312" s="898"/>
      <c r="Y312" s="898"/>
      <c r="Z312" s="898"/>
      <c r="AA312" s="898"/>
      <c r="AB312" s="898"/>
      <c r="AC312" s="898"/>
      <c r="AD312" s="898"/>
      <c r="AE312" s="898"/>
      <c r="AF312" s="898"/>
      <c r="AG312" s="898"/>
      <c r="AH312" s="898"/>
      <c r="AI312" s="898"/>
      <c r="AJ312" s="898"/>
      <c r="AK312" s="897"/>
      <c r="AL312" s="897"/>
      <c r="AM312" s="897"/>
      <c r="AN312" s="897"/>
      <c r="AO312" s="897"/>
      <c r="AP312" s="897"/>
      <c r="AQ312" s="897"/>
      <c r="AR312" s="897"/>
    </row>
    <row r="313" spans="1:44" s="930" customFormat="1">
      <c r="A313" s="892"/>
      <c r="B313" s="899"/>
      <c r="C313" s="900"/>
      <c r="D313" s="894"/>
      <c r="E313" s="895"/>
      <c r="F313" s="896"/>
      <c r="G313" s="897"/>
      <c r="H313" s="897"/>
      <c r="I313" s="898"/>
      <c r="J313" s="898"/>
      <c r="K313" s="898"/>
      <c r="L313" s="898"/>
      <c r="M313" s="898"/>
      <c r="N313" s="898"/>
      <c r="O313" s="898"/>
      <c r="P313" s="898"/>
      <c r="Q313" s="898"/>
      <c r="R313" s="898"/>
      <c r="S313" s="898"/>
      <c r="T313" s="898"/>
      <c r="U313" s="898"/>
      <c r="V313" s="898"/>
      <c r="W313" s="898"/>
      <c r="X313" s="898"/>
      <c r="Y313" s="898"/>
      <c r="Z313" s="898"/>
      <c r="AA313" s="898"/>
      <c r="AB313" s="898"/>
      <c r="AC313" s="898"/>
      <c r="AD313" s="898"/>
      <c r="AE313" s="898"/>
      <c r="AF313" s="898"/>
      <c r="AG313" s="898"/>
      <c r="AH313" s="898"/>
      <c r="AI313" s="898"/>
      <c r="AJ313" s="898"/>
      <c r="AK313" s="897"/>
      <c r="AL313" s="897"/>
      <c r="AM313" s="897"/>
      <c r="AN313" s="897"/>
      <c r="AO313" s="897"/>
      <c r="AP313" s="897"/>
      <c r="AQ313" s="897"/>
      <c r="AR313" s="897"/>
    </row>
    <row r="314" spans="1:44" s="930" customFormat="1">
      <c r="A314" s="892"/>
      <c r="B314" s="899"/>
      <c r="C314" s="900"/>
      <c r="D314" s="894"/>
      <c r="E314" s="895"/>
      <c r="F314" s="896"/>
      <c r="G314" s="897"/>
      <c r="H314" s="897"/>
      <c r="I314" s="898"/>
      <c r="J314" s="898"/>
      <c r="K314" s="898"/>
      <c r="L314" s="898"/>
      <c r="M314" s="898"/>
      <c r="N314" s="898"/>
      <c r="O314" s="898"/>
      <c r="P314" s="898"/>
      <c r="Q314" s="898"/>
      <c r="R314" s="898"/>
      <c r="S314" s="898"/>
      <c r="T314" s="898"/>
      <c r="U314" s="898"/>
      <c r="V314" s="898"/>
      <c r="W314" s="898"/>
      <c r="X314" s="898"/>
      <c r="Y314" s="898"/>
      <c r="Z314" s="898"/>
      <c r="AA314" s="898"/>
      <c r="AB314" s="898"/>
      <c r="AC314" s="898"/>
      <c r="AD314" s="898"/>
      <c r="AE314" s="898"/>
      <c r="AF314" s="898"/>
      <c r="AG314" s="898"/>
      <c r="AH314" s="898"/>
      <c r="AI314" s="898"/>
      <c r="AJ314" s="898"/>
      <c r="AK314" s="897"/>
      <c r="AL314" s="897"/>
      <c r="AM314" s="897"/>
      <c r="AN314" s="897"/>
      <c r="AO314" s="897"/>
      <c r="AP314" s="897"/>
      <c r="AQ314" s="897"/>
      <c r="AR314" s="897"/>
    </row>
    <row r="315" spans="1:44" s="930" customFormat="1">
      <c r="A315" s="892"/>
      <c r="B315" s="899"/>
      <c r="C315" s="900"/>
      <c r="D315" s="894"/>
      <c r="E315" s="895"/>
      <c r="F315" s="896"/>
      <c r="G315" s="897"/>
      <c r="H315" s="897"/>
      <c r="I315" s="898"/>
      <c r="J315" s="898"/>
      <c r="K315" s="898"/>
      <c r="L315" s="898"/>
      <c r="M315" s="898"/>
      <c r="N315" s="898"/>
      <c r="O315" s="898"/>
      <c r="P315" s="898"/>
      <c r="Q315" s="898"/>
      <c r="R315" s="898"/>
      <c r="S315" s="898"/>
      <c r="T315" s="898"/>
      <c r="U315" s="898"/>
      <c r="V315" s="898"/>
      <c r="W315" s="898"/>
      <c r="X315" s="898"/>
      <c r="Y315" s="898"/>
      <c r="Z315" s="898"/>
      <c r="AA315" s="898"/>
      <c r="AB315" s="898"/>
      <c r="AC315" s="898"/>
      <c r="AD315" s="898"/>
      <c r="AE315" s="898"/>
      <c r="AF315" s="898"/>
      <c r="AG315" s="898"/>
      <c r="AH315" s="898"/>
      <c r="AI315" s="898"/>
      <c r="AJ315" s="898"/>
      <c r="AK315" s="897"/>
      <c r="AL315" s="897"/>
      <c r="AM315" s="897"/>
      <c r="AN315" s="897"/>
      <c r="AO315" s="897"/>
      <c r="AP315" s="897"/>
      <c r="AQ315" s="897"/>
      <c r="AR315" s="897"/>
    </row>
    <row r="316" spans="1:44" s="930" customFormat="1">
      <c r="A316" s="892"/>
      <c r="B316" s="899"/>
      <c r="C316" s="900"/>
      <c r="D316" s="894"/>
      <c r="E316" s="895"/>
      <c r="F316" s="896"/>
      <c r="G316" s="897"/>
      <c r="H316" s="897"/>
      <c r="I316" s="898"/>
      <c r="J316" s="898"/>
      <c r="K316" s="898"/>
      <c r="L316" s="898"/>
      <c r="M316" s="898"/>
      <c r="N316" s="898"/>
      <c r="O316" s="898"/>
      <c r="P316" s="898"/>
      <c r="Q316" s="898"/>
      <c r="R316" s="898"/>
      <c r="S316" s="898"/>
      <c r="T316" s="898"/>
      <c r="U316" s="898"/>
      <c r="V316" s="898"/>
      <c r="W316" s="898"/>
      <c r="X316" s="898"/>
      <c r="Y316" s="898"/>
      <c r="Z316" s="898"/>
      <c r="AA316" s="898"/>
      <c r="AB316" s="898"/>
      <c r="AC316" s="898"/>
      <c r="AD316" s="898"/>
      <c r="AE316" s="898"/>
      <c r="AF316" s="898"/>
      <c r="AG316" s="898"/>
      <c r="AH316" s="898"/>
      <c r="AI316" s="898"/>
      <c r="AJ316" s="898"/>
      <c r="AK316" s="897"/>
      <c r="AL316" s="897"/>
      <c r="AM316" s="897"/>
      <c r="AN316" s="897"/>
      <c r="AO316" s="897"/>
      <c r="AP316" s="897"/>
      <c r="AQ316" s="897"/>
      <c r="AR316" s="897"/>
    </row>
    <row r="317" spans="1:44" s="930" customFormat="1">
      <c r="A317" s="892"/>
      <c r="B317" s="899"/>
      <c r="C317" s="900"/>
      <c r="D317" s="894"/>
      <c r="E317" s="895"/>
      <c r="F317" s="896"/>
      <c r="G317" s="897"/>
      <c r="H317" s="897"/>
      <c r="I317" s="898"/>
      <c r="J317" s="898"/>
      <c r="K317" s="898"/>
      <c r="L317" s="898"/>
      <c r="M317" s="898"/>
      <c r="N317" s="898"/>
      <c r="O317" s="898"/>
      <c r="P317" s="898"/>
      <c r="Q317" s="898"/>
      <c r="R317" s="898"/>
      <c r="S317" s="898"/>
      <c r="T317" s="898"/>
      <c r="U317" s="898"/>
      <c r="V317" s="898"/>
      <c r="W317" s="898"/>
      <c r="X317" s="898"/>
      <c r="Y317" s="898"/>
      <c r="Z317" s="898"/>
      <c r="AA317" s="898"/>
      <c r="AB317" s="898"/>
      <c r="AC317" s="898"/>
      <c r="AD317" s="898"/>
      <c r="AE317" s="898"/>
      <c r="AF317" s="898"/>
      <c r="AG317" s="898"/>
      <c r="AH317" s="898"/>
      <c r="AI317" s="898"/>
      <c r="AJ317" s="898"/>
      <c r="AK317" s="897"/>
      <c r="AL317" s="897"/>
      <c r="AM317" s="897"/>
      <c r="AN317" s="897"/>
      <c r="AO317" s="897"/>
      <c r="AP317" s="897"/>
      <c r="AQ317" s="897"/>
      <c r="AR317" s="897"/>
    </row>
    <row r="318" spans="1:44" s="930" customFormat="1">
      <c r="A318" s="892"/>
      <c r="B318" s="899"/>
      <c r="C318" s="900"/>
      <c r="D318" s="894"/>
      <c r="E318" s="895"/>
      <c r="F318" s="896"/>
      <c r="G318" s="897"/>
      <c r="H318" s="897"/>
      <c r="I318" s="898"/>
      <c r="J318" s="898"/>
      <c r="K318" s="898"/>
      <c r="L318" s="898"/>
      <c r="M318" s="898"/>
      <c r="N318" s="898"/>
      <c r="O318" s="898"/>
      <c r="P318" s="898"/>
      <c r="Q318" s="898"/>
      <c r="R318" s="898"/>
      <c r="S318" s="898"/>
      <c r="T318" s="898"/>
      <c r="U318" s="898"/>
      <c r="V318" s="898"/>
      <c r="W318" s="898"/>
      <c r="X318" s="898"/>
      <c r="Y318" s="898"/>
      <c r="Z318" s="898"/>
      <c r="AA318" s="898"/>
      <c r="AB318" s="898"/>
      <c r="AC318" s="898"/>
      <c r="AD318" s="898"/>
      <c r="AE318" s="898"/>
      <c r="AF318" s="898"/>
      <c r="AG318" s="898"/>
      <c r="AH318" s="898"/>
      <c r="AI318" s="898"/>
      <c r="AJ318" s="898"/>
      <c r="AK318" s="897"/>
      <c r="AL318" s="897"/>
      <c r="AM318" s="897"/>
      <c r="AN318" s="897"/>
      <c r="AO318" s="897"/>
      <c r="AP318" s="897"/>
      <c r="AQ318" s="897"/>
      <c r="AR318" s="897"/>
    </row>
    <row r="319" spans="1:44" s="930" customFormat="1">
      <c r="A319" s="892"/>
      <c r="B319" s="899"/>
      <c r="C319" s="900"/>
      <c r="D319" s="894"/>
      <c r="E319" s="895"/>
      <c r="F319" s="896"/>
      <c r="G319" s="897"/>
      <c r="H319" s="897"/>
      <c r="I319" s="898"/>
      <c r="J319" s="898"/>
      <c r="K319" s="898"/>
      <c r="L319" s="898"/>
      <c r="M319" s="898"/>
      <c r="N319" s="898"/>
      <c r="O319" s="898"/>
      <c r="P319" s="898"/>
      <c r="Q319" s="898"/>
      <c r="R319" s="898"/>
      <c r="S319" s="898"/>
      <c r="T319" s="898"/>
      <c r="U319" s="898"/>
      <c r="V319" s="898"/>
      <c r="W319" s="898"/>
      <c r="X319" s="898"/>
      <c r="Y319" s="898"/>
      <c r="Z319" s="898"/>
      <c r="AA319" s="898"/>
      <c r="AB319" s="898"/>
      <c r="AC319" s="898"/>
      <c r="AD319" s="898"/>
      <c r="AE319" s="898"/>
      <c r="AF319" s="898"/>
      <c r="AG319" s="898"/>
      <c r="AH319" s="898"/>
      <c r="AI319" s="898"/>
      <c r="AJ319" s="898"/>
      <c r="AK319" s="897"/>
      <c r="AL319" s="897"/>
      <c r="AM319" s="897"/>
      <c r="AN319" s="897"/>
      <c r="AO319" s="897"/>
      <c r="AP319" s="897"/>
      <c r="AQ319" s="897"/>
      <c r="AR319" s="897"/>
    </row>
    <row r="320" spans="1:44" s="930" customFormat="1">
      <c r="A320" s="892"/>
      <c r="B320" s="899"/>
      <c r="C320" s="900"/>
      <c r="D320" s="894"/>
      <c r="E320" s="895"/>
      <c r="F320" s="896"/>
      <c r="G320" s="897"/>
      <c r="H320" s="897"/>
      <c r="I320" s="898"/>
      <c r="J320" s="898"/>
      <c r="K320" s="898"/>
      <c r="L320" s="898"/>
      <c r="M320" s="898"/>
      <c r="N320" s="898"/>
      <c r="O320" s="898"/>
      <c r="P320" s="898"/>
      <c r="Q320" s="898"/>
      <c r="R320" s="898"/>
      <c r="S320" s="898"/>
      <c r="T320" s="898"/>
      <c r="U320" s="898"/>
      <c r="V320" s="898"/>
      <c r="W320" s="898"/>
      <c r="X320" s="898"/>
      <c r="Y320" s="898"/>
      <c r="Z320" s="898"/>
      <c r="AA320" s="898"/>
      <c r="AB320" s="898"/>
      <c r="AC320" s="898"/>
      <c r="AD320" s="898"/>
      <c r="AE320" s="898"/>
      <c r="AF320" s="898"/>
      <c r="AG320" s="898"/>
      <c r="AH320" s="898"/>
      <c r="AI320" s="898"/>
      <c r="AJ320" s="898"/>
      <c r="AK320" s="897"/>
      <c r="AL320" s="897"/>
      <c r="AM320" s="897"/>
      <c r="AN320" s="897"/>
      <c r="AO320" s="897"/>
      <c r="AP320" s="897"/>
      <c r="AQ320" s="897"/>
      <c r="AR320" s="897"/>
    </row>
    <row r="321" spans="1:44" s="930" customFormat="1">
      <c r="A321" s="892"/>
      <c r="B321" s="899"/>
      <c r="C321" s="900"/>
      <c r="D321" s="894"/>
      <c r="E321" s="895"/>
      <c r="F321" s="896"/>
      <c r="G321" s="897"/>
      <c r="H321" s="897"/>
      <c r="I321" s="898"/>
      <c r="J321" s="898"/>
      <c r="K321" s="898"/>
      <c r="L321" s="898"/>
      <c r="M321" s="898"/>
      <c r="N321" s="898"/>
      <c r="O321" s="898"/>
      <c r="P321" s="898"/>
      <c r="Q321" s="898"/>
      <c r="R321" s="898"/>
      <c r="S321" s="898"/>
      <c r="T321" s="898"/>
      <c r="U321" s="898"/>
      <c r="V321" s="898"/>
      <c r="W321" s="898"/>
      <c r="X321" s="898"/>
      <c r="Y321" s="898"/>
      <c r="Z321" s="898"/>
      <c r="AA321" s="898"/>
      <c r="AB321" s="898"/>
      <c r="AC321" s="898"/>
      <c r="AD321" s="898"/>
      <c r="AE321" s="898"/>
      <c r="AF321" s="898"/>
      <c r="AG321" s="898"/>
      <c r="AH321" s="898"/>
      <c r="AI321" s="898"/>
      <c r="AJ321" s="898"/>
      <c r="AK321" s="897"/>
      <c r="AL321" s="897"/>
      <c r="AM321" s="897"/>
      <c r="AN321" s="897"/>
      <c r="AO321" s="897"/>
      <c r="AP321" s="897"/>
      <c r="AQ321" s="897"/>
      <c r="AR321" s="897"/>
    </row>
    <row r="322" spans="1:44" s="930" customFormat="1">
      <c r="A322" s="892"/>
      <c r="B322" s="899"/>
      <c r="C322" s="900"/>
      <c r="D322" s="894"/>
      <c r="E322" s="895"/>
      <c r="F322" s="896"/>
      <c r="G322" s="897"/>
      <c r="H322" s="897"/>
      <c r="I322" s="898"/>
      <c r="J322" s="898"/>
      <c r="K322" s="898"/>
      <c r="L322" s="898"/>
      <c r="M322" s="898"/>
      <c r="N322" s="898"/>
      <c r="O322" s="898"/>
      <c r="P322" s="898"/>
      <c r="Q322" s="898"/>
      <c r="R322" s="898"/>
      <c r="S322" s="898"/>
      <c r="T322" s="898"/>
      <c r="U322" s="898"/>
      <c r="V322" s="898"/>
      <c r="W322" s="898"/>
      <c r="X322" s="898"/>
      <c r="Y322" s="898"/>
      <c r="Z322" s="898"/>
      <c r="AA322" s="898"/>
      <c r="AB322" s="898"/>
      <c r="AC322" s="898"/>
      <c r="AD322" s="898"/>
      <c r="AE322" s="898"/>
      <c r="AF322" s="898"/>
      <c r="AG322" s="898"/>
      <c r="AH322" s="898"/>
      <c r="AI322" s="898"/>
      <c r="AJ322" s="898"/>
      <c r="AK322" s="897"/>
      <c r="AL322" s="897"/>
      <c r="AM322" s="897"/>
      <c r="AN322" s="897"/>
      <c r="AO322" s="897"/>
      <c r="AP322" s="897"/>
      <c r="AQ322" s="897"/>
      <c r="AR322" s="897"/>
    </row>
    <row r="323" spans="1:44" s="930" customFormat="1">
      <c r="A323" s="892"/>
      <c r="B323" s="899"/>
      <c r="C323" s="900"/>
      <c r="D323" s="894"/>
      <c r="E323" s="895"/>
      <c r="F323" s="896"/>
      <c r="G323" s="897"/>
      <c r="H323" s="897"/>
      <c r="I323" s="898"/>
      <c r="J323" s="898"/>
      <c r="K323" s="898"/>
      <c r="L323" s="898"/>
      <c r="M323" s="898"/>
      <c r="N323" s="898"/>
      <c r="O323" s="898"/>
      <c r="P323" s="898"/>
      <c r="Q323" s="898"/>
      <c r="R323" s="898"/>
      <c r="S323" s="898"/>
      <c r="T323" s="898"/>
      <c r="U323" s="898"/>
      <c r="V323" s="898"/>
      <c r="W323" s="898"/>
      <c r="X323" s="898"/>
      <c r="Y323" s="898"/>
      <c r="Z323" s="898"/>
      <c r="AA323" s="898"/>
      <c r="AB323" s="898"/>
      <c r="AC323" s="898"/>
      <c r="AD323" s="898"/>
      <c r="AE323" s="898"/>
      <c r="AF323" s="898"/>
      <c r="AG323" s="898"/>
      <c r="AH323" s="898"/>
      <c r="AI323" s="898"/>
      <c r="AJ323" s="898"/>
      <c r="AK323" s="897"/>
      <c r="AL323" s="897"/>
      <c r="AM323" s="897"/>
      <c r="AN323" s="897"/>
      <c r="AO323" s="897"/>
      <c r="AP323" s="897"/>
      <c r="AQ323" s="897"/>
      <c r="AR323" s="897"/>
    </row>
    <row r="324" spans="1:44" s="930" customFormat="1">
      <c r="A324" s="892"/>
      <c r="B324" s="899"/>
      <c r="C324" s="900"/>
      <c r="D324" s="894"/>
      <c r="E324" s="895"/>
      <c r="F324" s="896"/>
      <c r="G324" s="897"/>
      <c r="H324" s="897"/>
      <c r="I324" s="898"/>
      <c r="J324" s="898"/>
      <c r="K324" s="898"/>
      <c r="L324" s="898"/>
      <c r="M324" s="898"/>
      <c r="N324" s="898"/>
      <c r="O324" s="898"/>
      <c r="P324" s="898"/>
      <c r="Q324" s="898"/>
      <c r="R324" s="898"/>
      <c r="S324" s="898"/>
      <c r="T324" s="898"/>
      <c r="U324" s="898"/>
      <c r="V324" s="898"/>
      <c r="W324" s="898"/>
      <c r="X324" s="898"/>
      <c r="Y324" s="898"/>
      <c r="Z324" s="898"/>
      <c r="AA324" s="898"/>
      <c r="AB324" s="898"/>
      <c r="AC324" s="898"/>
      <c r="AD324" s="898"/>
      <c r="AE324" s="898"/>
      <c r="AF324" s="898"/>
      <c r="AG324" s="898"/>
      <c r="AH324" s="898"/>
      <c r="AI324" s="898"/>
      <c r="AJ324" s="898"/>
      <c r="AK324" s="897"/>
      <c r="AL324" s="897"/>
      <c r="AM324" s="897"/>
      <c r="AN324" s="897"/>
      <c r="AO324" s="897"/>
      <c r="AP324" s="897"/>
      <c r="AQ324" s="897"/>
      <c r="AR324" s="897"/>
    </row>
    <row r="325" spans="1:44" s="930" customFormat="1">
      <c r="A325" s="892"/>
      <c r="B325" s="899"/>
      <c r="C325" s="900"/>
      <c r="D325" s="894"/>
      <c r="E325" s="895"/>
      <c r="F325" s="896"/>
      <c r="G325" s="897"/>
      <c r="H325" s="897"/>
      <c r="I325" s="898"/>
      <c r="J325" s="898"/>
      <c r="K325" s="898"/>
      <c r="L325" s="898"/>
      <c r="M325" s="898"/>
      <c r="N325" s="898"/>
      <c r="O325" s="898"/>
      <c r="P325" s="898"/>
      <c r="Q325" s="898"/>
      <c r="R325" s="898"/>
      <c r="S325" s="898"/>
      <c r="T325" s="898"/>
      <c r="U325" s="898"/>
      <c r="V325" s="898"/>
      <c r="W325" s="898"/>
      <c r="X325" s="898"/>
      <c r="Y325" s="898"/>
      <c r="Z325" s="898"/>
      <c r="AA325" s="898"/>
      <c r="AB325" s="898"/>
      <c r="AC325" s="898"/>
      <c r="AD325" s="898"/>
      <c r="AE325" s="898"/>
      <c r="AF325" s="898"/>
      <c r="AG325" s="898"/>
      <c r="AH325" s="898"/>
      <c r="AI325" s="898"/>
      <c r="AJ325" s="898"/>
      <c r="AK325" s="897"/>
      <c r="AL325" s="897"/>
      <c r="AM325" s="897"/>
      <c r="AN325" s="897"/>
      <c r="AO325" s="897"/>
      <c r="AP325" s="897"/>
      <c r="AQ325" s="897"/>
      <c r="AR325" s="897"/>
    </row>
    <row r="326" spans="1:44" s="930" customFormat="1">
      <c r="A326" s="892"/>
      <c r="B326" s="899"/>
      <c r="C326" s="900"/>
      <c r="D326" s="894"/>
      <c r="E326" s="895"/>
      <c r="F326" s="896"/>
      <c r="G326" s="897"/>
      <c r="H326" s="897"/>
      <c r="I326" s="898"/>
      <c r="J326" s="898"/>
      <c r="K326" s="898"/>
      <c r="L326" s="898"/>
      <c r="M326" s="898"/>
      <c r="N326" s="898"/>
      <c r="O326" s="898"/>
      <c r="P326" s="898"/>
      <c r="Q326" s="898"/>
      <c r="R326" s="898"/>
      <c r="S326" s="898"/>
      <c r="T326" s="898"/>
      <c r="U326" s="898"/>
      <c r="V326" s="898"/>
      <c r="W326" s="898"/>
      <c r="X326" s="898"/>
      <c r="Y326" s="898"/>
      <c r="Z326" s="898"/>
      <c r="AA326" s="898"/>
      <c r="AB326" s="898"/>
      <c r="AC326" s="898"/>
      <c r="AD326" s="898"/>
      <c r="AE326" s="898"/>
      <c r="AF326" s="898"/>
      <c r="AG326" s="898"/>
      <c r="AH326" s="898"/>
      <c r="AI326" s="898"/>
      <c r="AJ326" s="898"/>
      <c r="AK326" s="897"/>
      <c r="AL326" s="897"/>
      <c r="AM326" s="897"/>
      <c r="AN326" s="897"/>
      <c r="AO326" s="897"/>
      <c r="AP326" s="897"/>
      <c r="AQ326" s="897"/>
      <c r="AR326" s="897"/>
    </row>
    <row r="327" spans="1:44" s="930" customFormat="1">
      <c r="A327" s="892"/>
      <c r="B327" s="899"/>
      <c r="C327" s="900"/>
      <c r="D327" s="894"/>
      <c r="E327" s="895"/>
      <c r="F327" s="896"/>
      <c r="G327" s="897"/>
      <c r="H327" s="897"/>
      <c r="I327" s="898"/>
      <c r="J327" s="898"/>
      <c r="K327" s="898"/>
      <c r="L327" s="898"/>
      <c r="M327" s="898"/>
      <c r="N327" s="898"/>
      <c r="O327" s="898"/>
      <c r="P327" s="898"/>
      <c r="Q327" s="898"/>
      <c r="R327" s="898"/>
      <c r="S327" s="898"/>
      <c r="T327" s="898"/>
      <c r="U327" s="898"/>
      <c r="V327" s="898"/>
      <c r="W327" s="898"/>
      <c r="X327" s="898"/>
      <c r="Y327" s="898"/>
      <c r="Z327" s="898"/>
      <c r="AA327" s="898"/>
      <c r="AB327" s="898"/>
      <c r="AC327" s="898"/>
      <c r="AD327" s="898"/>
      <c r="AE327" s="898"/>
      <c r="AF327" s="898"/>
      <c r="AG327" s="898"/>
      <c r="AH327" s="898"/>
      <c r="AI327" s="898"/>
      <c r="AJ327" s="898"/>
      <c r="AK327" s="897"/>
      <c r="AL327" s="897"/>
      <c r="AM327" s="897"/>
      <c r="AN327" s="897"/>
      <c r="AO327" s="897"/>
      <c r="AP327" s="897"/>
      <c r="AQ327" s="897"/>
      <c r="AR327" s="897"/>
    </row>
    <row r="328" spans="1:44" s="930" customFormat="1">
      <c r="A328" s="892"/>
      <c r="B328" s="899"/>
      <c r="C328" s="900"/>
      <c r="D328" s="894"/>
      <c r="E328" s="895"/>
      <c r="F328" s="896"/>
      <c r="G328" s="897"/>
      <c r="H328" s="897"/>
      <c r="I328" s="898"/>
      <c r="J328" s="898"/>
      <c r="K328" s="898"/>
      <c r="L328" s="898"/>
      <c r="M328" s="898"/>
      <c r="N328" s="898"/>
      <c r="O328" s="898"/>
      <c r="P328" s="898"/>
      <c r="Q328" s="898"/>
      <c r="R328" s="898"/>
      <c r="S328" s="898"/>
      <c r="T328" s="898"/>
      <c r="U328" s="898"/>
      <c r="V328" s="898"/>
      <c r="W328" s="898"/>
      <c r="X328" s="898"/>
      <c r="Y328" s="898"/>
      <c r="Z328" s="898"/>
      <c r="AA328" s="898"/>
      <c r="AB328" s="898"/>
      <c r="AC328" s="898"/>
      <c r="AD328" s="898"/>
      <c r="AE328" s="898"/>
      <c r="AF328" s="898"/>
      <c r="AG328" s="898"/>
      <c r="AH328" s="898"/>
      <c r="AI328" s="898"/>
      <c r="AJ328" s="898"/>
      <c r="AK328" s="897"/>
      <c r="AL328" s="897"/>
      <c r="AM328" s="897"/>
      <c r="AN328" s="897"/>
      <c r="AO328" s="897"/>
      <c r="AP328" s="897"/>
      <c r="AQ328" s="897"/>
      <c r="AR328" s="897"/>
    </row>
    <row r="329" spans="1:44" s="930" customFormat="1">
      <c r="A329" s="892"/>
      <c r="B329" s="899"/>
      <c r="C329" s="900"/>
      <c r="D329" s="894"/>
      <c r="E329" s="895"/>
      <c r="F329" s="896"/>
      <c r="G329" s="897"/>
      <c r="H329" s="897"/>
      <c r="I329" s="898"/>
      <c r="J329" s="898"/>
      <c r="K329" s="898"/>
      <c r="L329" s="898"/>
      <c r="M329" s="898"/>
      <c r="N329" s="898"/>
      <c r="O329" s="898"/>
      <c r="P329" s="898"/>
      <c r="Q329" s="898"/>
      <c r="R329" s="898"/>
      <c r="S329" s="898"/>
      <c r="T329" s="898"/>
      <c r="U329" s="898"/>
      <c r="V329" s="898"/>
      <c r="W329" s="898"/>
      <c r="X329" s="898"/>
      <c r="Y329" s="898"/>
      <c r="Z329" s="898"/>
      <c r="AA329" s="898"/>
      <c r="AB329" s="898"/>
      <c r="AC329" s="898"/>
      <c r="AD329" s="898"/>
      <c r="AE329" s="898"/>
      <c r="AF329" s="898"/>
      <c r="AG329" s="898"/>
      <c r="AH329" s="898"/>
      <c r="AI329" s="898"/>
      <c r="AJ329" s="898"/>
      <c r="AK329" s="897"/>
      <c r="AL329" s="897"/>
      <c r="AM329" s="897"/>
      <c r="AN329" s="897"/>
      <c r="AO329" s="897"/>
      <c r="AP329" s="897"/>
      <c r="AQ329" s="897"/>
      <c r="AR329" s="897"/>
    </row>
    <row r="330" spans="1:44" s="930" customFormat="1">
      <c r="A330" s="892"/>
      <c r="B330" s="899"/>
      <c r="C330" s="900"/>
      <c r="D330" s="894"/>
      <c r="E330" s="895"/>
      <c r="F330" s="896"/>
      <c r="G330" s="897"/>
      <c r="H330" s="897"/>
      <c r="I330" s="898"/>
      <c r="J330" s="898"/>
      <c r="K330" s="898"/>
      <c r="L330" s="898"/>
      <c r="M330" s="898"/>
      <c r="N330" s="898"/>
      <c r="O330" s="898"/>
      <c r="P330" s="898"/>
      <c r="Q330" s="898"/>
      <c r="R330" s="898"/>
      <c r="S330" s="898"/>
      <c r="T330" s="898"/>
      <c r="U330" s="898"/>
      <c r="V330" s="898"/>
      <c r="W330" s="898"/>
      <c r="X330" s="898"/>
      <c r="Y330" s="898"/>
      <c r="Z330" s="898"/>
      <c r="AA330" s="898"/>
      <c r="AB330" s="898"/>
      <c r="AC330" s="898"/>
      <c r="AD330" s="898"/>
      <c r="AE330" s="898"/>
      <c r="AF330" s="898"/>
      <c r="AG330" s="898"/>
      <c r="AH330" s="898"/>
      <c r="AI330" s="898"/>
      <c r="AJ330" s="898"/>
      <c r="AK330" s="897"/>
      <c r="AL330" s="897"/>
      <c r="AM330" s="897"/>
      <c r="AN330" s="897"/>
      <c r="AO330" s="897"/>
      <c r="AP330" s="897"/>
      <c r="AQ330" s="897"/>
      <c r="AR330" s="897"/>
    </row>
    <row r="331" spans="1:44" s="930" customFormat="1">
      <c r="A331" s="892"/>
      <c r="B331" s="899"/>
      <c r="C331" s="900"/>
      <c r="D331" s="894"/>
      <c r="E331" s="895"/>
      <c r="F331" s="896"/>
      <c r="G331" s="897"/>
      <c r="H331" s="897"/>
      <c r="I331" s="898"/>
      <c r="J331" s="898"/>
      <c r="K331" s="898"/>
      <c r="L331" s="898"/>
      <c r="M331" s="898"/>
      <c r="N331" s="898"/>
      <c r="O331" s="898"/>
      <c r="P331" s="898"/>
      <c r="Q331" s="898"/>
      <c r="R331" s="898"/>
      <c r="S331" s="898"/>
      <c r="T331" s="898"/>
      <c r="U331" s="898"/>
      <c r="V331" s="898"/>
      <c r="W331" s="898"/>
      <c r="X331" s="898"/>
      <c r="Y331" s="898"/>
      <c r="Z331" s="898"/>
      <c r="AA331" s="898"/>
      <c r="AB331" s="898"/>
      <c r="AC331" s="898"/>
      <c r="AD331" s="898"/>
      <c r="AE331" s="898"/>
      <c r="AF331" s="898"/>
      <c r="AG331" s="898"/>
      <c r="AH331" s="898"/>
      <c r="AI331" s="898"/>
      <c r="AJ331" s="898"/>
      <c r="AK331" s="897"/>
      <c r="AL331" s="897"/>
      <c r="AM331" s="897"/>
      <c r="AN331" s="897"/>
      <c r="AO331" s="897"/>
      <c r="AP331" s="897"/>
      <c r="AQ331" s="897"/>
      <c r="AR331" s="897"/>
    </row>
    <row r="332" spans="1:44" s="930" customFormat="1">
      <c r="A332" s="892"/>
      <c r="B332" s="899"/>
      <c r="C332" s="900"/>
      <c r="D332" s="894"/>
      <c r="E332" s="895"/>
      <c r="F332" s="896"/>
      <c r="G332" s="897"/>
      <c r="H332" s="897"/>
      <c r="I332" s="898"/>
      <c r="J332" s="898"/>
      <c r="K332" s="898"/>
      <c r="L332" s="898"/>
      <c r="M332" s="898"/>
      <c r="N332" s="898"/>
      <c r="O332" s="898"/>
      <c r="P332" s="898"/>
      <c r="Q332" s="898"/>
      <c r="R332" s="898"/>
      <c r="S332" s="898"/>
      <c r="T332" s="898"/>
      <c r="U332" s="898"/>
      <c r="V332" s="898"/>
      <c r="W332" s="898"/>
      <c r="X332" s="898"/>
      <c r="Y332" s="898"/>
      <c r="Z332" s="898"/>
      <c r="AA332" s="898"/>
      <c r="AB332" s="898"/>
      <c r="AC332" s="898"/>
      <c r="AD332" s="898"/>
      <c r="AE332" s="898"/>
      <c r="AF332" s="898"/>
      <c r="AG332" s="898"/>
      <c r="AH332" s="898"/>
      <c r="AI332" s="898"/>
      <c r="AJ332" s="898"/>
      <c r="AK332" s="897"/>
      <c r="AL332" s="897"/>
      <c r="AM332" s="897"/>
      <c r="AN332" s="897"/>
      <c r="AO332" s="897"/>
      <c r="AP332" s="897"/>
      <c r="AQ332" s="897"/>
      <c r="AR332" s="897"/>
    </row>
    <row r="333" spans="1:44" s="930" customFormat="1">
      <c r="A333" s="892"/>
      <c r="B333" s="899"/>
      <c r="C333" s="900"/>
      <c r="D333" s="894"/>
      <c r="E333" s="895"/>
      <c r="F333" s="896"/>
      <c r="G333" s="897"/>
      <c r="H333" s="897"/>
      <c r="I333" s="898"/>
      <c r="J333" s="898"/>
      <c r="K333" s="898"/>
      <c r="L333" s="898"/>
      <c r="M333" s="898"/>
      <c r="N333" s="898"/>
      <c r="O333" s="898"/>
      <c r="P333" s="898"/>
      <c r="Q333" s="898"/>
      <c r="R333" s="898"/>
      <c r="S333" s="898"/>
      <c r="T333" s="898"/>
      <c r="U333" s="898"/>
      <c r="V333" s="898"/>
      <c r="W333" s="898"/>
      <c r="X333" s="898"/>
      <c r="Y333" s="898"/>
      <c r="Z333" s="898"/>
      <c r="AA333" s="898"/>
      <c r="AB333" s="898"/>
      <c r="AC333" s="898"/>
      <c r="AD333" s="898"/>
      <c r="AE333" s="898"/>
      <c r="AF333" s="898"/>
      <c r="AG333" s="898"/>
      <c r="AH333" s="898"/>
      <c r="AI333" s="898"/>
      <c r="AJ333" s="898"/>
      <c r="AK333" s="897"/>
      <c r="AL333" s="897"/>
      <c r="AM333" s="897"/>
      <c r="AN333" s="897"/>
      <c r="AO333" s="897"/>
      <c r="AP333" s="897"/>
      <c r="AQ333" s="897"/>
      <c r="AR333" s="897"/>
    </row>
    <row r="334" spans="1:44" s="930" customFormat="1">
      <c r="A334" s="892"/>
      <c r="B334" s="899"/>
      <c r="C334" s="900"/>
      <c r="D334" s="894"/>
      <c r="E334" s="895"/>
      <c r="F334" s="896"/>
      <c r="G334" s="897"/>
      <c r="H334" s="897"/>
      <c r="I334" s="898"/>
      <c r="J334" s="898"/>
      <c r="K334" s="898"/>
      <c r="L334" s="898"/>
      <c r="M334" s="898"/>
      <c r="N334" s="898"/>
      <c r="O334" s="898"/>
      <c r="P334" s="898"/>
      <c r="Q334" s="898"/>
      <c r="R334" s="898"/>
      <c r="S334" s="898"/>
      <c r="T334" s="898"/>
      <c r="U334" s="898"/>
      <c r="V334" s="898"/>
      <c r="W334" s="898"/>
      <c r="X334" s="898"/>
      <c r="Y334" s="898"/>
      <c r="Z334" s="898"/>
      <c r="AA334" s="898"/>
      <c r="AB334" s="898"/>
      <c r="AC334" s="898"/>
      <c r="AD334" s="898"/>
      <c r="AE334" s="898"/>
      <c r="AF334" s="898"/>
      <c r="AG334" s="898"/>
      <c r="AH334" s="898"/>
      <c r="AI334" s="898"/>
      <c r="AJ334" s="898"/>
      <c r="AK334" s="897"/>
      <c r="AL334" s="897"/>
      <c r="AM334" s="897"/>
      <c r="AN334" s="897"/>
      <c r="AO334" s="897"/>
      <c r="AP334" s="897"/>
      <c r="AQ334" s="897"/>
      <c r="AR334" s="897"/>
    </row>
    <row r="335" spans="1:44" s="930" customFormat="1">
      <c r="A335" s="892"/>
      <c r="B335" s="899"/>
      <c r="C335" s="900"/>
      <c r="D335" s="894"/>
      <c r="E335" s="895"/>
      <c r="F335" s="896"/>
      <c r="G335" s="897"/>
      <c r="H335" s="897"/>
      <c r="I335" s="898"/>
      <c r="J335" s="898"/>
      <c r="K335" s="898"/>
      <c r="L335" s="898"/>
      <c r="M335" s="898"/>
      <c r="N335" s="898"/>
      <c r="O335" s="898"/>
      <c r="P335" s="898"/>
      <c r="Q335" s="898"/>
      <c r="R335" s="898"/>
      <c r="S335" s="898"/>
      <c r="T335" s="898"/>
      <c r="U335" s="898"/>
      <c r="V335" s="898"/>
      <c r="W335" s="898"/>
      <c r="X335" s="898"/>
      <c r="Y335" s="898"/>
      <c r="Z335" s="898"/>
      <c r="AA335" s="898"/>
      <c r="AB335" s="898"/>
      <c r="AC335" s="898"/>
      <c r="AD335" s="898"/>
      <c r="AE335" s="898"/>
      <c r="AF335" s="898"/>
      <c r="AG335" s="898"/>
      <c r="AH335" s="898"/>
      <c r="AI335" s="898"/>
      <c r="AJ335" s="898"/>
      <c r="AK335" s="897"/>
      <c r="AL335" s="897"/>
      <c r="AM335" s="897"/>
      <c r="AN335" s="897"/>
      <c r="AO335" s="897"/>
      <c r="AP335" s="897"/>
      <c r="AQ335" s="897"/>
      <c r="AR335" s="897"/>
    </row>
    <row r="336" spans="1:44" s="930" customFormat="1">
      <c r="A336" s="892"/>
      <c r="B336" s="899"/>
      <c r="C336" s="900"/>
      <c r="D336" s="894"/>
      <c r="E336" s="895"/>
      <c r="F336" s="896"/>
      <c r="G336" s="897"/>
      <c r="H336" s="897"/>
      <c r="I336" s="898"/>
      <c r="J336" s="898"/>
      <c r="K336" s="898"/>
      <c r="L336" s="898"/>
      <c r="M336" s="898"/>
      <c r="N336" s="898"/>
      <c r="O336" s="898"/>
      <c r="P336" s="898"/>
      <c r="Q336" s="898"/>
      <c r="R336" s="898"/>
      <c r="S336" s="898"/>
      <c r="T336" s="898"/>
      <c r="U336" s="898"/>
      <c r="V336" s="898"/>
      <c r="W336" s="898"/>
      <c r="X336" s="898"/>
      <c r="Y336" s="898"/>
      <c r="Z336" s="898"/>
      <c r="AA336" s="898"/>
      <c r="AB336" s="898"/>
      <c r="AC336" s="898"/>
      <c r="AD336" s="898"/>
      <c r="AE336" s="898"/>
      <c r="AF336" s="898"/>
      <c r="AG336" s="898"/>
      <c r="AH336" s="898"/>
      <c r="AI336" s="898"/>
      <c r="AJ336" s="898"/>
      <c r="AK336" s="897"/>
      <c r="AL336" s="897"/>
      <c r="AM336" s="897"/>
      <c r="AN336" s="897"/>
      <c r="AO336" s="897"/>
      <c r="AP336" s="897"/>
      <c r="AQ336" s="897"/>
      <c r="AR336" s="897"/>
    </row>
    <row r="337" spans="1:44" s="930" customFormat="1">
      <c r="A337" s="892"/>
      <c r="B337" s="899"/>
      <c r="C337" s="900"/>
      <c r="D337" s="894"/>
      <c r="E337" s="895"/>
      <c r="F337" s="896"/>
      <c r="G337" s="897"/>
      <c r="H337" s="897"/>
      <c r="I337" s="898"/>
      <c r="J337" s="898"/>
      <c r="K337" s="898"/>
      <c r="L337" s="898"/>
      <c r="M337" s="898"/>
      <c r="N337" s="898"/>
      <c r="O337" s="898"/>
      <c r="P337" s="898"/>
      <c r="Q337" s="898"/>
      <c r="R337" s="898"/>
      <c r="S337" s="898"/>
      <c r="T337" s="898"/>
      <c r="U337" s="898"/>
      <c r="V337" s="898"/>
      <c r="W337" s="898"/>
      <c r="X337" s="898"/>
      <c r="Y337" s="898"/>
      <c r="Z337" s="898"/>
      <c r="AA337" s="898"/>
      <c r="AB337" s="898"/>
      <c r="AC337" s="898"/>
      <c r="AD337" s="898"/>
      <c r="AE337" s="898"/>
      <c r="AF337" s="898"/>
      <c r="AG337" s="898"/>
      <c r="AH337" s="898"/>
      <c r="AI337" s="898"/>
      <c r="AJ337" s="898"/>
      <c r="AK337" s="897"/>
      <c r="AL337" s="897"/>
      <c r="AM337" s="897"/>
      <c r="AN337" s="897"/>
      <c r="AO337" s="897"/>
      <c r="AP337" s="897"/>
      <c r="AQ337" s="897"/>
      <c r="AR337" s="897"/>
    </row>
    <row r="338" spans="1:44" s="930" customFormat="1">
      <c r="A338" s="892"/>
      <c r="B338" s="899"/>
      <c r="C338" s="900"/>
      <c r="D338" s="894"/>
      <c r="E338" s="895"/>
      <c r="F338" s="896"/>
      <c r="G338" s="897"/>
      <c r="H338" s="897"/>
      <c r="I338" s="898"/>
      <c r="J338" s="898"/>
      <c r="K338" s="898"/>
      <c r="L338" s="898"/>
      <c r="M338" s="898"/>
      <c r="N338" s="898"/>
      <c r="O338" s="898"/>
      <c r="P338" s="898"/>
      <c r="Q338" s="898"/>
      <c r="R338" s="898"/>
      <c r="S338" s="898"/>
      <c r="T338" s="898"/>
      <c r="U338" s="898"/>
      <c r="V338" s="898"/>
      <c r="W338" s="898"/>
      <c r="X338" s="898"/>
      <c r="Y338" s="898"/>
      <c r="Z338" s="898"/>
      <c r="AA338" s="898"/>
      <c r="AB338" s="898"/>
      <c r="AC338" s="898"/>
      <c r="AD338" s="898"/>
      <c r="AE338" s="898"/>
      <c r="AF338" s="898"/>
      <c r="AG338" s="898"/>
      <c r="AH338" s="898"/>
      <c r="AI338" s="898"/>
      <c r="AJ338" s="898"/>
      <c r="AK338" s="897"/>
      <c r="AL338" s="897"/>
      <c r="AM338" s="897"/>
      <c r="AN338" s="897"/>
      <c r="AO338" s="897"/>
      <c r="AP338" s="897"/>
      <c r="AQ338" s="897"/>
      <c r="AR338" s="897"/>
    </row>
    <row r="339" spans="1:44" s="930" customFormat="1">
      <c r="A339" s="892"/>
      <c r="B339" s="899"/>
      <c r="C339" s="900"/>
      <c r="D339" s="894"/>
      <c r="E339" s="895"/>
      <c r="F339" s="896"/>
      <c r="G339" s="897"/>
      <c r="H339" s="897"/>
      <c r="I339" s="898"/>
      <c r="J339" s="898"/>
      <c r="K339" s="898"/>
      <c r="L339" s="898"/>
      <c r="M339" s="898"/>
      <c r="N339" s="898"/>
      <c r="O339" s="898"/>
      <c r="P339" s="898"/>
      <c r="Q339" s="898"/>
      <c r="R339" s="898"/>
      <c r="S339" s="898"/>
      <c r="T339" s="898"/>
      <c r="U339" s="898"/>
      <c r="V339" s="898"/>
      <c r="W339" s="898"/>
      <c r="X339" s="898"/>
      <c r="Y339" s="898"/>
      <c r="Z339" s="898"/>
      <c r="AA339" s="898"/>
      <c r="AB339" s="898"/>
      <c r="AC339" s="898"/>
      <c r="AD339" s="898"/>
      <c r="AE339" s="898"/>
      <c r="AF339" s="898"/>
      <c r="AG339" s="898"/>
      <c r="AH339" s="898"/>
      <c r="AI339" s="898"/>
      <c r="AJ339" s="898"/>
      <c r="AK339" s="897"/>
      <c r="AL339" s="897"/>
      <c r="AM339" s="897"/>
      <c r="AN339" s="897"/>
      <c r="AO339" s="897"/>
      <c r="AP339" s="897"/>
      <c r="AQ339" s="897"/>
      <c r="AR339" s="897"/>
    </row>
    <row r="340" spans="1:44" s="930" customFormat="1">
      <c r="A340" s="892"/>
      <c r="B340" s="899"/>
      <c r="C340" s="900"/>
      <c r="D340" s="894"/>
      <c r="E340" s="895"/>
      <c r="F340" s="896"/>
      <c r="G340" s="897"/>
      <c r="H340" s="897"/>
      <c r="I340" s="898"/>
      <c r="J340" s="898"/>
      <c r="K340" s="898"/>
      <c r="L340" s="898"/>
      <c r="M340" s="898"/>
      <c r="N340" s="898"/>
      <c r="O340" s="898"/>
      <c r="P340" s="898"/>
      <c r="Q340" s="898"/>
      <c r="R340" s="898"/>
      <c r="S340" s="898"/>
      <c r="T340" s="898"/>
      <c r="U340" s="898"/>
      <c r="V340" s="898"/>
      <c r="W340" s="898"/>
      <c r="X340" s="898"/>
      <c r="Y340" s="898"/>
      <c r="Z340" s="898"/>
      <c r="AA340" s="898"/>
      <c r="AB340" s="898"/>
      <c r="AC340" s="898"/>
      <c r="AD340" s="898"/>
      <c r="AE340" s="898"/>
      <c r="AF340" s="898"/>
      <c r="AG340" s="898"/>
      <c r="AH340" s="898"/>
      <c r="AI340" s="898"/>
      <c r="AJ340" s="898"/>
      <c r="AK340" s="897"/>
      <c r="AL340" s="897"/>
      <c r="AM340" s="897"/>
      <c r="AN340" s="897"/>
      <c r="AO340" s="897"/>
      <c r="AP340" s="897"/>
      <c r="AQ340" s="897"/>
      <c r="AR340" s="897"/>
    </row>
    <row r="341" spans="1:44" s="930" customFormat="1">
      <c r="A341" s="892"/>
      <c r="B341" s="899"/>
      <c r="C341" s="900"/>
      <c r="D341" s="894"/>
      <c r="E341" s="895"/>
      <c r="F341" s="896"/>
      <c r="G341" s="897"/>
      <c r="H341" s="897"/>
      <c r="I341" s="898"/>
      <c r="J341" s="898"/>
      <c r="K341" s="898"/>
      <c r="L341" s="898"/>
      <c r="M341" s="898"/>
      <c r="N341" s="898"/>
      <c r="O341" s="898"/>
      <c r="P341" s="898"/>
      <c r="Q341" s="898"/>
      <c r="R341" s="898"/>
      <c r="S341" s="898"/>
      <c r="T341" s="898"/>
      <c r="U341" s="898"/>
      <c r="V341" s="898"/>
      <c r="W341" s="898"/>
      <c r="X341" s="898"/>
      <c r="Y341" s="898"/>
      <c r="Z341" s="898"/>
      <c r="AA341" s="898"/>
      <c r="AB341" s="898"/>
      <c r="AC341" s="898"/>
      <c r="AD341" s="898"/>
      <c r="AE341" s="898"/>
      <c r="AF341" s="898"/>
      <c r="AG341" s="898"/>
      <c r="AH341" s="898"/>
      <c r="AI341" s="898"/>
      <c r="AJ341" s="898"/>
      <c r="AK341" s="897"/>
      <c r="AL341" s="897"/>
      <c r="AM341" s="897"/>
      <c r="AN341" s="897"/>
      <c r="AO341" s="897"/>
      <c r="AP341" s="897"/>
      <c r="AQ341" s="897"/>
      <c r="AR341" s="897"/>
    </row>
    <row r="342" spans="1:44" s="930" customFormat="1">
      <c r="A342" s="892"/>
      <c r="B342" s="899"/>
      <c r="C342" s="900"/>
      <c r="D342" s="894"/>
      <c r="E342" s="895"/>
      <c r="F342" s="896"/>
      <c r="G342" s="897"/>
      <c r="H342" s="897"/>
      <c r="I342" s="898"/>
      <c r="J342" s="898"/>
      <c r="K342" s="898"/>
      <c r="L342" s="898"/>
      <c r="M342" s="898"/>
      <c r="N342" s="898"/>
      <c r="O342" s="898"/>
      <c r="P342" s="898"/>
      <c r="Q342" s="898"/>
      <c r="R342" s="898"/>
      <c r="S342" s="898"/>
      <c r="T342" s="898"/>
      <c r="U342" s="898"/>
      <c r="V342" s="898"/>
      <c r="W342" s="898"/>
      <c r="X342" s="898"/>
      <c r="Y342" s="898"/>
      <c r="Z342" s="898"/>
      <c r="AA342" s="898"/>
      <c r="AB342" s="898"/>
      <c r="AC342" s="898"/>
      <c r="AD342" s="898"/>
      <c r="AE342" s="898"/>
      <c r="AF342" s="898"/>
      <c r="AG342" s="898"/>
      <c r="AH342" s="898"/>
      <c r="AI342" s="898"/>
      <c r="AJ342" s="898"/>
      <c r="AK342" s="897"/>
      <c r="AL342" s="897"/>
      <c r="AM342" s="897"/>
      <c r="AN342" s="897"/>
      <c r="AO342" s="897"/>
      <c r="AP342" s="897"/>
      <c r="AQ342" s="897"/>
      <c r="AR342" s="897"/>
    </row>
    <row r="343" spans="1:44" s="930" customFormat="1">
      <c r="A343" s="892"/>
      <c r="B343" s="899"/>
      <c r="C343" s="900"/>
      <c r="D343" s="894"/>
      <c r="E343" s="895"/>
      <c r="F343" s="896"/>
      <c r="G343" s="897"/>
      <c r="H343" s="897"/>
      <c r="I343" s="898"/>
      <c r="J343" s="898"/>
      <c r="K343" s="898"/>
      <c r="L343" s="898"/>
      <c r="M343" s="898"/>
      <c r="N343" s="898"/>
      <c r="O343" s="898"/>
      <c r="P343" s="898"/>
      <c r="Q343" s="898"/>
      <c r="R343" s="898"/>
      <c r="S343" s="898"/>
      <c r="T343" s="898"/>
      <c r="U343" s="898"/>
      <c r="V343" s="898"/>
      <c r="W343" s="898"/>
      <c r="X343" s="898"/>
      <c r="Y343" s="898"/>
      <c r="Z343" s="898"/>
      <c r="AA343" s="898"/>
      <c r="AB343" s="898"/>
      <c r="AC343" s="898"/>
      <c r="AD343" s="898"/>
      <c r="AE343" s="898"/>
      <c r="AF343" s="898"/>
      <c r="AG343" s="898"/>
      <c r="AH343" s="898"/>
      <c r="AI343" s="898"/>
      <c r="AJ343" s="898"/>
      <c r="AK343" s="897"/>
      <c r="AL343" s="897"/>
      <c r="AM343" s="897"/>
      <c r="AN343" s="897"/>
      <c r="AO343" s="897"/>
      <c r="AP343" s="897"/>
      <c r="AQ343" s="897"/>
      <c r="AR343" s="897"/>
    </row>
    <row r="344" spans="1:44" s="930" customFormat="1">
      <c r="A344" s="892"/>
      <c r="B344" s="899"/>
      <c r="C344" s="900"/>
      <c r="D344" s="894"/>
      <c r="E344" s="895"/>
      <c r="F344" s="896"/>
      <c r="G344" s="897"/>
      <c r="H344" s="897"/>
      <c r="I344" s="898"/>
      <c r="J344" s="898"/>
      <c r="K344" s="898"/>
      <c r="L344" s="898"/>
      <c r="M344" s="898"/>
      <c r="N344" s="898"/>
      <c r="O344" s="898"/>
      <c r="P344" s="898"/>
      <c r="Q344" s="898"/>
      <c r="R344" s="898"/>
      <c r="S344" s="898"/>
      <c r="T344" s="898"/>
      <c r="U344" s="898"/>
      <c r="V344" s="898"/>
      <c r="W344" s="898"/>
      <c r="X344" s="898"/>
      <c r="Y344" s="898"/>
      <c r="Z344" s="898"/>
      <c r="AA344" s="898"/>
      <c r="AB344" s="898"/>
      <c r="AC344" s="898"/>
      <c r="AD344" s="898"/>
      <c r="AE344" s="898"/>
      <c r="AF344" s="898"/>
      <c r="AG344" s="898"/>
      <c r="AH344" s="898"/>
      <c r="AI344" s="898"/>
      <c r="AJ344" s="898"/>
      <c r="AK344" s="897"/>
      <c r="AL344" s="897"/>
      <c r="AM344" s="897"/>
      <c r="AN344" s="897"/>
      <c r="AO344" s="897"/>
      <c r="AP344" s="897"/>
      <c r="AQ344" s="897"/>
      <c r="AR344" s="897"/>
    </row>
    <row r="345" spans="1:44" s="930" customFormat="1">
      <c r="A345" s="892"/>
      <c r="B345" s="899"/>
      <c r="C345" s="900"/>
      <c r="D345" s="894"/>
      <c r="E345" s="895"/>
      <c r="F345" s="896"/>
      <c r="G345" s="897"/>
      <c r="H345" s="897"/>
      <c r="I345" s="898"/>
      <c r="J345" s="898"/>
      <c r="K345" s="898"/>
      <c r="L345" s="898"/>
      <c r="M345" s="898"/>
      <c r="N345" s="898"/>
      <c r="O345" s="898"/>
      <c r="P345" s="898"/>
      <c r="Q345" s="898"/>
      <c r="R345" s="898"/>
      <c r="S345" s="898"/>
      <c r="T345" s="898"/>
      <c r="U345" s="898"/>
      <c r="V345" s="898"/>
      <c r="W345" s="898"/>
      <c r="X345" s="898"/>
      <c r="Y345" s="898"/>
      <c r="Z345" s="898"/>
      <c r="AA345" s="898"/>
      <c r="AB345" s="898"/>
      <c r="AC345" s="898"/>
      <c r="AD345" s="898"/>
      <c r="AE345" s="898"/>
      <c r="AF345" s="898"/>
      <c r="AG345" s="898"/>
      <c r="AH345" s="898"/>
      <c r="AI345" s="898"/>
      <c r="AJ345" s="898"/>
      <c r="AK345" s="897"/>
      <c r="AL345" s="897"/>
      <c r="AM345" s="897"/>
      <c r="AN345" s="897"/>
      <c r="AO345" s="897"/>
      <c r="AP345" s="897"/>
      <c r="AQ345" s="897"/>
      <c r="AR345" s="897"/>
    </row>
    <row r="346" spans="1:44" s="930" customFormat="1">
      <c r="A346" s="892"/>
      <c r="B346" s="899"/>
      <c r="C346" s="900"/>
      <c r="D346" s="894"/>
      <c r="E346" s="895"/>
      <c r="F346" s="896"/>
      <c r="G346" s="897"/>
      <c r="H346" s="897"/>
      <c r="I346" s="898"/>
      <c r="J346" s="898"/>
      <c r="K346" s="898"/>
      <c r="L346" s="898"/>
      <c r="M346" s="898"/>
      <c r="N346" s="898"/>
      <c r="O346" s="898"/>
      <c r="P346" s="898"/>
      <c r="Q346" s="898"/>
      <c r="R346" s="898"/>
      <c r="S346" s="898"/>
      <c r="T346" s="898"/>
      <c r="U346" s="898"/>
      <c r="V346" s="898"/>
      <c r="W346" s="898"/>
      <c r="X346" s="898"/>
      <c r="Y346" s="898"/>
      <c r="Z346" s="898"/>
      <c r="AA346" s="898"/>
      <c r="AB346" s="898"/>
      <c r="AC346" s="898"/>
      <c r="AD346" s="898"/>
      <c r="AE346" s="898"/>
      <c r="AF346" s="898"/>
      <c r="AG346" s="898"/>
      <c r="AH346" s="898"/>
      <c r="AI346" s="898"/>
      <c r="AJ346" s="898"/>
      <c r="AK346" s="897"/>
      <c r="AL346" s="897"/>
      <c r="AM346" s="897"/>
      <c r="AN346" s="897"/>
      <c r="AO346" s="897"/>
      <c r="AP346" s="897"/>
      <c r="AQ346" s="897"/>
      <c r="AR346" s="897"/>
    </row>
    <row r="347" spans="1:44" s="930" customFormat="1">
      <c r="A347" s="892"/>
      <c r="B347" s="899"/>
      <c r="C347" s="900"/>
      <c r="D347" s="894"/>
      <c r="E347" s="895"/>
      <c r="F347" s="896"/>
      <c r="G347" s="897"/>
      <c r="H347" s="897"/>
      <c r="I347" s="898"/>
      <c r="J347" s="898"/>
      <c r="K347" s="898"/>
      <c r="L347" s="898"/>
      <c r="M347" s="898"/>
      <c r="N347" s="898"/>
      <c r="O347" s="898"/>
      <c r="P347" s="898"/>
      <c r="Q347" s="898"/>
      <c r="R347" s="898"/>
      <c r="S347" s="898"/>
      <c r="T347" s="898"/>
      <c r="U347" s="898"/>
      <c r="V347" s="898"/>
      <c r="W347" s="898"/>
      <c r="X347" s="898"/>
      <c r="Y347" s="898"/>
      <c r="Z347" s="898"/>
      <c r="AA347" s="898"/>
      <c r="AB347" s="898"/>
      <c r="AC347" s="898"/>
      <c r="AD347" s="898"/>
      <c r="AE347" s="898"/>
      <c r="AF347" s="898"/>
      <c r="AG347" s="898"/>
      <c r="AH347" s="898"/>
      <c r="AI347" s="898"/>
      <c r="AJ347" s="898"/>
      <c r="AK347" s="897"/>
      <c r="AL347" s="897"/>
      <c r="AM347" s="897"/>
      <c r="AN347" s="897"/>
      <c r="AO347" s="897"/>
      <c r="AP347" s="897"/>
      <c r="AQ347" s="897"/>
      <c r="AR347" s="897"/>
    </row>
    <row r="348" spans="1:44" s="930" customFormat="1">
      <c r="A348" s="892"/>
      <c r="B348" s="899"/>
      <c r="C348" s="900"/>
      <c r="D348" s="894"/>
      <c r="E348" s="895"/>
      <c r="F348" s="896"/>
      <c r="G348" s="897"/>
      <c r="H348" s="897"/>
      <c r="I348" s="898"/>
      <c r="J348" s="898"/>
      <c r="K348" s="898"/>
      <c r="L348" s="898"/>
      <c r="M348" s="898"/>
      <c r="N348" s="898"/>
      <c r="O348" s="898"/>
      <c r="P348" s="898"/>
      <c r="Q348" s="898"/>
      <c r="R348" s="898"/>
      <c r="S348" s="898"/>
      <c r="T348" s="898"/>
      <c r="U348" s="898"/>
      <c r="V348" s="898"/>
      <c r="W348" s="898"/>
      <c r="X348" s="898"/>
      <c r="Y348" s="898"/>
      <c r="Z348" s="898"/>
      <c r="AA348" s="898"/>
      <c r="AB348" s="898"/>
      <c r="AC348" s="898"/>
      <c r="AD348" s="898"/>
      <c r="AE348" s="898"/>
      <c r="AF348" s="898"/>
      <c r="AG348" s="898"/>
      <c r="AH348" s="898"/>
      <c r="AI348" s="898"/>
      <c r="AJ348" s="898"/>
      <c r="AK348" s="897"/>
      <c r="AL348" s="897"/>
      <c r="AM348" s="897"/>
      <c r="AN348" s="897"/>
      <c r="AO348" s="897"/>
      <c r="AP348" s="897"/>
      <c r="AQ348" s="897"/>
      <c r="AR348" s="897"/>
    </row>
    <row r="349" spans="1:44" s="930" customFormat="1">
      <c r="A349" s="892"/>
      <c r="B349" s="899"/>
      <c r="C349" s="900"/>
      <c r="D349" s="894"/>
      <c r="E349" s="895"/>
      <c r="F349" s="896"/>
      <c r="G349" s="897"/>
      <c r="H349" s="897"/>
      <c r="I349" s="898"/>
      <c r="J349" s="898"/>
      <c r="K349" s="898"/>
      <c r="L349" s="898"/>
      <c r="M349" s="898"/>
      <c r="N349" s="898"/>
      <c r="O349" s="898"/>
      <c r="P349" s="898"/>
      <c r="Q349" s="898"/>
      <c r="R349" s="898"/>
      <c r="S349" s="898"/>
      <c r="T349" s="898"/>
      <c r="U349" s="898"/>
      <c r="V349" s="898"/>
      <c r="W349" s="898"/>
      <c r="X349" s="898"/>
      <c r="Y349" s="898"/>
      <c r="Z349" s="898"/>
      <c r="AA349" s="898"/>
      <c r="AB349" s="898"/>
      <c r="AC349" s="898"/>
      <c r="AD349" s="898"/>
      <c r="AE349" s="898"/>
      <c r="AF349" s="898"/>
      <c r="AG349" s="898"/>
      <c r="AH349" s="898"/>
      <c r="AI349" s="898"/>
      <c r="AJ349" s="898"/>
      <c r="AK349" s="897"/>
      <c r="AL349" s="897"/>
      <c r="AM349" s="897"/>
      <c r="AN349" s="897"/>
      <c r="AO349" s="897"/>
      <c r="AP349" s="897"/>
      <c r="AQ349" s="897"/>
      <c r="AR349" s="897"/>
    </row>
    <row r="350" spans="1:44" s="930" customFormat="1">
      <c r="A350" s="892"/>
      <c r="B350" s="899"/>
      <c r="C350" s="900"/>
      <c r="D350" s="894"/>
      <c r="E350" s="895"/>
      <c r="F350" s="896"/>
      <c r="G350" s="897"/>
      <c r="H350" s="897"/>
      <c r="I350" s="898"/>
      <c r="J350" s="898"/>
      <c r="K350" s="898"/>
      <c r="L350" s="898"/>
      <c r="M350" s="898"/>
      <c r="N350" s="898"/>
      <c r="O350" s="898"/>
      <c r="P350" s="898"/>
      <c r="Q350" s="898"/>
      <c r="R350" s="898"/>
      <c r="S350" s="898"/>
      <c r="T350" s="898"/>
      <c r="U350" s="898"/>
      <c r="V350" s="898"/>
      <c r="W350" s="898"/>
      <c r="X350" s="898"/>
      <c r="Y350" s="898"/>
      <c r="Z350" s="898"/>
      <c r="AA350" s="898"/>
      <c r="AB350" s="898"/>
      <c r="AC350" s="898"/>
      <c r="AD350" s="898"/>
      <c r="AE350" s="898"/>
      <c r="AF350" s="898"/>
      <c r="AG350" s="898"/>
      <c r="AH350" s="898"/>
      <c r="AI350" s="898"/>
      <c r="AJ350" s="898"/>
      <c r="AK350" s="897"/>
      <c r="AL350" s="897"/>
      <c r="AM350" s="897"/>
      <c r="AN350" s="897"/>
      <c r="AO350" s="897"/>
      <c r="AP350" s="897"/>
      <c r="AQ350" s="897"/>
      <c r="AR350" s="897"/>
    </row>
    <row r="351" spans="1:44" s="930" customFormat="1">
      <c r="A351" s="892"/>
      <c r="B351" s="899"/>
      <c r="C351" s="900"/>
      <c r="D351" s="894"/>
      <c r="E351" s="895"/>
      <c r="F351" s="896"/>
      <c r="G351" s="897"/>
      <c r="H351" s="897"/>
      <c r="I351" s="898"/>
      <c r="J351" s="898"/>
      <c r="K351" s="898"/>
      <c r="L351" s="898"/>
      <c r="M351" s="898"/>
      <c r="N351" s="898"/>
      <c r="O351" s="898"/>
      <c r="P351" s="898"/>
      <c r="Q351" s="898"/>
      <c r="R351" s="898"/>
      <c r="S351" s="898"/>
      <c r="T351" s="898"/>
      <c r="U351" s="898"/>
      <c r="V351" s="898"/>
      <c r="W351" s="898"/>
      <c r="X351" s="898"/>
      <c r="Y351" s="898"/>
      <c r="Z351" s="898"/>
      <c r="AA351" s="898"/>
      <c r="AB351" s="898"/>
      <c r="AC351" s="898"/>
      <c r="AD351" s="898"/>
      <c r="AE351" s="898"/>
      <c r="AF351" s="898"/>
      <c r="AG351" s="898"/>
      <c r="AH351" s="898"/>
      <c r="AI351" s="898"/>
      <c r="AJ351" s="898"/>
      <c r="AK351" s="897"/>
      <c r="AL351" s="897"/>
      <c r="AM351" s="897"/>
      <c r="AN351" s="897"/>
      <c r="AO351" s="897"/>
      <c r="AP351" s="897"/>
      <c r="AQ351" s="897"/>
      <c r="AR351" s="897"/>
    </row>
    <row r="352" spans="1:44" s="930" customFormat="1">
      <c r="A352" s="892"/>
      <c r="B352" s="899"/>
      <c r="C352" s="900"/>
      <c r="D352" s="894"/>
      <c r="E352" s="895"/>
      <c r="F352" s="896"/>
      <c r="G352" s="897"/>
      <c r="H352" s="897"/>
      <c r="I352" s="898"/>
      <c r="J352" s="898"/>
      <c r="K352" s="898"/>
      <c r="L352" s="898"/>
      <c r="M352" s="898"/>
      <c r="N352" s="898"/>
      <c r="O352" s="898"/>
      <c r="P352" s="898"/>
      <c r="Q352" s="898"/>
      <c r="R352" s="898"/>
      <c r="S352" s="898"/>
      <c r="T352" s="898"/>
      <c r="U352" s="898"/>
      <c r="V352" s="898"/>
      <c r="W352" s="898"/>
      <c r="X352" s="898"/>
      <c r="Y352" s="898"/>
      <c r="Z352" s="898"/>
      <c r="AA352" s="898"/>
      <c r="AB352" s="898"/>
      <c r="AC352" s="898"/>
      <c r="AD352" s="898"/>
      <c r="AE352" s="898"/>
      <c r="AF352" s="898"/>
      <c r="AG352" s="898"/>
      <c r="AH352" s="898"/>
      <c r="AI352" s="898"/>
      <c r="AJ352" s="898"/>
      <c r="AK352" s="897"/>
      <c r="AL352" s="897"/>
      <c r="AM352" s="897"/>
      <c r="AN352" s="897"/>
      <c r="AO352" s="897"/>
      <c r="AP352" s="897"/>
      <c r="AQ352" s="897"/>
      <c r="AR352" s="897"/>
    </row>
    <row r="353" spans="1:44" s="930" customFormat="1">
      <c r="A353" s="892"/>
      <c r="B353" s="899"/>
      <c r="C353" s="900"/>
      <c r="D353" s="894"/>
      <c r="E353" s="895"/>
      <c r="F353" s="896"/>
      <c r="G353" s="897"/>
      <c r="H353" s="897"/>
      <c r="I353" s="898"/>
      <c r="J353" s="898"/>
      <c r="K353" s="898"/>
      <c r="L353" s="898"/>
      <c r="M353" s="898"/>
      <c r="N353" s="898"/>
      <c r="O353" s="898"/>
      <c r="P353" s="898"/>
      <c r="Q353" s="898"/>
      <c r="R353" s="898"/>
      <c r="S353" s="898"/>
      <c r="T353" s="898"/>
      <c r="U353" s="898"/>
      <c r="V353" s="898"/>
      <c r="W353" s="898"/>
      <c r="X353" s="898"/>
      <c r="Y353" s="898"/>
      <c r="Z353" s="898"/>
      <c r="AA353" s="898"/>
      <c r="AB353" s="898"/>
      <c r="AC353" s="898"/>
      <c r="AD353" s="898"/>
      <c r="AE353" s="898"/>
      <c r="AF353" s="898"/>
      <c r="AG353" s="898"/>
      <c r="AH353" s="898"/>
      <c r="AI353" s="898"/>
      <c r="AJ353" s="898"/>
      <c r="AK353" s="897"/>
      <c r="AL353" s="897"/>
      <c r="AM353" s="897"/>
      <c r="AN353" s="897"/>
      <c r="AO353" s="897"/>
      <c r="AP353" s="897"/>
      <c r="AQ353" s="897"/>
      <c r="AR353" s="897"/>
    </row>
    <row r="354" spans="1:44" s="930" customFormat="1">
      <c r="A354" s="892"/>
      <c r="B354" s="899"/>
      <c r="C354" s="900"/>
      <c r="D354" s="894"/>
      <c r="E354" s="895"/>
      <c r="F354" s="896"/>
      <c r="G354" s="897"/>
      <c r="H354" s="897"/>
      <c r="I354" s="898"/>
      <c r="J354" s="898"/>
      <c r="K354" s="898"/>
      <c r="L354" s="898"/>
      <c r="M354" s="898"/>
      <c r="N354" s="898"/>
      <c r="O354" s="898"/>
      <c r="P354" s="898"/>
      <c r="Q354" s="898"/>
      <c r="R354" s="898"/>
      <c r="S354" s="898"/>
      <c r="T354" s="898"/>
      <c r="U354" s="898"/>
      <c r="V354" s="898"/>
      <c r="W354" s="898"/>
      <c r="X354" s="898"/>
      <c r="Y354" s="898"/>
      <c r="Z354" s="898"/>
      <c r="AA354" s="898"/>
      <c r="AB354" s="898"/>
      <c r="AC354" s="898"/>
      <c r="AD354" s="898"/>
      <c r="AE354" s="898"/>
      <c r="AF354" s="898"/>
      <c r="AG354" s="898"/>
      <c r="AH354" s="898"/>
      <c r="AI354" s="898"/>
      <c r="AJ354" s="898"/>
      <c r="AK354" s="897"/>
      <c r="AL354" s="897"/>
      <c r="AM354" s="897"/>
      <c r="AN354" s="897"/>
      <c r="AO354" s="897"/>
      <c r="AP354" s="897"/>
      <c r="AQ354" s="897"/>
      <c r="AR354" s="897"/>
    </row>
    <row r="355" spans="1:44" s="930" customFormat="1">
      <c r="A355" s="892"/>
      <c r="B355" s="899"/>
      <c r="C355" s="900"/>
      <c r="D355" s="894"/>
      <c r="E355" s="895"/>
      <c r="F355" s="896"/>
      <c r="G355" s="897"/>
      <c r="H355" s="897"/>
      <c r="I355" s="898"/>
      <c r="J355" s="898"/>
      <c r="K355" s="898"/>
      <c r="L355" s="898"/>
      <c r="M355" s="898"/>
      <c r="N355" s="898"/>
      <c r="O355" s="898"/>
      <c r="P355" s="898"/>
      <c r="Q355" s="898"/>
      <c r="R355" s="898"/>
      <c r="S355" s="898"/>
      <c r="T355" s="898"/>
      <c r="U355" s="898"/>
      <c r="V355" s="898"/>
      <c r="W355" s="898"/>
      <c r="X355" s="898"/>
      <c r="Y355" s="898"/>
      <c r="Z355" s="898"/>
      <c r="AA355" s="898"/>
      <c r="AB355" s="898"/>
      <c r="AC355" s="898"/>
      <c r="AD355" s="898"/>
      <c r="AE355" s="898"/>
      <c r="AF355" s="898"/>
      <c r="AG355" s="898"/>
      <c r="AH355" s="898"/>
      <c r="AI355" s="898"/>
      <c r="AJ355" s="898"/>
      <c r="AK355" s="897"/>
      <c r="AL355" s="897"/>
      <c r="AM355" s="897"/>
      <c r="AN355" s="897"/>
      <c r="AO355" s="897"/>
      <c r="AP355" s="897"/>
      <c r="AQ355" s="897"/>
      <c r="AR355" s="897"/>
    </row>
    <row r="356" spans="1:44" s="930" customFormat="1">
      <c r="A356" s="892"/>
      <c r="B356" s="899"/>
      <c r="C356" s="900"/>
      <c r="D356" s="894"/>
      <c r="E356" s="895"/>
      <c r="F356" s="896"/>
      <c r="G356" s="897"/>
      <c r="H356" s="897"/>
      <c r="I356" s="898"/>
      <c r="J356" s="898"/>
      <c r="K356" s="898"/>
      <c r="L356" s="898"/>
      <c r="M356" s="898"/>
      <c r="N356" s="898"/>
      <c r="O356" s="898"/>
      <c r="P356" s="898"/>
      <c r="Q356" s="898"/>
      <c r="R356" s="898"/>
      <c r="S356" s="898"/>
      <c r="T356" s="898"/>
      <c r="U356" s="898"/>
      <c r="V356" s="898"/>
      <c r="W356" s="898"/>
      <c r="X356" s="898"/>
      <c r="Y356" s="898"/>
      <c r="Z356" s="898"/>
      <c r="AA356" s="898"/>
      <c r="AB356" s="898"/>
      <c r="AC356" s="898"/>
      <c r="AD356" s="898"/>
      <c r="AE356" s="898"/>
      <c r="AF356" s="898"/>
      <c r="AG356" s="898"/>
      <c r="AH356" s="898"/>
      <c r="AI356" s="898"/>
      <c r="AJ356" s="898"/>
      <c r="AK356" s="897"/>
      <c r="AL356" s="897"/>
      <c r="AM356" s="897"/>
      <c r="AN356" s="897"/>
      <c r="AO356" s="897"/>
      <c r="AP356" s="897"/>
      <c r="AQ356" s="897"/>
      <c r="AR356" s="897"/>
    </row>
    <row r="357" spans="1:44" s="930" customFormat="1">
      <c r="A357" s="892"/>
      <c r="B357" s="899"/>
      <c r="C357" s="900"/>
      <c r="D357" s="894"/>
      <c r="E357" s="895"/>
      <c r="F357" s="896"/>
      <c r="G357" s="897"/>
      <c r="H357" s="897"/>
      <c r="I357" s="898"/>
      <c r="J357" s="898"/>
      <c r="K357" s="898"/>
      <c r="L357" s="898"/>
      <c r="M357" s="898"/>
      <c r="N357" s="898"/>
      <c r="O357" s="898"/>
      <c r="P357" s="898"/>
      <c r="Q357" s="898"/>
      <c r="R357" s="898"/>
      <c r="S357" s="898"/>
      <c r="T357" s="898"/>
      <c r="U357" s="898"/>
      <c r="V357" s="898"/>
      <c r="W357" s="898"/>
      <c r="X357" s="898"/>
      <c r="Y357" s="898"/>
      <c r="Z357" s="898"/>
      <c r="AA357" s="898"/>
      <c r="AB357" s="898"/>
      <c r="AC357" s="898"/>
      <c r="AD357" s="898"/>
      <c r="AE357" s="898"/>
      <c r="AF357" s="898"/>
      <c r="AG357" s="898"/>
      <c r="AH357" s="898"/>
      <c r="AI357" s="898"/>
      <c r="AJ357" s="898"/>
      <c r="AK357" s="897"/>
      <c r="AL357" s="897"/>
      <c r="AM357" s="897"/>
      <c r="AN357" s="897"/>
      <c r="AO357" s="897"/>
      <c r="AP357" s="897"/>
      <c r="AQ357" s="897"/>
      <c r="AR357" s="897"/>
    </row>
    <row r="358" spans="1:44" s="930" customFormat="1">
      <c r="A358" s="892"/>
      <c r="B358" s="899"/>
      <c r="C358" s="900"/>
      <c r="D358" s="894"/>
      <c r="E358" s="895"/>
      <c r="F358" s="896"/>
      <c r="G358" s="897"/>
      <c r="H358" s="897"/>
      <c r="I358" s="898"/>
      <c r="J358" s="898"/>
      <c r="K358" s="898"/>
      <c r="L358" s="898"/>
      <c r="M358" s="898"/>
      <c r="N358" s="898"/>
      <c r="O358" s="898"/>
      <c r="P358" s="898"/>
      <c r="Q358" s="898"/>
      <c r="R358" s="898"/>
      <c r="S358" s="898"/>
      <c r="T358" s="898"/>
      <c r="U358" s="898"/>
      <c r="V358" s="898"/>
      <c r="W358" s="898"/>
      <c r="X358" s="898"/>
      <c r="Y358" s="898"/>
      <c r="Z358" s="898"/>
      <c r="AA358" s="898"/>
      <c r="AB358" s="898"/>
      <c r="AC358" s="898"/>
      <c r="AD358" s="898"/>
      <c r="AE358" s="898"/>
      <c r="AF358" s="898"/>
      <c r="AG358" s="898"/>
      <c r="AH358" s="898"/>
      <c r="AI358" s="898"/>
      <c r="AJ358" s="898"/>
      <c r="AK358" s="897"/>
      <c r="AL358" s="897"/>
      <c r="AM358" s="897"/>
      <c r="AN358" s="897"/>
      <c r="AO358" s="897"/>
      <c r="AP358" s="897"/>
      <c r="AQ358" s="897"/>
      <c r="AR358" s="897"/>
    </row>
    <row r="359" spans="1:44" s="930" customFormat="1">
      <c r="A359" s="892"/>
      <c r="B359" s="899"/>
      <c r="C359" s="900"/>
      <c r="D359" s="894"/>
      <c r="E359" s="895"/>
      <c r="F359" s="896"/>
      <c r="G359" s="897"/>
      <c r="H359" s="897"/>
      <c r="I359" s="898"/>
      <c r="J359" s="898"/>
      <c r="K359" s="898"/>
      <c r="L359" s="898"/>
      <c r="M359" s="898"/>
      <c r="N359" s="898"/>
      <c r="O359" s="898"/>
      <c r="P359" s="898"/>
      <c r="Q359" s="898"/>
      <c r="R359" s="898"/>
      <c r="S359" s="898"/>
      <c r="T359" s="898"/>
      <c r="U359" s="898"/>
      <c r="V359" s="898"/>
      <c r="W359" s="898"/>
      <c r="X359" s="898"/>
      <c r="Y359" s="898"/>
      <c r="Z359" s="898"/>
      <c r="AA359" s="898"/>
      <c r="AB359" s="898"/>
      <c r="AC359" s="898"/>
      <c r="AD359" s="898"/>
      <c r="AE359" s="898"/>
      <c r="AF359" s="898"/>
      <c r="AG359" s="898"/>
      <c r="AH359" s="898"/>
      <c r="AI359" s="898"/>
      <c r="AJ359" s="898"/>
      <c r="AK359" s="897"/>
      <c r="AL359" s="897"/>
      <c r="AM359" s="897"/>
      <c r="AN359" s="897"/>
      <c r="AO359" s="897"/>
      <c r="AP359" s="897"/>
      <c r="AQ359" s="897"/>
      <c r="AR359" s="897"/>
    </row>
    <row r="360" spans="1:44" s="930" customFormat="1">
      <c r="A360" s="892"/>
      <c r="B360" s="899"/>
      <c r="C360" s="900"/>
      <c r="D360" s="894"/>
      <c r="E360" s="895"/>
      <c r="F360" s="896"/>
      <c r="G360" s="897"/>
      <c r="H360" s="897"/>
      <c r="I360" s="898"/>
      <c r="J360" s="898"/>
      <c r="K360" s="898"/>
      <c r="L360" s="898"/>
      <c r="M360" s="898"/>
      <c r="N360" s="898"/>
      <c r="O360" s="898"/>
      <c r="P360" s="898"/>
      <c r="Q360" s="898"/>
      <c r="R360" s="898"/>
      <c r="S360" s="898"/>
      <c r="T360" s="898"/>
      <c r="U360" s="898"/>
      <c r="V360" s="898"/>
      <c r="W360" s="898"/>
      <c r="X360" s="898"/>
      <c r="Y360" s="898"/>
      <c r="Z360" s="898"/>
      <c r="AA360" s="898"/>
      <c r="AB360" s="898"/>
      <c r="AC360" s="898"/>
      <c r="AD360" s="898"/>
      <c r="AE360" s="898"/>
      <c r="AF360" s="898"/>
      <c r="AG360" s="898"/>
      <c r="AH360" s="898"/>
      <c r="AI360" s="898"/>
      <c r="AJ360" s="898"/>
      <c r="AK360" s="897"/>
      <c r="AL360" s="897"/>
      <c r="AM360" s="897"/>
      <c r="AN360" s="897"/>
      <c r="AO360" s="897"/>
      <c r="AP360" s="897"/>
      <c r="AQ360" s="897"/>
      <c r="AR360" s="897"/>
    </row>
    <row r="361" spans="1:44" s="930" customFormat="1">
      <c r="A361" s="892"/>
      <c r="B361" s="899"/>
      <c r="C361" s="900"/>
      <c r="D361" s="894"/>
      <c r="E361" s="895"/>
      <c r="F361" s="896"/>
      <c r="G361" s="897"/>
      <c r="H361" s="897"/>
      <c r="I361" s="898"/>
      <c r="J361" s="898"/>
      <c r="K361" s="898"/>
      <c r="L361" s="898"/>
      <c r="M361" s="898"/>
      <c r="N361" s="898"/>
      <c r="O361" s="898"/>
      <c r="P361" s="898"/>
      <c r="Q361" s="898"/>
      <c r="R361" s="898"/>
      <c r="S361" s="898"/>
      <c r="T361" s="898"/>
      <c r="U361" s="898"/>
      <c r="V361" s="898"/>
      <c r="W361" s="898"/>
      <c r="X361" s="898"/>
      <c r="Y361" s="898"/>
      <c r="Z361" s="898"/>
      <c r="AA361" s="898"/>
      <c r="AB361" s="898"/>
      <c r="AC361" s="898"/>
      <c r="AD361" s="898"/>
      <c r="AE361" s="898"/>
      <c r="AF361" s="898"/>
      <c r="AG361" s="898"/>
      <c r="AH361" s="898"/>
      <c r="AI361" s="898"/>
      <c r="AJ361" s="898"/>
      <c r="AK361" s="897"/>
      <c r="AL361" s="897"/>
      <c r="AM361" s="897"/>
      <c r="AN361" s="897"/>
      <c r="AO361" s="897"/>
      <c r="AP361" s="897"/>
      <c r="AQ361" s="897"/>
      <c r="AR361" s="897"/>
    </row>
    <row r="362" spans="1:44" s="930" customFormat="1">
      <c r="A362" s="892"/>
      <c r="B362" s="899"/>
      <c r="C362" s="900"/>
      <c r="D362" s="894"/>
      <c r="E362" s="895"/>
      <c r="F362" s="896"/>
      <c r="G362" s="897"/>
      <c r="H362" s="897"/>
      <c r="I362" s="898"/>
      <c r="J362" s="898"/>
      <c r="K362" s="898"/>
      <c r="L362" s="898"/>
      <c r="M362" s="898"/>
      <c r="N362" s="898"/>
      <c r="O362" s="898"/>
      <c r="P362" s="898"/>
      <c r="Q362" s="898"/>
      <c r="R362" s="898"/>
      <c r="S362" s="898"/>
      <c r="T362" s="898"/>
      <c r="U362" s="898"/>
      <c r="V362" s="898"/>
      <c r="W362" s="898"/>
      <c r="X362" s="898"/>
      <c r="Y362" s="898"/>
      <c r="Z362" s="898"/>
      <c r="AA362" s="898"/>
      <c r="AB362" s="898"/>
      <c r="AC362" s="898"/>
      <c r="AD362" s="898"/>
      <c r="AE362" s="898"/>
      <c r="AF362" s="898"/>
      <c r="AG362" s="898"/>
      <c r="AH362" s="898"/>
      <c r="AI362" s="898"/>
      <c r="AJ362" s="898"/>
      <c r="AK362" s="897"/>
      <c r="AL362" s="897"/>
      <c r="AM362" s="897"/>
      <c r="AN362" s="897"/>
      <c r="AO362" s="897"/>
      <c r="AP362" s="897"/>
      <c r="AQ362" s="897"/>
      <c r="AR362" s="897"/>
    </row>
    <row r="363" spans="1:44" s="930" customFormat="1">
      <c r="A363" s="892"/>
      <c r="B363" s="899"/>
      <c r="C363" s="900"/>
      <c r="D363" s="894"/>
      <c r="E363" s="895"/>
      <c r="F363" s="896"/>
      <c r="G363" s="897"/>
      <c r="H363" s="897"/>
      <c r="I363" s="898"/>
      <c r="J363" s="898"/>
      <c r="K363" s="898"/>
      <c r="L363" s="898"/>
      <c r="M363" s="898"/>
      <c r="N363" s="898"/>
      <c r="O363" s="898"/>
      <c r="P363" s="898"/>
      <c r="Q363" s="898"/>
      <c r="R363" s="898"/>
      <c r="S363" s="898"/>
      <c r="T363" s="898"/>
      <c r="U363" s="898"/>
      <c r="V363" s="898"/>
      <c r="W363" s="898"/>
      <c r="X363" s="898"/>
      <c r="Y363" s="898"/>
      <c r="Z363" s="898"/>
      <c r="AA363" s="898"/>
      <c r="AB363" s="898"/>
      <c r="AC363" s="898"/>
      <c r="AD363" s="898"/>
      <c r="AE363" s="898"/>
      <c r="AF363" s="898"/>
      <c r="AG363" s="898"/>
      <c r="AH363" s="898"/>
      <c r="AI363" s="898"/>
      <c r="AJ363" s="898"/>
      <c r="AK363" s="897"/>
      <c r="AL363" s="897"/>
      <c r="AM363" s="897"/>
      <c r="AN363" s="897"/>
      <c r="AO363" s="897"/>
      <c r="AP363" s="897"/>
      <c r="AQ363" s="897"/>
      <c r="AR363" s="897"/>
    </row>
    <row r="364" spans="1:44" s="930" customFormat="1">
      <c r="A364" s="892"/>
      <c r="B364" s="899"/>
      <c r="C364" s="900"/>
      <c r="D364" s="894"/>
      <c r="E364" s="895"/>
      <c r="F364" s="896"/>
      <c r="G364" s="897"/>
      <c r="H364" s="897"/>
      <c r="I364" s="898"/>
      <c r="J364" s="898"/>
      <c r="K364" s="898"/>
      <c r="L364" s="898"/>
      <c r="M364" s="898"/>
      <c r="N364" s="898"/>
      <c r="O364" s="898"/>
      <c r="P364" s="898"/>
      <c r="Q364" s="898"/>
      <c r="R364" s="898"/>
      <c r="S364" s="898"/>
      <c r="T364" s="898"/>
      <c r="U364" s="898"/>
      <c r="V364" s="898"/>
      <c r="W364" s="898"/>
      <c r="X364" s="898"/>
      <c r="Y364" s="898"/>
      <c r="Z364" s="898"/>
      <c r="AA364" s="898"/>
      <c r="AB364" s="898"/>
      <c r="AC364" s="898"/>
      <c r="AD364" s="898"/>
      <c r="AE364" s="898"/>
      <c r="AF364" s="898"/>
      <c r="AG364" s="898"/>
      <c r="AH364" s="898"/>
      <c r="AI364" s="898"/>
      <c r="AJ364" s="898"/>
      <c r="AK364" s="897"/>
      <c r="AL364" s="897"/>
      <c r="AM364" s="897"/>
      <c r="AN364" s="897"/>
      <c r="AO364" s="897"/>
      <c r="AP364" s="897"/>
      <c r="AQ364" s="897"/>
      <c r="AR364" s="897"/>
    </row>
    <row r="365" spans="1:44" s="930" customFormat="1">
      <c r="A365" s="892"/>
      <c r="B365" s="899"/>
      <c r="C365" s="900"/>
      <c r="D365" s="894"/>
      <c r="E365" s="895"/>
      <c r="F365" s="896"/>
      <c r="G365" s="897"/>
      <c r="H365" s="897"/>
      <c r="I365" s="898"/>
      <c r="J365" s="898"/>
      <c r="K365" s="898"/>
      <c r="L365" s="898"/>
      <c r="M365" s="898"/>
      <c r="N365" s="898"/>
      <c r="O365" s="898"/>
      <c r="P365" s="898"/>
      <c r="Q365" s="898"/>
      <c r="R365" s="898"/>
      <c r="S365" s="898"/>
      <c r="T365" s="898"/>
      <c r="U365" s="898"/>
      <c r="V365" s="898"/>
      <c r="W365" s="898"/>
      <c r="X365" s="898"/>
      <c r="Y365" s="898"/>
      <c r="Z365" s="898"/>
      <c r="AA365" s="898"/>
      <c r="AB365" s="898"/>
      <c r="AC365" s="898"/>
      <c r="AD365" s="898"/>
      <c r="AE365" s="898"/>
      <c r="AF365" s="898"/>
      <c r="AG365" s="898"/>
      <c r="AH365" s="898"/>
      <c r="AI365" s="898"/>
      <c r="AJ365" s="898"/>
      <c r="AK365" s="897"/>
      <c r="AL365" s="897"/>
      <c r="AM365" s="897"/>
      <c r="AN365" s="897"/>
      <c r="AO365" s="897"/>
      <c r="AP365" s="897"/>
      <c r="AQ365" s="897"/>
      <c r="AR365" s="897"/>
    </row>
    <row r="366" spans="1:44" s="930" customFormat="1">
      <c r="A366" s="892"/>
      <c r="B366" s="899"/>
      <c r="C366" s="900"/>
      <c r="D366" s="894"/>
      <c r="E366" s="895"/>
      <c r="F366" s="896"/>
      <c r="G366" s="897"/>
      <c r="H366" s="897"/>
      <c r="I366" s="898"/>
      <c r="J366" s="898"/>
      <c r="K366" s="898"/>
      <c r="L366" s="898"/>
      <c r="M366" s="898"/>
      <c r="N366" s="898"/>
      <c r="O366" s="898"/>
      <c r="P366" s="898"/>
      <c r="Q366" s="898"/>
      <c r="R366" s="898"/>
      <c r="S366" s="898"/>
      <c r="T366" s="898"/>
      <c r="U366" s="898"/>
      <c r="V366" s="898"/>
      <c r="W366" s="898"/>
      <c r="X366" s="898"/>
      <c r="Y366" s="898"/>
      <c r="Z366" s="898"/>
      <c r="AA366" s="898"/>
      <c r="AB366" s="898"/>
      <c r="AC366" s="898"/>
      <c r="AD366" s="898"/>
      <c r="AE366" s="898"/>
      <c r="AF366" s="898"/>
      <c r="AG366" s="898"/>
      <c r="AH366" s="898"/>
      <c r="AI366" s="898"/>
      <c r="AJ366" s="898"/>
      <c r="AK366" s="897"/>
      <c r="AL366" s="897"/>
      <c r="AM366" s="897"/>
      <c r="AN366" s="897"/>
      <c r="AO366" s="897"/>
      <c r="AP366" s="897"/>
      <c r="AQ366" s="897"/>
      <c r="AR366" s="897"/>
    </row>
    <row r="367" spans="1:44" s="930" customFormat="1">
      <c r="A367" s="892"/>
      <c r="B367" s="899"/>
      <c r="C367" s="900"/>
      <c r="D367" s="894"/>
      <c r="E367" s="895"/>
      <c r="F367" s="896"/>
      <c r="G367" s="897"/>
      <c r="H367" s="897"/>
      <c r="I367" s="898"/>
      <c r="J367" s="898"/>
      <c r="K367" s="898"/>
      <c r="L367" s="898"/>
      <c r="M367" s="898"/>
      <c r="N367" s="898"/>
      <c r="O367" s="898"/>
      <c r="P367" s="898"/>
      <c r="Q367" s="898"/>
      <c r="R367" s="898"/>
      <c r="S367" s="898"/>
      <c r="T367" s="898"/>
      <c r="U367" s="898"/>
      <c r="V367" s="898"/>
      <c r="W367" s="898"/>
      <c r="X367" s="898"/>
      <c r="Y367" s="898"/>
      <c r="Z367" s="898"/>
      <c r="AA367" s="898"/>
      <c r="AB367" s="898"/>
      <c r="AC367" s="898"/>
      <c r="AD367" s="898"/>
      <c r="AE367" s="898"/>
      <c r="AF367" s="898"/>
      <c r="AG367" s="898"/>
      <c r="AH367" s="898"/>
      <c r="AI367" s="898"/>
      <c r="AJ367" s="898"/>
      <c r="AK367" s="897"/>
      <c r="AL367" s="897"/>
      <c r="AM367" s="897"/>
      <c r="AN367" s="897"/>
      <c r="AO367" s="897"/>
      <c r="AP367" s="897"/>
      <c r="AQ367" s="897"/>
      <c r="AR367" s="897"/>
    </row>
    <row r="368" spans="1:44" s="930" customFormat="1">
      <c r="A368" s="892"/>
      <c r="B368" s="899"/>
      <c r="C368" s="900"/>
      <c r="D368" s="894"/>
      <c r="E368" s="895"/>
      <c r="F368" s="896"/>
      <c r="G368" s="897"/>
      <c r="H368" s="897"/>
      <c r="I368" s="898"/>
      <c r="J368" s="898"/>
      <c r="K368" s="898"/>
      <c r="L368" s="898"/>
      <c r="M368" s="898"/>
      <c r="N368" s="898"/>
      <c r="O368" s="898"/>
      <c r="P368" s="898"/>
      <c r="Q368" s="898"/>
      <c r="R368" s="898"/>
      <c r="S368" s="898"/>
      <c r="T368" s="898"/>
      <c r="U368" s="898"/>
      <c r="V368" s="898"/>
      <c r="W368" s="898"/>
      <c r="X368" s="898"/>
      <c r="Y368" s="898"/>
      <c r="Z368" s="898"/>
      <c r="AA368" s="898"/>
      <c r="AB368" s="898"/>
      <c r="AC368" s="898"/>
      <c r="AD368" s="898"/>
      <c r="AE368" s="898"/>
      <c r="AF368" s="898"/>
      <c r="AG368" s="898"/>
      <c r="AH368" s="898"/>
      <c r="AI368" s="898"/>
      <c r="AJ368" s="898"/>
      <c r="AK368" s="897"/>
      <c r="AL368" s="897"/>
      <c r="AM368" s="897"/>
      <c r="AN368" s="897"/>
      <c r="AO368" s="897"/>
      <c r="AP368" s="897"/>
      <c r="AQ368" s="897"/>
      <c r="AR368" s="897"/>
    </row>
    <row r="369" spans="1:44" s="930" customFormat="1">
      <c r="A369" s="892"/>
      <c r="B369" s="899"/>
      <c r="C369" s="900"/>
      <c r="D369" s="894"/>
      <c r="E369" s="895"/>
      <c r="F369" s="896"/>
      <c r="G369" s="897"/>
      <c r="H369" s="897"/>
      <c r="I369" s="898"/>
      <c r="J369" s="898"/>
      <c r="K369" s="898"/>
      <c r="L369" s="898"/>
      <c r="M369" s="898"/>
      <c r="N369" s="898"/>
      <c r="O369" s="898"/>
      <c r="P369" s="898"/>
      <c r="Q369" s="898"/>
      <c r="R369" s="898"/>
      <c r="S369" s="898"/>
      <c r="T369" s="898"/>
      <c r="U369" s="898"/>
      <c r="V369" s="898"/>
      <c r="W369" s="898"/>
      <c r="X369" s="898"/>
      <c r="Y369" s="898"/>
      <c r="Z369" s="898"/>
      <c r="AA369" s="898"/>
      <c r="AB369" s="898"/>
      <c r="AC369" s="898"/>
      <c r="AD369" s="898"/>
      <c r="AE369" s="898"/>
      <c r="AF369" s="898"/>
      <c r="AG369" s="898"/>
      <c r="AH369" s="898"/>
      <c r="AI369" s="898"/>
      <c r="AJ369" s="898"/>
      <c r="AK369" s="897"/>
      <c r="AL369" s="897"/>
      <c r="AM369" s="897"/>
      <c r="AN369" s="897"/>
      <c r="AO369" s="897"/>
      <c r="AP369" s="897"/>
      <c r="AQ369" s="897"/>
      <c r="AR369" s="897"/>
    </row>
    <row r="370" spans="1:44" s="930" customFormat="1">
      <c r="A370" s="892"/>
      <c r="B370" s="899"/>
      <c r="C370" s="900"/>
      <c r="D370" s="894"/>
      <c r="E370" s="895"/>
      <c r="F370" s="896"/>
      <c r="G370" s="897"/>
      <c r="H370" s="897"/>
      <c r="I370" s="898"/>
      <c r="J370" s="898"/>
      <c r="K370" s="898"/>
      <c r="L370" s="898"/>
      <c r="M370" s="898"/>
      <c r="N370" s="898"/>
      <c r="O370" s="898"/>
      <c r="P370" s="898"/>
      <c r="Q370" s="898"/>
      <c r="R370" s="898"/>
      <c r="S370" s="898"/>
      <c r="T370" s="898"/>
      <c r="U370" s="898"/>
      <c r="V370" s="898"/>
      <c r="W370" s="898"/>
      <c r="X370" s="898"/>
      <c r="Y370" s="898"/>
      <c r="Z370" s="898"/>
      <c r="AA370" s="898"/>
      <c r="AB370" s="898"/>
      <c r="AC370" s="898"/>
      <c r="AD370" s="898"/>
      <c r="AE370" s="898"/>
      <c r="AF370" s="898"/>
      <c r="AG370" s="898"/>
      <c r="AH370" s="898"/>
      <c r="AI370" s="898"/>
      <c r="AJ370" s="898"/>
      <c r="AK370" s="897"/>
      <c r="AL370" s="897"/>
      <c r="AM370" s="897"/>
      <c r="AN370" s="897"/>
      <c r="AO370" s="897"/>
      <c r="AP370" s="897"/>
      <c r="AQ370" s="897"/>
      <c r="AR370" s="897"/>
    </row>
    <row r="371" spans="1:44" s="930" customFormat="1">
      <c r="A371" s="892"/>
      <c r="B371" s="899"/>
      <c r="C371" s="900"/>
      <c r="D371" s="894"/>
      <c r="E371" s="895"/>
      <c r="F371" s="896"/>
      <c r="G371" s="897"/>
      <c r="H371" s="897"/>
      <c r="I371" s="898"/>
      <c r="J371" s="898"/>
      <c r="K371" s="898"/>
      <c r="L371" s="898"/>
      <c r="M371" s="898"/>
      <c r="N371" s="898"/>
      <c r="O371" s="898"/>
      <c r="P371" s="898"/>
      <c r="Q371" s="898"/>
      <c r="R371" s="898"/>
      <c r="S371" s="898"/>
      <c r="T371" s="898"/>
      <c r="U371" s="898"/>
      <c r="V371" s="898"/>
      <c r="W371" s="898"/>
      <c r="X371" s="898"/>
      <c r="Y371" s="898"/>
      <c r="Z371" s="898"/>
      <c r="AA371" s="898"/>
      <c r="AB371" s="898"/>
      <c r="AC371" s="898"/>
      <c r="AD371" s="898"/>
      <c r="AE371" s="898"/>
      <c r="AF371" s="898"/>
      <c r="AG371" s="898"/>
      <c r="AH371" s="898"/>
      <c r="AI371" s="898"/>
      <c r="AJ371" s="898"/>
      <c r="AK371" s="897"/>
      <c r="AL371" s="897"/>
      <c r="AM371" s="897"/>
      <c r="AN371" s="897"/>
      <c r="AO371" s="897"/>
      <c r="AP371" s="897"/>
      <c r="AQ371" s="897"/>
      <c r="AR371" s="897"/>
    </row>
    <row r="372" spans="1:44" s="930" customFormat="1">
      <c r="A372" s="892"/>
      <c r="B372" s="899"/>
      <c r="C372" s="900"/>
      <c r="D372" s="894"/>
      <c r="E372" s="895"/>
      <c r="F372" s="896"/>
      <c r="G372" s="897"/>
      <c r="H372" s="897"/>
      <c r="I372" s="898"/>
      <c r="J372" s="898"/>
      <c r="K372" s="898"/>
      <c r="L372" s="898"/>
      <c r="M372" s="898"/>
      <c r="N372" s="898"/>
      <c r="O372" s="898"/>
      <c r="P372" s="898"/>
      <c r="Q372" s="898"/>
      <c r="R372" s="898"/>
      <c r="S372" s="898"/>
      <c r="T372" s="898"/>
      <c r="U372" s="898"/>
      <c r="V372" s="898"/>
      <c r="W372" s="898"/>
      <c r="X372" s="898"/>
      <c r="Y372" s="898"/>
      <c r="Z372" s="898"/>
      <c r="AA372" s="898"/>
      <c r="AB372" s="898"/>
      <c r="AC372" s="898"/>
      <c r="AD372" s="898"/>
      <c r="AE372" s="898"/>
      <c r="AF372" s="898"/>
      <c r="AG372" s="898"/>
      <c r="AH372" s="898"/>
      <c r="AI372" s="898"/>
      <c r="AJ372" s="898"/>
      <c r="AK372" s="897"/>
      <c r="AL372" s="897"/>
      <c r="AM372" s="897"/>
      <c r="AN372" s="897"/>
      <c r="AO372" s="897"/>
      <c r="AP372" s="897"/>
      <c r="AQ372" s="897"/>
      <c r="AR372" s="897"/>
    </row>
    <row r="373" spans="1:44" s="930" customFormat="1">
      <c r="A373" s="892"/>
      <c r="B373" s="899"/>
      <c r="C373" s="900"/>
      <c r="D373" s="894"/>
      <c r="E373" s="895"/>
      <c r="F373" s="896"/>
      <c r="G373" s="897"/>
      <c r="H373" s="897"/>
      <c r="I373" s="898"/>
      <c r="J373" s="898"/>
      <c r="K373" s="898"/>
      <c r="L373" s="898"/>
      <c r="M373" s="898"/>
      <c r="N373" s="898"/>
      <c r="O373" s="898"/>
      <c r="P373" s="898"/>
      <c r="Q373" s="898"/>
      <c r="R373" s="898"/>
      <c r="S373" s="898"/>
      <c r="T373" s="898"/>
      <c r="U373" s="898"/>
      <c r="V373" s="898"/>
      <c r="W373" s="898"/>
      <c r="X373" s="898"/>
      <c r="Y373" s="898"/>
      <c r="Z373" s="898"/>
      <c r="AA373" s="898"/>
      <c r="AB373" s="898"/>
      <c r="AC373" s="898"/>
      <c r="AD373" s="898"/>
      <c r="AE373" s="898"/>
      <c r="AF373" s="898"/>
      <c r="AG373" s="898"/>
      <c r="AH373" s="898"/>
      <c r="AI373" s="898"/>
      <c r="AJ373" s="898"/>
      <c r="AK373" s="897"/>
      <c r="AL373" s="897"/>
      <c r="AM373" s="897"/>
      <c r="AN373" s="897"/>
      <c r="AO373" s="897"/>
      <c r="AP373" s="897"/>
      <c r="AQ373" s="897"/>
      <c r="AR373" s="897"/>
    </row>
    <row r="374" spans="1:44" s="930" customFormat="1">
      <c r="A374" s="892"/>
      <c r="B374" s="899"/>
      <c r="C374" s="900"/>
      <c r="D374" s="894"/>
      <c r="E374" s="895"/>
      <c r="F374" s="896"/>
      <c r="G374" s="897"/>
      <c r="H374" s="897"/>
      <c r="I374" s="898"/>
      <c r="J374" s="898"/>
      <c r="K374" s="898"/>
      <c r="L374" s="898"/>
      <c r="M374" s="898"/>
      <c r="N374" s="898"/>
      <c r="O374" s="898"/>
      <c r="P374" s="898"/>
      <c r="Q374" s="898"/>
      <c r="R374" s="898"/>
      <c r="S374" s="898"/>
      <c r="T374" s="898"/>
      <c r="U374" s="898"/>
      <c r="V374" s="898"/>
      <c r="W374" s="898"/>
      <c r="X374" s="898"/>
      <c r="Y374" s="898"/>
      <c r="Z374" s="898"/>
      <c r="AA374" s="898"/>
      <c r="AB374" s="898"/>
      <c r="AC374" s="898"/>
      <c r="AD374" s="898"/>
      <c r="AE374" s="898"/>
      <c r="AF374" s="898"/>
      <c r="AG374" s="898"/>
      <c r="AH374" s="898"/>
      <c r="AI374" s="898"/>
      <c r="AJ374" s="898"/>
      <c r="AK374" s="897"/>
      <c r="AL374" s="897"/>
      <c r="AM374" s="897"/>
      <c r="AN374" s="897"/>
      <c r="AO374" s="897"/>
      <c r="AP374" s="897"/>
      <c r="AQ374" s="897"/>
      <c r="AR374" s="897"/>
    </row>
    <row r="375" spans="1:44" s="930" customFormat="1">
      <c r="A375" s="892"/>
      <c r="B375" s="899"/>
      <c r="C375" s="900"/>
      <c r="D375" s="894"/>
      <c r="E375" s="895"/>
      <c r="F375" s="896"/>
      <c r="G375" s="897"/>
      <c r="H375" s="897"/>
      <c r="I375" s="898"/>
      <c r="J375" s="898"/>
      <c r="K375" s="898"/>
      <c r="L375" s="898"/>
      <c r="M375" s="898"/>
      <c r="N375" s="898"/>
      <c r="O375" s="898"/>
      <c r="P375" s="898"/>
      <c r="Q375" s="898"/>
      <c r="R375" s="898"/>
      <c r="S375" s="898"/>
      <c r="T375" s="898"/>
      <c r="U375" s="898"/>
      <c r="V375" s="898"/>
      <c r="W375" s="898"/>
      <c r="X375" s="898"/>
      <c r="Y375" s="898"/>
      <c r="Z375" s="898"/>
      <c r="AA375" s="898"/>
      <c r="AB375" s="898"/>
      <c r="AC375" s="898"/>
      <c r="AD375" s="898"/>
      <c r="AE375" s="898"/>
      <c r="AF375" s="898"/>
      <c r="AG375" s="898"/>
      <c r="AH375" s="898"/>
      <c r="AI375" s="898"/>
      <c r="AJ375" s="898"/>
      <c r="AK375" s="897"/>
      <c r="AL375" s="897"/>
      <c r="AM375" s="897"/>
      <c r="AN375" s="897"/>
      <c r="AO375" s="897"/>
      <c r="AP375" s="897"/>
      <c r="AQ375" s="897"/>
      <c r="AR375" s="897"/>
    </row>
    <row r="376" spans="1:44" s="930" customFormat="1">
      <c r="A376" s="892"/>
      <c r="B376" s="899"/>
      <c r="C376" s="900"/>
      <c r="D376" s="894"/>
      <c r="E376" s="895"/>
      <c r="F376" s="896"/>
      <c r="G376" s="897"/>
      <c r="H376" s="897"/>
      <c r="I376" s="898"/>
      <c r="J376" s="898"/>
      <c r="K376" s="898"/>
      <c r="L376" s="898"/>
      <c r="M376" s="898"/>
      <c r="N376" s="898"/>
      <c r="O376" s="898"/>
      <c r="P376" s="898"/>
      <c r="Q376" s="898"/>
      <c r="R376" s="898"/>
      <c r="S376" s="898"/>
      <c r="T376" s="898"/>
      <c r="U376" s="898"/>
      <c r="V376" s="898"/>
      <c r="W376" s="898"/>
      <c r="X376" s="898"/>
      <c r="Y376" s="898"/>
      <c r="Z376" s="898"/>
      <c r="AA376" s="898"/>
      <c r="AB376" s="898"/>
      <c r="AC376" s="898"/>
      <c r="AD376" s="898"/>
      <c r="AE376" s="898"/>
      <c r="AF376" s="898"/>
      <c r="AG376" s="898"/>
      <c r="AH376" s="898"/>
      <c r="AI376" s="898"/>
      <c r="AJ376" s="898"/>
      <c r="AK376" s="897"/>
      <c r="AL376" s="897"/>
      <c r="AM376" s="897"/>
      <c r="AN376" s="897"/>
      <c r="AO376" s="897"/>
      <c r="AP376" s="897"/>
      <c r="AQ376" s="897"/>
      <c r="AR376" s="897"/>
    </row>
    <row r="377" spans="1:44" s="930" customFormat="1">
      <c r="A377" s="892"/>
      <c r="B377" s="899"/>
      <c r="C377" s="900"/>
      <c r="D377" s="894"/>
      <c r="E377" s="895"/>
      <c r="F377" s="896"/>
      <c r="G377" s="897"/>
      <c r="H377" s="897"/>
      <c r="I377" s="898"/>
      <c r="J377" s="898"/>
      <c r="K377" s="898"/>
      <c r="L377" s="898"/>
      <c r="M377" s="898"/>
      <c r="N377" s="898"/>
      <c r="O377" s="898"/>
      <c r="P377" s="898"/>
      <c r="Q377" s="898"/>
      <c r="R377" s="898"/>
      <c r="S377" s="898"/>
      <c r="T377" s="898"/>
      <c r="U377" s="898"/>
      <c r="V377" s="898"/>
      <c r="W377" s="898"/>
      <c r="X377" s="898"/>
      <c r="Y377" s="898"/>
      <c r="Z377" s="898"/>
      <c r="AA377" s="898"/>
      <c r="AB377" s="898"/>
      <c r="AC377" s="898"/>
      <c r="AD377" s="898"/>
      <c r="AE377" s="898"/>
      <c r="AF377" s="898"/>
      <c r="AG377" s="898"/>
      <c r="AH377" s="898"/>
      <c r="AI377" s="898"/>
      <c r="AJ377" s="898"/>
      <c r="AK377" s="897"/>
      <c r="AL377" s="897"/>
      <c r="AM377" s="897"/>
      <c r="AN377" s="897"/>
      <c r="AO377" s="897"/>
      <c r="AP377" s="897"/>
      <c r="AQ377" s="897"/>
      <c r="AR377" s="897"/>
    </row>
    <row r="378" spans="1:44" s="930" customFormat="1">
      <c r="A378" s="892"/>
      <c r="B378" s="899"/>
      <c r="C378" s="900"/>
      <c r="D378" s="894"/>
      <c r="E378" s="895"/>
      <c r="F378" s="896"/>
      <c r="G378" s="897"/>
      <c r="H378" s="897"/>
      <c r="I378" s="898"/>
      <c r="J378" s="898"/>
      <c r="K378" s="898"/>
      <c r="L378" s="898"/>
      <c r="M378" s="898"/>
      <c r="N378" s="898"/>
      <c r="O378" s="898"/>
      <c r="P378" s="898"/>
      <c r="Q378" s="898"/>
      <c r="R378" s="898"/>
      <c r="S378" s="898"/>
      <c r="T378" s="898"/>
      <c r="U378" s="898"/>
      <c r="V378" s="898"/>
      <c r="W378" s="898"/>
      <c r="X378" s="898"/>
      <c r="Y378" s="898"/>
      <c r="Z378" s="898"/>
      <c r="AA378" s="898"/>
      <c r="AB378" s="898"/>
      <c r="AC378" s="898"/>
      <c r="AD378" s="898"/>
      <c r="AE378" s="898"/>
      <c r="AF378" s="898"/>
      <c r="AG378" s="898"/>
      <c r="AH378" s="898"/>
      <c r="AI378" s="898"/>
      <c r="AJ378" s="898"/>
      <c r="AK378" s="897"/>
      <c r="AL378" s="897"/>
      <c r="AM378" s="897"/>
      <c r="AN378" s="897"/>
      <c r="AO378" s="897"/>
      <c r="AP378" s="897"/>
      <c r="AQ378" s="897"/>
      <c r="AR378" s="897"/>
    </row>
    <row r="379" spans="1:44" s="930" customFormat="1">
      <c r="A379" s="892"/>
      <c r="B379" s="899"/>
      <c r="C379" s="900"/>
      <c r="D379" s="894"/>
      <c r="E379" s="895"/>
      <c r="F379" s="896"/>
      <c r="G379" s="897"/>
      <c r="H379" s="897"/>
      <c r="I379" s="898"/>
      <c r="J379" s="898"/>
      <c r="K379" s="898"/>
      <c r="L379" s="898"/>
      <c r="M379" s="898"/>
      <c r="N379" s="898"/>
      <c r="O379" s="898"/>
      <c r="P379" s="898"/>
      <c r="Q379" s="898"/>
      <c r="R379" s="898"/>
      <c r="S379" s="898"/>
      <c r="T379" s="898"/>
      <c r="U379" s="898"/>
      <c r="V379" s="898"/>
      <c r="W379" s="898"/>
      <c r="X379" s="898"/>
      <c r="Y379" s="898"/>
      <c r="Z379" s="898"/>
      <c r="AA379" s="898"/>
      <c r="AB379" s="898"/>
      <c r="AC379" s="898"/>
      <c r="AD379" s="898"/>
      <c r="AE379" s="898"/>
      <c r="AF379" s="898"/>
      <c r="AG379" s="898"/>
      <c r="AH379" s="898"/>
      <c r="AI379" s="898"/>
      <c r="AJ379" s="898"/>
      <c r="AK379" s="897"/>
      <c r="AL379" s="897"/>
      <c r="AM379" s="897"/>
      <c r="AN379" s="897"/>
      <c r="AO379" s="897"/>
      <c r="AP379" s="897"/>
      <c r="AQ379" s="897"/>
      <c r="AR379" s="897"/>
    </row>
    <row r="380" spans="1:44" s="930" customFormat="1">
      <c r="A380" s="892"/>
      <c r="B380" s="899"/>
      <c r="C380" s="900"/>
      <c r="D380" s="894"/>
      <c r="E380" s="895"/>
      <c r="F380" s="896"/>
      <c r="G380" s="897"/>
      <c r="H380" s="897"/>
      <c r="I380" s="898"/>
      <c r="J380" s="898"/>
      <c r="K380" s="898"/>
      <c r="L380" s="898"/>
      <c r="M380" s="898"/>
      <c r="N380" s="898"/>
      <c r="O380" s="898"/>
      <c r="P380" s="898"/>
      <c r="Q380" s="898"/>
      <c r="R380" s="898"/>
      <c r="S380" s="898"/>
      <c r="T380" s="898"/>
      <c r="U380" s="898"/>
      <c r="V380" s="898"/>
      <c r="W380" s="898"/>
      <c r="X380" s="898"/>
      <c r="Y380" s="898"/>
      <c r="Z380" s="898"/>
      <c r="AA380" s="898"/>
      <c r="AB380" s="898"/>
      <c r="AC380" s="898"/>
      <c r="AD380" s="898"/>
      <c r="AE380" s="898"/>
      <c r="AF380" s="898"/>
      <c r="AG380" s="898"/>
      <c r="AH380" s="898"/>
      <c r="AI380" s="898"/>
      <c r="AJ380" s="898"/>
      <c r="AK380" s="897"/>
      <c r="AL380" s="897"/>
      <c r="AM380" s="897"/>
      <c r="AN380" s="897"/>
      <c r="AO380" s="897"/>
      <c r="AP380" s="897"/>
      <c r="AQ380" s="897"/>
      <c r="AR380" s="897"/>
    </row>
    <row r="381" spans="1:44" s="930" customFormat="1">
      <c r="A381" s="892"/>
      <c r="B381" s="899"/>
      <c r="C381" s="900"/>
      <c r="D381" s="894"/>
      <c r="E381" s="895"/>
      <c r="F381" s="896"/>
      <c r="G381" s="897"/>
      <c r="H381" s="897"/>
      <c r="I381" s="898"/>
      <c r="J381" s="898"/>
      <c r="K381" s="898"/>
      <c r="L381" s="898"/>
      <c r="M381" s="898"/>
      <c r="N381" s="898"/>
      <c r="O381" s="898"/>
      <c r="P381" s="898"/>
      <c r="Q381" s="898"/>
      <c r="R381" s="898"/>
      <c r="S381" s="898"/>
      <c r="T381" s="898"/>
      <c r="U381" s="898"/>
      <c r="V381" s="898"/>
      <c r="W381" s="898"/>
      <c r="X381" s="898"/>
      <c r="Y381" s="898"/>
      <c r="Z381" s="898"/>
      <c r="AA381" s="898"/>
      <c r="AB381" s="898"/>
      <c r="AC381" s="898"/>
      <c r="AD381" s="898"/>
      <c r="AE381" s="898"/>
      <c r="AF381" s="898"/>
      <c r="AG381" s="898"/>
      <c r="AH381" s="898"/>
      <c r="AI381" s="898"/>
      <c r="AJ381" s="898"/>
      <c r="AK381" s="897"/>
      <c r="AL381" s="897"/>
      <c r="AM381" s="897"/>
      <c r="AN381" s="897"/>
      <c r="AO381" s="897"/>
      <c r="AP381" s="897"/>
      <c r="AQ381" s="897"/>
      <c r="AR381" s="897"/>
    </row>
    <row r="382" spans="1:44" s="930" customFormat="1">
      <c r="A382" s="892"/>
      <c r="B382" s="899"/>
      <c r="C382" s="900"/>
      <c r="D382" s="894"/>
      <c r="E382" s="895"/>
      <c r="F382" s="896"/>
      <c r="G382" s="897"/>
      <c r="H382" s="897"/>
      <c r="I382" s="898"/>
      <c r="J382" s="898"/>
      <c r="K382" s="898"/>
      <c r="L382" s="898"/>
      <c r="M382" s="898"/>
      <c r="N382" s="898"/>
      <c r="O382" s="898"/>
      <c r="P382" s="898"/>
      <c r="Q382" s="898"/>
      <c r="R382" s="898"/>
      <c r="S382" s="898"/>
      <c r="T382" s="898"/>
      <c r="U382" s="898"/>
      <c r="V382" s="898"/>
      <c r="W382" s="898"/>
      <c r="X382" s="898"/>
      <c r="Y382" s="898"/>
      <c r="Z382" s="898"/>
      <c r="AA382" s="898"/>
      <c r="AB382" s="898"/>
      <c r="AC382" s="898"/>
      <c r="AD382" s="898"/>
      <c r="AE382" s="898"/>
      <c r="AF382" s="898"/>
      <c r="AG382" s="898"/>
      <c r="AH382" s="898"/>
      <c r="AI382" s="898"/>
      <c r="AJ382" s="898"/>
      <c r="AK382" s="897"/>
      <c r="AL382" s="897"/>
      <c r="AM382" s="897"/>
      <c r="AN382" s="897"/>
      <c r="AO382" s="897"/>
      <c r="AP382" s="897"/>
      <c r="AQ382" s="897"/>
      <c r="AR382" s="897"/>
    </row>
    <row r="383" spans="1:44" s="930" customFormat="1">
      <c r="A383" s="892"/>
      <c r="B383" s="899"/>
      <c r="C383" s="900"/>
      <c r="D383" s="894"/>
      <c r="E383" s="895"/>
      <c r="F383" s="896"/>
      <c r="G383" s="897"/>
      <c r="H383" s="897"/>
      <c r="I383" s="898"/>
      <c r="J383" s="898"/>
      <c r="K383" s="898"/>
      <c r="L383" s="898"/>
      <c r="M383" s="898"/>
      <c r="N383" s="898"/>
      <c r="O383" s="898"/>
      <c r="P383" s="898"/>
      <c r="Q383" s="898"/>
      <c r="R383" s="898"/>
      <c r="S383" s="898"/>
      <c r="T383" s="898"/>
      <c r="U383" s="898"/>
      <c r="V383" s="898"/>
      <c r="W383" s="898"/>
      <c r="X383" s="898"/>
      <c r="Y383" s="898"/>
      <c r="Z383" s="898"/>
      <c r="AA383" s="898"/>
      <c r="AB383" s="898"/>
      <c r="AC383" s="898"/>
      <c r="AD383" s="898"/>
      <c r="AE383" s="898"/>
      <c r="AF383" s="898"/>
      <c r="AG383" s="898"/>
      <c r="AH383" s="898"/>
      <c r="AI383" s="898"/>
      <c r="AJ383" s="898"/>
      <c r="AK383" s="897"/>
      <c r="AL383" s="897"/>
      <c r="AM383" s="897"/>
      <c r="AN383" s="897"/>
      <c r="AO383" s="897"/>
      <c r="AP383" s="897"/>
      <c r="AQ383" s="897"/>
      <c r="AR383" s="897"/>
    </row>
    <row r="384" spans="1:44" s="930" customFormat="1">
      <c r="A384" s="892"/>
      <c r="B384" s="899"/>
      <c r="C384" s="900"/>
      <c r="D384" s="894"/>
      <c r="E384" s="895"/>
      <c r="F384" s="896"/>
      <c r="G384" s="897"/>
      <c r="H384" s="897"/>
      <c r="I384" s="898"/>
      <c r="J384" s="898"/>
      <c r="K384" s="898"/>
      <c r="L384" s="898"/>
      <c r="M384" s="898"/>
      <c r="N384" s="898"/>
      <c r="O384" s="898"/>
      <c r="P384" s="898"/>
      <c r="Q384" s="898"/>
      <c r="R384" s="898"/>
      <c r="S384" s="898"/>
      <c r="T384" s="898"/>
      <c r="U384" s="898"/>
      <c r="V384" s="898"/>
      <c r="W384" s="898"/>
      <c r="X384" s="898"/>
      <c r="Y384" s="898"/>
      <c r="Z384" s="898"/>
      <c r="AA384" s="898"/>
      <c r="AB384" s="898"/>
      <c r="AC384" s="898"/>
      <c r="AD384" s="898"/>
      <c r="AE384" s="898"/>
      <c r="AF384" s="898"/>
      <c r="AG384" s="898"/>
      <c r="AH384" s="898"/>
      <c r="AI384" s="898"/>
      <c r="AJ384" s="898"/>
      <c r="AK384" s="897"/>
      <c r="AL384" s="897"/>
      <c r="AM384" s="897"/>
      <c r="AN384" s="897"/>
      <c r="AO384" s="897"/>
      <c r="AP384" s="897"/>
      <c r="AQ384" s="897"/>
      <c r="AR384" s="897"/>
    </row>
    <row r="385" spans="1:44" s="930" customFormat="1">
      <c r="A385" s="892"/>
      <c r="B385" s="899"/>
      <c r="C385" s="900"/>
      <c r="D385" s="894"/>
      <c r="E385" s="895"/>
      <c r="F385" s="896"/>
      <c r="G385" s="897"/>
      <c r="H385" s="897"/>
      <c r="I385" s="898"/>
      <c r="J385" s="898"/>
      <c r="K385" s="898"/>
      <c r="L385" s="898"/>
      <c r="M385" s="898"/>
      <c r="N385" s="898"/>
      <c r="O385" s="898"/>
      <c r="P385" s="898"/>
      <c r="Q385" s="898"/>
      <c r="R385" s="898"/>
      <c r="S385" s="898"/>
      <c r="T385" s="898"/>
      <c r="U385" s="898"/>
      <c r="V385" s="898"/>
      <c r="W385" s="898"/>
      <c r="X385" s="898"/>
      <c r="Y385" s="898"/>
      <c r="Z385" s="898"/>
      <c r="AA385" s="898"/>
      <c r="AB385" s="898"/>
      <c r="AC385" s="898"/>
      <c r="AD385" s="898"/>
      <c r="AE385" s="898"/>
      <c r="AF385" s="898"/>
      <c r="AG385" s="898"/>
      <c r="AH385" s="898"/>
      <c r="AI385" s="898"/>
      <c r="AJ385" s="898"/>
      <c r="AK385" s="897"/>
      <c r="AL385" s="897"/>
      <c r="AM385" s="897"/>
      <c r="AN385" s="897"/>
      <c r="AO385" s="897"/>
      <c r="AP385" s="897"/>
      <c r="AQ385" s="897"/>
      <c r="AR385" s="897"/>
    </row>
    <row r="386" spans="1:44" s="930" customFormat="1">
      <c r="A386" s="892"/>
      <c r="B386" s="899"/>
      <c r="C386" s="900"/>
      <c r="D386" s="894"/>
      <c r="E386" s="895"/>
      <c r="F386" s="896"/>
      <c r="G386" s="897"/>
      <c r="H386" s="897"/>
      <c r="I386" s="898"/>
      <c r="J386" s="898"/>
      <c r="K386" s="898"/>
      <c r="L386" s="898"/>
      <c r="M386" s="898"/>
      <c r="N386" s="898"/>
      <c r="O386" s="898"/>
      <c r="P386" s="898"/>
      <c r="Q386" s="898"/>
      <c r="R386" s="898"/>
      <c r="S386" s="898"/>
      <c r="T386" s="898"/>
      <c r="U386" s="898"/>
      <c r="V386" s="898"/>
      <c r="W386" s="898"/>
      <c r="X386" s="898"/>
      <c r="Y386" s="898"/>
      <c r="Z386" s="898"/>
      <c r="AA386" s="898"/>
      <c r="AB386" s="898"/>
      <c r="AC386" s="898"/>
      <c r="AD386" s="898"/>
      <c r="AE386" s="898"/>
      <c r="AF386" s="898"/>
      <c r="AG386" s="898"/>
      <c r="AH386" s="898"/>
      <c r="AI386" s="898"/>
      <c r="AJ386" s="898"/>
      <c r="AK386" s="897"/>
      <c r="AL386" s="897"/>
      <c r="AM386" s="897"/>
      <c r="AN386" s="897"/>
      <c r="AO386" s="897"/>
      <c r="AP386" s="897"/>
      <c r="AQ386" s="897"/>
      <c r="AR386" s="897"/>
    </row>
    <row r="387" spans="1:44" s="930" customFormat="1">
      <c r="A387" s="892"/>
      <c r="B387" s="899"/>
      <c r="C387" s="900"/>
      <c r="D387" s="894"/>
      <c r="E387" s="895"/>
      <c r="F387" s="896"/>
      <c r="G387" s="897"/>
      <c r="H387" s="897"/>
      <c r="I387" s="898"/>
      <c r="J387" s="898"/>
      <c r="K387" s="898"/>
      <c r="L387" s="898"/>
      <c r="M387" s="898"/>
      <c r="N387" s="898"/>
      <c r="O387" s="898"/>
      <c r="P387" s="898"/>
      <c r="Q387" s="898"/>
      <c r="R387" s="898"/>
      <c r="S387" s="898"/>
      <c r="T387" s="898"/>
      <c r="U387" s="898"/>
      <c r="V387" s="898"/>
      <c r="W387" s="898"/>
      <c r="X387" s="898"/>
      <c r="Y387" s="898"/>
      <c r="Z387" s="898"/>
      <c r="AA387" s="898"/>
      <c r="AB387" s="898"/>
      <c r="AC387" s="898"/>
      <c r="AD387" s="898"/>
      <c r="AE387" s="898"/>
      <c r="AF387" s="898"/>
      <c r="AG387" s="898"/>
      <c r="AH387" s="898"/>
      <c r="AI387" s="898"/>
      <c r="AJ387" s="898"/>
      <c r="AK387" s="897"/>
      <c r="AL387" s="897"/>
      <c r="AM387" s="897"/>
      <c r="AN387" s="897"/>
      <c r="AO387" s="897"/>
      <c r="AP387" s="897"/>
      <c r="AQ387" s="897"/>
      <c r="AR387" s="897"/>
    </row>
    <row r="388" spans="1:44" s="930" customFormat="1">
      <c r="A388" s="892"/>
      <c r="B388" s="899"/>
      <c r="C388" s="900"/>
      <c r="D388" s="894"/>
      <c r="E388" s="895"/>
      <c r="F388" s="896"/>
      <c r="G388" s="897"/>
      <c r="H388" s="897"/>
      <c r="I388" s="898"/>
      <c r="J388" s="898"/>
      <c r="K388" s="898"/>
      <c r="L388" s="898"/>
      <c r="M388" s="898"/>
      <c r="N388" s="898"/>
      <c r="O388" s="898"/>
      <c r="P388" s="898"/>
      <c r="Q388" s="898"/>
      <c r="R388" s="898"/>
      <c r="S388" s="898"/>
      <c r="T388" s="898"/>
      <c r="U388" s="898"/>
      <c r="V388" s="898"/>
      <c r="W388" s="898"/>
      <c r="X388" s="898"/>
      <c r="Y388" s="898"/>
      <c r="Z388" s="898"/>
      <c r="AA388" s="898"/>
      <c r="AB388" s="898"/>
      <c r="AC388" s="898"/>
      <c r="AD388" s="898"/>
      <c r="AE388" s="898"/>
      <c r="AF388" s="898"/>
      <c r="AG388" s="898"/>
      <c r="AH388" s="898"/>
      <c r="AI388" s="898"/>
      <c r="AJ388" s="898"/>
      <c r="AK388" s="897"/>
      <c r="AL388" s="897"/>
      <c r="AM388" s="897"/>
      <c r="AN388" s="897"/>
      <c r="AO388" s="897"/>
      <c r="AP388" s="897"/>
      <c r="AQ388" s="897"/>
      <c r="AR388" s="897"/>
    </row>
    <row r="389" spans="1:44" s="930" customFormat="1">
      <c r="A389" s="892"/>
      <c r="B389" s="899"/>
      <c r="C389" s="900"/>
      <c r="D389" s="894"/>
      <c r="E389" s="895"/>
      <c r="F389" s="896"/>
      <c r="G389" s="897"/>
      <c r="H389" s="897"/>
      <c r="I389" s="898"/>
      <c r="J389" s="898"/>
      <c r="K389" s="898"/>
      <c r="L389" s="898"/>
      <c r="M389" s="898"/>
      <c r="N389" s="898"/>
      <c r="O389" s="898"/>
      <c r="P389" s="898"/>
      <c r="Q389" s="898"/>
      <c r="R389" s="898"/>
      <c r="S389" s="898"/>
      <c r="T389" s="898"/>
      <c r="U389" s="898"/>
      <c r="V389" s="898"/>
      <c r="W389" s="898"/>
      <c r="X389" s="898"/>
      <c r="Y389" s="898"/>
      <c r="Z389" s="898"/>
      <c r="AA389" s="898"/>
      <c r="AB389" s="898"/>
      <c r="AC389" s="898"/>
      <c r="AD389" s="898"/>
      <c r="AE389" s="898"/>
      <c r="AF389" s="898"/>
      <c r="AG389" s="898"/>
      <c r="AH389" s="898"/>
      <c r="AI389" s="898"/>
      <c r="AJ389" s="898"/>
      <c r="AK389" s="897"/>
      <c r="AL389" s="897"/>
      <c r="AM389" s="897"/>
      <c r="AN389" s="897"/>
      <c r="AO389" s="897"/>
      <c r="AP389" s="897"/>
      <c r="AQ389" s="897"/>
      <c r="AR389" s="897"/>
    </row>
    <row r="390" spans="1:44" s="930" customFormat="1">
      <c r="A390" s="892"/>
      <c r="B390" s="899"/>
      <c r="C390" s="900"/>
      <c r="D390" s="894"/>
      <c r="E390" s="895"/>
      <c r="F390" s="896"/>
      <c r="G390" s="897"/>
      <c r="H390" s="897"/>
      <c r="I390" s="898"/>
      <c r="J390" s="898"/>
      <c r="K390" s="898"/>
      <c r="L390" s="898"/>
      <c r="M390" s="898"/>
      <c r="N390" s="898"/>
      <c r="O390" s="898"/>
      <c r="P390" s="898"/>
      <c r="Q390" s="898"/>
      <c r="R390" s="898"/>
      <c r="S390" s="898"/>
      <c r="T390" s="898"/>
      <c r="U390" s="898"/>
      <c r="V390" s="898"/>
      <c r="W390" s="898"/>
      <c r="X390" s="898"/>
      <c r="Y390" s="898"/>
      <c r="Z390" s="898"/>
      <c r="AA390" s="898"/>
      <c r="AB390" s="898"/>
      <c r="AC390" s="898"/>
      <c r="AD390" s="898"/>
      <c r="AE390" s="898"/>
      <c r="AF390" s="898"/>
      <c r="AG390" s="898"/>
      <c r="AH390" s="898"/>
      <c r="AI390" s="898"/>
      <c r="AJ390" s="898"/>
      <c r="AK390" s="897"/>
      <c r="AL390" s="897"/>
      <c r="AM390" s="897"/>
      <c r="AN390" s="897"/>
      <c r="AO390" s="897"/>
      <c r="AP390" s="897"/>
      <c r="AQ390" s="897"/>
      <c r="AR390" s="897"/>
    </row>
    <row r="391" spans="1:44" s="930" customFormat="1">
      <c r="A391" s="892"/>
      <c r="B391" s="899"/>
      <c r="C391" s="900"/>
      <c r="D391" s="894"/>
      <c r="E391" s="895"/>
      <c r="F391" s="896"/>
      <c r="G391" s="897"/>
      <c r="H391" s="897"/>
      <c r="I391" s="898"/>
      <c r="J391" s="898"/>
      <c r="K391" s="898"/>
      <c r="L391" s="898"/>
      <c r="M391" s="898"/>
      <c r="N391" s="898"/>
      <c r="O391" s="898"/>
      <c r="P391" s="898"/>
      <c r="Q391" s="898"/>
      <c r="R391" s="898"/>
      <c r="S391" s="898"/>
      <c r="T391" s="898"/>
      <c r="U391" s="898"/>
      <c r="V391" s="898"/>
      <c r="W391" s="898"/>
      <c r="X391" s="898"/>
      <c r="Y391" s="898"/>
      <c r="Z391" s="898"/>
      <c r="AA391" s="898"/>
      <c r="AB391" s="898"/>
      <c r="AC391" s="898"/>
      <c r="AD391" s="898"/>
      <c r="AE391" s="898"/>
      <c r="AF391" s="898"/>
      <c r="AG391" s="898"/>
      <c r="AH391" s="898"/>
      <c r="AI391" s="898"/>
      <c r="AJ391" s="898"/>
      <c r="AK391" s="897"/>
      <c r="AL391" s="897"/>
      <c r="AM391" s="897"/>
      <c r="AN391" s="897"/>
      <c r="AO391" s="897"/>
      <c r="AP391" s="897"/>
      <c r="AQ391" s="897"/>
      <c r="AR391" s="897"/>
    </row>
    <row r="392" spans="1:44" s="930" customFormat="1">
      <c r="A392" s="892"/>
      <c r="B392" s="899"/>
      <c r="C392" s="900"/>
      <c r="D392" s="894"/>
      <c r="E392" s="895"/>
      <c r="F392" s="896"/>
      <c r="G392" s="897"/>
      <c r="H392" s="897"/>
      <c r="I392" s="898"/>
      <c r="J392" s="898"/>
      <c r="K392" s="898"/>
      <c r="L392" s="898"/>
      <c r="M392" s="898"/>
      <c r="N392" s="898"/>
      <c r="O392" s="898"/>
      <c r="P392" s="898"/>
      <c r="Q392" s="898"/>
      <c r="R392" s="898"/>
      <c r="S392" s="898"/>
      <c r="T392" s="898"/>
      <c r="U392" s="898"/>
      <c r="V392" s="898"/>
      <c r="W392" s="898"/>
      <c r="X392" s="898"/>
      <c r="Y392" s="898"/>
      <c r="Z392" s="898"/>
      <c r="AA392" s="898"/>
      <c r="AB392" s="898"/>
      <c r="AC392" s="898"/>
      <c r="AD392" s="898"/>
      <c r="AE392" s="898"/>
      <c r="AF392" s="898"/>
      <c r="AG392" s="898"/>
      <c r="AH392" s="898"/>
      <c r="AI392" s="898"/>
      <c r="AJ392" s="898"/>
      <c r="AK392" s="897"/>
      <c r="AL392" s="897"/>
      <c r="AM392" s="897"/>
      <c r="AN392" s="897"/>
      <c r="AO392" s="897"/>
      <c r="AP392" s="897"/>
      <c r="AQ392" s="897"/>
      <c r="AR392" s="897"/>
    </row>
    <row r="393" spans="1:44" s="930" customFormat="1">
      <c r="A393" s="892"/>
      <c r="B393" s="899"/>
      <c r="C393" s="900"/>
      <c r="D393" s="894"/>
      <c r="E393" s="895"/>
      <c r="F393" s="896"/>
      <c r="G393" s="897"/>
      <c r="H393" s="897"/>
      <c r="I393" s="898"/>
      <c r="J393" s="898"/>
      <c r="K393" s="898"/>
      <c r="L393" s="898"/>
      <c r="M393" s="898"/>
      <c r="N393" s="898"/>
      <c r="O393" s="898"/>
      <c r="P393" s="898"/>
      <c r="Q393" s="898"/>
      <c r="R393" s="898"/>
      <c r="S393" s="898"/>
      <c r="T393" s="898"/>
      <c r="U393" s="898"/>
      <c r="V393" s="898"/>
      <c r="W393" s="898"/>
      <c r="X393" s="898"/>
      <c r="Y393" s="898"/>
      <c r="Z393" s="898"/>
      <c r="AA393" s="898"/>
      <c r="AB393" s="898"/>
      <c r="AC393" s="898"/>
      <c r="AD393" s="898"/>
      <c r="AE393" s="898"/>
      <c r="AF393" s="898"/>
      <c r="AG393" s="898"/>
      <c r="AH393" s="898"/>
      <c r="AI393" s="898"/>
      <c r="AJ393" s="898"/>
      <c r="AK393" s="897"/>
      <c r="AL393" s="897"/>
      <c r="AM393" s="897"/>
      <c r="AN393" s="897"/>
      <c r="AO393" s="897"/>
      <c r="AP393" s="897"/>
      <c r="AQ393" s="897"/>
      <c r="AR393" s="897"/>
    </row>
    <row r="394" spans="1:44" s="930" customFormat="1">
      <c r="A394" s="892"/>
      <c r="B394" s="899"/>
      <c r="C394" s="900"/>
      <c r="D394" s="894"/>
      <c r="E394" s="895"/>
      <c r="F394" s="896"/>
      <c r="G394" s="897"/>
      <c r="H394" s="897"/>
      <c r="I394" s="898"/>
      <c r="J394" s="898"/>
      <c r="K394" s="898"/>
      <c r="L394" s="898"/>
      <c r="M394" s="898"/>
      <c r="N394" s="898"/>
      <c r="O394" s="898"/>
      <c r="P394" s="898"/>
      <c r="Q394" s="898"/>
      <c r="R394" s="898"/>
      <c r="S394" s="898"/>
      <c r="T394" s="898"/>
      <c r="U394" s="898"/>
      <c r="V394" s="898"/>
      <c r="W394" s="898"/>
      <c r="X394" s="898"/>
      <c r="Y394" s="898"/>
      <c r="Z394" s="898"/>
      <c r="AA394" s="898"/>
      <c r="AB394" s="898"/>
      <c r="AC394" s="898"/>
      <c r="AD394" s="898"/>
      <c r="AE394" s="898"/>
      <c r="AF394" s="898"/>
      <c r="AG394" s="898"/>
      <c r="AH394" s="898"/>
      <c r="AI394" s="898"/>
      <c r="AJ394" s="898"/>
      <c r="AK394" s="897"/>
      <c r="AL394" s="897"/>
      <c r="AM394" s="897"/>
      <c r="AN394" s="897"/>
      <c r="AO394" s="897"/>
      <c r="AP394" s="897"/>
      <c r="AQ394" s="897"/>
      <c r="AR394" s="897"/>
    </row>
    <row r="395" spans="1:44" s="930" customFormat="1">
      <c r="A395" s="892"/>
      <c r="B395" s="899"/>
      <c r="C395" s="900"/>
      <c r="D395" s="894"/>
      <c r="E395" s="895"/>
      <c r="F395" s="896"/>
      <c r="G395" s="897"/>
      <c r="H395" s="897"/>
      <c r="I395" s="898"/>
      <c r="J395" s="898"/>
      <c r="K395" s="898"/>
      <c r="L395" s="898"/>
      <c r="M395" s="898"/>
      <c r="N395" s="898"/>
      <c r="O395" s="898"/>
      <c r="P395" s="898"/>
      <c r="Q395" s="898"/>
      <c r="R395" s="898"/>
      <c r="S395" s="898"/>
      <c r="T395" s="898"/>
      <c r="U395" s="898"/>
      <c r="V395" s="898"/>
      <c r="W395" s="898"/>
      <c r="X395" s="898"/>
      <c r="Y395" s="898"/>
      <c r="Z395" s="898"/>
      <c r="AA395" s="898"/>
      <c r="AB395" s="898"/>
      <c r="AC395" s="898"/>
      <c r="AD395" s="898"/>
      <c r="AE395" s="898"/>
      <c r="AF395" s="898"/>
      <c r="AG395" s="898"/>
      <c r="AH395" s="898"/>
      <c r="AI395" s="898"/>
      <c r="AJ395" s="898"/>
      <c r="AK395" s="897"/>
      <c r="AL395" s="897"/>
      <c r="AM395" s="897"/>
      <c r="AN395" s="897"/>
      <c r="AO395" s="897"/>
      <c r="AP395" s="897"/>
      <c r="AQ395" s="897"/>
      <c r="AR395" s="897"/>
    </row>
    <row r="396" spans="1:44" s="930" customFormat="1">
      <c r="A396" s="892"/>
      <c r="B396" s="899"/>
      <c r="C396" s="900"/>
      <c r="D396" s="894"/>
      <c r="E396" s="895"/>
      <c r="F396" s="896"/>
      <c r="G396" s="897"/>
      <c r="H396" s="897"/>
      <c r="I396" s="898"/>
      <c r="J396" s="898"/>
      <c r="K396" s="898"/>
      <c r="L396" s="898"/>
      <c r="M396" s="898"/>
      <c r="N396" s="898"/>
      <c r="O396" s="898"/>
      <c r="P396" s="898"/>
      <c r="Q396" s="898"/>
      <c r="R396" s="898"/>
      <c r="S396" s="898"/>
      <c r="T396" s="898"/>
      <c r="U396" s="898"/>
      <c r="V396" s="898"/>
      <c r="W396" s="898"/>
      <c r="X396" s="898"/>
      <c r="Y396" s="898"/>
      <c r="Z396" s="898"/>
      <c r="AA396" s="898"/>
      <c r="AB396" s="898"/>
      <c r="AC396" s="898"/>
      <c r="AD396" s="898"/>
      <c r="AE396" s="898"/>
      <c r="AF396" s="898"/>
      <c r="AG396" s="898"/>
      <c r="AH396" s="898"/>
      <c r="AI396" s="898"/>
      <c r="AJ396" s="898"/>
      <c r="AK396" s="897"/>
      <c r="AL396" s="897"/>
      <c r="AM396" s="897"/>
      <c r="AN396" s="897"/>
      <c r="AO396" s="897"/>
      <c r="AP396" s="897"/>
      <c r="AQ396" s="897"/>
      <c r="AR396" s="897"/>
    </row>
    <row r="397" spans="1:44" s="930" customFormat="1">
      <c r="A397" s="892"/>
      <c r="B397" s="899"/>
      <c r="C397" s="900"/>
      <c r="D397" s="894"/>
      <c r="E397" s="895"/>
      <c r="F397" s="896"/>
      <c r="G397" s="897"/>
      <c r="H397" s="897"/>
      <c r="I397" s="898"/>
      <c r="J397" s="898"/>
      <c r="K397" s="898"/>
      <c r="L397" s="898"/>
      <c r="M397" s="898"/>
      <c r="N397" s="898"/>
      <c r="O397" s="898"/>
      <c r="P397" s="898"/>
      <c r="Q397" s="898"/>
      <c r="R397" s="898"/>
      <c r="S397" s="898"/>
      <c r="T397" s="898"/>
      <c r="U397" s="898"/>
      <c r="V397" s="898"/>
      <c r="W397" s="898"/>
      <c r="X397" s="898"/>
      <c r="Y397" s="898"/>
      <c r="Z397" s="898"/>
      <c r="AA397" s="898"/>
      <c r="AB397" s="898"/>
      <c r="AC397" s="898"/>
      <c r="AD397" s="898"/>
      <c r="AE397" s="898"/>
      <c r="AF397" s="898"/>
      <c r="AG397" s="898"/>
      <c r="AH397" s="898"/>
      <c r="AI397" s="898"/>
      <c r="AJ397" s="898"/>
      <c r="AK397" s="897"/>
      <c r="AL397" s="897"/>
      <c r="AM397" s="897"/>
      <c r="AN397" s="897"/>
      <c r="AO397" s="897"/>
      <c r="AP397" s="897"/>
      <c r="AQ397" s="897"/>
      <c r="AR397" s="897"/>
    </row>
    <row r="398" spans="1:44" s="930" customFormat="1">
      <c r="A398" s="892"/>
      <c r="B398" s="899"/>
      <c r="C398" s="900"/>
      <c r="D398" s="894"/>
      <c r="E398" s="895"/>
      <c r="F398" s="896"/>
      <c r="G398" s="897"/>
      <c r="H398" s="897"/>
      <c r="I398" s="898"/>
      <c r="J398" s="898"/>
      <c r="K398" s="898"/>
      <c r="L398" s="898"/>
      <c r="M398" s="898"/>
      <c r="N398" s="898"/>
      <c r="O398" s="898"/>
      <c r="P398" s="898"/>
      <c r="Q398" s="898"/>
      <c r="R398" s="898"/>
      <c r="S398" s="898"/>
      <c r="T398" s="898"/>
      <c r="U398" s="898"/>
      <c r="V398" s="898"/>
      <c r="W398" s="898"/>
      <c r="X398" s="898"/>
      <c r="Y398" s="898"/>
      <c r="Z398" s="898"/>
      <c r="AA398" s="898"/>
      <c r="AB398" s="898"/>
      <c r="AC398" s="898"/>
      <c r="AD398" s="898"/>
      <c r="AE398" s="898"/>
      <c r="AF398" s="898"/>
      <c r="AG398" s="898"/>
      <c r="AH398" s="898"/>
      <c r="AI398" s="898"/>
      <c r="AJ398" s="898"/>
      <c r="AK398" s="897"/>
      <c r="AL398" s="897"/>
      <c r="AM398" s="897"/>
      <c r="AN398" s="897"/>
      <c r="AO398" s="897"/>
      <c r="AP398" s="897"/>
      <c r="AQ398" s="897"/>
      <c r="AR398" s="897"/>
    </row>
    <row r="399" spans="1:44" s="930" customFormat="1">
      <c r="A399" s="892"/>
      <c r="B399" s="899"/>
      <c r="C399" s="900"/>
      <c r="D399" s="894"/>
      <c r="E399" s="895"/>
      <c r="F399" s="896"/>
      <c r="G399" s="897"/>
      <c r="H399" s="897"/>
      <c r="I399" s="898"/>
      <c r="J399" s="898"/>
      <c r="K399" s="898"/>
      <c r="L399" s="898"/>
      <c r="M399" s="898"/>
      <c r="N399" s="898"/>
      <c r="O399" s="898"/>
      <c r="P399" s="898"/>
      <c r="Q399" s="898"/>
      <c r="R399" s="898"/>
      <c r="S399" s="898"/>
      <c r="T399" s="898"/>
      <c r="U399" s="898"/>
      <c r="V399" s="898"/>
      <c r="W399" s="898"/>
      <c r="X399" s="898"/>
      <c r="Y399" s="898"/>
      <c r="Z399" s="898"/>
      <c r="AA399" s="898"/>
      <c r="AB399" s="898"/>
      <c r="AC399" s="898"/>
      <c r="AD399" s="898"/>
      <c r="AE399" s="898"/>
      <c r="AF399" s="898"/>
      <c r="AG399" s="898"/>
      <c r="AH399" s="898"/>
      <c r="AI399" s="898"/>
      <c r="AJ399" s="898"/>
      <c r="AK399" s="897"/>
      <c r="AL399" s="897"/>
      <c r="AM399" s="897"/>
      <c r="AN399" s="897"/>
      <c r="AO399" s="897"/>
      <c r="AP399" s="897"/>
      <c r="AQ399" s="897"/>
      <c r="AR399" s="897"/>
    </row>
    <row r="400" spans="1:44" s="930" customFormat="1">
      <c r="A400" s="892"/>
      <c r="B400" s="899"/>
      <c r="C400" s="900"/>
      <c r="D400" s="894"/>
      <c r="E400" s="895"/>
      <c r="F400" s="896"/>
      <c r="G400" s="897"/>
      <c r="H400" s="897"/>
      <c r="I400" s="898"/>
      <c r="J400" s="898"/>
      <c r="K400" s="898"/>
      <c r="L400" s="898"/>
      <c r="M400" s="898"/>
      <c r="N400" s="898"/>
      <c r="O400" s="898"/>
      <c r="P400" s="898"/>
      <c r="Q400" s="898"/>
      <c r="R400" s="898"/>
      <c r="S400" s="898"/>
      <c r="T400" s="898"/>
      <c r="U400" s="898"/>
      <c r="V400" s="898"/>
      <c r="W400" s="898"/>
      <c r="X400" s="898"/>
      <c r="Y400" s="898"/>
      <c r="Z400" s="898"/>
      <c r="AA400" s="898"/>
      <c r="AB400" s="898"/>
      <c r="AC400" s="898"/>
      <c r="AD400" s="898"/>
      <c r="AE400" s="898"/>
      <c r="AF400" s="898"/>
      <c r="AG400" s="898"/>
      <c r="AH400" s="898"/>
      <c r="AI400" s="898"/>
      <c r="AJ400" s="898"/>
      <c r="AK400" s="897"/>
      <c r="AL400" s="897"/>
      <c r="AM400" s="897"/>
      <c r="AN400" s="897"/>
      <c r="AO400" s="897"/>
      <c r="AP400" s="897"/>
      <c r="AQ400" s="897"/>
      <c r="AR400" s="897"/>
    </row>
    <row r="401" spans="1:44" s="930" customFormat="1">
      <c r="A401" s="892"/>
      <c r="B401" s="899"/>
      <c r="C401" s="900"/>
      <c r="D401" s="894"/>
      <c r="E401" s="895"/>
      <c r="F401" s="896"/>
      <c r="G401" s="897"/>
      <c r="H401" s="897"/>
      <c r="I401" s="898"/>
      <c r="J401" s="898"/>
      <c r="K401" s="898"/>
      <c r="L401" s="898"/>
      <c r="M401" s="898"/>
      <c r="N401" s="898"/>
      <c r="O401" s="898"/>
      <c r="P401" s="898"/>
      <c r="Q401" s="898"/>
      <c r="R401" s="898"/>
      <c r="S401" s="898"/>
      <c r="T401" s="898"/>
      <c r="U401" s="898"/>
      <c r="V401" s="898"/>
      <c r="W401" s="898"/>
      <c r="X401" s="898"/>
      <c r="Y401" s="898"/>
      <c r="Z401" s="898"/>
      <c r="AA401" s="898"/>
      <c r="AB401" s="898"/>
      <c r="AC401" s="898"/>
      <c r="AD401" s="898"/>
      <c r="AE401" s="898"/>
      <c r="AF401" s="898"/>
      <c r="AG401" s="898"/>
      <c r="AH401" s="898"/>
      <c r="AI401" s="898"/>
      <c r="AJ401" s="898"/>
      <c r="AK401" s="897"/>
      <c r="AL401" s="897"/>
      <c r="AM401" s="897"/>
      <c r="AN401" s="897"/>
      <c r="AO401" s="897"/>
      <c r="AP401" s="897"/>
      <c r="AQ401" s="897"/>
      <c r="AR401" s="897"/>
    </row>
    <row r="402" spans="1:44" s="930" customFormat="1">
      <c r="A402" s="892"/>
      <c r="B402" s="899"/>
      <c r="C402" s="900"/>
      <c r="D402" s="894"/>
      <c r="E402" s="895"/>
      <c r="F402" s="896"/>
      <c r="G402" s="897"/>
      <c r="H402" s="897"/>
      <c r="I402" s="898"/>
      <c r="J402" s="898"/>
      <c r="K402" s="898"/>
      <c r="L402" s="898"/>
      <c r="M402" s="898"/>
      <c r="N402" s="898"/>
      <c r="O402" s="898"/>
      <c r="P402" s="898"/>
      <c r="Q402" s="898"/>
      <c r="R402" s="898"/>
      <c r="S402" s="898"/>
      <c r="T402" s="898"/>
      <c r="U402" s="898"/>
      <c r="V402" s="898"/>
      <c r="W402" s="898"/>
      <c r="X402" s="898"/>
      <c r="Y402" s="898"/>
      <c r="Z402" s="898"/>
      <c r="AA402" s="898"/>
      <c r="AB402" s="898"/>
      <c r="AC402" s="898"/>
      <c r="AD402" s="898"/>
      <c r="AE402" s="898"/>
      <c r="AF402" s="898"/>
      <c r="AG402" s="898"/>
      <c r="AH402" s="898"/>
      <c r="AI402" s="898"/>
      <c r="AJ402" s="898"/>
      <c r="AK402" s="897"/>
      <c r="AL402" s="897"/>
      <c r="AM402" s="897"/>
      <c r="AN402" s="897"/>
      <c r="AO402" s="897"/>
      <c r="AP402" s="897"/>
      <c r="AQ402" s="897"/>
      <c r="AR402" s="897"/>
    </row>
    <row r="403" spans="1:44" s="930" customFormat="1">
      <c r="A403" s="892"/>
      <c r="B403" s="899"/>
      <c r="C403" s="900"/>
      <c r="D403" s="894"/>
      <c r="E403" s="895"/>
      <c r="F403" s="896"/>
      <c r="G403" s="897"/>
      <c r="H403" s="897"/>
      <c r="I403" s="898"/>
      <c r="J403" s="898"/>
      <c r="K403" s="898"/>
      <c r="L403" s="898"/>
      <c r="M403" s="898"/>
      <c r="N403" s="898"/>
      <c r="O403" s="898"/>
      <c r="P403" s="898"/>
      <c r="Q403" s="898"/>
      <c r="R403" s="898"/>
      <c r="S403" s="898"/>
      <c r="T403" s="898"/>
      <c r="U403" s="898"/>
      <c r="V403" s="898"/>
      <c r="W403" s="898"/>
      <c r="X403" s="898"/>
      <c r="Y403" s="898"/>
      <c r="Z403" s="898"/>
      <c r="AA403" s="898"/>
      <c r="AB403" s="898"/>
      <c r="AC403" s="898"/>
      <c r="AD403" s="898"/>
      <c r="AE403" s="898"/>
      <c r="AF403" s="898"/>
      <c r="AG403" s="898"/>
      <c r="AH403" s="898"/>
      <c r="AI403" s="898"/>
      <c r="AJ403" s="898"/>
      <c r="AK403" s="897"/>
      <c r="AL403" s="897"/>
      <c r="AM403" s="897"/>
      <c r="AN403" s="897"/>
      <c r="AO403" s="897"/>
      <c r="AP403" s="897"/>
      <c r="AQ403" s="897"/>
      <c r="AR403" s="897"/>
    </row>
    <row r="404" spans="1:44" s="930" customFormat="1">
      <c r="A404" s="892"/>
      <c r="B404" s="899"/>
      <c r="C404" s="900"/>
      <c r="D404" s="894"/>
      <c r="E404" s="895"/>
      <c r="F404" s="896"/>
      <c r="G404" s="897"/>
      <c r="H404" s="897"/>
      <c r="I404" s="898"/>
      <c r="J404" s="898"/>
      <c r="K404" s="898"/>
      <c r="L404" s="898"/>
      <c r="M404" s="898"/>
      <c r="N404" s="898"/>
      <c r="O404" s="898"/>
      <c r="P404" s="898"/>
      <c r="Q404" s="898"/>
      <c r="R404" s="898"/>
      <c r="S404" s="898"/>
      <c r="T404" s="898"/>
      <c r="U404" s="898"/>
      <c r="V404" s="898"/>
      <c r="W404" s="898"/>
      <c r="X404" s="898"/>
      <c r="Y404" s="898"/>
      <c r="Z404" s="898"/>
      <c r="AA404" s="898"/>
      <c r="AB404" s="898"/>
      <c r="AC404" s="898"/>
      <c r="AD404" s="898"/>
      <c r="AE404" s="898"/>
      <c r="AF404" s="898"/>
      <c r="AG404" s="898"/>
      <c r="AH404" s="898"/>
      <c r="AI404" s="898"/>
      <c r="AJ404" s="898"/>
      <c r="AK404" s="897"/>
      <c r="AL404" s="897"/>
      <c r="AM404" s="897"/>
      <c r="AN404" s="897"/>
      <c r="AO404" s="897"/>
      <c r="AP404" s="897"/>
      <c r="AQ404" s="897"/>
      <c r="AR404" s="897"/>
    </row>
    <row r="405" spans="1:44" s="930" customFormat="1">
      <c r="A405" s="892"/>
      <c r="B405" s="899"/>
      <c r="C405" s="900"/>
      <c r="D405" s="894"/>
      <c r="E405" s="895"/>
      <c r="F405" s="896"/>
      <c r="G405" s="897"/>
      <c r="H405" s="897"/>
      <c r="I405" s="898"/>
      <c r="J405" s="898"/>
      <c r="K405" s="898"/>
      <c r="L405" s="898"/>
      <c r="M405" s="898"/>
      <c r="N405" s="898"/>
      <c r="O405" s="898"/>
      <c r="P405" s="898"/>
      <c r="Q405" s="898"/>
      <c r="R405" s="898"/>
      <c r="S405" s="898"/>
      <c r="T405" s="898"/>
      <c r="U405" s="898"/>
      <c r="V405" s="898"/>
      <c r="W405" s="898"/>
      <c r="X405" s="898"/>
      <c r="Y405" s="898"/>
      <c r="Z405" s="898"/>
      <c r="AA405" s="898"/>
      <c r="AB405" s="898"/>
      <c r="AC405" s="898"/>
      <c r="AD405" s="898"/>
      <c r="AE405" s="898"/>
      <c r="AF405" s="898"/>
      <c r="AG405" s="898"/>
      <c r="AH405" s="898"/>
      <c r="AI405" s="898"/>
      <c r="AJ405" s="898"/>
      <c r="AK405" s="897"/>
      <c r="AL405" s="897"/>
      <c r="AM405" s="897"/>
      <c r="AN405" s="897"/>
      <c r="AO405" s="897"/>
      <c r="AP405" s="897"/>
      <c r="AQ405" s="897"/>
      <c r="AR405" s="897"/>
    </row>
    <row r="406" spans="1:44" s="930" customFormat="1">
      <c r="A406" s="892"/>
      <c r="B406" s="899"/>
      <c r="C406" s="900"/>
      <c r="D406" s="894"/>
      <c r="E406" s="895"/>
      <c r="F406" s="896"/>
      <c r="G406" s="897"/>
      <c r="H406" s="897"/>
      <c r="I406" s="898"/>
      <c r="J406" s="898"/>
      <c r="K406" s="898"/>
      <c r="L406" s="898"/>
      <c r="M406" s="898"/>
      <c r="N406" s="898"/>
      <c r="O406" s="898"/>
      <c r="P406" s="898"/>
      <c r="Q406" s="898"/>
      <c r="R406" s="898"/>
      <c r="S406" s="898"/>
      <c r="T406" s="898"/>
      <c r="U406" s="898"/>
      <c r="V406" s="898"/>
      <c r="W406" s="898"/>
      <c r="X406" s="898"/>
      <c r="Y406" s="898"/>
      <c r="Z406" s="898"/>
      <c r="AA406" s="898"/>
      <c r="AB406" s="898"/>
      <c r="AC406" s="898"/>
      <c r="AD406" s="898"/>
      <c r="AE406" s="898"/>
      <c r="AF406" s="898"/>
      <c r="AG406" s="898"/>
      <c r="AH406" s="898"/>
      <c r="AI406" s="898"/>
      <c r="AJ406" s="898"/>
      <c r="AK406" s="897"/>
      <c r="AL406" s="897"/>
      <c r="AM406" s="897"/>
      <c r="AN406" s="897"/>
      <c r="AO406" s="897"/>
      <c r="AP406" s="897"/>
      <c r="AQ406" s="897"/>
      <c r="AR406" s="897"/>
    </row>
    <row r="407" spans="1:44" s="930" customFormat="1">
      <c r="A407" s="892"/>
      <c r="B407" s="899"/>
      <c r="C407" s="900"/>
      <c r="D407" s="894"/>
      <c r="E407" s="895"/>
      <c r="F407" s="896"/>
      <c r="G407" s="897"/>
      <c r="H407" s="897"/>
      <c r="I407" s="898"/>
      <c r="J407" s="898"/>
      <c r="K407" s="898"/>
      <c r="L407" s="898"/>
      <c r="M407" s="898"/>
      <c r="N407" s="898"/>
      <c r="O407" s="898"/>
      <c r="P407" s="898"/>
      <c r="Q407" s="898"/>
      <c r="R407" s="898"/>
      <c r="S407" s="898"/>
      <c r="T407" s="898"/>
      <c r="U407" s="898"/>
      <c r="V407" s="898"/>
      <c r="W407" s="898"/>
      <c r="X407" s="898"/>
      <c r="Y407" s="898"/>
      <c r="Z407" s="898"/>
      <c r="AA407" s="898"/>
      <c r="AB407" s="898"/>
      <c r="AC407" s="898"/>
      <c r="AD407" s="898"/>
      <c r="AE407" s="898"/>
      <c r="AF407" s="898"/>
      <c r="AG407" s="898"/>
      <c r="AH407" s="898"/>
      <c r="AI407" s="898"/>
      <c r="AJ407" s="898"/>
      <c r="AK407" s="897"/>
      <c r="AL407" s="897"/>
      <c r="AM407" s="897"/>
      <c r="AN407" s="897"/>
      <c r="AO407" s="897"/>
      <c r="AP407" s="897"/>
      <c r="AQ407" s="897"/>
      <c r="AR407" s="897"/>
    </row>
    <row r="408" spans="1:44" s="930" customFormat="1">
      <c r="A408" s="892"/>
      <c r="B408" s="899"/>
      <c r="C408" s="900"/>
      <c r="D408" s="894"/>
      <c r="E408" s="895"/>
      <c r="F408" s="896"/>
      <c r="G408" s="897"/>
      <c r="H408" s="897"/>
      <c r="I408" s="898"/>
      <c r="J408" s="898"/>
      <c r="K408" s="898"/>
      <c r="L408" s="898"/>
      <c r="M408" s="898"/>
      <c r="N408" s="898"/>
      <c r="O408" s="898"/>
      <c r="P408" s="898"/>
      <c r="Q408" s="898"/>
      <c r="R408" s="898"/>
      <c r="S408" s="898"/>
      <c r="T408" s="898"/>
      <c r="U408" s="898"/>
      <c r="V408" s="898"/>
      <c r="W408" s="898"/>
      <c r="X408" s="898"/>
      <c r="Y408" s="898"/>
      <c r="Z408" s="898"/>
      <c r="AA408" s="898"/>
      <c r="AB408" s="898"/>
      <c r="AC408" s="898"/>
      <c r="AD408" s="898"/>
      <c r="AE408" s="898"/>
      <c r="AF408" s="898"/>
      <c r="AG408" s="898"/>
      <c r="AH408" s="898"/>
      <c r="AI408" s="898"/>
      <c r="AJ408" s="898"/>
      <c r="AK408" s="897"/>
      <c r="AL408" s="897"/>
      <c r="AM408" s="897"/>
      <c r="AN408" s="897"/>
      <c r="AO408" s="897"/>
      <c r="AP408" s="897"/>
      <c r="AQ408" s="897"/>
      <c r="AR408" s="897"/>
    </row>
    <row r="409" spans="1:44" s="930" customFormat="1">
      <c r="A409" s="892"/>
      <c r="B409" s="899"/>
      <c r="C409" s="900"/>
      <c r="D409" s="894"/>
      <c r="E409" s="895"/>
      <c r="F409" s="896"/>
      <c r="G409" s="897"/>
      <c r="H409" s="897"/>
      <c r="I409" s="898"/>
      <c r="J409" s="898"/>
      <c r="K409" s="898"/>
      <c r="L409" s="898"/>
      <c r="M409" s="898"/>
      <c r="N409" s="898"/>
      <c r="O409" s="898"/>
      <c r="P409" s="898"/>
      <c r="Q409" s="898"/>
      <c r="R409" s="898"/>
      <c r="S409" s="898"/>
      <c r="T409" s="898"/>
      <c r="U409" s="898"/>
      <c r="V409" s="898"/>
      <c r="W409" s="898"/>
      <c r="X409" s="898"/>
      <c r="Y409" s="898"/>
      <c r="Z409" s="898"/>
      <c r="AA409" s="898"/>
      <c r="AB409" s="898"/>
      <c r="AC409" s="898"/>
      <c r="AD409" s="898"/>
      <c r="AE409" s="898"/>
      <c r="AF409" s="898"/>
      <c r="AG409" s="898"/>
      <c r="AH409" s="898"/>
      <c r="AI409" s="898"/>
      <c r="AJ409" s="898"/>
      <c r="AK409" s="897"/>
      <c r="AL409" s="897"/>
      <c r="AM409" s="897"/>
      <c r="AN409" s="897"/>
      <c r="AO409" s="897"/>
      <c r="AP409" s="897"/>
      <c r="AQ409" s="897"/>
      <c r="AR409" s="897"/>
    </row>
    <row r="410" spans="1:44" s="930" customFormat="1">
      <c r="A410" s="892"/>
      <c r="B410" s="899"/>
      <c r="C410" s="900"/>
      <c r="D410" s="894"/>
      <c r="E410" s="895"/>
      <c r="F410" s="896"/>
      <c r="G410" s="897"/>
      <c r="H410" s="897"/>
      <c r="I410" s="898"/>
      <c r="J410" s="898"/>
      <c r="K410" s="898"/>
      <c r="L410" s="898"/>
      <c r="M410" s="898"/>
      <c r="N410" s="898"/>
      <c r="O410" s="898"/>
      <c r="P410" s="898"/>
      <c r="Q410" s="898"/>
      <c r="R410" s="898"/>
      <c r="S410" s="898"/>
      <c r="T410" s="898"/>
      <c r="U410" s="898"/>
      <c r="V410" s="898"/>
      <c r="W410" s="898"/>
      <c r="X410" s="898"/>
      <c r="Y410" s="898"/>
      <c r="Z410" s="898"/>
      <c r="AA410" s="898"/>
      <c r="AB410" s="898"/>
      <c r="AC410" s="898"/>
      <c r="AD410" s="898"/>
      <c r="AE410" s="898"/>
      <c r="AF410" s="898"/>
      <c r="AG410" s="898"/>
      <c r="AH410" s="898"/>
      <c r="AI410" s="898"/>
      <c r="AJ410" s="898"/>
      <c r="AK410" s="897"/>
      <c r="AL410" s="897"/>
      <c r="AM410" s="897"/>
      <c r="AN410" s="897"/>
      <c r="AO410" s="897"/>
      <c r="AP410" s="897"/>
      <c r="AQ410" s="897"/>
      <c r="AR410" s="897"/>
    </row>
    <row r="411" spans="1:44" s="930" customFormat="1">
      <c r="A411" s="892"/>
      <c r="B411" s="899"/>
      <c r="C411" s="900"/>
      <c r="D411" s="894"/>
      <c r="E411" s="895"/>
      <c r="F411" s="896"/>
      <c r="G411" s="897"/>
      <c r="H411" s="897"/>
      <c r="I411" s="898"/>
      <c r="J411" s="898"/>
      <c r="K411" s="898"/>
      <c r="L411" s="898"/>
      <c r="M411" s="898"/>
      <c r="N411" s="898"/>
      <c r="O411" s="898"/>
      <c r="P411" s="898"/>
      <c r="Q411" s="898"/>
      <c r="R411" s="898"/>
      <c r="S411" s="898"/>
      <c r="T411" s="898"/>
      <c r="U411" s="898"/>
      <c r="V411" s="898"/>
      <c r="W411" s="898"/>
      <c r="X411" s="898"/>
      <c r="Y411" s="898"/>
      <c r="Z411" s="898"/>
      <c r="AA411" s="898"/>
      <c r="AB411" s="898"/>
      <c r="AC411" s="898"/>
      <c r="AD411" s="898"/>
      <c r="AE411" s="898"/>
      <c r="AF411" s="898"/>
      <c r="AG411" s="898"/>
      <c r="AH411" s="898"/>
      <c r="AI411" s="898"/>
      <c r="AJ411" s="898"/>
      <c r="AK411" s="897"/>
      <c r="AL411" s="897"/>
      <c r="AM411" s="897"/>
      <c r="AN411" s="897"/>
      <c r="AO411" s="897"/>
      <c r="AP411" s="897"/>
      <c r="AQ411" s="897"/>
      <c r="AR411" s="897"/>
    </row>
    <row r="412" spans="1:44" s="930" customFormat="1">
      <c r="A412" s="892"/>
      <c r="B412" s="899"/>
      <c r="C412" s="900"/>
      <c r="D412" s="894"/>
      <c r="E412" s="895"/>
      <c r="F412" s="896"/>
      <c r="G412" s="897"/>
      <c r="H412" s="897"/>
      <c r="I412" s="898"/>
      <c r="J412" s="898"/>
      <c r="K412" s="898"/>
      <c r="L412" s="898"/>
      <c r="M412" s="898"/>
      <c r="N412" s="898"/>
      <c r="O412" s="898"/>
      <c r="P412" s="898"/>
      <c r="Q412" s="898"/>
      <c r="R412" s="898"/>
      <c r="S412" s="898"/>
      <c r="T412" s="898"/>
      <c r="U412" s="898"/>
      <c r="V412" s="898"/>
      <c r="W412" s="898"/>
      <c r="X412" s="898"/>
      <c r="Y412" s="898"/>
      <c r="Z412" s="898"/>
      <c r="AA412" s="898"/>
      <c r="AB412" s="898"/>
      <c r="AC412" s="898"/>
      <c r="AD412" s="898"/>
      <c r="AE412" s="898"/>
      <c r="AF412" s="898"/>
      <c r="AG412" s="898"/>
      <c r="AH412" s="898"/>
      <c r="AI412" s="898"/>
      <c r="AJ412" s="898"/>
      <c r="AK412" s="897"/>
      <c r="AL412" s="897"/>
      <c r="AM412" s="897"/>
      <c r="AN412" s="897"/>
      <c r="AO412" s="897"/>
      <c r="AP412" s="897"/>
      <c r="AQ412" s="897"/>
      <c r="AR412" s="897"/>
    </row>
    <row r="413" spans="1:44" s="930" customFormat="1">
      <c r="A413" s="892"/>
      <c r="B413" s="899"/>
      <c r="C413" s="900"/>
      <c r="D413" s="894"/>
      <c r="E413" s="895"/>
      <c r="F413" s="896"/>
      <c r="G413" s="897"/>
      <c r="H413" s="897"/>
      <c r="I413" s="898"/>
      <c r="J413" s="898"/>
      <c r="K413" s="898"/>
      <c r="L413" s="898"/>
      <c r="M413" s="898"/>
      <c r="N413" s="898"/>
      <c r="O413" s="898"/>
      <c r="P413" s="898"/>
      <c r="Q413" s="898"/>
      <c r="R413" s="898"/>
      <c r="S413" s="898"/>
      <c r="T413" s="898"/>
      <c r="U413" s="898"/>
      <c r="V413" s="898"/>
      <c r="W413" s="898"/>
      <c r="X413" s="898"/>
      <c r="Y413" s="898"/>
      <c r="Z413" s="898"/>
      <c r="AA413" s="898"/>
      <c r="AB413" s="898"/>
      <c r="AC413" s="898"/>
      <c r="AD413" s="898"/>
      <c r="AE413" s="898"/>
      <c r="AF413" s="898"/>
      <c r="AG413" s="898"/>
      <c r="AH413" s="898"/>
      <c r="AI413" s="898"/>
      <c r="AJ413" s="898"/>
      <c r="AK413" s="897"/>
      <c r="AL413" s="897"/>
      <c r="AM413" s="897"/>
      <c r="AN413" s="897"/>
      <c r="AO413" s="897"/>
      <c r="AP413" s="897"/>
      <c r="AQ413" s="897"/>
      <c r="AR413" s="897"/>
    </row>
    <row r="414" spans="1:44" s="930" customFormat="1">
      <c r="A414" s="892"/>
      <c r="B414" s="899"/>
      <c r="C414" s="900"/>
      <c r="D414" s="894"/>
      <c r="E414" s="895"/>
      <c r="F414" s="896"/>
      <c r="G414" s="897"/>
      <c r="H414" s="897"/>
      <c r="I414" s="898"/>
      <c r="J414" s="898"/>
      <c r="K414" s="898"/>
      <c r="L414" s="898"/>
      <c r="M414" s="898"/>
      <c r="N414" s="898"/>
      <c r="O414" s="898"/>
      <c r="P414" s="898"/>
      <c r="Q414" s="898"/>
      <c r="R414" s="898"/>
      <c r="S414" s="898"/>
      <c r="T414" s="898"/>
      <c r="U414" s="898"/>
      <c r="V414" s="898"/>
      <c r="W414" s="898"/>
      <c r="X414" s="898"/>
      <c r="Y414" s="898"/>
      <c r="Z414" s="898"/>
      <c r="AA414" s="898"/>
      <c r="AB414" s="898"/>
      <c r="AC414" s="898"/>
      <c r="AD414" s="898"/>
      <c r="AE414" s="898"/>
      <c r="AF414" s="898"/>
      <c r="AG414" s="898"/>
      <c r="AH414" s="898"/>
      <c r="AI414" s="898"/>
      <c r="AJ414" s="898"/>
      <c r="AK414" s="897"/>
      <c r="AL414" s="897"/>
      <c r="AM414" s="897"/>
      <c r="AN414" s="897"/>
      <c r="AO414" s="897"/>
      <c r="AP414" s="897"/>
      <c r="AQ414" s="897"/>
      <c r="AR414" s="897"/>
    </row>
    <row r="415" spans="1:44" s="930" customFormat="1">
      <c r="A415" s="892"/>
      <c r="B415" s="899"/>
      <c r="C415" s="900"/>
      <c r="D415" s="894"/>
      <c r="E415" s="895"/>
      <c r="F415" s="896"/>
      <c r="G415" s="897"/>
      <c r="H415" s="897"/>
      <c r="I415" s="898"/>
      <c r="J415" s="898"/>
      <c r="K415" s="898"/>
      <c r="L415" s="898"/>
      <c r="M415" s="898"/>
      <c r="N415" s="898"/>
      <c r="O415" s="898"/>
      <c r="P415" s="898"/>
      <c r="Q415" s="898"/>
      <c r="R415" s="898"/>
      <c r="S415" s="898"/>
      <c r="T415" s="898"/>
      <c r="U415" s="898"/>
      <c r="V415" s="898"/>
      <c r="W415" s="898"/>
      <c r="X415" s="898"/>
      <c r="Y415" s="898"/>
      <c r="Z415" s="898"/>
      <c r="AA415" s="898"/>
      <c r="AB415" s="898"/>
      <c r="AC415" s="898"/>
      <c r="AD415" s="898"/>
      <c r="AE415" s="898"/>
      <c r="AF415" s="898"/>
      <c r="AG415" s="898"/>
      <c r="AH415" s="898"/>
      <c r="AI415" s="898"/>
      <c r="AJ415" s="898"/>
      <c r="AK415" s="897"/>
      <c r="AL415" s="897"/>
      <c r="AM415" s="897"/>
      <c r="AN415" s="897"/>
      <c r="AO415" s="897"/>
      <c r="AP415" s="897"/>
      <c r="AQ415" s="897"/>
      <c r="AR415" s="897"/>
    </row>
    <row r="416" spans="1:44" s="930" customFormat="1">
      <c r="A416" s="892"/>
      <c r="B416" s="899"/>
      <c r="C416" s="900"/>
      <c r="D416" s="894"/>
      <c r="E416" s="895"/>
      <c r="F416" s="896"/>
      <c r="G416" s="897"/>
      <c r="H416" s="897"/>
      <c r="I416" s="898"/>
      <c r="J416" s="898"/>
      <c r="K416" s="898"/>
      <c r="L416" s="898"/>
      <c r="M416" s="898"/>
      <c r="N416" s="898"/>
      <c r="O416" s="898"/>
      <c r="P416" s="898"/>
      <c r="Q416" s="898"/>
      <c r="R416" s="898"/>
      <c r="S416" s="898"/>
      <c r="T416" s="898"/>
      <c r="U416" s="898"/>
      <c r="V416" s="898"/>
      <c r="W416" s="898"/>
      <c r="X416" s="898"/>
      <c r="Y416" s="898"/>
      <c r="Z416" s="898"/>
      <c r="AA416" s="898"/>
      <c r="AB416" s="898"/>
      <c r="AC416" s="898"/>
      <c r="AD416" s="898"/>
      <c r="AE416" s="898"/>
      <c r="AF416" s="898"/>
      <c r="AG416" s="898"/>
      <c r="AH416" s="898"/>
      <c r="AI416" s="898"/>
      <c r="AJ416" s="898"/>
      <c r="AK416" s="897"/>
      <c r="AL416" s="897"/>
      <c r="AM416" s="897"/>
      <c r="AN416" s="897"/>
      <c r="AO416" s="897"/>
      <c r="AP416" s="897"/>
      <c r="AQ416" s="897"/>
      <c r="AR416" s="897"/>
    </row>
    <row r="417" spans="1:44" s="930" customFormat="1">
      <c r="A417" s="892"/>
      <c r="B417" s="899"/>
      <c r="C417" s="900"/>
      <c r="D417" s="894"/>
      <c r="E417" s="895"/>
      <c r="F417" s="896"/>
      <c r="G417" s="897"/>
      <c r="H417" s="897"/>
      <c r="I417" s="898"/>
      <c r="J417" s="898"/>
      <c r="K417" s="898"/>
      <c r="L417" s="898"/>
      <c r="M417" s="898"/>
      <c r="N417" s="898"/>
      <c r="O417" s="898"/>
      <c r="P417" s="898"/>
      <c r="Q417" s="898"/>
      <c r="R417" s="898"/>
      <c r="S417" s="898"/>
      <c r="T417" s="898"/>
      <c r="U417" s="898"/>
      <c r="V417" s="898"/>
      <c r="W417" s="898"/>
      <c r="X417" s="898"/>
      <c r="Y417" s="898"/>
      <c r="Z417" s="898"/>
      <c r="AA417" s="898"/>
      <c r="AB417" s="898"/>
      <c r="AC417" s="898"/>
      <c r="AD417" s="898"/>
      <c r="AE417" s="898"/>
      <c r="AF417" s="898"/>
      <c r="AG417" s="898"/>
      <c r="AH417" s="898"/>
      <c r="AI417" s="898"/>
      <c r="AJ417" s="898"/>
      <c r="AK417" s="897"/>
      <c r="AL417" s="897"/>
      <c r="AM417" s="897"/>
      <c r="AN417" s="897"/>
      <c r="AO417" s="897"/>
      <c r="AP417" s="897"/>
      <c r="AQ417" s="897"/>
      <c r="AR417" s="897"/>
    </row>
    <row r="418" spans="1:44" s="930" customFormat="1">
      <c r="A418" s="892"/>
      <c r="B418" s="899"/>
      <c r="C418" s="900"/>
      <c r="D418" s="894"/>
      <c r="E418" s="895"/>
      <c r="F418" s="896"/>
      <c r="G418" s="897"/>
      <c r="H418" s="897"/>
      <c r="I418" s="898"/>
      <c r="J418" s="898"/>
      <c r="K418" s="898"/>
      <c r="L418" s="898"/>
      <c r="M418" s="898"/>
      <c r="N418" s="898"/>
      <c r="O418" s="898"/>
      <c r="P418" s="898"/>
      <c r="Q418" s="898"/>
      <c r="R418" s="898"/>
      <c r="S418" s="898"/>
      <c r="T418" s="898"/>
      <c r="U418" s="898"/>
      <c r="V418" s="898"/>
      <c r="W418" s="898"/>
      <c r="X418" s="898"/>
      <c r="Y418" s="898"/>
      <c r="Z418" s="898"/>
      <c r="AA418" s="898"/>
      <c r="AB418" s="898"/>
      <c r="AC418" s="898"/>
      <c r="AD418" s="898"/>
      <c r="AE418" s="898"/>
      <c r="AF418" s="898"/>
      <c r="AG418" s="898"/>
      <c r="AH418" s="898"/>
      <c r="AI418" s="898"/>
      <c r="AJ418" s="898"/>
      <c r="AK418" s="897"/>
      <c r="AL418" s="897"/>
      <c r="AM418" s="897"/>
      <c r="AN418" s="897"/>
      <c r="AO418" s="897"/>
      <c r="AP418" s="897"/>
      <c r="AQ418" s="897"/>
      <c r="AR418" s="897"/>
    </row>
    <row r="419" spans="1:44" s="930" customFormat="1">
      <c r="A419" s="892"/>
      <c r="B419" s="899"/>
      <c r="C419" s="900"/>
      <c r="D419" s="894"/>
      <c r="E419" s="895"/>
      <c r="F419" s="896"/>
      <c r="G419" s="897"/>
      <c r="H419" s="897"/>
      <c r="I419" s="898"/>
      <c r="J419" s="898"/>
      <c r="K419" s="898"/>
      <c r="L419" s="898"/>
      <c r="M419" s="898"/>
      <c r="N419" s="898"/>
      <c r="O419" s="898"/>
      <c r="P419" s="898"/>
      <c r="Q419" s="898"/>
      <c r="R419" s="898"/>
      <c r="S419" s="898"/>
      <c r="T419" s="898"/>
      <c r="U419" s="898"/>
      <c r="V419" s="898"/>
      <c r="W419" s="898"/>
      <c r="X419" s="898"/>
      <c r="Y419" s="898"/>
      <c r="Z419" s="898"/>
      <c r="AA419" s="898"/>
      <c r="AB419" s="898"/>
      <c r="AC419" s="898"/>
      <c r="AD419" s="898"/>
      <c r="AE419" s="898"/>
      <c r="AF419" s="898"/>
      <c r="AG419" s="898"/>
      <c r="AH419" s="898"/>
      <c r="AI419" s="898"/>
      <c r="AJ419" s="898"/>
      <c r="AK419" s="897"/>
      <c r="AL419" s="897"/>
      <c r="AM419" s="897"/>
      <c r="AN419" s="897"/>
      <c r="AO419" s="897"/>
      <c r="AP419" s="897"/>
      <c r="AQ419" s="897"/>
      <c r="AR419" s="897"/>
    </row>
    <row r="420" spans="1:44" s="930" customFormat="1">
      <c r="A420" s="892"/>
      <c r="B420" s="899"/>
      <c r="C420" s="900"/>
      <c r="D420" s="894"/>
      <c r="E420" s="895"/>
      <c r="F420" s="896"/>
      <c r="G420" s="897"/>
      <c r="H420" s="897"/>
      <c r="I420" s="898"/>
      <c r="J420" s="898"/>
      <c r="K420" s="898"/>
      <c r="L420" s="898"/>
      <c r="M420" s="898"/>
      <c r="N420" s="898"/>
      <c r="O420" s="898"/>
      <c r="P420" s="898"/>
      <c r="Q420" s="898"/>
      <c r="R420" s="898"/>
      <c r="S420" s="898"/>
      <c r="T420" s="898"/>
      <c r="U420" s="898"/>
      <c r="V420" s="898"/>
      <c r="W420" s="898"/>
      <c r="X420" s="898"/>
      <c r="Y420" s="898"/>
      <c r="Z420" s="898"/>
      <c r="AA420" s="898"/>
      <c r="AB420" s="898"/>
      <c r="AC420" s="898"/>
      <c r="AD420" s="898"/>
      <c r="AE420" s="898"/>
      <c r="AF420" s="898"/>
      <c r="AG420" s="898"/>
      <c r="AH420" s="898"/>
      <c r="AI420" s="898"/>
      <c r="AJ420" s="898"/>
      <c r="AK420" s="897"/>
      <c r="AL420" s="897"/>
      <c r="AM420" s="897"/>
      <c r="AN420" s="897"/>
      <c r="AO420" s="897"/>
      <c r="AP420" s="897"/>
      <c r="AQ420" s="897"/>
      <c r="AR420" s="897"/>
    </row>
    <row r="421" spans="1:44" s="930" customFormat="1">
      <c r="A421" s="892"/>
      <c r="B421" s="899"/>
      <c r="C421" s="900"/>
      <c r="D421" s="894"/>
      <c r="E421" s="895"/>
      <c r="F421" s="896"/>
      <c r="G421" s="897"/>
      <c r="H421" s="897"/>
      <c r="I421" s="898"/>
      <c r="J421" s="898"/>
      <c r="K421" s="898"/>
      <c r="L421" s="898"/>
      <c r="M421" s="898"/>
      <c r="N421" s="898"/>
      <c r="O421" s="898"/>
      <c r="P421" s="898"/>
      <c r="Q421" s="898"/>
      <c r="R421" s="898"/>
      <c r="S421" s="898"/>
      <c r="T421" s="898"/>
      <c r="U421" s="898"/>
      <c r="V421" s="898"/>
      <c r="W421" s="898"/>
      <c r="X421" s="898"/>
      <c r="Y421" s="898"/>
      <c r="Z421" s="898"/>
      <c r="AA421" s="898"/>
      <c r="AB421" s="898"/>
      <c r="AC421" s="898"/>
      <c r="AD421" s="898"/>
      <c r="AE421" s="898"/>
      <c r="AF421" s="898"/>
      <c r="AG421" s="898"/>
      <c r="AH421" s="898"/>
      <c r="AI421" s="898"/>
      <c r="AJ421" s="898"/>
      <c r="AK421" s="897"/>
      <c r="AL421" s="897"/>
      <c r="AM421" s="897"/>
      <c r="AN421" s="897"/>
      <c r="AO421" s="897"/>
      <c r="AP421" s="897"/>
      <c r="AQ421" s="897"/>
      <c r="AR421" s="897"/>
    </row>
    <row r="422" spans="1:44" s="930" customFormat="1">
      <c r="A422" s="892"/>
      <c r="B422" s="899"/>
      <c r="C422" s="900"/>
      <c r="D422" s="894"/>
      <c r="E422" s="895"/>
      <c r="F422" s="896"/>
      <c r="G422" s="897"/>
      <c r="H422" s="897"/>
      <c r="I422" s="898"/>
      <c r="J422" s="898"/>
      <c r="K422" s="898"/>
      <c r="L422" s="898"/>
      <c r="M422" s="898"/>
      <c r="N422" s="898"/>
      <c r="O422" s="898"/>
      <c r="P422" s="898"/>
      <c r="Q422" s="898"/>
      <c r="R422" s="898"/>
      <c r="S422" s="898"/>
      <c r="T422" s="898"/>
      <c r="U422" s="898"/>
      <c r="V422" s="898"/>
      <c r="W422" s="898"/>
      <c r="X422" s="898"/>
      <c r="Y422" s="898"/>
      <c r="Z422" s="898"/>
      <c r="AA422" s="898"/>
      <c r="AB422" s="898"/>
      <c r="AC422" s="898"/>
      <c r="AD422" s="898"/>
      <c r="AE422" s="898"/>
      <c r="AF422" s="898"/>
      <c r="AG422" s="898"/>
      <c r="AH422" s="898"/>
      <c r="AI422" s="898"/>
      <c r="AJ422" s="898"/>
      <c r="AK422" s="897"/>
      <c r="AL422" s="897"/>
      <c r="AM422" s="897"/>
      <c r="AN422" s="897"/>
      <c r="AO422" s="897"/>
      <c r="AP422" s="897"/>
      <c r="AQ422" s="897"/>
      <c r="AR422" s="897"/>
    </row>
    <row r="423" spans="1:44" s="930" customFormat="1">
      <c r="A423" s="892"/>
      <c r="B423" s="899"/>
      <c r="C423" s="900"/>
      <c r="D423" s="894"/>
      <c r="E423" s="895"/>
      <c r="F423" s="896"/>
      <c r="G423" s="897"/>
      <c r="H423" s="897"/>
      <c r="I423" s="898"/>
      <c r="J423" s="898"/>
      <c r="K423" s="898"/>
      <c r="L423" s="898"/>
      <c r="M423" s="898"/>
      <c r="N423" s="898"/>
      <c r="O423" s="898"/>
      <c r="P423" s="898"/>
      <c r="Q423" s="898"/>
      <c r="R423" s="898"/>
      <c r="S423" s="898"/>
      <c r="T423" s="898"/>
      <c r="U423" s="898"/>
      <c r="V423" s="898"/>
      <c r="W423" s="898"/>
      <c r="X423" s="898"/>
      <c r="Y423" s="898"/>
      <c r="Z423" s="898"/>
      <c r="AA423" s="898"/>
      <c r="AB423" s="898"/>
      <c r="AC423" s="898"/>
      <c r="AD423" s="898"/>
      <c r="AE423" s="898"/>
      <c r="AF423" s="898"/>
      <c r="AG423" s="898"/>
      <c r="AH423" s="898"/>
      <c r="AI423" s="898"/>
      <c r="AJ423" s="898"/>
      <c r="AK423" s="897"/>
      <c r="AL423" s="897"/>
      <c r="AM423" s="897"/>
      <c r="AN423" s="897"/>
      <c r="AO423" s="897"/>
      <c r="AP423" s="897"/>
      <c r="AQ423" s="897"/>
      <c r="AR423" s="897"/>
    </row>
    <row r="424" spans="1:44" s="930" customFormat="1">
      <c r="A424" s="892"/>
      <c r="B424" s="899"/>
      <c r="C424" s="900"/>
      <c r="D424" s="894"/>
      <c r="E424" s="895"/>
      <c r="F424" s="896"/>
      <c r="G424" s="897"/>
      <c r="H424" s="897"/>
      <c r="I424" s="898"/>
      <c r="J424" s="898"/>
      <c r="K424" s="898"/>
      <c r="L424" s="898"/>
      <c r="M424" s="898"/>
      <c r="N424" s="898"/>
      <c r="O424" s="898"/>
      <c r="P424" s="898"/>
      <c r="Q424" s="898"/>
      <c r="R424" s="898"/>
      <c r="S424" s="898"/>
      <c r="T424" s="898"/>
      <c r="U424" s="898"/>
      <c r="V424" s="898"/>
      <c r="W424" s="898"/>
      <c r="X424" s="898"/>
      <c r="Y424" s="898"/>
      <c r="Z424" s="898"/>
      <c r="AA424" s="898"/>
      <c r="AB424" s="898"/>
      <c r="AC424" s="898"/>
      <c r="AD424" s="898"/>
      <c r="AE424" s="898"/>
      <c r="AF424" s="898"/>
      <c r="AG424" s="898"/>
      <c r="AH424" s="898"/>
      <c r="AI424" s="898"/>
      <c r="AJ424" s="898"/>
      <c r="AK424" s="897"/>
      <c r="AL424" s="897"/>
      <c r="AM424" s="897"/>
      <c r="AN424" s="897"/>
      <c r="AO424" s="897"/>
      <c r="AP424" s="897"/>
      <c r="AQ424" s="897"/>
      <c r="AR424" s="897"/>
    </row>
    <row r="425" spans="1:44" s="930" customFormat="1">
      <c r="A425" s="892"/>
      <c r="B425" s="899"/>
      <c r="C425" s="900"/>
      <c r="D425" s="894"/>
      <c r="E425" s="895"/>
      <c r="F425" s="896"/>
      <c r="G425" s="897"/>
      <c r="H425" s="897"/>
      <c r="I425" s="898"/>
      <c r="J425" s="898"/>
      <c r="K425" s="898"/>
      <c r="L425" s="898"/>
      <c r="M425" s="898"/>
      <c r="N425" s="898"/>
      <c r="O425" s="898"/>
      <c r="P425" s="898"/>
      <c r="Q425" s="898"/>
      <c r="R425" s="898"/>
      <c r="S425" s="898"/>
      <c r="T425" s="898"/>
      <c r="U425" s="898"/>
      <c r="V425" s="898"/>
      <c r="W425" s="898"/>
      <c r="X425" s="898"/>
      <c r="Y425" s="898"/>
      <c r="Z425" s="898"/>
      <c r="AA425" s="898"/>
      <c r="AB425" s="898"/>
      <c r="AC425" s="898"/>
      <c r="AD425" s="898"/>
      <c r="AE425" s="898"/>
      <c r="AF425" s="898"/>
      <c r="AG425" s="898"/>
      <c r="AH425" s="898"/>
      <c r="AI425" s="898"/>
      <c r="AJ425" s="898"/>
      <c r="AK425" s="897"/>
      <c r="AL425" s="897"/>
      <c r="AM425" s="897"/>
      <c r="AN425" s="897"/>
      <c r="AO425" s="897"/>
      <c r="AP425" s="897"/>
      <c r="AQ425" s="897"/>
      <c r="AR425" s="897"/>
    </row>
    <row r="426" spans="1:44" s="930" customFormat="1">
      <c r="A426" s="892"/>
      <c r="B426" s="899"/>
      <c r="C426" s="900"/>
      <c r="D426" s="894"/>
      <c r="E426" s="895"/>
      <c r="F426" s="896"/>
      <c r="G426" s="897"/>
      <c r="H426" s="897"/>
      <c r="I426" s="898"/>
      <c r="J426" s="898"/>
      <c r="K426" s="898"/>
      <c r="L426" s="898"/>
      <c r="M426" s="898"/>
      <c r="N426" s="898"/>
      <c r="O426" s="898"/>
      <c r="P426" s="898"/>
      <c r="Q426" s="898"/>
      <c r="R426" s="898"/>
      <c r="S426" s="898"/>
      <c r="T426" s="898"/>
      <c r="U426" s="898"/>
      <c r="V426" s="898"/>
      <c r="W426" s="898"/>
      <c r="X426" s="898"/>
      <c r="Y426" s="898"/>
      <c r="Z426" s="898"/>
      <c r="AA426" s="898"/>
      <c r="AB426" s="898"/>
      <c r="AC426" s="898"/>
      <c r="AD426" s="898"/>
      <c r="AE426" s="898"/>
      <c r="AF426" s="898"/>
      <c r="AG426" s="898"/>
      <c r="AH426" s="898"/>
      <c r="AI426" s="898"/>
      <c r="AJ426" s="898"/>
      <c r="AK426" s="897"/>
      <c r="AL426" s="897"/>
      <c r="AM426" s="897"/>
      <c r="AN426" s="897"/>
      <c r="AO426" s="897"/>
      <c r="AP426" s="897"/>
      <c r="AQ426" s="897"/>
      <c r="AR426" s="897"/>
    </row>
    <row r="427" spans="1:44" s="930" customFormat="1">
      <c r="A427" s="892"/>
      <c r="B427" s="899"/>
      <c r="C427" s="900"/>
      <c r="D427" s="894"/>
      <c r="E427" s="895"/>
      <c r="F427" s="896"/>
      <c r="G427" s="897"/>
      <c r="H427" s="897"/>
      <c r="I427" s="898"/>
      <c r="J427" s="898"/>
      <c r="K427" s="898"/>
      <c r="L427" s="898"/>
      <c r="M427" s="898"/>
      <c r="N427" s="898"/>
      <c r="O427" s="898"/>
      <c r="P427" s="898"/>
      <c r="Q427" s="898"/>
      <c r="R427" s="898"/>
      <c r="S427" s="898"/>
      <c r="T427" s="898"/>
      <c r="U427" s="898"/>
      <c r="V427" s="898"/>
      <c r="W427" s="898"/>
      <c r="X427" s="898"/>
      <c r="Y427" s="898"/>
      <c r="Z427" s="898"/>
      <c r="AA427" s="898"/>
      <c r="AB427" s="898"/>
      <c r="AC427" s="898"/>
      <c r="AD427" s="898"/>
      <c r="AE427" s="898"/>
      <c r="AF427" s="898"/>
      <c r="AG427" s="898"/>
      <c r="AH427" s="898"/>
      <c r="AI427" s="898"/>
      <c r="AJ427" s="898"/>
      <c r="AK427" s="897"/>
      <c r="AL427" s="897"/>
      <c r="AM427" s="897"/>
      <c r="AN427" s="897"/>
      <c r="AO427" s="897"/>
      <c r="AP427" s="897"/>
      <c r="AQ427" s="897"/>
      <c r="AR427" s="897"/>
    </row>
    <row r="428" spans="1:44" s="930" customFormat="1">
      <c r="A428" s="892"/>
      <c r="B428" s="899"/>
      <c r="C428" s="900"/>
      <c r="D428" s="894"/>
      <c r="E428" s="895"/>
      <c r="F428" s="896"/>
      <c r="G428" s="897"/>
      <c r="H428" s="897"/>
      <c r="I428" s="898"/>
      <c r="J428" s="898"/>
      <c r="K428" s="898"/>
      <c r="L428" s="898"/>
      <c r="M428" s="898"/>
      <c r="N428" s="898"/>
      <c r="O428" s="898"/>
      <c r="P428" s="898"/>
      <c r="Q428" s="898"/>
      <c r="R428" s="898"/>
      <c r="S428" s="898"/>
      <c r="T428" s="898"/>
      <c r="U428" s="898"/>
      <c r="V428" s="898"/>
      <c r="W428" s="898"/>
      <c r="X428" s="898"/>
      <c r="Y428" s="898"/>
      <c r="Z428" s="898"/>
      <c r="AA428" s="898"/>
      <c r="AB428" s="898"/>
      <c r="AC428" s="898"/>
      <c r="AD428" s="898"/>
      <c r="AE428" s="898"/>
      <c r="AF428" s="898"/>
      <c r="AG428" s="898"/>
      <c r="AH428" s="898"/>
      <c r="AI428" s="898"/>
      <c r="AJ428" s="898"/>
      <c r="AK428" s="897"/>
      <c r="AL428" s="897"/>
      <c r="AM428" s="897"/>
      <c r="AN428" s="897"/>
      <c r="AO428" s="897"/>
      <c r="AP428" s="897"/>
      <c r="AQ428" s="897"/>
      <c r="AR428" s="897"/>
    </row>
    <row r="429" spans="1:44" s="930" customFormat="1">
      <c r="A429" s="892"/>
      <c r="B429" s="899"/>
      <c r="C429" s="900"/>
      <c r="D429" s="894"/>
      <c r="E429" s="895"/>
      <c r="F429" s="896"/>
      <c r="G429" s="897"/>
      <c r="H429" s="897"/>
      <c r="I429" s="898"/>
      <c r="J429" s="898"/>
      <c r="K429" s="898"/>
      <c r="L429" s="898"/>
      <c r="M429" s="898"/>
      <c r="N429" s="898"/>
      <c r="O429" s="898"/>
      <c r="P429" s="898"/>
      <c r="Q429" s="898"/>
      <c r="R429" s="898"/>
      <c r="S429" s="898"/>
      <c r="T429" s="898"/>
      <c r="U429" s="898"/>
      <c r="V429" s="898"/>
      <c r="W429" s="898"/>
      <c r="X429" s="898"/>
      <c r="Y429" s="898"/>
      <c r="Z429" s="898"/>
      <c r="AA429" s="898"/>
      <c r="AB429" s="898"/>
      <c r="AC429" s="898"/>
      <c r="AD429" s="898"/>
      <c r="AE429" s="898"/>
      <c r="AF429" s="898"/>
      <c r="AG429" s="898"/>
      <c r="AH429" s="898"/>
      <c r="AI429" s="898"/>
      <c r="AJ429" s="898"/>
      <c r="AK429" s="897"/>
      <c r="AL429" s="897"/>
      <c r="AM429" s="897"/>
      <c r="AN429" s="897"/>
      <c r="AO429" s="897"/>
      <c r="AP429" s="897"/>
      <c r="AQ429" s="897"/>
      <c r="AR429" s="897"/>
    </row>
    <row r="430" spans="1:44" s="930" customFormat="1">
      <c r="A430" s="892"/>
      <c r="B430" s="899"/>
      <c r="C430" s="900"/>
      <c r="D430" s="894"/>
      <c r="E430" s="895"/>
      <c r="F430" s="896"/>
      <c r="G430" s="897"/>
      <c r="H430" s="897"/>
      <c r="I430" s="898"/>
      <c r="J430" s="898"/>
      <c r="K430" s="898"/>
      <c r="L430" s="898"/>
      <c r="M430" s="898"/>
      <c r="N430" s="898"/>
      <c r="O430" s="898"/>
      <c r="P430" s="898"/>
      <c r="Q430" s="898"/>
      <c r="R430" s="898"/>
      <c r="S430" s="898"/>
      <c r="T430" s="898"/>
      <c r="U430" s="898"/>
      <c r="V430" s="898"/>
      <c r="W430" s="898"/>
      <c r="X430" s="898"/>
      <c r="Y430" s="898"/>
      <c r="Z430" s="898"/>
      <c r="AA430" s="898"/>
      <c r="AB430" s="898"/>
      <c r="AC430" s="898"/>
      <c r="AD430" s="898"/>
      <c r="AE430" s="898"/>
      <c r="AF430" s="898"/>
      <c r="AG430" s="898"/>
      <c r="AH430" s="898"/>
      <c r="AI430" s="898"/>
      <c r="AJ430" s="898"/>
      <c r="AK430" s="897"/>
      <c r="AL430" s="897"/>
      <c r="AM430" s="897"/>
      <c r="AN430" s="897"/>
      <c r="AO430" s="897"/>
      <c r="AP430" s="897"/>
      <c r="AQ430" s="897"/>
      <c r="AR430" s="897"/>
    </row>
    <row r="431" spans="1:44" s="930" customFormat="1">
      <c r="A431" s="892"/>
      <c r="B431" s="899"/>
      <c r="C431" s="900"/>
      <c r="D431" s="894"/>
      <c r="E431" s="895"/>
      <c r="F431" s="896"/>
      <c r="G431" s="897"/>
      <c r="H431" s="897"/>
      <c r="I431" s="898"/>
      <c r="J431" s="898"/>
      <c r="K431" s="898"/>
      <c r="L431" s="898"/>
      <c r="M431" s="898"/>
      <c r="N431" s="898"/>
      <c r="O431" s="898"/>
      <c r="P431" s="898"/>
      <c r="Q431" s="898"/>
      <c r="R431" s="898"/>
      <c r="S431" s="898"/>
      <c r="T431" s="898"/>
      <c r="U431" s="898"/>
      <c r="V431" s="898"/>
      <c r="W431" s="898"/>
      <c r="X431" s="898"/>
      <c r="Y431" s="898"/>
      <c r="Z431" s="898"/>
      <c r="AA431" s="898"/>
      <c r="AB431" s="898"/>
      <c r="AC431" s="898"/>
      <c r="AD431" s="898"/>
      <c r="AE431" s="898"/>
      <c r="AF431" s="898"/>
      <c r="AG431" s="898"/>
      <c r="AH431" s="898"/>
      <c r="AI431" s="898"/>
      <c r="AJ431" s="898"/>
      <c r="AK431" s="897"/>
      <c r="AL431" s="897"/>
      <c r="AM431" s="897"/>
      <c r="AN431" s="897"/>
      <c r="AO431" s="897"/>
      <c r="AP431" s="897"/>
      <c r="AQ431" s="897"/>
      <c r="AR431" s="897"/>
    </row>
    <row r="432" spans="1:44" s="930" customFormat="1">
      <c r="A432" s="892"/>
      <c r="B432" s="899"/>
      <c r="C432" s="900"/>
      <c r="D432" s="894"/>
      <c r="E432" s="895"/>
      <c r="F432" s="896"/>
      <c r="G432" s="897"/>
      <c r="H432" s="897"/>
      <c r="I432" s="898"/>
      <c r="J432" s="898"/>
      <c r="K432" s="898"/>
      <c r="L432" s="898"/>
      <c r="M432" s="898"/>
      <c r="N432" s="898"/>
      <c r="O432" s="898"/>
      <c r="P432" s="898"/>
      <c r="Q432" s="898"/>
      <c r="R432" s="898"/>
      <c r="S432" s="898"/>
      <c r="T432" s="898"/>
      <c r="U432" s="898"/>
      <c r="V432" s="898"/>
      <c r="W432" s="898"/>
      <c r="X432" s="898"/>
      <c r="Y432" s="898"/>
      <c r="Z432" s="898"/>
      <c r="AA432" s="898"/>
      <c r="AB432" s="898"/>
      <c r="AC432" s="898"/>
      <c r="AD432" s="898"/>
      <c r="AE432" s="898"/>
      <c r="AF432" s="898"/>
      <c r="AG432" s="898"/>
      <c r="AH432" s="898"/>
      <c r="AI432" s="898"/>
      <c r="AJ432" s="898"/>
      <c r="AK432" s="897"/>
      <c r="AL432" s="897"/>
      <c r="AM432" s="897"/>
      <c r="AN432" s="897"/>
      <c r="AO432" s="897"/>
      <c r="AP432" s="897"/>
      <c r="AQ432" s="897"/>
      <c r="AR432" s="897"/>
    </row>
    <row r="433" spans="1:44" s="930" customFormat="1">
      <c r="A433" s="892"/>
      <c r="B433" s="899"/>
      <c r="C433" s="900"/>
      <c r="D433" s="894"/>
      <c r="E433" s="895"/>
      <c r="F433" s="896"/>
      <c r="G433" s="897"/>
      <c r="H433" s="897"/>
      <c r="I433" s="898"/>
      <c r="J433" s="898"/>
      <c r="K433" s="898"/>
      <c r="L433" s="898"/>
      <c r="M433" s="898"/>
      <c r="N433" s="898"/>
      <c r="O433" s="898"/>
      <c r="P433" s="898"/>
      <c r="Q433" s="898"/>
      <c r="R433" s="898"/>
      <c r="S433" s="898"/>
      <c r="T433" s="898"/>
      <c r="U433" s="898"/>
      <c r="V433" s="898"/>
      <c r="W433" s="898"/>
      <c r="X433" s="898"/>
      <c r="Y433" s="898"/>
      <c r="Z433" s="898"/>
      <c r="AA433" s="898"/>
      <c r="AB433" s="898"/>
      <c r="AC433" s="898"/>
      <c r="AD433" s="898"/>
      <c r="AE433" s="898"/>
      <c r="AF433" s="898"/>
      <c r="AG433" s="898"/>
      <c r="AH433" s="898"/>
      <c r="AI433" s="898"/>
      <c r="AJ433" s="898"/>
      <c r="AK433" s="897"/>
      <c r="AL433" s="897"/>
      <c r="AM433" s="897"/>
      <c r="AN433" s="897"/>
      <c r="AO433" s="897"/>
      <c r="AP433" s="897"/>
      <c r="AQ433" s="897"/>
      <c r="AR433" s="897"/>
    </row>
    <row r="434" spans="1:44" s="930" customFormat="1">
      <c r="A434" s="892"/>
      <c r="B434" s="899"/>
      <c r="C434" s="900"/>
      <c r="D434" s="894"/>
      <c r="E434" s="895"/>
      <c r="F434" s="896"/>
      <c r="G434" s="897"/>
      <c r="H434" s="897"/>
      <c r="I434" s="898"/>
      <c r="J434" s="898"/>
      <c r="K434" s="898"/>
      <c r="L434" s="898"/>
      <c r="M434" s="898"/>
      <c r="N434" s="898"/>
      <c r="O434" s="898"/>
      <c r="P434" s="898"/>
      <c r="Q434" s="898"/>
      <c r="R434" s="898"/>
      <c r="S434" s="898"/>
      <c r="T434" s="898"/>
      <c r="U434" s="898"/>
      <c r="V434" s="898"/>
      <c r="W434" s="898"/>
      <c r="X434" s="898"/>
      <c r="Y434" s="898"/>
      <c r="Z434" s="898"/>
      <c r="AA434" s="898"/>
      <c r="AB434" s="898"/>
      <c r="AC434" s="898"/>
      <c r="AD434" s="898"/>
      <c r="AE434" s="898"/>
      <c r="AF434" s="898"/>
      <c r="AG434" s="898"/>
      <c r="AH434" s="898"/>
      <c r="AI434" s="898"/>
      <c r="AJ434" s="898"/>
      <c r="AK434" s="897"/>
      <c r="AL434" s="897"/>
      <c r="AM434" s="897"/>
      <c r="AN434" s="897"/>
      <c r="AO434" s="897"/>
      <c r="AP434" s="897"/>
      <c r="AQ434" s="897"/>
      <c r="AR434" s="897"/>
    </row>
    <row r="435" spans="1:44" s="930" customFormat="1">
      <c r="A435" s="892"/>
      <c r="B435" s="899"/>
      <c r="C435" s="900"/>
      <c r="D435" s="894"/>
      <c r="E435" s="895"/>
      <c r="F435" s="896"/>
      <c r="G435" s="897"/>
      <c r="H435" s="897"/>
      <c r="I435" s="898"/>
      <c r="J435" s="898"/>
      <c r="K435" s="898"/>
      <c r="L435" s="898"/>
      <c r="M435" s="898"/>
      <c r="N435" s="898"/>
      <c r="O435" s="898"/>
      <c r="P435" s="898"/>
      <c r="Q435" s="898"/>
      <c r="R435" s="898"/>
      <c r="S435" s="898"/>
      <c r="T435" s="898"/>
      <c r="U435" s="898"/>
      <c r="V435" s="898"/>
      <c r="W435" s="898"/>
      <c r="X435" s="898"/>
      <c r="Y435" s="898"/>
      <c r="Z435" s="898"/>
      <c r="AA435" s="898"/>
      <c r="AB435" s="898"/>
      <c r="AC435" s="898"/>
      <c r="AD435" s="898"/>
      <c r="AE435" s="898"/>
      <c r="AF435" s="898"/>
      <c r="AG435" s="898"/>
      <c r="AH435" s="898"/>
      <c r="AI435" s="898"/>
      <c r="AJ435" s="898"/>
      <c r="AK435" s="897"/>
      <c r="AL435" s="897"/>
      <c r="AM435" s="897"/>
      <c r="AN435" s="897"/>
      <c r="AO435" s="897"/>
      <c r="AP435" s="897"/>
      <c r="AQ435" s="897"/>
      <c r="AR435" s="897"/>
    </row>
    <row r="436" spans="1:44" s="930" customFormat="1">
      <c r="A436" s="892"/>
      <c r="B436" s="899"/>
      <c r="C436" s="900"/>
      <c r="D436" s="894"/>
      <c r="E436" s="895"/>
      <c r="F436" s="896"/>
      <c r="G436" s="897"/>
      <c r="H436" s="897"/>
      <c r="I436" s="898"/>
      <c r="J436" s="898"/>
      <c r="K436" s="898"/>
      <c r="L436" s="898"/>
      <c r="M436" s="898"/>
      <c r="N436" s="898"/>
      <c r="O436" s="898"/>
      <c r="P436" s="898"/>
      <c r="Q436" s="898"/>
      <c r="R436" s="898"/>
      <c r="S436" s="898"/>
      <c r="T436" s="898"/>
      <c r="U436" s="898"/>
      <c r="V436" s="898"/>
      <c r="W436" s="898"/>
      <c r="X436" s="898"/>
      <c r="Y436" s="898"/>
      <c r="Z436" s="898"/>
      <c r="AA436" s="898"/>
      <c r="AB436" s="898"/>
      <c r="AC436" s="898"/>
      <c r="AD436" s="898"/>
      <c r="AE436" s="898"/>
      <c r="AF436" s="898"/>
      <c r="AG436" s="898"/>
      <c r="AH436" s="898"/>
      <c r="AI436" s="898"/>
      <c r="AJ436" s="898"/>
      <c r="AK436" s="897"/>
      <c r="AL436" s="897"/>
      <c r="AM436" s="897"/>
      <c r="AN436" s="897"/>
      <c r="AO436" s="897"/>
      <c r="AP436" s="897"/>
      <c r="AQ436" s="897"/>
      <c r="AR436" s="897"/>
    </row>
    <row r="437" spans="1:44" s="930" customFormat="1">
      <c r="A437" s="892"/>
      <c r="B437" s="899"/>
      <c r="C437" s="900"/>
      <c r="D437" s="894"/>
      <c r="E437" s="895"/>
      <c r="F437" s="896"/>
      <c r="G437" s="897"/>
      <c r="H437" s="897"/>
      <c r="I437" s="898"/>
      <c r="J437" s="898"/>
      <c r="K437" s="898"/>
      <c r="L437" s="898"/>
      <c r="M437" s="898"/>
      <c r="N437" s="898"/>
      <c r="O437" s="898"/>
      <c r="P437" s="898"/>
      <c r="Q437" s="898"/>
      <c r="R437" s="898"/>
      <c r="S437" s="898"/>
      <c r="T437" s="898"/>
      <c r="U437" s="898"/>
      <c r="V437" s="898"/>
      <c r="W437" s="898"/>
      <c r="X437" s="898"/>
      <c r="Y437" s="898"/>
      <c r="Z437" s="898"/>
      <c r="AA437" s="898"/>
      <c r="AB437" s="898"/>
      <c r="AC437" s="898"/>
      <c r="AD437" s="898"/>
      <c r="AE437" s="898"/>
      <c r="AF437" s="898"/>
      <c r="AG437" s="898"/>
      <c r="AH437" s="898"/>
      <c r="AI437" s="898"/>
      <c r="AJ437" s="898"/>
      <c r="AK437" s="897"/>
      <c r="AL437" s="897"/>
      <c r="AM437" s="897"/>
      <c r="AN437" s="897"/>
      <c r="AO437" s="897"/>
      <c r="AP437" s="897"/>
      <c r="AQ437" s="897"/>
      <c r="AR437" s="897"/>
    </row>
    <row r="438" spans="1:44" s="930" customFormat="1">
      <c r="A438" s="892"/>
      <c r="B438" s="899"/>
      <c r="C438" s="900"/>
      <c r="D438" s="894"/>
      <c r="E438" s="895"/>
      <c r="F438" s="896"/>
      <c r="G438" s="897"/>
      <c r="H438" s="897"/>
      <c r="I438" s="898"/>
      <c r="J438" s="898"/>
      <c r="K438" s="898"/>
      <c r="L438" s="898"/>
      <c r="M438" s="898"/>
      <c r="N438" s="898"/>
      <c r="O438" s="898"/>
      <c r="P438" s="898"/>
      <c r="Q438" s="898"/>
      <c r="R438" s="898"/>
      <c r="S438" s="898"/>
      <c r="T438" s="898"/>
      <c r="U438" s="898"/>
      <c r="V438" s="898"/>
      <c r="W438" s="898"/>
      <c r="X438" s="898"/>
      <c r="Y438" s="898"/>
      <c r="Z438" s="898"/>
      <c r="AA438" s="898"/>
      <c r="AB438" s="898"/>
      <c r="AC438" s="898"/>
      <c r="AD438" s="898"/>
      <c r="AE438" s="898"/>
      <c r="AF438" s="898"/>
      <c r="AG438" s="898"/>
      <c r="AH438" s="898"/>
      <c r="AI438" s="898"/>
      <c r="AJ438" s="898"/>
      <c r="AK438" s="897"/>
      <c r="AL438" s="897"/>
      <c r="AM438" s="897"/>
      <c r="AN438" s="897"/>
      <c r="AO438" s="897"/>
      <c r="AP438" s="897"/>
      <c r="AQ438" s="897"/>
      <c r="AR438" s="897"/>
    </row>
    <row r="439" spans="1:44" s="930" customFormat="1">
      <c r="A439" s="892"/>
      <c r="B439" s="899"/>
      <c r="C439" s="900"/>
      <c r="D439" s="894"/>
      <c r="E439" s="895"/>
      <c r="F439" s="896"/>
      <c r="G439" s="897"/>
      <c r="H439" s="897"/>
      <c r="I439" s="898"/>
      <c r="J439" s="898"/>
      <c r="K439" s="898"/>
      <c r="L439" s="898"/>
      <c r="M439" s="898"/>
      <c r="N439" s="898"/>
      <c r="O439" s="898"/>
      <c r="P439" s="898"/>
      <c r="Q439" s="898"/>
      <c r="R439" s="898"/>
      <c r="S439" s="898"/>
      <c r="T439" s="898"/>
      <c r="U439" s="898"/>
      <c r="V439" s="898"/>
      <c r="W439" s="898"/>
      <c r="X439" s="898"/>
      <c r="Y439" s="898"/>
      <c r="Z439" s="898"/>
      <c r="AA439" s="898"/>
      <c r="AB439" s="898"/>
      <c r="AC439" s="898"/>
      <c r="AD439" s="898"/>
      <c r="AE439" s="898"/>
      <c r="AF439" s="898"/>
      <c r="AG439" s="898"/>
      <c r="AH439" s="898"/>
      <c r="AI439" s="898"/>
      <c r="AJ439" s="898"/>
      <c r="AK439" s="897"/>
      <c r="AL439" s="897"/>
      <c r="AM439" s="897"/>
      <c r="AN439" s="897"/>
      <c r="AO439" s="897"/>
      <c r="AP439" s="897"/>
      <c r="AQ439" s="897"/>
      <c r="AR439" s="897"/>
    </row>
    <row r="440" spans="1:44" s="930" customFormat="1">
      <c r="A440" s="892"/>
      <c r="B440" s="899"/>
      <c r="C440" s="900"/>
      <c r="D440" s="894"/>
      <c r="E440" s="895"/>
      <c r="F440" s="896"/>
      <c r="G440" s="897"/>
      <c r="H440" s="897"/>
      <c r="I440" s="898"/>
      <c r="J440" s="898"/>
      <c r="K440" s="898"/>
      <c r="L440" s="898"/>
      <c r="M440" s="898"/>
      <c r="N440" s="898"/>
      <c r="O440" s="898"/>
      <c r="P440" s="898"/>
      <c r="Q440" s="898"/>
      <c r="R440" s="898"/>
      <c r="S440" s="898"/>
      <c r="T440" s="898"/>
      <c r="U440" s="898"/>
      <c r="V440" s="898"/>
      <c r="W440" s="898"/>
      <c r="X440" s="898"/>
      <c r="Y440" s="898"/>
      <c r="Z440" s="898"/>
      <c r="AA440" s="898"/>
      <c r="AB440" s="898"/>
      <c r="AC440" s="898"/>
      <c r="AD440" s="898"/>
      <c r="AE440" s="898"/>
      <c r="AF440" s="898"/>
      <c r="AG440" s="898"/>
      <c r="AH440" s="898"/>
      <c r="AI440" s="898"/>
      <c r="AJ440" s="898"/>
      <c r="AK440" s="897"/>
      <c r="AL440" s="897"/>
      <c r="AM440" s="897"/>
      <c r="AN440" s="897"/>
      <c r="AO440" s="897"/>
      <c r="AP440" s="897"/>
      <c r="AQ440" s="897"/>
      <c r="AR440" s="897"/>
    </row>
    <row r="441" spans="1:44" s="930" customFormat="1">
      <c r="A441" s="892"/>
      <c r="B441" s="899"/>
      <c r="C441" s="900"/>
      <c r="D441" s="894"/>
      <c r="E441" s="895"/>
      <c r="F441" s="896"/>
      <c r="G441" s="897"/>
      <c r="H441" s="897"/>
      <c r="I441" s="898"/>
      <c r="J441" s="898"/>
      <c r="K441" s="898"/>
      <c r="L441" s="898"/>
      <c r="M441" s="898"/>
      <c r="N441" s="898"/>
      <c r="O441" s="898"/>
      <c r="P441" s="898"/>
      <c r="Q441" s="898"/>
      <c r="R441" s="898"/>
      <c r="S441" s="898"/>
      <c r="T441" s="898"/>
      <c r="U441" s="898"/>
      <c r="V441" s="898"/>
      <c r="W441" s="898"/>
      <c r="X441" s="898"/>
      <c r="Y441" s="898"/>
      <c r="Z441" s="898"/>
      <c r="AA441" s="898"/>
      <c r="AB441" s="898"/>
      <c r="AC441" s="898"/>
      <c r="AD441" s="898"/>
      <c r="AE441" s="898"/>
      <c r="AF441" s="898"/>
      <c r="AG441" s="898"/>
      <c r="AH441" s="898"/>
      <c r="AI441" s="898"/>
      <c r="AJ441" s="898"/>
      <c r="AK441" s="897"/>
      <c r="AL441" s="897"/>
      <c r="AM441" s="897"/>
      <c r="AN441" s="897"/>
      <c r="AO441" s="897"/>
      <c r="AP441" s="897"/>
      <c r="AQ441" s="897"/>
      <c r="AR441" s="897"/>
    </row>
    <row r="442" spans="1:44" s="930" customFormat="1">
      <c r="A442" s="892"/>
      <c r="B442" s="899"/>
      <c r="C442" s="900"/>
      <c r="D442" s="894"/>
      <c r="E442" s="895"/>
      <c r="F442" s="896"/>
      <c r="G442" s="897"/>
      <c r="H442" s="897"/>
      <c r="I442" s="898"/>
      <c r="J442" s="898"/>
      <c r="K442" s="898"/>
      <c r="L442" s="898"/>
      <c r="M442" s="898"/>
      <c r="N442" s="898"/>
      <c r="O442" s="898"/>
      <c r="P442" s="898"/>
      <c r="Q442" s="898"/>
      <c r="R442" s="898"/>
      <c r="S442" s="898"/>
      <c r="T442" s="898"/>
      <c r="U442" s="898"/>
      <c r="V442" s="898"/>
      <c r="W442" s="898"/>
      <c r="X442" s="898"/>
      <c r="Y442" s="898"/>
      <c r="Z442" s="898"/>
      <c r="AA442" s="898"/>
      <c r="AB442" s="898"/>
      <c r="AC442" s="898"/>
      <c r="AD442" s="898"/>
      <c r="AE442" s="898"/>
      <c r="AF442" s="898"/>
      <c r="AG442" s="898"/>
      <c r="AH442" s="898"/>
      <c r="AI442" s="898"/>
      <c r="AJ442" s="898"/>
      <c r="AK442" s="897"/>
      <c r="AL442" s="897"/>
      <c r="AM442" s="897"/>
      <c r="AN442" s="897"/>
      <c r="AO442" s="897"/>
      <c r="AP442" s="897"/>
      <c r="AQ442" s="897"/>
      <c r="AR442" s="897"/>
    </row>
    <row r="443" spans="1:44" s="930" customFormat="1">
      <c r="A443" s="892"/>
      <c r="B443" s="899"/>
      <c r="C443" s="900"/>
      <c r="D443" s="894"/>
      <c r="E443" s="895"/>
      <c r="F443" s="896"/>
      <c r="G443" s="897"/>
      <c r="H443" s="897"/>
      <c r="I443" s="898"/>
      <c r="J443" s="898"/>
      <c r="K443" s="898"/>
      <c r="L443" s="898"/>
      <c r="M443" s="898"/>
      <c r="N443" s="898"/>
      <c r="O443" s="898"/>
      <c r="P443" s="898"/>
      <c r="Q443" s="898"/>
      <c r="R443" s="898"/>
      <c r="S443" s="898"/>
      <c r="T443" s="898"/>
      <c r="U443" s="898"/>
      <c r="V443" s="898"/>
      <c r="W443" s="898"/>
      <c r="X443" s="898"/>
      <c r="Y443" s="898"/>
      <c r="Z443" s="898"/>
      <c r="AA443" s="898"/>
      <c r="AB443" s="898"/>
      <c r="AC443" s="898"/>
      <c r="AD443" s="898"/>
      <c r="AE443" s="898"/>
      <c r="AF443" s="898"/>
      <c r="AG443" s="898"/>
      <c r="AH443" s="898"/>
      <c r="AI443" s="898"/>
      <c r="AJ443" s="898"/>
      <c r="AK443" s="897"/>
      <c r="AL443" s="897"/>
      <c r="AM443" s="897"/>
      <c r="AN443" s="897"/>
      <c r="AO443" s="897"/>
      <c r="AP443" s="897"/>
      <c r="AQ443" s="897"/>
      <c r="AR443" s="897"/>
    </row>
    <row r="444" spans="1:44" s="930" customFormat="1">
      <c r="A444" s="892"/>
      <c r="B444" s="899"/>
      <c r="C444" s="900"/>
      <c r="D444" s="894"/>
      <c r="E444" s="895"/>
      <c r="F444" s="896"/>
      <c r="G444" s="897"/>
      <c r="H444" s="897"/>
      <c r="I444" s="897"/>
      <c r="J444" s="897"/>
      <c r="K444" s="897"/>
      <c r="L444" s="898"/>
      <c r="M444" s="898"/>
      <c r="N444" s="898"/>
      <c r="O444" s="898"/>
      <c r="P444" s="898"/>
      <c r="Q444" s="898"/>
      <c r="R444" s="898"/>
      <c r="S444" s="898"/>
      <c r="T444" s="898"/>
      <c r="U444" s="898"/>
      <c r="V444" s="898"/>
      <c r="W444" s="898"/>
      <c r="X444" s="898"/>
      <c r="Y444" s="898"/>
      <c r="Z444" s="898"/>
      <c r="AA444" s="898"/>
      <c r="AB444" s="898"/>
      <c r="AC444" s="898"/>
      <c r="AD444" s="898"/>
      <c r="AE444" s="898"/>
      <c r="AF444" s="898"/>
      <c r="AG444" s="898"/>
      <c r="AH444" s="898"/>
      <c r="AI444" s="898"/>
      <c r="AJ444" s="898"/>
      <c r="AK444" s="897"/>
      <c r="AL444" s="897"/>
      <c r="AM444" s="897"/>
      <c r="AN444" s="897"/>
      <c r="AO444" s="897"/>
      <c r="AP444" s="897"/>
      <c r="AQ444" s="897"/>
      <c r="AR444" s="897"/>
    </row>
    <row r="445" spans="1:44" s="930" customFormat="1">
      <c r="A445" s="892"/>
      <c r="B445" s="899"/>
      <c r="C445" s="900"/>
      <c r="D445" s="894"/>
      <c r="E445" s="895"/>
      <c r="F445" s="896"/>
      <c r="G445" s="897"/>
      <c r="H445" s="897"/>
      <c r="I445" s="897"/>
      <c r="J445" s="897"/>
      <c r="K445" s="897"/>
      <c r="L445" s="898"/>
      <c r="M445" s="898"/>
      <c r="N445" s="898"/>
      <c r="O445" s="898"/>
      <c r="P445" s="898"/>
      <c r="Q445" s="898"/>
      <c r="R445" s="898"/>
      <c r="S445" s="898"/>
      <c r="T445" s="898"/>
      <c r="U445" s="898"/>
      <c r="V445" s="898"/>
      <c r="W445" s="898"/>
      <c r="X445" s="898"/>
      <c r="Y445" s="898"/>
      <c r="Z445" s="898"/>
      <c r="AA445" s="898"/>
      <c r="AB445" s="898"/>
      <c r="AC445" s="898"/>
      <c r="AD445" s="898"/>
      <c r="AE445" s="898"/>
      <c r="AF445" s="898"/>
      <c r="AG445" s="898"/>
      <c r="AH445" s="898"/>
      <c r="AI445" s="898"/>
      <c r="AJ445" s="898"/>
      <c r="AK445" s="897"/>
      <c r="AL445" s="897"/>
      <c r="AM445" s="897"/>
      <c r="AN445" s="897"/>
      <c r="AO445" s="897"/>
      <c r="AP445" s="897"/>
      <c r="AQ445" s="897"/>
      <c r="AR445" s="897"/>
    </row>
    <row r="446" spans="1:44" s="930" customFormat="1">
      <c r="A446" s="892"/>
      <c r="B446" s="899"/>
      <c r="C446" s="900"/>
      <c r="D446" s="894"/>
      <c r="E446" s="895"/>
      <c r="F446" s="896"/>
      <c r="G446" s="897"/>
      <c r="H446" s="897"/>
      <c r="I446" s="897"/>
      <c r="J446" s="897"/>
      <c r="K446" s="897"/>
      <c r="L446" s="898"/>
      <c r="M446" s="898"/>
      <c r="N446" s="898"/>
      <c r="O446" s="898"/>
      <c r="P446" s="898"/>
      <c r="Q446" s="898"/>
      <c r="R446" s="898"/>
      <c r="S446" s="898"/>
      <c r="T446" s="898"/>
      <c r="U446" s="898"/>
      <c r="V446" s="898"/>
      <c r="W446" s="898"/>
      <c r="X446" s="898"/>
      <c r="Y446" s="898"/>
      <c r="Z446" s="898"/>
      <c r="AA446" s="898"/>
      <c r="AB446" s="898"/>
      <c r="AC446" s="898"/>
      <c r="AD446" s="898"/>
      <c r="AE446" s="898"/>
      <c r="AF446" s="898"/>
      <c r="AG446" s="898"/>
      <c r="AH446" s="898"/>
      <c r="AI446" s="898"/>
      <c r="AJ446" s="898"/>
      <c r="AK446" s="897"/>
      <c r="AL446" s="897"/>
      <c r="AM446" s="897"/>
      <c r="AN446" s="897"/>
      <c r="AO446" s="897"/>
      <c r="AP446" s="897"/>
      <c r="AQ446" s="897"/>
      <c r="AR446" s="897"/>
    </row>
    <row r="447" spans="1:44" s="930" customFormat="1">
      <c r="A447" s="892"/>
      <c r="B447" s="899"/>
      <c r="C447" s="900"/>
      <c r="D447" s="894"/>
      <c r="E447" s="895"/>
      <c r="F447" s="896"/>
      <c r="G447" s="897"/>
      <c r="H447" s="897"/>
      <c r="I447" s="897"/>
      <c r="J447" s="897"/>
      <c r="K447" s="897"/>
      <c r="L447" s="898"/>
      <c r="M447" s="898"/>
      <c r="N447" s="898"/>
      <c r="O447" s="898"/>
      <c r="P447" s="898"/>
      <c r="Q447" s="898"/>
      <c r="R447" s="898"/>
      <c r="S447" s="898"/>
      <c r="T447" s="898"/>
      <c r="U447" s="898"/>
      <c r="V447" s="898"/>
      <c r="W447" s="898"/>
      <c r="X447" s="898"/>
      <c r="Y447" s="898"/>
      <c r="Z447" s="898"/>
      <c r="AA447" s="898"/>
      <c r="AB447" s="898"/>
      <c r="AC447" s="898"/>
      <c r="AD447" s="898"/>
      <c r="AE447" s="898"/>
      <c r="AF447" s="898"/>
      <c r="AG447" s="898"/>
      <c r="AH447" s="898"/>
      <c r="AI447" s="898"/>
      <c r="AJ447" s="898"/>
      <c r="AK447" s="897"/>
      <c r="AL447" s="897"/>
      <c r="AM447" s="897"/>
      <c r="AN447" s="897"/>
      <c r="AO447" s="897"/>
      <c r="AP447" s="897"/>
      <c r="AQ447" s="897"/>
      <c r="AR447" s="897"/>
    </row>
    <row r="448" spans="1:44" s="930" customFormat="1">
      <c r="A448" s="892"/>
      <c r="B448" s="899"/>
      <c r="C448" s="900"/>
      <c r="D448" s="894"/>
      <c r="E448" s="895"/>
      <c r="F448" s="896"/>
      <c r="G448" s="897"/>
      <c r="H448" s="897"/>
      <c r="I448" s="897"/>
      <c r="J448" s="897"/>
      <c r="K448" s="897"/>
      <c r="L448" s="898"/>
      <c r="M448" s="898"/>
      <c r="N448" s="898"/>
      <c r="O448" s="898"/>
      <c r="P448" s="898"/>
      <c r="Q448" s="898"/>
      <c r="R448" s="898"/>
      <c r="S448" s="898"/>
      <c r="T448" s="898"/>
      <c r="U448" s="898"/>
      <c r="V448" s="898"/>
      <c r="W448" s="898"/>
      <c r="X448" s="898"/>
      <c r="Y448" s="898"/>
      <c r="Z448" s="898"/>
      <c r="AA448" s="898"/>
      <c r="AB448" s="898"/>
      <c r="AC448" s="898"/>
      <c r="AD448" s="898"/>
      <c r="AE448" s="898"/>
      <c r="AF448" s="898"/>
      <c r="AG448" s="898"/>
      <c r="AH448" s="898"/>
      <c r="AI448" s="898"/>
      <c r="AJ448" s="898"/>
      <c r="AK448" s="897"/>
      <c r="AL448" s="897"/>
      <c r="AM448" s="897"/>
      <c r="AN448" s="897"/>
      <c r="AO448" s="897"/>
      <c r="AP448" s="897"/>
      <c r="AQ448" s="897"/>
      <c r="AR448" s="897"/>
    </row>
    <row r="449" spans="1:44" s="930" customFormat="1">
      <c r="A449" s="892"/>
      <c r="B449" s="899"/>
      <c r="C449" s="900"/>
      <c r="D449" s="894"/>
      <c r="E449" s="895"/>
      <c r="F449" s="896"/>
      <c r="G449" s="897"/>
      <c r="H449" s="897"/>
      <c r="I449" s="897"/>
      <c r="J449" s="897"/>
      <c r="K449" s="897"/>
      <c r="L449" s="898"/>
      <c r="M449" s="898"/>
      <c r="N449" s="898"/>
      <c r="O449" s="898"/>
      <c r="P449" s="898"/>
      <c r="Q449" s="898"/>
      <c r="R449" s="898"/>
      <c r="S449" s="898"/>
      <c r="T449" s="898"/>
      <c r="U449" s="898"/>
      <c r="V449" s="898"/>
      <c r="W449" s="898"/>
      <c r="X449" s="898"/>
      <c r="Y449" s="898"/>
      <c r="Z449" s="898"/>
      <c r="AA449" s="898"/>
      <c r="AB449" s="898"/>
      <c r="AC449" s="898"/>
      <c r="AD449" s="898"/>
      <c r="AE449" s="898"/>
      <c r="AF449" s="898"/>
      <c r="AG449" s="898"/>
      <c r="AH449" s="898"/>
      <c r="AI449" s="898"/>
      <c r="AJ449" s="898"/>
      <c r="AK449" s="897"/>
      <c r="AL449" s="897"/>
      <c r="AM449" s="897"/>
      <c r="AN449" s="897"/>
      <c r="AO449" s="897"/>
      <c r="AP449" s="897"/>
      <c r="AQ449" s="897"/>
      <c r="AR449" s="897"/>
    </row>
    <row r="450" spans="1:44" s="930" customFormat="1">
      <c r="A450" s="892"/>
      <c r="B450" s="899"/>
      <c r="C450" s="900"/>
      <c r="D450" s="894"/>
      <c r="E450" s="895"/>
      <c r="F450" s="896"/>
      <c r="G450" s="897"/>
      <c r="H450" s="897"/>
      <c r="I450" s="897"/>
      <c r="J450" s="897"/>
      <c r="K450" s="897"/>
      <c r="L450" s="898"/>
      <c r="M450" s="898"/>
      <c r="N450" s="898"/>
      <c r="O450" s="898"/>
      <c r="P450" s="898"/>
      <c r="Q450" s="898"/>
      <c r="R450" s="898"/>
      <c r="S450" s="898"/>
      <c r="T450" s="898"/>
      <c r="U450" s="898"/>
      <c r="V450" s="898"/>
      <c r="W450" s="898"/>
      <c r="X450" s="898"/>
      <c r="Y450" s="898"/>
      <c r="Z450" s="898"/>
      <c r="AA450" s="898"/>
      <c r="AB450" s="898"/>
      <c r="AC450" s="898"/>
      <c r="AD450" s="898"/>
      <c r="AE450" s="898"/>
      <c r="AF450" s="898"/>
      <c r="AG450" s="898"/>
      <c r="AH450" s="898"/>
      <c r="AI450" s="898"/>
      <c r="AJ450" s="898"/>
      <c r="AK450" s="897"/>
      <c r="AL450" s="897"/>
      <c r="AM450" s="897"/>
      <c r="AN450" s="897"/>
      <c r="AO450" s="897"/>
      <c r="AP450" s="897"/>
      <c r="AQ450" s="897"/>
      <c r="AR450" s="897"/>
    </row>
    <row r="451" spans="1:44" s="930" customFormat="1">
      <c r="A451" s="892"/>
      <c r="B451" s="899"/>
      <c r="C451" s="900"/>
      <c r="D451" s="894"/>
      <c r="E451" s="895"/>
      <c r="F451" s="896"/>
      <c r="G451" s="897"/>
      <c r="H451" s="897"/>
      <c r="I451" s="897"/>
      <c r="J451" s="897"/>
      <c r="K451" s="897"/>
      <c r="L451" s="898"/>
      <c r="M451" s="898"/>
      <c r="N451" s="898"/>
      <c r="O451" s="898"/>
      <c r="P451" s="898"/>
      <c r="Q451" s="898"/>
      <c r="R451" s="898"/>
      <c r="S451" s="898"/>
      <c r="T451" s="898"/>
      <c r="U451" s="898"/>
      <c r="V451" s="898"/>
      <c r="W451" s="898"/>
      <c r="X451" s="898"/>
      <c r="Y451" s="898"/>
      <c r="Z451" s="898"/>
      <c r="AA451" s="898"/>
      <c r="AB451" s="898"/>
      <c r="AC451" s="898"/>
      <c r="AD451" s="898"/>
      <c r="AE451" s="898"/>
      <c r="AF451" s="898"/>
      <c r="AG451" s="898"/>
      <c r="AH451" s="898"/>
      <c r="AI451" s="898"/>
      <c r="AJ451" s="898"/>
      <c r="AK451" s="897"/>
      <c r="AL451" s="897"/>
      <c r="AM451" s="897"/>
      <c r="AN451" s="897"/>
      <c r="AO451" s="897"/>
      <c r="AP451" s="897"/>
      <c r="AQ451" s="897"/>
      <c r="AR451" s="897"/>
    </row>
    <row r="452" spans="1:44" s="930" customFormat="1">
      <c r="A452" s="892"/>
      <c r="B452" s="899"/>
      <c r="C452" s="900"/>
      <c r="D452" s="894"/>
      <c r="E452" s="895"/>
      <c r="F452" s="896"/>
      <c r="G452" s="897"/>
      <c r="H452" s="897"/>
      <c r="I452" s="897"/>
      <c r="J452" s="897"/>
      <c r="K452" s="897"/>
      <c r="L452" s="898"/>
      <c r="M452" s="898"/>
      <c r="N452" s="898"/>
      <c r="O452" s="898"/>
      <c r="P452" s="898"/>
      <c r="Q452" s="898"/>
      <c r="R452" s="898"/>
      <c r="S452" s="898"/>
      <c r="T452" s="898"/>
      <c r="U452" s="898"/>
      <c r="V452" s="898"/>
      <c r="W452" s="898"/>
      <c r="X452" s="898"/>
      <c r="Y452" s="898"/>
      <c r="Z452" s="898"/>
      <c r="AA452" s="898"/>
      <c r="AB452" s="898"/>
      <c r="AC452" s="898"/>
      <c r="AD452" s="898"/>
      <c r="AE452" s="898"/>
      <c r="AF452" s="898"/>
      <c r="AG452" s="898"/>
      <c r="AH452" s="898"/>
      <c r="AI452" s="898"/>
      <c r="AJ452" s="898"/>
      <c r="AK452" s="897"/>
      <c r="AL452" s="897"/>
      <c r="AM452" s="897"/>
      <c r="AN452" s="897"/>
      <c r="AO452" s="897"/>
      <c r="AP452" s="897"/>
      <c r="AQ452" s="897"/>
      <c r="AR452" s="897"/>
    </row>
    <row r="453" spans="1:44" s="930" customFormat="1">
      <c r="A453" s="892"/>
      <c r="B453" s="899"/>
      <c r="C453" s="900"/>
      <c r="D453" s="894"/>
      <c r="E453" s="895"/>
      <c r="F453" s="896"/>
      <c r="G453" s="897"/>
      <c r="H453" s="897"/>
      <c r="I453" s="897"/>
      <c r="J453" s="897"/>
      <c r="K453" s="897"/>
      <c r="L453" s="898"/>
      <c r="M453" s="898"/>
      <c r="N453" s="898"/>
      <c r="O453" s="898"/>
      <c r="P453" s="898"/>
      <c r="Q453" s="898"/>
      <c r="R453" s="898"/>
      <c r="S453" s="898"/>
      <c r="T453" s="898"/>
      <c r="U453" s="898"/>
      <c r="V453" s="898"/>
      <c r="W453" s="898"/>
      <c r="X453" s="898"/>
      <c r="Y453" s="898"/>
      <c r="Z453" s="898"/>
      <c r="AA453" s="898"/>
      <c r="AB453" s="898"/>
      <c r="AC453" s="898"/>
      <c r="AD453" s="898"/>
      <c r="AE453" s="898"/>
      <c r="AF453" s="898"/>
      <c r="AG453" s="898"/>
      <c r="AH453" s="898"/>
      <c r="AI453" s="898"/>
      <c r="AJ453" s="898"/>
      <c r="AK453" s="897"/>
      <c r="AL453" s="897"/>
      <c r="AM453" s="897"/>
      <c r="AN453" s="897"/>
      <c r="AO453" s="897"/>
      <c r="AP453" s="897"/>
      <c r="AQ453" s="897"/>
      <c r="AR453" s="897"/>
    </row>
    <row r="454" spans="1:44" s="930" customFormat="1">
      <c r="A454" s="892"/>
      <c r="B454" s="899"/>
      <c r="C454" s="900"/>
      <c r="D454" s="894"/>
      <c r="E454" s="895"/>
      <c r="F454" s="896"/>
      <c r="G454" s="897"/>
      <c r="H454" s="897"/>
      <c r="I454" s="897"/>
      <c r="J454" s="897"/>
      <c r="K454" s="897"/>
      <c r="L454" s="898"/>
      <c r="M454" s="898"/>
      <c r="N454" s="898"/>
      <c r="O454" s="898"/>
      <c r="P454" s="898"/>
      <c r="Q454" s="898"/>
      <c r="R454" s="898"/>
      <c r="S454" s="898"/>
      <c r="T454" s="898"/>
      <c r="U454" s="898"/>
      <c r="V454" s="898"/>
      <c r="W454" s="898"/>
      <c r="X454" s="898"/>
      <c r="Y454" s="898"/>
      <c r="Z454" s="898"/>
      <c r="AA454" s="898"/>
      <c r="AB454" s="898"/>
      <c r="AC454" s="898"/>
      <c r="AD454" s="898"/>
      <c r="AE454" s="898"/>
      <c r="AF454" s="898"/>
      <c r="AG454" s="898"/>
      <c r="AH454" s="898"/>
      <c r="AI454" s="898"/>
      <c r="AJ454" s="898"/>
      <c r="AK454" s="897"/>
      <c r="AL454" s="897"/>
      <c r="AM454" s="897"/>
      <c r="AN454" s="897"/>
      <c r="AO454" s="897"/>
      <c r="AP454" s="897"/>
      <c r="AQ454" s="897"/>
      <c r="AR454" s="897"/>
    </row>
    <row r="455" spans="1:44" s="930" customFormat="1">
      <c r="A455" s="892"/>
      <c r="B455" s="899"/>
      <c r="C455" s="900"/>
      <c r="D455" s="894"/>
      <c r="E455" s="895"/>
      <c r="F455" s="896"/>
      <c r="G455" s="897"/>
      <c r="H455" s="897"/>
      <c r="I455" s="897"/>
      <c r="J455" s="897"/>
      <c r="K455" s="897"/>
      <c r="L455" s="898"/>
      <c r="M455" s="898"/>
      <c r="N455" s="898"/>
      <c r="O455" s="898"/>
      <c r="P455" s="898"/>
      <c r="Q455" s="898"/>
      <c r="R455" s="898"/>
      <c r="S455" s="898"/>
      <c r="T455" s="898"/>
      <c r="U455" s="898"/>
      <c r="V455" s="898"/>
      <c r="W455" s="898"/>
      <c r="X455" s="898"/>
      <c r="Y455" s="898"/>
      <c r="Z455" s="898"/>
      <c r="AA455" s="898"/>
      <c r="AB455" s="898"/>
      <c r="AC455" s="898"/>
      <c r="AD455" s="898"/>
      <c r="AE455" s="898"/>
      <c r="AF455" s="898"/>
      <c r="AG455" s="898"/>
      <c r="AH455" s="898"/>
      <c r="AI455" s="898"/>
      <c r="AJ455" s="898"/>
      <c r="AK455" s="897"/>
      <c r="AL455" s="897"/>
      <c r="AM455" s="897"/>
      <c r="AN455" s="897"/>
      <c r="AO455" s="897"/>
      <c r="AP455" s="897"/>
      <c r="AQ455" s="897"/>
      <c r="AR455" s="897"/>
    </row>
    <row r="456" spans="1:44" s="930" customFormat="1">
      <c r="A456" s="892"/>
      <c r="B456" s="899"/>
      <c r="C456" s="900"/>
      <c r="D456" s="894"/>
      <c r="E456" s="895"/>
      <c r="F456" s="896"/>
      <c r="G456" s="897"/>
      <c r="H456" s="897"/>
      <c r="I456" s="897"/>
      <c r="J456" s="897"/>
      <c r="K456" s="897"/>
      <c r="L456" s="898"/>
      <c r="M456" s="898"/>
      <c r="N456" s="898"/>
      <c r="O456" s="898"/>
      <c r="P456" s="898"/>
      <c r="Q456" s="898"/>
      <c r="R456" s="898"/>
      <c r="S456" s="898"/>
      <c r="T456" s="898"/>
      <c r="U456" s="898"/>
      <c r="V456" s="898"/>
      <c r="W456" s="898"/>
      <c r="X456" s="898"/>
      <c r="Y456" s="898"/>
      <c r="Z456" s="898"/>
      <c r="AA456" s="898"/>
      <c r="AB456" s="898"/>
      <c r="AC456" s="898"/>
      <c r="AD456" s="898"/>
      <c r="AE456" s="898"/>
      <c r="AF456" s="898"/>
      <c r="AG456" s="898"/>
      <c r="AH456" s="898"/>
      <c r="AI456" s="898"/>
      <c r="AJ456" s="898"/>
      <c r="AK456" s="897"/>
      <c r="AL456" s="897"/>
      <c r="AM456" s="897"/>
      <c r="AN456" s="897"/>
      <c r="AO456" s="897"/>
      <c r="AP456" s="897"/>
      <c r="AQ456" s="897"/>
      <c r="AR456" s="897"/>
    </row>
    <row r="457" spans="1:44" s="930" customFormat="1">
      <c r="A457" s="892"/>
      <c r="B457" s="899"/>
      <c r="C457" s="900"/>
      <c r="D457" s="894"/>
      <c r="E457" s="895"/>
      <c r="F457" s="896"/>
      <c r="G457" s="897"/>
      <c r="H457" s="897"/>
      <c r="I457" s="897"/>
      <c r="J457" s="897"/>
      <c r="K457" s="897"/>
      <c r="L457" s="898"/>
      <c r="M457" s="898"/>
      <c r="N457" s="898"/>
      <c r="O457" s="898"/>
      <c r="P457" s="898"/>
      <c r="Q457" s="898"/>
      <c r="R457" s="898"/>
      <c r="S457" s="898"/>
      <c r="T457" s="898"/>
      <c r="U457" s="898"/>
      <c r="V457" s="898"/>
      <c r="W457" s="898"/>
      <c r="X457" s="898"/>
      <c r="Y457" s="898"/>
      <c r="Z457" s="898"/>
      <c r="AA457" s="898"/>
      <c r="AB457" s="898"/>
      <c r="AC457" s="898"/>
      <c r="AD457" s="898"/>
      <c r="AE457" s="898"/>
      <c r="AF457" s="898"/>
      <c r="AG457" s="898"/>
      <c r="AH457" s="898"/>
      <c r="AI457" s="898"/>
      <c r="AJ457" s="898"/>
      <c r="AK457" s="897"/>
      <c r="AL457" s="897"/>
      <c r="AM457" s="897"/>
      <c r="AN457" s="897"/>
      <c r="AO457" s="897"/>
      <c r="AP457" s="897"/>
      <c r="AQ457" s="897"/>
      <c r="AR457" s="897"/>
    </row>
    <row r="458" spans="1:44" s="930" customFormat="1">
      <c r="A458" s="892"/>
      <c r="B458" s="899"/>
      <c r="C458" s="900"/>
      <c r="D458" s="894"/>
      <c r="E458" s="895"/>
      <c r="F458" s="896"/>
      <c r="G458" s="897"/>
      <c r="H458" s="897"/>
      <c r="I458" s="897"/>
      <c r="J458" s="897"/>
      <c r="K458" s="897"/>
      <c r="L458" s="898"/>
      <c r="M458" s="898"/>
      <c r="N458" s="898"/>
      <c r="O458" s="898"/>
      <c r="P458" s="898"/>
      <c r="Q458" s="898"/>
      <c r="R458" s="898"/>
      <c r="S458" s="898"/>
      <c r="T458" s="898"/>
      <c r="U458" s="898"/>
      <c r="V458" s="898"/>
      <c r="W458" s="898"/>
      <c r="X458" s="898"/>
      <c r="Y458" s="898"/>
      <c r="Z458" s="898"/>
      <c r="AA458" s="898"/>
      <c r="AB458" s="898"/>
      <c r="AC458" s="898"/>
      <c r="AD458" s="898"/>
      <c r="AE458" s="898"/>
      <c r="AF458" s="898"/>
      <c r="AG458" s="898"/>
      <c r="AH458" s="898"/>
      <c r="AI458" s="898"/>
      <c r="AJ458" s="898"/>
      <c r="AK458" s="897"/>
      <c r="AL458" s="897"/>
      <c r="AM458" s="897"/>
      <c r="AN458" s="897"/>
      <c r="AO458" s="897"/>
      <c r="AP458" s="897"/>
      <c r="AQ458" s="897"/>
      <c r="AR458" s="897"/>
    </row>
    <row r="459" spans="1:44" s="930" customFormat="1">
      <c r="A459" s="892"/>
      <c r="B459" s="899"/>
      <c r="C459" s="900"/>
      <c r="D459" s="894"/>
      <c r="E459" s="895"/>
      <c r="F459" s="896"/>
      <c r="G459" s="897"/>
      <c r="H459" s="897"/>
      <c r="I459" s="897"/>
      <c r="J459" s="897"/>
      <c r="K459" s="897"/>
      <c r="L459" s="898"/>
      <c r="M459" s="898"/>
      <c r="N459" s="898"/>
      <c r="O459" s="898"/>
      <c r="P459" s="898"/>
      <c r="Q459" s="898"/>
      <c r="R459" s="898"/>
      <c r="S459" s="898"/>
      <c r="T459" s="898"/>
      <c r="U459" s="898"/>
      <c r="V459" s="898"/>
      <c r="W459" s="898"/>
      <c r="X459" s="898"/>
      <c r="Y459" s="898"/>
      <c r="Z459" s="898"/>
      <c r="AA459" s="898"/>
      <c r="AB459" s="898"/>
      <c r="AC459" s="898"/>
      <c r="AD459" s="898"/>
      <c r="AE459" s="898"/>
      <c r="AF459" s="898"/>
      <c r="AG459" s="898"/>
      <c r="AH459" s="898"/>
      <c r="AI459" s="898"/>
      <c r="AJ459" s="898"/>
      <c r="AK459" s="897"/>
      <c r="AL459" s="897"/>
      <c r="AM459" s="897"/>
      <c r="AN459" s="897"/>
      <c r="AO459" s="897"/>
      <c r="AP459" s="897"/>
      <c r="AQ459" s="897"/>
      <c r="AR459" s="897"/>
    </row>
    <row r="460" spans="1:44" s="930" customFormat="1">
      <c r="A460" s="892"/>
      <c r="B460" s="899"/>
      <c r="C460" s="900"/>
      <c r="D460" s="894"/>
      <c r="E460" s="895"/>
      <c r="F460" s="896"/>
      <c r="G460" s="897"/>
      <c r="H460" s="897"/>
      <c r="I460" s="897"/>
      <c r="J460" s="897"/>
      <c r="K460" s="897"/>
      <c r="L460" s="898"/>
      <c r="M460" s="898"/>
      <c r="N460" s="898"/>
      <c r="O460" s="898"/>
      <c r="P460" s="898"/>
      <c r="Q460" s="898"/>
      <c r="R460" s="898"/>
      <c r="S460" s="898"/>
      <c r="T460" s="898"/>
      <c r="U460" s="898"/>
      <c r="V460" s="898"/>
      <c r="W460" s="898"/>
      <c r="X460" s="898"/>
      <c r="Y460" s="898"/>
      <c r="Z460" s="898"/>
      <c r="AA460" s="898"/>
      <c r="AB460" s="898"/>
      <c r="AC460" s="898"/>
      <c r="AD460" s="898"/>
      <c r="AE460" s="898"/>
      <c r="AF460" s="898"/>
      <c r="AG460" s="898"/>
      <c r="AH460" s="898"/>
      <c r="AI460" s="898"/>
      <c r="AJ460" s="898"/>
      <c r="AK460" s="897"/>
      <c r="AL460" s="897"/>
      <c r="AM460" s="897"/>
      <c r="AN460" s="897"/>
      <c r="AO460" s="897"/>
      <c r="AP460" s="897"/>
      <c r="AQ460" s="897"/>
      <c r="AR460" s="897"/>
    </row>
    <row r="461" spans="1:44" s="930" customFormat="1">
      <c r="A461" s="892"/>
      <c r="B461" s="899"/>
      <c r="C461" s="900"/>
      <c r="D461" s="894"/>
      <c r="E461" s="895"/>
      <c r="F461" s="896"/>
      <c r="G461" s="897"/>
      <c r="H461" s="897"/>
      <c r="I461" s="897"/>
      <c r="J461" s="897"/>
      <c r="K461" s="897"/>
      <c r="L461" s="898"/>
      <c r="M461" s="898"/>
      <c r="N461" s="898"/>
      <c r="O461" s="898"/>
      <c r="P461" s="898"/>
      <c r="Q461" s="898"/>
      <c r="R461" s="898"/>
      <c r="S461" s="898"/>
      <c r="T461" s="898"/>
      <c r="U461" s="898"/>
      <c r="V461" s="898"/>
      <c r="W461" s="898"/>
      <c r="X461" s="898"/>
      <c r="Y461" s="898"/>
      <c r="Z461" s="898"/>
      <c r="AA461" s="898"/>
      <c r="AB461" s="898"/>
      <c r="AC461" s="898"/>
      <c r="AD461" s="898"/>
      <c r="AE461" s="898"/>
      <c r="AF461" s="898"/>
      <c r="AG461" s="898"/>
      <c r="AH461" s="898"/>
      <c r="AI461" s="898"/>
      <c r="AJ461" s="898"/>
      <c r="AK461" s="897"/>
      <c r="AL461" s="897"/>
      <c r="AM461" s="897"/>
      <c r="AN461" s="897"/>
      <c r="AO461" s="897"/>
      <c r="AP461" s="897"/>
      <c r="AQ461" s="897"/>
      <c r="AR461" s="897"/>
    </row>
    <row r="462" spans="1:44" s="930" customFormat="1">
      <c r="A462" s="892"/>
      <c r="B462" s="899"/>
      <c r="C462" s="900"/>
      <c r="D462" s="894"/>
      <c r="E462" s="895"/>
      <c r="F462" s="896"/>
      <c r="G462" s="897"/>
      <c r="H462" s="897"/>
      <c r="I462" s="897"/>
      <c r="J462" s="897"/>
      <c r="K462" s="897"/>
      <c r="L462" s="898"/>
      <c r="M462" s="898"/>
      <c r="N462" s="898"/>
      <c r="O462" s="898"/>
      <c r="P462" s="898"/>
      <c r="Q462" s="898"/>
      <c r="R462" s="898"/>
      <c r="S462" s="898"/>
      <c r="T462" s="898"/>
      <c r="U462" s="898"/>
      <c r="V462" s="898"/>
      <c r="W462" s="898"/>
      <c r="X462" s="898"/>
      <c r="Y462" s="898"/>
      <c r="Z462" s="898"/>
      <c r="AA462" s="898"/>
      <c r="AB462" s="898"/>
      <c r="AC462" s="898"/>
      <c r="AD462" s="898"/>
      <c r="AE462" s="898"/>
      <c r="AF462" s="898"/>
      <c r="AG462" s="898"/>
      <c r="AH462" s="898"/>
      <c r="AI462" s="898"/>
      <c r="AJ462" s="898"/>
      <c r="AK462" s="897"/>
      <c r="AL462" s="897"/>
      <c r="AM462" s="897"/>
      <c r="AN462" s="897"/>
      <c r="AO462" s="897"/>
      <c r="AP462" s="897"/>
      <c r="AQ462" s="897"/>
      <c r="AR462" s="897"/>
    </row>
    <row r="463" spans="1:44" s="930" customFormat="1">
      <c r="A463" s="892"/>
      <c r="B463" s="899"/>
      <c r="C463" s="900"/>
      <c r="D463" s="894"/>
      <c r="E463" s="895"/>
      <c r="F463" s="896"/>
      <c r="G463" s="897"/>
      <c r="H463" s="897"/>
      <c r="I463" s="897"/>
      <c r="J463" s="897"/>
      <c r="K463" s="897"/>
      <c r="L463" s="898"/>
      <c r="M463" s="898"/>
      <c r="N463" s="898"/>
      <c r="O463" s="898"/>
      <c r="P463" s="898"/>
      <c r="Q463" s="898"/>
      <c r="R463" s="898"/>
      <c r="S463" s="898"/>
      <c r="T463" s="898"/>
      <c r="U463" s="898"/>
      <c r="V463" s="898"/>
      <c r="W463" s="898"/>
      <c r="X463" s="898"/>
      <c r="Y463" s="898"/>
      <c r="Z463" s="898"/>
      <c r="AA463" s="898"/>
      <c r="AB463" s="898"/>
      <c r="AC463" s="898"/>
      <c r="AD463" s="898"/>
      <c r="AE463" s="898"/>
      <c r="AF463" s="898"/>
      <c r="AG463" s="898"/>
      <c r="AH463" s="898"/>
      <c r="AI463" s="898"/>
      <c r="AJ463" s="898"/>
      <c r="AK463" s="897"/>
      <c r="AL463" s="897"/>
      <c r="AM463" s="897"/>
      <c r="AN463" s="897"/>
      <c r="AO463" s="897"/>
      <c r="AP463" s="897"/>
      <c r="AQ463" s="897"/>
      <c r="AR463" s="897"/>
    </row>
    <row r="464" spans="1:44" s="930" customFormat="1">
      <c r="A464" s="892"/>
      <c r="B464" s="899"/>
      <c r="C464" s="900"/>
      <c r="D464" s="894"/>
      <c r="E464" s="895"/>
      <c r="F464" s="896"/>
      <c r="G464" s="897"/>
      <c r="H464" s="897"/>
      <c r="I464" s="897"/>
      <c r="J464" s="897"/>
      <c r="K464" s="897"/>
      <c r="L464" s="898"/>
      <c r="M464" s="898"/>
      <c r="N464" s="898"/>
      <c r="O464" s="898"/>
      <c r="P464" s="898"/>
      <c r="Q464" s="898"/>
      <c r="R464" s="898"/>
      <c r="S464" s="898"/>
      <c r="T464" s="898"/>
      <c r="U464" s="898"/>
      <c r="V464" s="898"/>
      <c r="W464" s="898"/>
      <c r="X464" s="898"/>
      <c r="Y464" s="898"/>
      <c r="Z464" s="898"/>
      <c r="AA464" s="898"/>
      <c r="AB464" s="898"/>
      <c r="AC464" s="898"/>
      <c r="AD464" s="898"/>
      <c r="AE464" s="898"/>
      <c r="AF464" s="898"/>
      <c r="AG464" s="898"/>
      <c r="AH464" s="898"/>
      <c r="AI464" s="898"/>
      <c r="AJ464" s="898"/>
      <c r="AK464" s="897"/>
      <c r="AL464" s="897"/>
      <c r="AM464" s="897"/>
      <c r="AN464" s="897"/>
      <c r="AO464" s="897"/>
      <c r="AP464" s="897"/>
      <c r="AQ464" s="897"/>
      <c r="AR464" s="897"/>
    </row>
    <row r="465" spans="1:44" s="930" customFormat="1">
      <c r="A465" s="892"/>
      <c r="B465" s="899"/>
      <c r="C465" s="900"/>
      <c r="D465" s="894"/>
      <c r="E465" s="895"/>
      <c r="F465" s="896"/>
      <c r="G465" s="897"/>
      <c r="H465" s="897"/>
      <c r="I465" s="897"/>
      <c r="J465" s="897"/>
      <c r="K465" s="897"/>
      <c r="L465" s="898"/>
      <c r="M465" s="898"/>
      <c r="N465" s="898"/>
      <c r="O465" s="898"/>
      <c r="P465" s="898"/>
      <c r="Q465" s="898"/>
      <c r="R465" s="898"/>
      <c r="S465" s="898"/>
      <c r="T465" s="898"/>
      <c r="U465" s="898"/>
      <c r="V465" s="898"/>
      <c r="W465" s="898"/>
      <c r="X465" s="898"/>
      <c r="Y465" s="898"/>
      <c r="Z465" s="898"/>
      <c r="AA465" s="898"/>
      <c r="AB465" s="898"/>
      <c r="AC465" s="898"/>
      <c r="AD465" s="898"/>
      <c r="AE465" s="898"/>
      <c r="AF465" s="898"/>
      <c r="AG465" s="898"/>
      <c r="AH465" s="898"/>
      <c r="AI465" s="898"/>
      <c r="AJ465" s="898"/>
      <c r="AK465" s="897"/>
      <c r="AL465" s="897"/>
      <c r="AM465" s="897"/>
      <c r="AN465" s="897"/>
      <c r="AO465" s="897"/>
      <c r="AP465" s="897"/>
      <c r="AQ465" s="897"/>
      <c r="AR465" s="897"/>
    </row>
    <row r="466" spans="1:44" s="930" customFormat="1">
      <c r="A466" s="892"/>
      <c r="B466" s="899"/>
      <c r="C466" s="900"/>
      <c r="D466" s="894"/>
      <c r="E466" s="895"/>
      <c r="F466" s="896"/>
      <c r="G466" s="897"/>
      <c r="H466" s="897"/>
      <c r="I466" s="897"/>
      <c r="J466" s="897"/>
      <c r="K466" s="897"/>
      <c r="L466" s="898"/>
      <c r="M466" s="898"/>
      <c r="N466" s="898"/>
      <c r="O466" s="898"/>
      <c r="P466" s="898"/>
      <c r="Q466" s="898"/>
      <c r="R466" s="898"/>
      <c r="S466" s="898"/>
      <c r="T466" s="898"/>
      <c r="U466" s="898"/>
      <c r="V466" s="898"/>
      <c r="W466" s="898"/>
      <c r="X466" s="898"/>
      <c r="Y466" s="898"/>
      <c r="Z466" s="898"/>
      <c r="AA466" s="898"/>
      <c r="AB466" s="898"/>
      <c r="AC466" s="898"/>
      <c r="AD466" s="898"/>
      <c r="AE466" s="898"/>
      <c r="AF466" s="898"/>
      <c r="AG466" s="898"/>
      <c r="AH466" s="898"/>
      <c r="AI466" s="898"/>
      <c r="AJ466" s="898"/>
      <c r="AK466" s="897"/>
      <c r="AL466" s="897"/>
      <c r="AM466" s="897"/>
      <c r="AN466" s="897"/>
      <c r="AO466" s="897"/>
      <c r="AP466" s="897"/>
      <c r="AQ466" s="897"/>
      <c r="AR466" s="897"/>
    </row>
    <row r="467" spans="1:44" s="930" customFormat="1">
      <c r="A467" s="892"/>
      <c r="B467" s="899"/>
      <c r="C467" s="900"/>
      <c r="D467" s="894"/>
      <c r="E467" s="895"/>
      <c r="F467" s="896"/>
      <c r="G467" s="897"/>
      <c r="H467" s="897"/>
      <c r="I467" s="897"/>
      <c r="J467" s="897"/>
      <c r="K467" s="897"/>
      <c r="L467" s="898"/>
      <c r="M467" s="898"/>
      <c r="N467" s="898"/>
      <c r="O467" s="898"/>
      <c r="P467" s="898"/>
      <c r="Q467" s="898"/>
      <c r="R467" s="898"/>
      <c r="S467" s="898"/>
      <c r="T467" s="898"/>
      <c r="U467" s="898"/>
      <c r="V467" s="898"/>
      <c r="W467" s="898"/>
      <c r="X467" s="898"/>
      <c r="Y467" s="898"/>
      <c r="Z467" s="898"/>
      <c r="AA467" s="898"/>
      <c r="AB467" s="898"/>
      <c r="AC467" s="898"/>
      <c r="AD467" s="898"/>
      <c r="AE467" s="898"/>
      <c r="AF467" s="898"/>
      <c r="AG467" s="898"/>
      <c r="AH467" s="898"/>
      <c r="AI467" s="898"/>
      <c r="AJ467" s="898"/>
      <c r="AK467" s="897"/>
      <c r="AL467" s="897"/>
      <c r="AM467" s="897"/>
      <c r="AN467" s="897"/>
      <c r="AO467" s="897"/>
      <c r="AP467" s="897"/>
      <c r="AQ467" s="897"/>
      <c r="AR467" s="897"/>
    </row>
    <row r="468" spans="1:44" s="930" customFormat="1">
      <c r="A468" s="892"/>
      <c r="B468" s="899"/>
      <c r="C468" s="900"/>
      <c r="D468" s="894"/>
      <c r="E468" s="895"/>
      <c r="F468" s="896"/>
      <c r="G468" s="897"/>
      <c r="H468" s="897"/>
      <c r="I468" s="897"/>
      <c r="J468" s="897"/>
      <c r="K468" s="897"/>
      <c r="L468" s="898"/>
      <c r="M468" s="898"/>
      <c r="N468" s="898"/>
      <c r="O468" s="898"/>
      <c r="P468" s="898"/>
      <c r="Q468" s="898"/>
      <c r="R468" s="898"/>
      <c r="S468" s="898"/>
      <c r="T468" s="898"/>
      <c r="U468" s="898"/>
      <c r="V468" s="898"/>
      <c r="W468" s="898"/>
      <c r="X468" s="898"/>
      <c r="Y468" s="898"/>
      <c r="Z468" s="898"/>
      <c r="AA468" s="898"/>
      <c r="AB468" s="898"/>
      <c r="AC468" s="898"/>
      <c r="AD468" s="898"/>
      <c r="AE468" s="898"/>
      <c r="AF468" s="898"/>
      <c r="AG468" s="898"/>
      <c r="AH468" s="898"/>
      <c r="AI468" s="898"/>
      <c r="AJ468" s="898"/>
      <c r="AK468" s="897"/>
      <c r="AL468" s="897"/>
      <c r="AM468" s="897"/>
      <c r="AN468" s="897"/>
      <c r="AO468" s="897"/>
      <c r="AP468" s="897"/>
      <c r="AQ468" s="897"/>
      <c r="AR468" s="897"/>
    </row>
    <row r="469" spans="1:44" s="930" customFormat="1">
      <c r="A469" s="892"/>
      <c r="B469" s="899"/>
      <c r="C469" s="900"/>
      <c r="D469" s="894"/>
      <c r="E469" s="895"/>
      <c r="F469" s="896"/>
      <c r="G469" s="897"/>
      <c r="H469" s="897"/>
      <c r="I469" s="897"/>
      <c r="J469" s="897"/>
      <c r="K469" s="897"/>
      <c r="L469" s="898"/>
      <c r="M469" s="898"/>
      <c r="N469" s="898"/>
      <c r="O469" s="898"/>
      <c r="P469" s="898"/>
      <c r="Q469" s="898"/>
      <c r="R469" s="898"/>
      <c r="S469" s="898"/>
      <c r="T469" s="898"/>
      <c r="U469" s="898"/>
      <c r="V469" s="898"/>
      <c r="W469" s="898"/>
      <c r="X469" s="898"/>
      <c r="Y469" s="898"/>
      <c r="Z469" s="898"/>
      <c r="AA469" s="898"/>
      <c r="AB469" s="898"/>
      <c r="AC469" s="898"/>
      <c r="AD469" s="898"/>
      <c r="AE469" s="898"/>
      <c r="AF469" s="898"/>
      <c r="AG469" s="898"/>
      <c r="AH469" s="898"/>
      <c r="AI469" s="898"/>
      <c r="AJ469" s="898"/>
      <c r="AK469" s="897"/>
      <c r="AL469" s="897"/>
      <c r="AM469" s="897"/>
      <c r="AN469" s="897"/>
      <c r="AO469" s="897"/>
      <c r="AP469" s="897"/>
      <c r="AQ469" s="897"/>
      <c r="AR469" s="897"/>
    </row>
    <row r="470" spans="1:44" s="930" customFormat="1">
      <c r="A470" s="892"/>
      <c r="B470" s="899"/>
      <c r="C470" s="900"/>
      <c r="D470" s="894"/>
      <c r="E470" s="895"/>
      <c r="F470" s="896"/>
      <c r="G470" s="897"/>
      <c r="H470" s="897"/>
      <c r="I470" s="897"/>
      <c r="J470" s="897"/>
      <c r="K470" s="897"/>
      <c r="L470" s="898"/>
      <c r="M470" s="898"/>
      <c r="N470" s="898"/>
      <c r="O470" s="898"/>
      <c r="P470" s="898"/>
      <c r="Q470" s="898"/>
      <c r="R470" s="898"/>
      <c r="S470" s="898"/>
      <c r="T470" s="898"/>
      <c r="U470" s="898"/>
      <c r="V470" s="898"/>
      <c r="W470" s="898"/>
      <c r="X470" s="898"/>
      <c r="Y470" s="898"/>
      <c r="Z470" s="898"/>
      <c r="AA470" s="898"/>
      <c r="AB470" s="898"/>
      <c r="AC470" s="898"/>
      <c r="AD470" s="898"/>
      <c r="AE470" s="898"/>
      <c r="AF470" s="898"/>
      <c r="AG470" s="898"/>
      <c r="AH470" s="898"/>
      <c r="AI470" s="898"/>
      <c r="AJ470" s="898"/>
      <c r="AK470" s="897"/>
      <c r="AL470" s="897"/>
      <c r="AM470" s="897"/>
      <c r="AN470" s="897"/>
      <c r="AO470" s="897"/>
      <c r="AP470" s="897"/>
      <c r="AQ470" s="897"/>
      <c r="AR470" s="897"/>
    </row>
    <row r="471" spans="1:44" s="930" customFormat="1">
      <c r="A471" s="892"/>
      <c r="B471" s="899"/>
      <c r="C471" s="900"/>
      <c r="D471" s="894"/>
      <c r="E471" s="895"/>
      <c r="F471" s="896"/>
      <c r="G471" s="897"/>
      <c r="H471" s="897"/>
      <c r="I471" s="897"/>
      <c r="J471" s="897"/>
      <c r="K471" s="897"/>
      <c r="L471" s="898"/>
      <c r="M471" s="898"/>
      <c r="N471" s="898"/>
      <c r="O471" s="898"/>
      <c r="P471" s="898"/>
      <c r="Q471" s="898"/>
      <c r="R471" s="898"/>
      <c r="S471" s="898"/>
      <c r="T471" s="898"/>
      <c r="U471" s="898"/>
      <c r="V471" s="898"/>
      <c r="W471" s="898"/>
      <c r="X471" s="898"/>
      <c r="Y471" s="898"/>
      <c r="Z471" s="898"/>
      <c r="AA471" s="898"/>
      <c r="AB471" s="898"/>
      <c r="AC471" s="898"/>
      <c r="AD471" s="898"/>
      <c r="AE471" s="898"/>
      <c r="AF471" s="898"/>
      <c r="AG471" s="898"/>
      <c r="AH471" s="898"/>
      <c r="AI471" s="898"/>
      <c r="AJ471" s="898"/>
      <c r="AK471" s="897"/>
      <c r="AL471" s="897"/>
      <c r="AM471" s="897"/>
      <c r="AN471" s="897"/>
      <c r="AO471" s="897"/>
      <c r="AP471" s="897"/>
      <c r="AQ471" s="897"/>
      <c r="AR471" s="897"/>
    </row>
    <row r="472" spans="1:44" s="930" customFormat="1">
      <c r="A472" s="892"/>
      <c r="B472" s="899"/>
      <c r="C472" s="900"/>
      <c r="D472" s="894"/>
      <c r="E472" s="895"/>
      <c r="F472" s="896"/>
      <c r="G472" s="897"/>
      <c r="H472" s="897"/>
      <c r="I472" s="897"/>
      <c r="J472" s="897"/>
      <c r="K472" s="897"/>
      <c r="L472" s="898"/>
      <c r="M472" s="898"/>
      <c r="N472" s="898"/>
      <c r="O472" s="898"/>
      <c r="P472" s="898"/>
      <c r="Q472" s="898"/>
      <c r="R472" s="898"/>
      <c r="S472" s="898"/>
      <c r="T472" s="898"/>
      <c r="U472" s="898"/>
      <c r="V472" s="898"/>
      <c r="W472" s="898"/>
      <c r="X472" s="898"/>
      <c r="Y472" s="898"/>
      <c r="Z472" s="898"/>
      <c r="AA472" s="898"/>
      <c r="AB472" s="898"/>
      <c r="AC472" s="898"/>
      <c r="AD472" s="898"/>
      <c r="AE472" s="898"/>
      <c r="AF472" s="898"/>
      <c r="AG472" s="898"/>
      <c r="AH472" s="898"/>
      <c r="AI472" s="898"/>
      <c r="AJ472" s="898"/>
      <c r="AK472" s="897"/>
      <c r="AL472" s="897"/>
      <c r="AM472" s="897"/>
      <c r="AN472" s="897"/>
      <c r="AO472" s="897"/>
      <c r="AP472" s="897"/>
      <c r="AQ472" s="897"/>
      <c r="AR472" s="897"/>
    </row>
    <row r="473" spans="1:44" s="930" customFormat="1">
      <c r="A473" s="892"/>
      <c r="B473" s="899"/>
      <c r="C473" s="900"/>
      <c r="D473" s="894"/>
      <c r="E473" s="895"/>
      <c r="F473" s="896"/>
      <c r="G473" s="897"/>
      <c r="H473" s="897"/>
      <c r="I473" s="897"/>
      <c r="J473" s="897"/>
      <c r="K473" s="897"/>
      <c r="L473" s="898"/>
      <c r="M473" s="898"/>
      <c r="N473" s="898"/>
      <c r="O473" s="898"/>
      <c r="P473" s="898"/>
      <c r="Q473" s="898"/>
      <c r="R473" s="898"/>
      <c r="S473" s="898"/>
      <c r="T473" s="898"/>
      <c r="U473" s="898"/>
      <c r="V473" s="898"/>
      <c r="W473" s="898"/>
      <c r="X473" s="898"/>
      <c r="Y473" s="898"/>
      <c r="Z473" s="898"/>
      <c r="AA473" s="898"/>
      <c r="AB473" s="898"/>
      <c r="AC473" s="898"/>
      <c r="AD473" s="898"/>
      <c r="AE473" s="898"/>
      <c r="AF473" s="898"/>
      <c r="AG473" s="898"/>
      <c r="AH473" s="898"/>
      <c r="AI473" s="898"/>
      <c r="AJ473" s="898"/>
      <c r="AK473" s="897"/>
      <c r="AL473" s="897"/>
      <c r="AM473" s="897"/>
      <c r="AN473" s="897"/>
      <c r="AO473" s="897"/>
      <c r="AP473" s="897"/>
      <c r="AQ473" s="897"/>
      <c r="AR473" s="897"/>
    </row>
    <row r="474" spans="1:44" s="930" customFormat="1">
      <c r="A474" s="892"/>
      <c r="B474" s="899"/>
      <c r="C474" s="900"/>
      <c r="D474" s="894"/>
      <c r="E474" s="895"/>
      <c r="F474" s="896"/>
      <c r="G474" s="897"/>
      <c r="H474" s="897"/>
      <c r="I474" s="897"/>
      <c r="J474" s="897"/>
      <c r="K474" s="897"/>
      <c r="L474" s="898"/>
      <c r="M474" s="898"/>
      <c r="N474" s="898"/>
      <c r="O474" s="898"/>
      <c r="P474" s="898"/>
      <c r="Q474" s="898"/>
      <c r="R474" s="898"/>
      <c r="S474" s="898"/>
      <c r="T474" s="898"/>
      <c r="U474" s="898"/>
      <c r="V474" s="898"/>
      <c r="W474" s="898"/>
      <c r="X474" s="898"/>
      <c r="Y474" s="898"/>
      <c r="Z474" s="898"/>
      <c r="AA474" s="898"/>
      <c r="AB474" s="898"/>
      <c r="AC474" s="898"/>
      <c r="AD474" s="898"/>
      <c r="AE474" s="898"/>
      <c r="AF474" s="898"/>
      <c r="AG474" s="898"/>
      <c r="AH474" s="898"/>
      <c r="AI474" s="898"/>
      <c r="AJ474" s="898"/>
      <c r="AK474" s="897"/>
      <c r="AL474" s="897"/>
      <c r="AM474" s="897"/>
      <c r="AN474" s="897"/>
      <c r="AO474" s="897"/>
      <c r="AP474" s="897"/>
      <c r="AQ474" s="897"/>
      <c r="AR474" s="897"/>
    </row>
    <row r="475" spans="1:44" s="930" customFormat="1">
      <c r="A475" s="892"/>
      <c r="B475" s="899"/>
      <c r="C475" s="900"/>
      <c r="D475" s="894"/>
      <c r="E475" s="895"/>
      <c r="F475" s="896"/>
      <c r="G475" s="897"/>
      <c r="H475" s="897"/>
      <c r="I475" s="897"/>
      <c r="J475" s="897"/>
      <c r="K475" s="897"/>
      <c r="L475" s="898"/>
      <c r="M475" s="898"/>
      <c r="N475" s="898"/>
      <c r="O475" s="898"/>
      <c r="P475" s="898"/>
      <c r="Q475" s="898"/>
      <c r="R475" s="898"/>
      <c r="S475" s="898"/>
      <c r="T475" s="898"/>
      <c r="U475" s="898"/>
      <c r="V475" s="898"/>
      <c r="W475" s="898"/>
      <c r="X475" s="898"/>
      <c r="Y475" s="898"/>
      <c r="Z475" s="898"/>
      <c r="AA475" s="898"/>
      <c r="AB475" s="898"/>
      <c r="AC475" s="898"/>
      <c r="AD475" s="898"/>
      <c r="AE475" s="898"/>
      <c r="AF475" s="898"/>
      <c r="AG475" s="898"/>
      <c r="AH475" s="898"/>
      <c r="AI475" s="898"/>
      <c r="AJ475" s="898"/>
      <c r="AK475" s="897"/>
      <c r="AL475" s="897"/>
      <c r="AM475" s="897"/>
      <c r="AN475" s="897"/>
      <c r="AO475" s="897"/>
      <c r="AP475" s="897"/>
      <c r="AQ475" s="897"/>
      <c r="AR475" s="897"/>
    </row>
    <row r="476" spans="1:44" s="930" customFormat="1">
      <c r="A476" s="892"/>
      <c r="B476" s="899"/>
      <c r="C476" s="900"/>
      <c r="D476" s="894"/>
      <c r="E476" s="895"/>
      <c r="F476" s="896"/>
      <c r="G476" s="897"/>
      <c r="H476" s="897"/>
      <c r="I476" s="897"/>
      <c r="J476" s="897"/>
      <c r="K476" s="897"/>
      <c r="L476" s="898"/>
      <c r="M476" s="898"/>
      <c r="N476" s="898"/>
      <c r="O476" s="898"/>
      <c r="P476" s="898"/>
      <c r="Q476" s="898"/>
      <c r="R476" s="898"/>
      <c r="S476" s="898"/>
      <c r="T476" s="898"/>
      <c r="U476" s="898"/>
      <c r="V476" s="898"/>
      <c r="W476" s="898"/>
      <c r="X476" s="898"/>
      <c r="Y476" s="898"/>
      <c r="Z476" s="898"/>
      <c r="AA476" s="898"/>
      <c r="AB476" s="898"/>
      <c r="AC476" s="898"/>
      <c r="AD476" s="898"/>
      <c r="AE476" s="898"/>
      <c r="AF476" s="898"/>
      <c r="AG476" s="898"/>
      <c r="AH476" s="898"/>
      <c r="AI476" s="898"/>
      <c r="AJ476" s="898"/>
      <c r="AK476" s="897"/>
      <c r="AL476" s="897"/>
      <c r="AM476" s="897"/>
      <c r="AN476" s="897"/>
      <c r="AO476" s="897"/>
      <c r="AP476" s="897"/>
      <c r="AQ476" s="897"/>
      <c r="AR476" s="897"/>
    </row>
    <row r="477" spans="1:44" s="930" customFormat="1">
      <c r="A477" s="892"/>
      <c r="B477" s="899"/>
      <c r="C477" s="900"/>
      <c r="D477" s="894"/>
      <c r="E477" s="895"/>
      <c r="F477" s="896"/>
      <c r="G477" s="897"/>
      <c r="H477" s="897"/>
      <c r="I477" s="897"/>
      <c r="J477" s="897"/>
      <c r="K477" s="897"/>
      <c r="L477" s="898"/>
      <c r="M477" s="898"/>
      <c r="N477" s="898"/>
      <c r="O477" s="898"/>
      <c r="P477" s="898"/>
      <c r="Q477" s="898"/>
      <c r="R477" s="898"/>
      <c r="S477" s="898"/>
      <c r="T477" s="898"/>
      <c r="U477" s="898"/>
      <c r="V477" s="898"/>
      <c r="W477" s="898"/>
      <c r="X477" s="898"/>
      <c r="Y477" s="898"/>
      <c r="Z477" s="898"/>
      <c r="AA477" s="898"/>
      <c r="AB477" s="898"/>
      <c r="AC477" s="898"/>
      <c r="AD477" s="898"/>
      <c r="AE477" s="898"/>
      <c r="AF477" s="898"/>
      <c r="AG477" s="898"/>
      <c r="AH477" s="898"/>
      <c r="AI477" s="898"/>
      <c r="AJ477" s="898"/>
      <c r="AK477" s="897"/>
      <c r="AL477" s="897"/>
      <c r="AM477" s="897"/>
      <c r="AN477" s="897"/>
      <c r="AO477" s="897"/>
      <c r="AP477" s="897"/>
      <c r="AQ477" s="897"/>
      <c r="AR477" s="897"/>
    </row>
    <row r="478" spans="1:44" s="930" customFormat="1">
      <c r="A478" s="892"/>
      <c r="B478" s="899"/>
      <c r="C478" s="900"/>
      <c r="D478" s="894"/>
      <c r="E478" s="895"/>
      <c r="F478" s="896"/>
      <c r="G478" s="897"/>
      <c r="H478" s="897"/>
      <c r="I478" s="897"/>
      <c r="J478" s="897"/>
      <c r="K478" s="897"/>
      <c r="L478" s="898"/>
      <c r="M478" s="898"/>
      <c r="N478" s="898"/>
      <c r="O478" s="898"/>
      <c r="P478" s="898"/>
      <c r="Q478" s="898"/>
      <c r="R478" s="898"/>
      <c r="S478" s="898"/>
      <c r="T478" s="898"/>
      <c r="U478" s="898"/>
      <c r="V478" s="898"/>
      <c r="W478" s="898"/>
      <c r="X478" s="898"/>
      <c r="Y478" s="898"/>
      <c r="Z478" s="898"/>
      <c r="AA478" s="898"/>
      <c r="AB478" s="898"/>
      <c r="AC478" s="898"/>
      <c r="AD478" s="898"/>
      <c r="AE478" s="898"/>
      <c r="AF478" s="898"/>
      <c r="AG478" s="898"/>
      <c r="AH478" s="898"/>
      <c r="AI478" s="898"/>
      <c r="AJ478" s="898"/>
      <c r="AK478" s="897"/>
      <c r="AL478" s="897"/>
      <c r="AM478" s="897"/>
      <c r="AN478" s="897"/>
      <c r="AO478" s="897"/>
      <c r="AP478" s="897"/>
      <c r="AQ478" s="897"/>
      <c r="AR478" s="897"/>
    </row>
    <row r="479" spans="1:44" s="930" customFormat="1">
      <c r="A479" s="892"/>
      <c r="B479" s="899"/>
      <c r="C479" s="900"/>
      <c r="D479" s="894"/>
      <c r="E479" s="895"/>
      <c r="F479" s="896"/>
      <c r="G479" s="897"/>
      <c r="H479" s="897"/>
      <c r="I479" s="897"/>
      <c r="J479" s="897"/>
      <c r="K479" s="897"/>
      <c r="L479" s="898"/>
      <c r="M479" s="898"/>
      <c r="N479" s="898"/>
      <c r="O479" s="898"/>
      <c r="P479" s="898"/>
      <c r="Q479" s="898"/>
      <c r="R479" s="898"/>
      <c r="S479" s="898"/>
      <c r="T479" s="898"/>
      <c r="U479" s="898"/>
      <c r="V479" s="898"/>
      <c r="W479" s="898"/>
      <c r="X479" s="898"/>
      <c r="Y479" s="898"/>
      <c r="Z479" s="898"/>
      <c r="AA479" s="898"/>
      <c r="AB479" s="898"/>
      <c r="AC479" s="898"/>
      <c r="AD479" s="898"/>
      <c r="AE479" s="898"/>
      <c r="AF479" s="898"/>
      <c r="AG479" s="898"/>
      <c r="AH479" s="898"/>
      <c r="AI479" s="898"/>
      <c r="AJ479" s="898"/>
      <c r="AK479" s="897"/>
      <c r="AL479" s="897"/>
      <c r="AM479" s="897"/>
      <c r="AN479" s="897"/>
      <c r="AO479" s="897"/>
      <c r="AP479" s="897"/>
      <c r="AQ479" s="897"/>
      <c r="AR479" s="897"/>
    </row>
    <row r="480" spans="1:44" s="930" customFormat="1">
      <c r="A480" s="892"/>
      <c r="B480" s="899"/>
      <c r="C480" s="900"/>
      <c r="D480" s="894"/>
      <c r="E480" s="895"/>
      <c r="F480" s="896"/>
      <c r="G480" s="897"/>
      <c r="H480" s="897"/>
      <c r="I480" s="897"/>
      <c r="J480" s="897"/>
      <c r="K480" s="897"/>
      <c r="L480" s="898"/>
      <c r="M480" s="898"/>
      <c r="N480" s="898"/>
      <c r="O480" s="898"/>
      <c r="P480" s="898"/>
      <c r="Q480" s="898"/>
      <c r="R480" s="898"/>
      <c r="S480" s="898"/>
      <c r="T480" s="898"/>
      <c r="U480" s="898"/>
      <c r="V480" s="898"/>
      <c r="W480" s="898"/>
      <c r="X480" s="898"/>
      <c r="Y480" s="898"/>
      <c r="Z480" s="898"/>
      <c r="AA480" s="898"/>
      <c r="AB480" s="898"/>
      <c r="AC480" s="898"/>
      <c r="AD480" s="898"/>
      <c r="AE480" s="898"/>
      <c r="AF480" s="898"/>
      <c r="AG480" s="898"/>
      <c r="AH480" s="898"/>
      <c r="AI480" s="898"/>
      <c r="AJ480" s="898"/>
      <c r="AK480" s="897"/>
      <c r="AL480" s="897"/>
      <c r="AM480" s="897"/>
      <c r="AN480" s="897"/>
      <c r="AO480" s="897"/>
      <c r="AP480" s="897"/>
      <c r="AQ480" s="897"/>
      <c r="AR480" s="897"/>
    </row>
    <row r="481" spans="1:44" s="930" customFormat="1">
      <c r="A481" s="892"/>
      <c r="B481" s="899"/>
      <c r="C481" s="900"/>
      <c r="D481" s="894"/>
      <c r="E481" s="895"/>
      <c r="F481" s="896"/>
      <c r="G481" s="897"/>
      <c r="H481" s="897"/>
      <c r="I481" s="897"/>
      <c r="J481" s="897"/>
      <c r="K481" s="897"/>
      <c r="L481" s="898"/>
      <c r="M481" s="898"/>
      <c r="N481" s="898"/>
      <c r="O481" s="898"/>
      <c r="P481" s="898"/>
      <c r="Q481" s="898"/>
      <c r="R481" s="898"/>
      <c r="S481" s="898"/>
      <c r="T481" s="898"/>
      <c r="U481" s="898"/>
      <c r="V481" s="898"/>
      <c r="W481" s="898"/>
      <c r="X481" s="898"/>
      <c r="Y481" s="898"/>
      <c r="Z481" s="898"/>
      <c r="AA481" s="898"/>
      <c r="AB481" s="898"/>
      <c r="AC481" s="898"/>
      <c r="AD481" s="898"/>
      <c r="AE481" s="898"/>
      <c r="AF481" s="898"/>
      <c r="AG481" s="898"/>
      <c r="AH481" s="898"/>
      <c r="AI481" s="898"/>
      <c r="AJ481" s="898"/>
      <c r="AK481" s="897"/>
      <c r="AL481" s="897"/>
      <c r="AM481" s="897"/>
      <c r="AN481" s="897"/>
      <c r="AO481" s="897"/>
      <c r="AP481" s="897"/>
      <c r="AQ481" s="897"/>
      <c r="AR481" s="897"/>
    </row>
    <row r="482" spans="1:44" s="930" customFormat="1">
      <c r="A482" s="892"/>
      <c r="B482" s="899"/>
      <c r="C482" s="900"/>
      <c r="D482" s="894"/>
      <c r="E482" s="895"/>
      <c r="F482" s="896"/>
      <c r="G482" s="897"/>
      <c r="H482" s="897"/>
      <c r="I482" s="897"/>
      <c r="J482" s="897"/>
      <c r="K482" s="897"/>
      <c r="L482" s="898"/>
      <c r="M482" s="898"/>
      <c r="N482" s="898"/>
      <c r="O482" s="898"/>
      <c r="P482" s="898"/>
      <c r="Q482" s="898"/>
      <c r="R482" s="898"/>
      <c r="S482" s="898"/>
      <c r="T482" s="898"/>
      <c r="U482" s="898"/>
      <c r="V482" s="898"/>
      <c r="W482" s="898"/>
      <c r="X482" s="898"/>
      <c r="Y482" s="898"/>
      <c r="Z482" s="898"/>
      <c r="AA482" s="898"/>
      <c r="AB482" s="898"/>
      <c r="AC482" s="898"/>
      <c r="AD482" s="898"/>
      <c r="AE482" s="898"/>
      <c r="AF482" s="898"/>
      <c r="AG482" s="898"/>
      <c r="AH482" s="898"/>
      <c r="AI482" s="898"/>
      <c r="AJ482" s="898"/>
      <c r="AK482" s="897"/>
      <c r="AL482" s="897"/>
      <c r="AM482" s="897"/>
      <c r="AN482" s="897"/>
      <c r="AO482" s="897"/>
      <c r="AP482" s="897"/>
      <c r="AQ482" s="897"/>
      <c r="AR482" s="897"/>
    </row>
    <row r="483" spans="1:44" s="930" customFormat="1">
      <c r="A483" s="892"/>
      <c r="B483" s="899"/>
      <c r="C483" s="900"/>
      <c r="D483" s="894"/>
      <c r="E483" s="895"/>
      <c r="F483" s="896"/>
      <c r="G483" s="897"/>
      <c r="H483" s="897"/>
      <c r="I483" s="897"/>
      <c r="J483" s="897"/>
      <c r="K483" s="897"/>
      <c r="L483" s="898"/>
      <c r="M483" s="898"/>
      <c r="N483" s="898"/>
      <c r="O483" s="898"/>
      <c r="P483" s="898"/>
      <c r="Q483" s="898"/>
      <c r="R483" s="898"/>
      <c r="S483" s="898"/>
      <c r="T483" s="898"/>
      <c r="U483" s="898"/>
      <c r="V483" s="898"/>
      <c r="W483" s="898"/>
      <c r="X483" s="898"/>
      <c r="Y483" s="898"/>
      <c r="Z483" s="898"/>
      <c r="AA483" s="898"/>
      <c r="AB483" s="898"/>
      <c r="AC483" s="898"/>
      <c r="AD483" s="898"/>
      <c r="AE483" s="898"/>
      <c r="AF483" s="898"/>
      <c r="AG483" s="898"/>
      <c r="AH483" s="898"/>
      <c r="AI483" s="898"/>
      <c r="AJ483" s="898"/>
      <c r="AK483" s="897"/>
      <c r="AL483" s="897"/>
      <c r="AM483" s="897"/>
      <c r="AN483" s="897"/>
      <c r="AO483" s="897"/>
      <c r="AP483" s="897"/>
      <c r="AQ483" s="897"/>
      <c r="AR483" s="897"/>
    </row>
    <row r="484" spans="1:44" s="930" customFormat="1">
      <c r="A484" s="892"/>
      <c r="B484" s="899"/>
      <c r="C484" s="900"/>
      <c r="D484" s="894"/>
      <c r="E484" s="895"/>
      <c r="F484" s="896"/>
      <c r="G484" s="897"/>
      <c r="H484" s="897"/>
      <c r="I484" s="897"/>
      <c r="J484" s="897"/>
      <c r="K484" s="897"/>
      <c r="L484" s="898"/>
      <c r="M484" s="898"/>
      <c r="N484" s="898"/>
      <c r="O484" s="898"/>
      <c r="P484" s="898"/>
      <c r="Q484" s="898"/>
      <c r="R484" s="898"/>
      <c r="S484" s="898"/>
      <c r="T484" s="898"/>
      <c r="U484" s="898"/>
      <c r="V484" s="898"/>
      <c r="W484" s="898"/>
      <c r="X484" s="898"/>
      <c r="Y484" s="898"/>
      <c r="Z484" s="898"/>
      <c r="AA484" s="898"/>
      <c r="AB484" s="898"/>
      <c r="AC484" s="898"/>
      <c r="AD484" s="898"/>
      <c r="AE484" s="898"/>
      <c r="AF484" s="898"/>
      <c r="AG484" s="898"/>
      <c r="AH484" s="898"/>
      <c r="AI484" s="898"/>
      <c r="AJ484" s="898"/>
      <c r="AK484" s="897"/>
      <c r="AL484" s="897"/>
      <c r="AM484" s="897"/>
      <c r="AN484" s="897"/>
      <c r="AO484" s="897"/>
      <c r="AP484" s="897"/>
      <c r="AQ484" s="897"/>
      <c r="AR484" s="897"/>
    </row>
    <row r="485" spans="1:44" s="930" customFormat="1">
      <c r="A485" s="892"/>
      <c r="B485" s="899"/>
      <c r="C485" s="900"/>
      <c r="D485" s="894"/>
      <c r="E485" s="895"/>
      <c r="F485" s="896"/>
      <c r="G485" s="897"/>
      <c r="H485" s="897"/>
      <c r="I485" s="897"/>
      <c r="J485" s="897"/>
      <c r="K485" s="897"/>
      <c r="L485" s="898"/>
      <c r="M485" s="898"/>
      <c r="N485" s="898"/>
      <c r="O485" s="898"/>
      <c r="P485" s="898"/>
      <c r="Q485" s="898"/>
      <c r="R485" s="898"/>
      <c r="S485" s="898"/>
      <c r="T485" s="898"/>
      <c r="U485" s="898"/>
      <c r="V485" s="898"/>
      <c r="W485" s="898"/>
      <c r="X485" s="898"/>
      <c r="Y485" s="898"/>
      <c r="Z485" s="898"/>
      <c r="AA485" s="898"/>
      <c r="AB485" s="898"/>
      <c r="AC485" s="898"/>
      <c r="AD485" s="898"/>
      <c r="AE485" s="898"/>
      <c r="AF485" s="898"/>
      <c r="AG485" s="898"/>
      <c r="AH485" s="898"/>
      <c r="AI485" s="898"/>
      <c r="AJ485" s="898"/>
      <c r="AK485" s="897"/>
      <c r="AL485" s="897"/>
      <c r="AM485" s="897"/>
      <c r="AN485" s="897"/>
      <c r="AO485" s="897"/>
      <c r="AP485" s="897"/>
      <c r="AQ485" s="897"/>
      <c r="AR485" s="897"/>
    </row>
    <row r="486" spans="1:44" s="930" customFormat="1">
      <c r="A486" s="892"/>
      <c r="B486" s="899"/>
      <c r="C486" s="900"/>
      <c r="D486" s="894"/>
      <c r="E486" s="895"/>
      <c r="F486" s="896"/>
      <c r="G486" s="897"/>
      <c r="H486" s="897"/>
      <c r="I486" s="897"/>
      <c r="J486" s="897"/>
      <c r="K486" s="897"/>
      <c r="L486" s="898"/>
      <c r="M486" s="898"/>
      <c r="N486" s="898"/>
      <c r="O486" s="898"/>
      <c r="P486" s="898"/>
      <c r="Q486" s="898"/>
      <c r="R486" s="898"/>
      <c r="S486" s="898"/>
      <c r="T486" s="898"/>
      <c r="U486" s="898"/>
      <c r="V486" s="898"/>
      <c r="W486" s="898"/>
      <c r="X486" s="898"/>
      <c r="Y486" s="898"/>
      <c r="Z486" s="898"/>
      <c r="AA486" s="898"/>
      <c r="AB486" s="898"/>
      <c r="AC486" s="898"/>
      <c r="AD486" s="898"/>
      <c r="AE486" s="898"/>
      <c r="AF486" s="898"/>
      <c r="AG486" s="898"/>
      <c r="AH486" s="898"/>
      <c r="AI486" s="898"/>
      <c r="AJ486" s="898"/>
      <c r="AK486" s="897"/>
      <c r="AL486" s="897"/>
      <c r="AM486" s="897"/>
      <c r="AN486" s="897"/>
      <c r="AO486" s="897"/>
      <c r="AP486" s="897"/>
      <c r="AQ486" s="897"/>
      <c r="AR486" s="897"/>
    </row>
    <row r="487" spans="1:44" s="930" customFormat="1">
      <c r="A487" s="892"/>
      <c r="B487" s="899"/>
      <c r="C487" s="900"/>
      <c r="D487" s="894"/>
      <c r="E487" s="895"/>
      <c r="F487" s="896"/>
      <c r="G487" s="897"/>
      <c r="H487" s="897"/>
      <c r="I487" s="897"/>
      <c r="J487" s="897"/>
      <c r="K487" s="897"/>
      <c r="L487" s="898"/>
      <c r="M487" s="898"/>
      <c r="N487" s="898"/>
      <c r="O487" s="898"/>
      <c r="P487" s="898"/>
      <c r="Q487" s="898"/>
      <c r="R487" s="898"/>
      <c r="S487" s="898"/>
      <c r="T487" s="898"/>
      <c r="U487" s="898"/>
      <c r="V487" s="898"/>
      <c r="W487" s="898"/>
      <c r="X487" s="898"/>
      <c r="Y487" s="898"/>
      <c r="Z487" s="898"/>
      <c r="AA487" s="898"/>
      <c r="AB487" s="898"/>
      <c r="AC487" s="898"/>
      <c r="AD487" s="898"/>
      <c r="AE487" s="898"/>
      <c r="AF487" s="898"/>
      <c r="AG487" s="898"/>
      <c r="AH487" s="898"/>
      <c r="AI487" s="898"/>
      <c r="AJ487" s="898"/>
      <c r="AK487" s="897"/>
      <c r="AL487" s="897"/>
      <c r="AM487" s="897"/>
      <c r="AN487" s="897"/>
      <c r="AO487" s="897"/>
      <c r="AP487" s="897"/>
      <c r="AQ487" s="897"/>
      <c r="AR487" s="897"/>
    </row>
    <row r="488" spans="1:44" s="930" customFormat="1">
      <c r="A488" s="892"/>
      <c r="B488" s="899"/>
      <c r="C488" s="900"/>
      <c r="D488" s="894"/>
      <c r="E488" s="895"/>
      <c r="F488" s="896"/>
      <c r="G488" s="897"/>
      <c r="H488" s="897"/>
      <c r="I488" s="897"/>
      <c r="J488" s="897"/>
      <c r="K488" s="897"/>
      <c r="L488" s="898"/>
      <c r="M488" s="898"/>
      <c r="N488" s="898"/>
      <c r="O488" s="898"/>
      <c r="P488" s="898"/>
      <c r="Q488" s="898"/>
      <c r="R488" s="898"/>
      <c r="S488" s="898"/>
      <c r="T488" s="898"/>
      <c r="U488" s="898"/>
      <c r="V488" s="898"/>
      <c r="W488" s="898"/>
      <c r="X488" s="898"/>
      <c r="Y488" s="898"/>
      <c r="Z488" s="898"/>
      <c r="AA488" s="898"/>
      <c r="AB488" s="898"/>
      <c r="AC488" s="898"/>
      <c r="AD488" s="898"/>
      <c r="AE488" s="898"/>
      <c r="AF488" s="898"/>
      <c r="AG488" s="898"/>
      <c r="AH488" s="898"/>
      <c r="AI488" s="898"/>
      <c r="AJ488" s="898"/>
      <c r="AK488" s="897"/>
      <c r="AL488" s="897"/>
      <c r="AM488" s="897"/>
      <c r="AN488" s="897"/>
      <c r="AO488" s="897"/>
      <c r="AP488" s="897"/>
      <c r="AQ488" s="897"/>
      <c r="AR488" s="897"/>
    </row>
    <row r="489" spans="1:44" s="930" customFormat="1">
      <c r="A489" s="892"/>
      <c r="B489" s="899"/>
      <c r="C489" s="900"/>
      <c r="D489" s="894"/>
      <c r="E489" s="895"/>
      <c r="F489" s="896"/>
      <c r="G489" s="897"/>
      <c r="H489" s="897"/>
      <c r="I489" s="897"/>
      <c r="J489" s="897"/>
      <c r="K489" s="897"/>
      <c r="L489" s="898"/>
      <c r="M489" s="898"/>
      <c r="N489" s="898"/>
      <c r="O489" s="898"/>
      <c r="P489" s="898"/>
      <c r="Q489" s="898"/>
      <c r="R489" s="898"/>
      <c r="S489" s="898"/>
      <c r="T489" s="898"/>
      <c r="U489" s="898"/>
      <c r="V489" s="898"/>
      <c r="W489" s="898"/>
      <c r="X489" s="898"/>
      <c r="Y489" s="898"/>
      <c r="Z489" s="898"/>
      <c r="AA489" s="898"/>
      <c r="AB489" s="898"/>
      <c r="AC489" s="898"/>
      <c r="AD489" s="898"/>
      <c r="AE489" s="898"/>
      <c r="AF489" s="898"/>
      <c r="AG489" s="898"/>
      <c r="AH489" s="898"/>
      <c r="AI489" s="898"/>
      <c r="AJ489" s="898"/>
      <c r="AK489" s="897"/>
      <c r="AL489" s="897"/>
      <c r="AM489" s="897"/>
      <c r="AN489" s="897"/>
      <c r="AO489" s="897"/>
      <c r="AP489" s="897"/>
      <c r="AQ489" s="897"/>
      <c r="AR489" s="897"/>
    </row>
    <row r="490" spans="1:44" s="930" customFormat="1">
      <c r="A490" s="892"/>
      <c r="B490" s="899"/>
      <c r="C490" s="900"/>
      <c r="D490" s="894"/>
      <c r="E490" s="895"/>
      <c r="F490" s="896"/>
      <c r="G490" s="897"/>
      <c r="H490" s="897"/>
      <c r="I490" s="897"/>
      <c r="J490" s="897"/>
      <c r="K490" s="897"/>
      <c r="L490" s="898"/>
      <c r="M490" s="898"/>
      <c r="N490" s="898"/>
      <c r="O490" s="898"/>
      <c r="P490" s="898"/>
      <c r="Q490" s="898"/>
      <c r="R490" s="898"/>
      <c r="S490" s="898"/>
      <c r="T490" s="898"/>
      <c r="U490" s="898"/>
      <c r="V490" s="898"/>
      <c r="W490" s="898"/>
      <c r="X490" s="898"/>
      <c r="Y490" s="898"/>
      <c r="Z490" s="898"/>
      <c r="AA490" s="898"/>
      <c r="AB490" s="898"/>
      <c r="AC490" s="898"/>
      <c r="AD490" s="898"/>
      <c r="AE490" s="898"/>
      <c r="AF490" s="898"/>
      <c r="AG490" s="898"/>
      <c r="AH490" s="898"/>
      <c r="AI490" s="898"/>
      <c r="AJ490" s="898"/>
      <c r="AK490" s="897"/>
      <c r="AL490" s="897"/>
      <c r="AM490" s="897"/>
      <c r="AN490" s="897"/>
      <c r="AO490" s="897"/>
      <c r="AP490" s="897"/>
      <c r="AQ490" s="897"/>
      <c r="AR490" s="897"/>
    </row>
    <row r="491" spans="1:44" s="930" customFormat="1">
      <c r="A491" s="892"/>
      <c r="B491" s="899"/>
      <c r="C491" s="900"/>
      <c r="D491" s="894"/>
      <c r="E491" s="895"/>
      <c r="F491" s="896"/>
      <c r="G491" s="897"/>
      <c r="H491" s="897"/>
      <c r="I491" s="897"/>
      <c r="J491" s="897"/>
      <c r="K491" s="897"/>
      <c r="L491" s="898"/>
      <c r="M491" s="898"/>
      <c r="N491" s="898"/>
      <c r="O491" s="898"/>
      <c r="P491" s="898"/>
      <c r="Q491" s="898"/>
      <c r="R491" s="898"/>
      <c r="S491" s="898"/>
      <c r="T491" s="898"/>
      <c r="U491" s="898"/>
      <c r="V491" s="898"/>
      <c r="W491" s="898"/>
      <c r="X491" s="898"/>
      <c r="Y491" s="898"/>
      <c r="Z491" s="898"/>
      <c r="AA491" s="898"/>
      <c r="AB491" s="898"/>
      <c r="AC491" s="898"/>
      <c r="AD491" s="898"/>
      <c r="AE491" s="898"/>
      <c r="AF491" s="898"/>
      <c r="AG491" s="898"/>
      <c r="AH491" s="898"/>
      <c r="AI491" s="898"/>
      <c r="AJ491" s="898"/>
      <c r="AK491" s="897"/>
      <c r="AL491" s="897"/>
      <c r="AM491" s="897"/>
      <c r="AN491" s="897"/>
      <c r="AO491" s="897"/>
      <c r="AP491" s="897"/>
      <c r="AQ491" s="897"/>
      <c r="AR491" s="897"/>
    </row>
    <row r="492" spans="1:44" s="930" customFormat="1">
      <c r="A492" s="892"/>
      <c r="B492" s="899"/>
      <c r="C492" s="900"/>
      <c r="D492" s="894"/>
      <c r="E492" s="895"/>
      <c r="F492" s="896"/>
      <c r="G492" s="897"/>
      <c r="H492" s="897"/>
      <c r="I492" s="897"/>
      <c r="J492" s="897"/>
      <c r="K492" s="897"/>
      <c r="L492" s="898"/>
      <c r="M492" s="898"/>
      <c r="N492" s="898"/>
      <c r="O492" s="898"/>
      <c r="P492" s="898"/>
      <c r="Q492" s="898"/>
      <c r="R492" s="898"/>
      <c r="S492" s="898"/>
      <c r="T492" s="898"/>
      <c r="U492" s="898"/>
      <c r="V492" s="898"/>
      <c r="W492" s="898"/>
      <c r="X492" s="898"/>
      <c r="Y492" s="898"/>
      <c r="Z492" s="898"/>
      <c r="AA492" s="898"/>
      <c r="AB492" s="898"/>
      <c r="AC492" s="898"/>
      <c r="AD492" s="898"/>
      <c r="AE492" s="898"/>
      <c r="AF492" s="898"/>
      <c r="AG492" s="898"/>
      <c r="AH492" s="898"/>
      <c r="AI492" s="898"/>
      <c r="AJ492" s="898"/>
      <c r="AK492" s="897"/>
      <c r="AL492" s="897"/>
      <c r="AM492" s="897"/>
      <c r="AN492" s="897"/>
      <c r="AO492" s="897"/>
      <c r="AP492" s="897"/>
      <c r="AQ492" s="897"/>
      <c r="AR492" s="897"/>
    </row>
    <row r="493" spans="1:44" s="930" customFormat="1">
      <c r="A493" s="892"/>
      <c r="B493" s="899"/>
      <c r="C493" s="900"/>
      <c r="D493" s="894"/>
      <c r="E493" s="895"/>
      <c r="F493" s="896"/>
      <c r="G493" s="897"/>
      <c r="H493" s="897"/>
      <c r="I493" s="897"/>
      <c r="J493" s="897"/>
      <c r="K493" s="897"/>
      <c r="L493" s="898"/>
      <c r="M493" s="898"/>
      <c r="N493" s="898"/>
      <c r="O493" s="898"/>
      <c r="P493" s="898"/>
      <c r="Q493" s="898"/>
      <c r="R493" s="898"/>
      <c r="S493" s="898"/>
      <c r="T493" s="898"/>
      <c r="U493" s="898"/>
      <c r="V493" s="898"/>
      <c r="W493" s="898"/>
      <c r="X493" s="898"/>
      <c r="Y493" s="898"/>
      <c r="Z493" s="898"/>
      <c r="AA493" s="898"/>
      <c r="AB493" s="898"/>
      <c r="AC493" s="898"/>
      <c r="AD493" s="898"/>
      <c r="AE493" s="898"/>
      <c r="AF493" s="898"/>
      <c r="AG493" s="898"/>
      <c r="AH493" s="898"/>
      <c r="AI493" s="898"/>
      <c r="AJ493" s="898"/>
      <c r="AK493" s="897"/>
      <c r="AL493" s="897"/>
      <c r="AM493" s="897"/>
      <c r="AN493" s="897"/>
      <c r="AO493" s="897"/>
      <c r="AP493" s="897"/>
      <c r="AQ493" s="897"/>
      <c r="AR493" s="897"/>
    </row>
    <row r="494" spans="1:44" s="930" customFormat="1">
      <c r="A494" s="892"/>
      <c r="B494" s="899"/>
      <c r="C494" s="900"/>
      <c r="D494" s="894"/>
      <c r="E494" s="895"/>
      <c r="F494" s="896"/>
      <c r="G494" s="897"/>
      <c r="H494" s="897"/>
      <c r="I494" s="897"/>
      <c r="J494" s="897"/>
      <c r="K494" s="897"/>
      <c r="L494" s="898"/>
      <c r="M494" s="898"/>
      <c r="N494" s="898"/>
      <c r="O494" s="898"/>
      <c r="P494" s="898"/>
      <c r="Q494" s="898"/>
      <c r="R494" s="898"/>
      <c r="S494" s="898"/>
      <c r="T494" s="898"/>
      <c r="U494" s="898"/>
      <c r="V494" s="898"/>
      <c r="W494" s="898"/>
      <c r="X494" s="898"/>
      <c r="Y494" s="898"/>
      <c r="Z494" s="898"/>
      <c r="AA494" s="898"/>
      <c r="AB494" s="898"/>
      <c r="AC494" s="898"/>
      <c r="AD494" s="898"/>
      <c r="AE494" s="898"/>
      <c r="AF494" s="898"/>
      <c r="AG494" s="898"/>
      <c r="AH494" s="898"/>
      <c r="AI494" s="898"/>
      <c r="AJ494" s="898"/>
      <c r="AK494" s="897"/>
      <c r="AL494" s="897"/>
      <c r="AM494" s="897"/>
      <c r="AN494" s="897"/>
      <c r="AO494" s="897"/>
      <c r="AP494" s="897"/>
      <c r="AQ494" s="897"/>
      <c r="AR494" s="897"/>
    </row>
    <row r="495" spans="1:44" s="930" customFormat="1">
      <c r="A495" s="892"/>
      <c r="B495" s="899"/>
      <c r="C495" s="900"/>
      <c r="D495" s="894"/>
      <c r="E495" s="895"/>
      <c r="F495" s="896"/>
      <c r="G495" s="897"/>
      <c r="H495" s="897"/>
      <c r="I495" s="897"/>
      <c r="J495" s="897"/>
      <c r="K495" s="897"/>
      <c r="L495" s="898"/>
      <c r="M495" s="898"/>
      <c r="N495" s="898"/>
      <c r="O495" s="898"/>
      <c r="P495" s="898"/>
      <c r="Q495" s="898"/>
      <c r="R495" s="898"/>
      <c r="S495" s="898"/>
      <c r="T495" s="898"/>
      <c r="U495" s="898"/>
      <c r="V495" s="898"/>
      <c r="W495" s="898"/>
      <c r="X495" s="898"/>
      <c r="Y495" s="898"/>
      <c r="Z495" s="898"/>
      <c r="AA495" s="898"/>
      <c r="AB495" s="898"/>
      <c r="AC495" s="898"/>
      <c r="AD495" s="898"/>
      <c r="AE495" s="898"/>
      <c r="AF495" s="898"/>
      <c r="AG495" s="898"/>
      <c r="AH495" s="898"/>
      <c r="AI495" s="898"/>
      <c r="AJ495" s="898"/>
      <c r="AK495" s="897"/>
      <c r="AL495" s="897"/>
      <c r="AM495" s="897"/>
      <c r="AN495" s="897"/>
      <c r="AO495" s="897"/>
      <c r="AP495" s="897"/>
      <c r="AQ495" s="897"/>
      <c r="AR495" s="897"/>
    </row>
    <row r="496" spans="1:44" s="930" customFormat="1">
      <c r="A496" s="892"/>
      <c r="B496" s="899"/>
      <c r="C496" s="900"/>
      <c r="D496" s="894"/>
      <c r="E496" s="895"/>
      <c r="F496" s="896"/>
      <c r="G496" s="897"/>
      <c r="H496" s="897"/>
      <c r="I496" s="897"/>
      <c r="J496" s="897"/>
      <c r="K496" s="897"/>
      <c r="L496" s="898"/>
      <c r="M496" s="898"/>
      <c r="N496" s="898"/>
      <c r="O496" s="898"/>
      <c r="P496" s="898"/>
      <c r="Q496" s="898"/>
      <c r="R496" s="898"/>
      <c r="S496" s="898"/>
      <c r="T496" s="898"/>
      <c r="U496" s="898"/>
      <c r="V496" s="898"/>
      <c r="W496" s="898"/>
      <c r="X496" s="898"/>
      <c r="Y496" s="898"/>
      <c r="Z496" s="898"/>
      <c r="AA496" s="898"/>
      <c r="AB496" s="898"/>
      <c r="AC496" s="898"/>
      <c r="AD496" s="898"/>
      <c r="AE496" s="898"/>
      <c r="AF496" s="898"/>
      <c r="AG496" s="898"/>
      <c r="AH496" s="898"/>
      <c r="AI496" s="898"/>
      <c r="AJ496" s="898"/>
      <c r="AK496" s="897"/>
      <c r="AL496" s="897"/>
      <c r="AM496" s="897"/>
      <c r="AN496" s="897"/>
      <c r="AO496" s="897"/>
      <c r="AP496" s="897"/>
      <c r="AQ496" s="897"/>
      <c r="AR496" s="897"/>
    </row>
    <row r="497" spans="1:44" s="930" customFormat="1">
      <c r="A497" s="892"/>
      <c r="B497" s="899"/>
      <c r="C497" s="900"/>
      <c r="D497" s="894"/>
      <c r="E497" s="895"/>
      <c r="F497" s="896"/>
      <c r="G497" s="897"/>
      <c r="H497" s="897"/>
      <c r="I497" s="897"/>
      <c r="J497" s="897"/>
      <c r="K497" s="897"/>
      <c r="L497" s="898"/>
      <c r="M497" s="898"/>
      <c r="N497" s="898"/>
      <c r="O497" s="898"/>
      <c r="P497" s="898"/>
      <c r="Q497" s="898"/>
      <c r="R497" s="898"/>
      <c r="S497" s="898"/>
      <c r="T497" s="898"/>
      <c r="U497" s="898"/>
      <c r="V497" s="898"/>
      <c r="W497" s="898"/>
      <c r="X497" s="898"/>
      <c r="Y497" s="898"/>
      <c r="Z497" s="898"/>
      <c r="AA497" s="898"/>
      <c r="AB497" s="898"/>
      <c r="AC497" s="898"/>
      <c r="AD497" s="898"/>
      <c r="AE497" s="898"/>
      <c r="AF497" s="898"/>
      <c r="AG497" s="898"/>
      <c r="AH497" s="898"/>
      <c r="AI497" s="898"/>
      <c r="AJ497" s="898"/>
      <c r="AK497" s="897"/>
      <c r="AL497" s="897"/>
      <c r="AM497" s="897"/>
      <c r="AN497" s="897"/>
      <c r="AO497" s="897"/>
      <c r="AP497" s="897"/>
      <c r="AQ497" s="897"/>
      <c r="AR497" s="897"/>
    </row>
    <row r="498" spans="1:44" s="930" customFormat="1">
      <c r="A498" s="892"/>
      <c r="B498" s="899"/>
      <c r="C498" s="900"/>
      <c r="D498" s="894"/>
      <c r="E498" s="895"/>
      <c r="F498" s="896"/>
      <c r="G498" s="897"/>
      <c r="H498" s="897"/>
      <c r="I498" s="897"/>
      <c r="J498" s="897"/>
      <c r="K498" s="897"/>
      <c r="L498" s="898"/>
      <c r="M498" s="898"/>
      <c r="N498" s="898"/>
      <c r="O498" s="898"/>
      <c r="P498" s="898"/>
      <c r="Q498" s="898"/>
      <c r="R498" s="898"/>
      <c r="S498" s="898"/>
      <c r="T498" s="898"/>
      <c r="U498" s="898"/>
      <c r="V498" s="898"/>
      <c r="W498" s="898"/>
      <c r="X498" s="898"/>
      <c r="Y498" s="898"/>
      <c r="Z498" s="898"/>
      <c r="AA498" s="898"/>
      <c r="AB498" s="898"/>
      <c r="AC498" s="898"/>
      <c r="AD498" s="898"/>
      <c r="AE498" s="898"/>
      <c r="AF498" s="898"/>
      <c r="AG498" s="898"/>
      <c r="AH498" s="898"/>
      <c r="AI498" s="898"/>
      <c r="AJ498" s="898"/>
      <c r="AK498" s="897"/>
      <c r="AL498" s="897"/>
      <c r="AM498" s="897"/>
      <c r="AN498" s="897"/>
      <c r="AO498" s="897"/>
      <c r="AP498" s="897"/>
      <c r="AQ498" s="897"/>
      <c r="AR498" s="897"/>
    </row>
    <row r="499" spans="1:44" s="930" customFormat="1">
      <c r="A499" s="892"/>
      <c r="B499" s="899"/>
      <c r="C499" s="900"/>
      <c r="D499" s="894"/>
      <c r="E499" s="895"/>
      <c r="F499" s="896"/>
      <c r="G499" s="897"/>
      <c r="H499" s="897"/>
      <c r="I499" s="897"/>
      <c r="J499" s="897"/>
      <c r="K499" s="897"/>
      <c r="L499" s="898"/>
      <c r="M499" s="898"/>
      <c r="N499" s="898"/>
      <c r="O499" s="898"/>
      <c r="P499" s="898"/>
      <c r="Q499" s="898"/>
      <c r="R499" s="898"/>
      <c r="S499" s="898"/>
      <c r="T499" s="898"/>
      <c r="U499" s="898"/>
      <c r="V499" s="898"/>
      <c r="W499" s="898"/>
      <c r="X499" s="898"/>
      <c r="Y499" s="898"/>
      <c r="Z499" s="898"/>
      <c r="AA499" s="898"/>
      <c r="AB499" s="898"/>
      <c r="AC499" s="898"/>
      <c r="AD499" s="898"/>
      <c r="AE499" s="898"/>
      <c r="AF499" s="898"/>
      <c r="AG499" s="898"/>
      <c r="AH499" s="898"/>
      <c r="AI499" s="898"/>
      <c r="AJ499" s="898"/>
      <c r="AK499" s="897"/>
      <c r="AL499" s="897"/>
      <c r="AM499" s="897"/>
      <c r="AN499" s="897"/>
      <c r="AO499" s="897"/>
      <c r="AP499" s="897"/>
      <c r="AQ499" s="897"/>
      <c r="AR499" s="897"/>
    </row>
    <row r="500" spans="1:44" s="930" customFormat="1">
      <c r="A500" s="892"/>
      <c r="B500" s="899"/>
      <c r="C500" s="900"/>
      <c r="D500" s="894"/>
      <c r="E500" s="895"/>
      <c r="F500" s="896"/>
      <c r="G500" s="897"/>
      <c r="H500" s="897"/>
      <c r="I500" s="897"/>
      <c r="J500" s="897"/>
      <c r="K500" s="897"/>
      <c r="L500" s="898"/>
      <c r="M500" s="898"/>
      <c r="N500" s="898"/>
      <c r="O500" s="898"/>
      <c r="P500" s="898"/>
      <c r="Q500" s="898"/>
      <c r="R500" s="898"/>
      <c r="S500" s="898"/>
      <c r="T500" s="898"/>
      <c r="U500" s="898"/>
      <c r="V500" s="898"/>
      <c r="W500" s="898"/>
      <c r="X500" s="898"/>
      <c r="Y500" s="898"/>
      <c r="Z500" s="898"/>
      <c r="AA500" s="898"/>
      <c r="AB500" s="898"/>
      <c r="AC500" s="898"/>
      <c r="AD500" s="898"/>
      <c r="AE500" s="898"/>
      <c r="AF500" s="898"/>
      <c r="AG500" s="898"/>
      <c r="AH500" s="898"/>
      <c r="AI500" s="898"/>
      <c r="AJ500" s="898"/>
      <c r="AK500" s="897"/>
      <c r="AL500" s="897"/>
      <c r="AM500" s="897"/>
      <c r="AN500" s="897"/>
      <c r="AO500" s="897"/>
      <c r="AP500" s="897"/>
      <c r="AQ500" s="897"/>
      <c r="AR500" s="897"/>
    </row>
    <row r="501" spans="1:44" s="930" customFormat="1">
      <c r="A501" s="892"/>
      <c r="B501" s="899"/>
      <c r="C501" s="900"/>
      <c r="D501" s="894"/>
      <c r="E501" s="895"/>
      <c r="F501" s="896"/>
      <c r="G501" s="897"/>
      <c r="H501" s="897"/>
      <c r="I501" s="897"/>
      <c r="J501" s="897"/>
      <c r="K501" s="897"/>
      <c r="L501" s="898"/>
      <c r="M501" s="898"/>
      <c r="N501" s="898"/>
      <c r="O501" s="898"/>
      <c r="P501" s="898"/>
      <c r="Q501" s="898"/>
      <c r="R501" s="898"/>
      <c r="S501" s="898"/>
      <c r="T501" s="898"/>
      <c r="U501" s="898"/>
      <c r="V501" s="898"/>
      <c r="W501" s="898"/>
      <c r="X501" s="898"/>
      <c r="Y501" s="898"/>
      <c r="Z501" s="898"/>
      <c r="AA501" s="898"/>
      <c r="AB501" s="898"/>
      <c r="AC501" s="898"/>
      <c r="AD501" s="898"/>
      <c r="AE501" s="898"/>
      <c r="AF501" s="898"/>
      <c r="AG501" s="898"/>
      <c r="AH501" s="898"/>
      <c r="AI501" s="898"/>
      <c r="AJ501" s="898"/>
      <c r="AK501" s="897"/>
      <c r="AL501" s="897"/>
      <c r="AM501" s="897"/>
      <c r="AN501" s="897"/>
      <c r="AO501" s="897"/>
      <c r="AP501" s="897"/>
      <c r="AQ501" s="897"/>
      <c r="AR501" s="897"/>
    </row>
    <row r="502" spans="1:44" s="930" customFormat="1">
      <c r="A502" s="892"/>
      <c r="B502" s="899"/>
      <c r="C502" s="900"/>
      <c r="D502" s="894"/>
      <c r="E502" s="895"/>
      <c r="F502" s="896"/>
      <c r="G502" s="897"/>
      <c r="H502" s="897"/>
      <c r="I502" s="897"/>
      <c r="J502" s="897"/>
      <c r="K502" s="897"/>
      <c r="L502" s="898"/>
      <c r="M502" s="898"/>
      <c r="N502" s="898"/>
      <c r="O502" s="898"/>
      <c r="P502" s="898"/>
      <c r="Q502" s="898"/>
      <c r="R502" s="898"/>
      <c r="S502" s="898"/>
      <c r="T502" s="898"/>
      <c r="U502" s="898"/>
      <c r="V502" s="898"/>
      <c r="W502" s="898"/>
      <c r="X502" s="898"/>
      <c r="Y502" s="898"/>
      <c r="Z502" s="898"/>
      <c r="AA502" s="898"/>
      <c r="AB502" s="898"/>
      <c r="AC502" s="898"/>
      <c r="AD502" s="898"/>
      <c r="AE502" s="898"/>
      <c r="AF502" s="898"/>
      <c r="AG502" s="898"/>
      <c r="AH502" s="898"/>
      <c r="AI502" s="898"/>
      <c r="AJ502" s="898"/>
      <c r="AK502" s="897"/>
      <c r="AL502" s="897"/>
      <c r="AM502" s="897"/>
      <c r="AN502" s="897"/>
      <c r="AO502" s="897"/>
      <c r="AP502" s="897"/>
      <c r="AQ502" s="897"/>
      <c r="AR502" s="897"/>
    </row>
    <row r="503" spans="1:44" s="930" customFormat="1">
      <c r="A503" s="892"/>
      <c r="B503" s="899"/>
      <c r="C503" s="900"/>
      <c r="D503" s="894"/>
      <c r="E503" s="895"/>
      <c r="F503" s="896"/>
      <c r="G503" s="897"/>
      <c r="H503" s="897"/>
      <c r="I503" s="897"/>
      <c r="J503" s="897"/>
      <c r="K503" s="897"/>
      <c r="L503" s="898"/>
      <c r="M503" s="898"/>
      <c r="N503" s="898"/>
      <c r="O503" s="898"/>
      <c r="P503" s="898"/>
      <c r="Q503" s="898"/>
      <c r="R503" s="898"/>
      <c r="S503" s="898"/>
      <c r="T503" s="898"/>
      <c r="U503" s="898"/>
      <c r="V503" s="898"/>
      <c r="W503" s="898"/>
      <c r="X503" s="898"/>
      <c r="Y503" s="898"/>
      <c r="Z503" s="898"/>
      <c r="AA503" s="898"/>
      <c r="AB503" s="898"/>
      <c r="AC503" s="898"/>
      <c r="AD503" s="898"/>
      <c r="AE503" s="898"/>
      <c r="AF503" s="898"/>
      <c r="AG503" s="898"/>
      <c r="AH503" s="898"/>
      <c r="AI503" s="898"/>
      <c r="AJ503" s="898"/>
      <c r="AK503" s="897"/>
      <c r="AL503" s="897"/>
      <c r="AM503" s="897"/>
      <c r="AN503" s="897"/>
      <c r="AO503" s="897"/>
      <c r="AP503" s="897"/>
      <c r="AQ503" s="897"/>
      <c r="AR503" s="897"/>
    </row>
    <row r="504" spans="1:44" s="930" customFormat="1">
      <c r="A504" s="892"/>
      <c r="B504" s="899"/>
      <c r="C504" s="900"/>
      <c r="D504" s="894"/>
      <c r="E504" s="895"/>
      <c r="F504" s="896"/>
      <c r="G504" s="897"/>
      <c r="H504" s="897"/>
      <c r="I504" s="897"/>
      <c r="J504" s="897"/>
      <c r="K504" s="897"/>
      <c r="L504" s="898"/>
      <c r="M504" s="898"/>
      <c r="N504" s="898"/>
      <c r="O504" s="898"/>
      <c r="P504" s="898"/>
      <c r="Q504" s="898"/>
      <c r="R504" s="898"/>
      <c r="S504" s="898"/>
      <c r="T504" s="898"/>
      <c r="U504" s="898"/>
      <c r="V504" s="898"/>
      <c r="W504" s="898"/>
      <c r="X504" s="898"/>
      <c r="Y504" s="898"/>
      <c r="Z504" s="898"/>
      <c r="AA504" s="898"/>
      <c r="AB504" s="898"/>
      <c r="AC504" s="898"/>
      <c r="AD504" s="898"/>
      <c r="AE504" s="898"/>
      <c r="AF504" s="898"/>
      <c r="AG504" s="898"/>
      <c r="AH504" s="898"/>
      <c r="AI504" s="898"/>
      <c r="AJ504" s="898"/>
      <c r="AK504" s="897"/>
      <c r="AL504" s="897"/>
      <c r="AM504" s="897"/>
      <c r="AN504" s="897"/>
      <c r="AO504" s="897"/>
      <c r="AP504" s="897"/>
      <c r="AQ504" s="897"/>
      <c r="AR504" s="897"/>
    </row>
    <row r="505" spans="1:44" s="930" customFormat="1">
      <c r="A505" s="892"/>
      <c r="B505" s="899"/>
      <c r="C505" s="900"/>
      <c r="D505" s="894"/>
      <c r="E505" s="895"/>
      <c r="F505" s="896"/>
      <c r="G505" s="897"/>
      <c r="H505" s="897"/>
      <c r="I505" s="897"/>
      <c r="J505" s="897"/>
      <c r="K505" s="897"/>
      <c r="L505" s="898"/>
      <c r="M505" s="898"/>
      <c r="N505" s="898"/>
      <c r="O505" s="898"/>
      <c r="P505" s="898"/>
      <c r="Q505" s="898"/>
      <c r="R505" s="898"/>
      <c r="S505" s="898"/>
      <c r="T505" s="898"/>
      <c r="U505" s="898"/>
      <c r="V505" s="898"/>
      <c r="W505" s="898"/>
      <c r="X505" s="898"/>
      <c r="Y505" s="898"/>
      <c r="Z505" s="898"/>
      <c r="AA505" s="898"/>
      <c r="AB505" s="898"/>
      <c r="AC505" s="898"/>
      <c r="AD505" s="898"/>
      <c r="AE505" s="898"/>
      <c r="AF505" s="898"/>
      <c r="AG505" s="898"/>
      <c r="AH505" s="898"/>
      <c r="AI505" s="898"/>
      <c r="AJ505" s="898"/>
      <c r="AK505" s="897"/>
      <c r="AL505" s="897"/>
      <c r="AM505" s="897"/>
      <c r="AN505" s="897"/>
      <c r="AO505" s="897"/>
      <c r="AP505" s="897"/>
      <c r="AQ505" s="897"/>
      <c r="AR505" s="897"/>
    </row>
    <row r="506" spans="1:44" s="930" customFormat="1">
      <c r="A506" s="892"/>
      <c r="B506" s="899"/>
      <c r="C506" s="900"/>
      <c r="D506" s="894"/>
      <c r="E506" s="895"/>
      <c r="F506" s="896"/>
      <c r="G506" s="897"/>
      <c r="H506" s="897"/>
      <c r="I506" s="897"/>
      <c r="J506" s="897"/>
      <c r="K506" s="897"/>
      <c r="L506" s="898"/>
      <c r="M506" s="898"/>
      <c r="N506" s="898"/>
      <c r="O506" s="898"/>
      <c r="P506" s="898"/>
      <c r="Q506" s="898"/>
      <c r="R506" s="898"/>
      <c r="S506" s="898"/>
      <c r="T506" s="898"/>
      <c r="U506" s="898"/>
      <c r="V506" s="898"/>
      <c r="W506" s="898"/>
      <c r="X506" s="898"/>
      <c r="Y506" s="898"/>
      <c r="Z506" s="898"/>
      <c r="AA506" s="898"/>
      <c r="AB506" s="898"/>
      <c r="AC506" s="898"/>
      <c r="AD506" s="898"/>
      <c r="AE506" s="898"/>
      <c r="AF506" s="898"/>
      <c r="AG506" s="898"/>
      <c r="AH506" s="898"/>
      <c r="AI506" s="898"/>
      <c r="AJ506" s="898"/>
      <c r="AK506" s="897"/>
      <c r="AL506" s="897"/>
      <c r="AM506" s="897"/>
      <c r="AN506" s="897"/>
      <c r="AO506" s="897"/>
      <c r="AP506" s="897"/>
      <c r="AQ506" s="897"/>
      <c r="AR506" s="897"/>
    </row>
    <row r="507" spans="1:44" s="930" customFormat="1">
      <c r="A507" s="892"/>
      <c r="B507" s="899"/>
      <c r="C507" s="900"/>
      <c r="D507" s="894"/>
      <c r="E507" s="895"/>
      <c r="F507" s="896"/>
      <c r="G507" s="897"/>
      <c r="H507" s="897"/>
      <c r="I507" s="897"/>
      <c r="J507" s="897"/>
      <c r="K507" s="897"/>
      <c r="L507" s="898"/>
      <c r="M507" s="898"/>
      <c r="N507" s="898"/>
      <c r="O507" s="898"/>
      <c r="P507" s="898"/>
      <c r="Q507" s="898"/>
      <c r="R507" s="898"/>
      <c r="S507" s="898"/>
      <c r="T507" s="898"/>
      <c r="U507" s="898"/>
      <c r="V507" s="898"/>
      <c r="W507" s="898"/>
      <c r="X507" s="898"/>
      <c r="Y507" s="898"/>
      <c r="Z507" s="898"/>
      <c r="AA507" s="898"/>
      <c r="AB507" s="898"/>
      <c r="AC507" s="898"/>
      <c r="AD507" s="898"/>
      <c r="AE507" s="898"/>
      <c r="AF507" s="898"/>
      <c r="AG507" s="898"/>
      <c r="AH507" s="898"/>
      <c r="AI507" s="898"/>
      <c r="AJ507" s="898"/>
      <c r="AK507" s="897"/>
      <c r="AL507" s="897"/>
      <c r="AM507" s="897"/>
      <c r="AN507" s="897"/>
      <c r="AO507" s="897"/>
      <c r="AP507" s="897"/>
      <c r="AQ507" s="897"/>
      <c r="AR507" s="897"/>
    </row>
    <row r="508" spans="1:44" s="930" customFormat="1">
      <c r="A508" s="892"/>
      <c r="B508" s="899"/>
      <c r="C508" s="900"/>
      <c r="D508" s="894"/>
      <c r="E508" s="895"/>
      <c r="F508" s="896"/>
      <c r="G508" s="897"/>
      <c r="H508" s="897"/>
      <c r="I508" s="897"/>
      <c r="J508" s="897"/>
      <c r="K508" s="897"/>
      <c r="L508" s="898"/>
      <c r="M508" s="898"/>
      <c r="N508" s="898"/>
      <c r="O508" s="898"/>
      <c r="P508" s="898"/>
      <c r="Q508" s="898"/>
      <c r="R508" s="898"/>
      <c r="S508" s="898"/>
      <c r="T508" s="898"/>
      <c r="U508" s="898"/>
      <c r="V508" s="898"/>
      <c r="W508" s="898"/>
      <c r="X508" s="898"/>
      <c r="Y508" s="898"/>
      <c r="Z508" s="898"/>
      <c r="AA508" s="898"/>
      <c r="AB508" s="898"/>
      <c r="AC508" s="898"/>
      <c r="AD508" s="898"/>
      <c r="AE508" s="898"/>
      <c r="AF508" s="898"/>
      <c r="AG508" s="898"/>
      <c r="AH508" s="898"/>
      <c r="AI508" s="898"/>
      <c r="AJ508" s="898"/>
      <c r="AK508" s="897"/>
      <c r="AL508" s="897"/>
      <c r="AM508" s="897"/>
      <c r="AN508" s="897"/>
      <c r="AO508" s="897"/>
      <c r="AP508" s="897"/>
      <c r="AQ508" s="897"/>
      <c r="AR508" s="897"/>
    </row>
    <row r="509" spans="1:44" s="930" customFormat="1">
      <c r="A509" s="892"/>
      <c r="B509" s="899"/>
      <c r="C509" s="900"/>
      <c r="D509" s="894"/>
      <c r="E509" s="895"/>
      <c r="F509" s="896"/>
      <c r="G509" s="897"/>
      <c r="H509" s="897"/>
      <c r="I509" s="897"/>
      <c r="J509" s="897"/>
      <c r="K509" s="897"/>
      <c r="L509" s="898"/>
      <c r="M509" s="898"/>
      <c r="N509" s="898"/>
      <c r="O509" s="898"/>
      <c r="P509" s="898"/>
      <c r="Q509" s="898"/>
      <c r="R509" s="898"/>
      <c r="S509" s="898"/>
      <c r="T509" s="898"/>
      <c r="U509" s="898"/>
      <c r="V509" s="898"/>
      <c r="W509" s="898"/>
      <c r="X509" s="898"/>
      <c r="Y509" s="898"/>
      <c r="Z509" s="898"/>
      <c r="AA509" s="898"/>
      <c r="AB509" s="898"/>
      <c r="AC509" s="898"/>
      <c r="AD509" s="898"/>
      <c r="AE509" s="898"/>
      <c r="AF509" s="898"/>
      <c r="AG509" s="898"/>
      <c r="AH509" s="898"/>
      <c r="AI509" s="898"/>
      <c r="AJ509" s="898"/>
      <c r="AK509" s="897"/>
      <c r="AL509" s="897"/>
      <c r="AM509" s="897"/>
      <c r="AN509" s="897"/>
      <c r="AO509" s="897"/>
      <c r="AP509" s="897"/>
      <c r="AQ509" s="897"/>
      <c r="AR509" s="897"/>
    </row>
    <row r="510" spans="1:44" s="930" customFormat="1">
      <c r="A510" s="892"/>
      <c r="B510" s="899"/>
      <c r="C510" s="900"/>
      <c r="D510" s="894"/>
      <c r="E510" s="895"/>
      <c r="F510" s="896"/>
      <c r="G510" s="897"/>
      <c r="H510" s="897"/>
      <c r="I510" s="897"/>
      <c r="J510" s="897"/>
      <c r="K510" s="897"/>
      <c r="L510" s="898"/>
      <c r="M510" s="898"/>
      <c r="N510" s="898"/>
      <c r="O510" s="898"/>
      <c r="P510" s="898"/>
      <c r="Q510" s="898"/>
      <c r="R510" s="898"/>
      <c r="S510" s="898"/>
      <c r="T510" s="898"/>
      <c r="U510" s="898"/>
      <c r="V510" s="898"/>
      <c r="W510" s="898"/>
      <c r="X510" s="898"/>
      <c r="Y510" s="898"/>
      <c r="Z510" s="898"/>
      <c r="AA510" s="898"/>
      <c r="AB510" s="898"/>
      <c r="AC510" s="898"/>
      <c r="AD510" s="898"/>
      <c r="AE510" s="898"/>
      <c r="AF510" s="898"/>
      <c r="AG510" s="898"/>
      <c r="AH510" s="898"/>
      <c r="AI510" s="898"/>
      <c r="AJ510" s="898"/>
      <c r="AK510" s="897"/>
      <c r="AL510" s="897"/>
      <c r="AM510" s="897"/>
      <c r="AN510" s="897"/>
      <c r="AO510" s="897"/>
      <c r="AP510" s="897"/>
      <c r="AQ510" s="897"/>
      <c r="AR510" s="897"/>
    </row>
    <row r="511" spans="1:44" s="930" customFormat="1">
      <c r="A511" s="892"/>
      <c r="B511" s="899"/>
      <c r="C511" s="900"/>
      <c r="D511" s="894"/>
      <c r="E511" s="895"/>
      <c r="F511" s="896"/>
      <c r="G511" s="897"/>
      <c r="H511" s="897"/>
      <c r="I511" s="897"/>
      <c r="J511" s="897"/>
      <c r="K511" s="897"/>
      <c r="L511" s="898"/>
      <c r="M511" s="898"/>
      <c r="N511" s="898"/>
      <c r="O511" s="898"/>
      <c r="P511" s="898"/>
      <c r="Q511" s="898"/>
      <c r="R511" s="898"/>
      <c r="S511" s="898"/>
      <c r="T511" s="898"/>
      <c r="U511" s="898"/>
      <c r="V511" s="898"/>
      <c r="W511" s="898"/>
      <c r="X511" s="898"/>
      <c r="Y511" s="898"/>
      <c r="Z511" s="898"/>
      <c r="AA511" s="898"/>
      <c r="AB511" s="898"/>
      <c r="AC511" s="898"/>
      <c r="AD511" s="898"/>
      <c r="AE511" s="898"/>
      <c r="AF511" s="898"/>
      <c r="AG511" s="898"/>
      <c r="AH511" s="898"/>
      <c r="AI511" s="898"/>
      <c r="AJ511" s="898"/>
      <c r="AK511" s="897"/>
      <c r="AL511" s="897"/>
      <c r="AM511" s="897"/>
      <c r="AN511" s="897"/>
      <c r="AO511" s="897"/>
      <c r="AP511" s="897"/>
      <c r="AQ511" s="897"/>
      <c r="AR511" s="897"/>
    </row>
    <row r="512" spans="1:44" s="930" customFormat="1">
      <c r="A512" s="892"/>
      <c r="B512" s="899"/>
      <c r="C512" s="900"/>
      <c r="D512" s="894"/>
      <c r="E512" s="895"/>
      <c r="F512" s="896"/>
      <c r="G512" s="897"/>
      <c r="H512" s="897"/>
      <c r="I512" s="897"/>
      <c r="J512" s="897"/>
      <c r="K512" s="897"/>
      <c r="L512" s="898"/>
      <c r="M512" s="898"/>
      <c r="N512" s="898"/>
      <c r="O512" s="898"/>
      <c r="P512" s="898"/>
      <c r="Q512" s="898"/>
      <c r="R512" s="898"/>
      <c r="S512" s="898"/>
      <c r="T512" s="898"/>
      <c r="U512" s="898"/>
      <c r="V512" s="898"/>
      <c r="W512" s="898"/>
      <c r="X512" s="898"/>
      <c r="Y512" s="898"/>
      <c r="Z512" s="898"/>
      <c r="AA512" s="898"/>
      <c r="AB512" s="898"/>
      <c r="AC512" s="898"/>
      <c r="AD512" s="898"/>
      <c r="AE512" s="898"/>
      <c r="AF512" s="898"/>
      <c r="AG512" s="898"/>
      <c r="AH512" s="898"/>
      <c r="AI512" s="898"/>
      <c r="AJ512" s="898"/>
      <c r="AK512" s="897"/>
      <c r="AL512" s="897"/>
      <c r="AM512" s="897"/>
      <c r="AN512" s="897"/>
      <c r="AO512" s="897"/>
      <c r="AP512" s="897"/>
      <c r="AQ512" s="897"/>
      <c r="AR512" s="897"/>
    </row>
    <row r="513" spans="1:44" s="930" customFormat="1">
      <c r="A513" s="892"/>
      <c r="B513" s="899"/>
      <c r="C513" s="900"/>
      <c r="D513" s="894"/>
      <c r="E513" s="895"/>
      <c r="F513" s="896"/>
      <c r="G513" s="897"/>
      <c r="H513" s="897"/>
      <c r="I513" s="897"/>
      <c r="J513" s="897"/>
      <c r="K513" s="897"/>
      <c r="L513" s="898"/>
      <c r="M513" s="898"/>
      <c r="N513" s="898"/>
      <c r="O513" s="898"/>
      <c r="P513" s="898"/>
      <c r="Q513" s="898"/>
      <c r="R513" s="898"/>
      <c r="S513" s="898"/>
      <c r="T513" s="898"/>
      <c r="U513" s="898"/>
      <c r="V513" s="898"/>
      <c r="W513" s="898"/>
      <c r="X513" s="898"/>
      <c r="Y513" s="898"/>
      <c r="Z513" s="898"/>
      <c r="AA513" s="898"/>
      <c r="AB513" s="898"/>
      <c r="AC513" s="898"/>
      <c r="AD513" s="898"/>
      <c r="AE513" s="898"/>
      <c r="AF513" s="898"/>
      <c r="AG513" s="898"/>
      <c r="AH513" s="898"/>
      <c r="AI513" s="898"/>
      <c r="AJ513" s="898"/>
      <c r="AK513" s="897"/>
      <c r="AL513" s="897"/>
      <c r="AM513" s="897"/>
      <c r="AN513" s="897"/>
      <c r="AO513" s="897"/>
      <c r="AP513" s="897"/>
      <c r="AQ513" s="897"/>
      <c r="AR513" s="897"/>
    </row>
    <row r="514" spans="1:44" s="930" customFormat="1">
      <c r="A514" s="892"/>
      <c r="B514" s="899"/>
      <c r="C514" s="900"/>
      <c r="D514" s="894"/>
      <c r="E514" s="895"/>
      <c r="F514" s="896"/>
      <c r="G514" s="897"/>
      <c r="H514" s="897"/>
      <c r="I514" s="897"/>
      <c r="J514" s="897"/>
      <c r="K514" s="897"/>
      <c r="L514" s="898"/>
      <c r="M514" s="898"/>
      <c r="N514" s="898"/>
      <c r="O514" s="898"/>
      <c r="P514" s="898"/>
      <c r="Q514" s="898"/>
      <c r="R514" s="898"/>
      <c r="S514" s="898"/>
      <c r="T514" s="898"/>
      <c r="U514" s="898"/>
      <c r="V514" s="898"/>
      <c r="W514" s="898"/>
      <c r="X514" s="898"/>
      <c r="Y514" s="898"/>
      <c r="Z514" s="898"/>
      <c r="AA514" s="898"/>
      <c r="AB514" s="898"/>
      <c r="AC514" s="898"/>
      <c r="AD514" s="898"/>
      <c r="AE514" s="898"/>
      <c r="AF514" s="898"/>
      <c r="AG514" s="898"/>
      <c r="AH514" s="898"/>
      <c r="AI514" s="898"/>
      <c r="AJ514" s="898"/>
      <c r="AK514" s="897"/>
      <c r="AL514" s="897"/>
      <c r="AM514" s="897"/>
      <c r="AN514" s="897"/>
      <c r="AO514" s="897"/>
      <c r="AP514" s="897"/>
      <c r="AQ514" s="897"/>
      <c r="AR514" s="897"/>
    </row>
    <row r="515" spans="1:44" s="930" customFormat="1">
      <c r="A515" s="892"/>
      <c r="B515" s="899"/>
      <c r="C515" s="900"/>
      <c r="D515" s="894"/>
      <c r="E515" s="895"/>
      <c r="F515" s="896"/>
      <c r="G515" s="897"/>
      <c r="H515" s="897"/>
      <c r="I515" s="897"/>
      <c r="J515" s="897"/>
      <c r="K515" s="897"/>
      <c r="L515" s="898"/>
      <c r="M515" s="898"/>
      <c r="N515" s="898"/>
      <c r="O515" s="898"/>
      <c r="P515" s="898"/>
      <c r="Q515" s="898"/>
      <c r="R515" s="898"/>
      <c r="S515" s="898"/>
      <c r="T515" s="898"/>
      <c r="U515" s="898"/>
      <c r="V515" s="898"/>
      <c r="W515" s="898"/>
      <c r="X515" s="898"/>
      <c r="Y515" s="898"/>
      <c r="Z515" s="898"/>
      <c r="AA515" s="898"/>
      <c r="AB515" s="898"/>
      <c r="AC515" s="898"/>
      <c r="AD515" s="898"/>
      <c r="AE515" s="898"/>
      <c r="AF515" s="898"/>
      <c r="AG515" s="898"/>
      <c r="AH515" s="898"/>
      <c r="AI515" s="898"/>
      <c r="AJ515" s="898"/>
      <c r="AK515" s="897"/>
      <c r="AL515" s="897"/>
      <c r="AM515" s="897"/>
      <c r="AN515" s="897"/>
      <c r="AO515" s="897"/>
      <c r="AP515" s="897"/>
      <c r="AQ515" s="897"/>
      <c r="AR515" s="897"/>
    </row>
    <row r="516" spans="1:44" s="930" customFormat="1">
      <c r="A516" s="892"/>
      <c r="B516" s="899"/>
      <c r="C516" s="900"/>
      <c r="D516" s="894"/>
      <c r="E516" s="895"/>
      <c r="F516" s="896"/>
      <c r="G516" s="897"/>
      <c r="H516" s="897"/>
      <c r="I516" s="897"/>
      <c r="J516" s="897"/>
      <c r="K516" s="897"/>
      <c r="L516" s="898"/>
      <c r="M516" s="898"/>
      <c r="N516" s="898"/>
      <c r="O516" s="898"/>
      <c r="P516" s="898"/>
      <c r="Q516" s="898"/>
      <c r="R516" s="898"/>
      <c r="S516" s="898"/>
      <c r="T516" s="898"/>
      <c r="U516" s="898"/>
      <c r="V516" s="898"/>
      <c r="W516" s="898"/>
      <c r="X516" s="898"/>
      <c r="Y516" s="898"/>
      <c r="Z516" s="898"/>
      <c r="AA516" s="898"/>
      <c r="AB516" s="898"/>
      <c r="AC516" s="898"/>
      <c r="AD516" s="898"/>
      <c r="AE516" s="898"/>
      <c r="AF516" s="898"/>
      <c r="AG516" s="898"/>
      <c r="AH516" s="898"/>
      <c r="AI516" s="898"/>
      <c r="AJ516" s="898"/>
      <c r="AK516" s="897"/>
      <c r="AL516" s="897"/>
      <c r="AM516" s="897"/>
      <c r="AN516" s="897"/>
      <c r="AO516" s="897"/>
      <c r="AP516" s="897"/>
      <c r="AQ516" s="897"/>
      <c r="AR516" s="897"/>
    </row>
    <row r="517" spans="1:44" s="930" customFormat="1">
      <c r="A517" s="892"/>
      <c r="B517" s="899"/>
      <c r="C517" s="900"/>
      <c r="D517" s="894"/>
      <c r="E517" s="895"/>
      <c r="F517" s="896"/>
      <c r="G517" s="897"/>
      <c r="H517" s="897"/>
      <c r="I517" s="897"/>
      <c r="J517" s="897"/>
      <c r="K517" s="897"/>
      <c r="L517" s="898"/>
      <c r="M517" s="898"/>
      <c r="N517" s="898"/>
      <c r="O517" s="898"/>
      <c r="P517" s="898"/>
      <c r="Q517" s="898"/>
      <c r="R517" s="898"/>
      <c r="S517" s="898"/>
      <c r="T517" s="898"/>
      <c r="U517" s="898"/>
      <c r="V517" s="898"/>
      <c r="W517" s="898"/>
      <c r="X517" s="898"/>
      <c r="Y517" s="898"/>
      <c r="Z517" s="898"/>
      <c r="AA517" s="898"/>
      <c r="AB517" s="898"/>
      <c r="AC517" s="898"/>
      <c r="AD517" s="898"/>
      <c r="AE517" s="898"/>
      <c r="AF517" s="898"/>
      <c r="AG517" s="898"/>
      <c r="AH517" s="898"/>
      <c r="AI517" s="898"/>
      <c r="AJ517" s="898"/>
      <c r="AK517" s="897"/>
      <c r="AL517" s="897"/>
      <c r="AM517" s="897"/>
      <c r="AN517" s="897"/>
      <c r="AO517" s="897"/>
      <c r="AP517" s="897"/>
      <c r="AQ517" s="897"/>
      <c r="AR517" s="897"/>
    </row>
    <row r="518" spans="1:44" s="930" customFormat="1">
      <c r="A518" s="892"/>
      <c r="B518" s="899"/>
      <c r="C518" s="900"/>
      <c r="D518" s="894"/>
      <c r="E518" s="895"/>
      <c r="F518" s="896"/>
      <c r="G518" s="897"/>
      <c r="H518" s="897"/>
      <c r="I518" s="897"/>
      <c r="J518" s="897"/>
      <c r="K518" s="897"/>
      <c r="L518" s="898"/>
      <c r="M518" s="898"/>
      <c r="N518" s="898"/>
      <c r="O518" s="898"/>
      <c r="P518" s="898"/>
      <c r="Q518" s="898"/>
      <c r="R518" s="898"/>
      <c r="S518" s="898"/>
      <c r="T518" s="898"/>
      <c r="U518" s="898"/>
      <c r="V518" s="898"/>
      <c r="W518" s="898"/>
      <c r="X518" s="898"/>
      <c r="Y518" s="898"/>
      <c r="Z518" s="898"/>
      <c r="AA518" s="898"/>
      <c r="AB518" s="898"/>
      <c r="AC518" s="898"/>
      <c r="AD518" s="898"/>
      <c r="AE518" s="898"/>
      <c r="AF518" s="898"/>
      <c r="AG518" s="898"/>
      <c r="AH518" s="898"/>
      <c r="AI518" s="898"/>
      <c r="AJ518" s="898"/>
      <c r="AK518" s="897"/>
      <c r="AL518" s="897"/>
      <c r="AM518" s="897"/>
      <c r="AN518" s="897"/>
      <c r="AO518" s="897"/>
      <c r="AP518" s="897"/>
      <c r="AQ518" s="897"/>
      <c r="AR518" s="897"/>
    </row>
    <row r="519" spans="1:44" s="930" customFormat="1">
      <c r="A519" s="892"/>
      <c r="B519" s="899"/>
      <c r="C519" s="900"/>
      <c r="D519" s="894"/>
      <c r="E519" s="895"/>
      <c r="F519" s="896"/>
      <c r="G519" s="897"/>
      <c r="H519" s="897"/>
      <c r="I519" s="897"/>
      <c r="J519" s="897"/>
      <c r="K519" s="897"/>
      <c r="L519" s="898"/>
      <c r="M519" s="898"/>
      <c r="N519" s="898"/>
      <c r="O519" s="898"/>
      <c r="P519" s="898"/>
      <c r="Q519" s="898"/>
      <c r="R519" s="898"/>
      <c r="S519" s="898"/>
      <c r="T519" s="898"/>
      <c r="U519" s="898"/>
      <c r="V519" s="898"/>
      <c r="W519" s="898"/>
      <c r="X519" s="898"/>
      <c r="Y519" s="898"/>
      <c r="Z519" s="898"/>
      <c r="AA519" s="898"/>
      <c r="AB519" s="898"/>
      <c r="AC519" s="898"/>
      <c r="AD519" s="898"/>
      <c r="AE519" s="898"/>
      <c r="AF519" s="898"/>
      <c r="AG519" s="898"/>
      <c r="AH519" s="898"/>
      <c r="AI519" s="898"/>
      <c r="AJ519" s="898"/>
      <c r="AK519" s="897"/>
      <c r="AL519" s="897"/>
      <c r="AM519" s="897"/>
      <c r="AN519" s="897"/>
      <c r="AO519" s="897"/>
      <c r="AP519" s="897"/>
      <c r="AQ519" s="897"/>
      <c r="AR519" s="897"/>
    </row>
    <row r="520" spans="1:44" s="930" customFormat="1">
      <c r="A520" s="892"/>
      <c r="B520" s="899"/>
      <c r="C520" s="900"/>
      <c r="D520" s="894"/>
      <c r="E520" s="895"/>
      <c r="F520" s="896"/>
      <c r="G520" s="897"/>
      <c r="H520" s="897"/>
      <c r="I520" s="897"/>
      <c r="J520" s="897"/>
      <c r="K520" s="897"/>
      <c r="L520" s="898"/>
      <c r="M520" s="898"/>
      <c r="N520" s="898"/>
      <c r="O520" s="898"/>
      <c r="P520" s="898"/>
      <c r="Q520" s="898"/>
      <c r="R520" s="898"/>
      <c r="S520" s="898"/>
      <c r="T520" s="898"/>
      <c r="U520" s="898"/>
      <c r="V520" s="898"/>
      <c r="W520" s="898"/>
      <c r="X520" s="898"/>
      <c r="Y520" s="898"/>
      <c r="Z520" s="898"/>
      <c r="AA520" s="898"/>
      <c r="AB520" s="898"/>
      <c r="AC520" s="898"/>
      <c r="AD520" s="898"/>
      <c r="AE520" s="898"/>
      <c r="AF520" s="898"/>
      <c r="AG520" s="898"/>
      <c r="AH520" s="898"/>
      <c r="AI520" s="898"/>
      <c r="AJ520" s="898"/>
      <c r="AK520" s="897"/>
      <c r="AL520" s="897"/>
      <c r="AM520" s="897"/>
      <c r="AN520" s="897"/>
      <c r="AO520" s="897"/>
      <c r="AP520" s="897"/>
      <c r="AQ520" s="897"/>
      <c r="AR520" s="897"/>
    </row>
    <row r="521" spans="1:44" s="930" customFormat="1">
      <c r="A521" s="892"/>
      <c r="B521" s="899"/>
      <c r="C521" s="900"/>
      <c r="D521" s="894"/>
      <c r="E521" s="895"/>
      <c r="F521" s="896"/>
      <c r="G521" s="897"/>
      <c r="H521" s="897"/>
      <c r="I521" s="897"/>
      <c r="J521" s="897"/>
      <c r="K521" s="897"/>
      <c r="L521" s="898"/>
      <c r="M521" s="898"/>
      <c r="N521" s="898"/>
      <c r="O521" s="898"/>
      <c r="P521" s="898"/>
      <c r="Q521" s="898"/>
      <c r="R521" s="898"/>
      <c r="S521" s="898"/>
      <c r="T521" s="898"/>
      <c r="U521" s="898"/>
      <c r="V521" s="898"/>
      <c r="W521" s="898"/>
      <c r="X521" s="898"/>
      <c r="Y521" s="898"/>
      <c r="Z521" s="898"/>
      <c r="AA521" s="898"/>
      <c r="AB521" s="898"/>
      <c r="AC521" s="898"/>
      <c r="AD521" s="898"/>
      <c r="AE521" s="898"/>
      <c r="AF521" s="898"/>
      <c r="AG521" s="898"/>
      <c r="AH521" s="898"/>
      <c r="AI521" s="898"/>
      <c r="AJ521" s="898"/>
      <c r="AK521" s="897"/>
      <c r="AL521" s="897"/>
      <c r="AM521" s="897"/>
      <c r="AN521" s="897"/>
      <c r="AO521" s="897"/>
      <c r="AP521" s="897"/>
      <c r="AQ521" s="897"/>
      <c r="AR521" s="897"/>
    </row>
    <row r="522" spans="1:44" s="930" customFormat="1">
      <c r="A522" s="892"/>
      <c r="B522" s="899"/>
      <c r="C522" s="900"/>
      <c r="D522" s="894"/>
      <c r="E522" s="895"/>
      <c r="F522" s="896"/>
      <c r="G522" s="897"/>
      <c r="H522" s="897"/>
      <c r="I522" s="897"/>
      <c r="J522" s="897"/>
      <c r="K522" s="897"/>
      <c r="L522" s="898"/>
      <c r="M522" s="898"/>
      <c r="N522" s="898"/>
      <c r="O522" s="898"/>
      <c r="P522" s="898"/>
      <c r="Q522" s="898"/>
      <c r="R522" s="898"/>
      <c r="S522" s="898"/>
      <c r="T522" s="898"/>
      <c r="U522" s="898"/>
      <c r="V522" s="898"/>
      <c r="W522" s="898"/>
      <c r="X522" s="898"/>
      <c r="Y522" s="898"/>
      <c r="Z522" s="898"/>
      <c r="AA522" s="898"/>
      <c r="AB522" s="898"/>
      <c r="AC522" s="898"/>
      <c r="AD522" s="898"/>
      <c r="AE522" s="898"/>
      <c r="AF522" s="898"/>
      <c r="AG522" s="898"/>
      <c r="AH522" s="898"/>
      <c r="AI522" s="898"/>
      <c r="AJ522" s="898"/>
      <c r="AK522" s="897"/>
      <c r="AL522" s="897"/>
      <c r="AM522" s="897"/>
      <c r="AN522" s="897"/>
      <c r="AO522" s="897"/>
      <c r="AP522" s="897"/>
      <c r="AQ522" s="897"/>
      <c r="AR522" s="897"/>
    </row>
    <row r="523" spans="1:44" s="930" customFormat="1">
      <c r="A523" s="892"/>
      <c r="B523" s="899"/>
      <c r="C523" s="900"/>
      <c r="D523" s="894"/>
      <c r="E523" s="895"/>
      <c r="F523" s="896"/>
      <c r="G523" s="897"/>
      <c r="H523" s="897"/>
      <c r="I523" s="897"/>
      <c r="J523" s="897"/>
      <c r="K523" s="897"/>
      <c r="L523" s="898"/>
      <c r="M523" s="898"/>
      <c r="N523" s="898"/>
      <c r="O523" s="898"/>
      <c r="P523" s="898"/>
      <c r="Q523" s="898"/>
      <c r="R523" s="898"/>
      <c r="S523" s="898"/>
      <c r="T523" s="898"/>
      <c r="U523" s="898"/>
      <c r="V523" s="898"/>
      <c r="W523" s="898"/>
      <c r="X523" s="898"/>
      <c r="Y523" s="898"/>
      <c r="Z523" s="898"/>
      <c r="AA523" s="898"/>
      <c r="AB523" s="898"/>
      <c r="AC523" s="898"/>
      <c r="AD523" s="898"/>
      <c r="AE523" s="898"/>
      <c r="AF523" s="898"/>
      <c r="AG523" s="898"/>
      <c r="AH523" s="898"/>
      <c r="AI523" s="898"/>
      <c r="AJ523" s="898"/>
      <c r="AK523" s="897"/>
      <c r="AL523" s="897"/>
      <c r="AM523" s="897"/>
      <c r="AN523" s="897"/>
      <c r="AO523" s="897"/>
      <c r="AP523" s="897"/>
      <c r="AQ523" s="897"/>
      <c r="AR523" s="897"/>
    </row>
    <row r="524" spans="1:44" s="930" customFormat="1">
      <c r="A524" s="892"/>
      <c r="B524" s="899"/>
      <c r="C524" s="900"/>
      <c r="D524" s="894"/>
      <c r="E524" s="895"/>
      <c r="F524" s="896"/>
      <c r="G524" s="897"/>
      <c r="H524" s="897"/>
      <c r="I524" s="897"/>
      <c r="J524" s="897"/>
      <c r="K524" s="897"/>
      <c r="L524" s="898"/>
      <c r="M524" s="898"/>
      <c r="N524" s="898"/>
      <c r="O524" s="898"/>
      <c r="P524" s="898"/>
      <c r="Q524" s="898"/>
      <c r="R524" s="898"/>
      <c r="S524" s="898"/>
      <c r="T524" s="898"/>
      <c r="U524" s="898"/>
      <c r="V524" s="898"/>
      <c r="W524" s="898"/>
      <c r="X524" s="898"/>
      <c r="Y524" s="898"/>
      <c r="Z524" s="898"/>
      <c r="AA524" s="898"/>
      <c r="AB524" s="898"/>
      <c r="AC524" s="898"/>
      <c r="AD524" s="898"/>
      <c r="AE524" s="898"/>
      <c r="AF524" s="898"/>
      <c r="AG524" s="898"/>
      <c r="AH524" s="898"/>
      <c r="AI524" s="898"/>
      <c r="AJ524" s="898"/>
      <c r="AK524" s="897"/>
      <c r="AL524" s="897"/>
      <c r="AM524" s="897"/>
      <c r="AN524" s="897"/>
      <c r="AO524" s="897"/>
      <c r="AP524" s="897"/>
      <c r="AQ524" s="897"/>
      <c r="AR524" s="897"/>
    </row>
    <row r="525" spans="1:44" s="930" customFormat="1">
      <c r="A525" s="892"/>
      <c r="B525" s="899"/>
      <c r="C525" s="900"/>
      <c r="D525" s="894"/>
      <c r="E525" s="895"/>
      <c r="F525" s="896"/>
      <c r="G525" s="897"/>
      <c r="H525" s="897"/>
      <c r="I525" s="897"/>
      <c r="J525" s="897"/>
      <c r="K525" s="897"/>
      <c r="L525" s="898"/>
      <c r="M525" s="898"/>
      <c r="N525" s="898"/>
      <c r="O525" s="898"/>
      <c r="P525" s="898"/>
      <c r="Q525" s="898"/>
      <c r="R525" s="898"/>
      <c r="S525" s="898"/>
      <c r="T525" s="898"/>
      <c r="U525" s="898"/>
      <c r="V525" s="898"/>
      <c r="W525" s="898"/>
      <c r="X525" s="898"/>
      <c r="Y525" s="898"/>
      <c r="Z525" s="898"/>
      <c r="AA525" s="898"/>
      <c r="AB525" s="898"/>
      <c r="AC525" s="898"/>
      <c r="AD525" s="898"/>
      <c r="AE525" s="898"/>
      <c r="AF525" s="898"/>
      <c r="AG525" s="898"/>
      <c r="AH525" s="898"/>
      <c r="AI525" s="898"/>
      <c r="AJ525" s="898"/>
      <c r="AK525" s="897"/>
      <c r="AL525" s="897"/>
      <c r="AM525" s="897"/>
      <c r="AN525" s="897"/>
      <c r="AO525" s="897"/>
      <c r="AP525" s="897"/>
      <c r="AQ525" s="897"/>
      <c r="AR525" s="897"/>
    </row>
    <row r="526" spans="1:44" s="930" customFormat="1">
      <c r="A526" s="892"/>
      <c r="B526" s="899"/>
      <c r="C526" s="900"/>
      <c r="D526" s="894"/>
      <c r="E526" s="895"/>
      <c r="F526" s="896"/>
      <c r="G526" s="897"/>
      <c r="H526" s="897"/>
      <c r="I526" s="897"/>
      <c r="J526" s="897"/>
      <c r="K526" s="897"/>
      <c r="L526" s="898"/>
      <c r="M526" s="898"/>
      <c r="N526" s="898"/>
      <c r="O526" s="898"/>
      <c r="P526" s="898"/>
      <c r="Q526" s="898"/>
      <c r="R526" s="898"/>
      <c r="S526" s="898"/>
      <c r="T526" s="898"/>
      <c r="U526" s="898"/>
      <c r="V526" s="898"/>
      <c r="W526" s="898"/>
      <c r="X526" s="898"/>
      <c r="Y526" s="898"/>
      <c r="Z526" s="898"/>
      <c r="AA526" s="898"/>
      <c r="AB526" s="898"/>
      <c r="AC526" s="898"/>
      <c r="AD526" s="898"/>
      <c r="AE526" s="898"/>
      <c r="AF526" s="898"/>
      <c r="AG526" s="898"/>
      <c r="AH526" s="898"/>
      <c r="AI526" s="898"/>
      <c r="AJ526" s="898"/>
      <c r="AK526" s="897"/>
      <c r="AL526" s="897"/>
      <c r="AM526" s="897"/>
      <c r="AN526" s="897"/>
      <c r="AO526" s="897"/>
      <c r="AP526" s="897"/>
      <c r="AQ526" s="897"/>
      <c r="AR526" s="897"/>
    </row>
    <row r="527" spans="1:44" s="930" customFormat="1">
      <c r="A527" s="892"/>
      <c r="B527" s="899"/>
      <c r="C527" s="900"/>
      <c r="D527" s="894"/>
      <c r="E527" s="895"/>
      <c r="F527" s="896"/>
      <c r="G527" s="897"/>
      <c r="H527" s="897"/>
      <c r="I527" s="897"/>
      <c r="J527" s="897"/>
      <c r="K527" s="897"/>
      <c r="L527" s="898"/>
      <c r="M527" s="898"/>
      <c r="N527" s="898"/>
      <c r="O527" s="898"/>
      <c r="P527" s="898"/>
      <c r="Q527" s="898"/>
      <c r="R527" s="898"/>
      <c r="S527" s="898"/>
      <c r="T527" s="898"/>
      <c r="U527" s="898"/>
      <c r="V527" s="898"/>
      <c r="W527" s="898"/>
      <c r="X527" s="898"/>
      <c r="Y527" s="898"/>
      <c r="Z527" s="898"/>
      <c r="AA527" s="898"/>
      <c r="AB527" s="898"/>
      <c r="AC527" s="898"/>
      <c r="AD527" s="898"/>
      <c r="AE527" s="898"/>
      <c r="AF527" s="898"/>
      <c r="AG527" s="898"/>
      <c r="AH527" s="898"/>
      <c r="AI527" s="898"/>
      <c r="AJ527" s="898"/>
      <c r="AK527" s="897"/>
      <c r="AL527" s="897"/>
      <c r="AM527" s="897"/>
      <c r="AN527" s="897"/>
      <c r="AO527" s="897"/>
      <c r="AP527" s="897"/>
      <c r="AQ527" s="897"/>
      <c r="AR527" s="897"/>
    </row>
    <row r="528" spans="1:44" s="930" customFormat="1">
      <c r="A528" s="892"/>
      <c r="B528" s="899"/>
      <c r="C528" s="900"/>
      <c r="D528" s="894"/>
      <c r="E528" s="895"/>
      <c r="F528" s="896"/>
      <c r="G528" s="897"/>
      <c r="H528" s="897"/>
      <c r="I528" s="897"/>
      <c r="J528" s="897"/>
      <c r="K528" s="897"/>
      <c r="L528" s="898"/>
      <c r="M528" s="898"/>
      <c r="N528" s="898"/>
      <c r="O528" s="898"/>
      <c r="P528" s="898"/>
      <c r="Q528" s="898"/>
      <c r="R528" s="898"/>
      <c r="S528" s="898"/>
      <c r="T528" s="898"/>
      <c r="U528" s="898"/>
      <c r="V528" s="898"/>
      <c r="W528" s="898"/>
      <c r="X528" s="898"/>
      <c r="Y528" s="898"/>
      <c r="Z528" s="898"/>
      <c r="AA528" s="898"/>
      <c r="AB528" s="898"/>
      <c r="AC528" s="898"/>
      <c r="AD528" s="898"/>
      <c r="AE528" s="898"/>
      <c r="AF528" s="898"/>
      <c r="AG528" s="898"/>
      <c r="AH528" s="898"/>
      <c r="AI528" s="898"/>
      <c r="AJ528" s="898"/>
      <c r="AK528" s="897"/>
      <c r="AL528" s="897"/>
      <c r="AM528" s="897"/>
      <c r="AN528" s="897"/>
      <c r="AO528" s="897"/>
      <c r="AP528" s="897"/>
      <c r="AQ528" s="897"/>
      <c r="AR528" s="897"/>
    </row>
    <row r="529" spans="1:44" s="930" customFormat="1">
      <c r="A529" s="892"/>
      <c r="B529" s="899"/>
      <c r="C529" s="900"/>
      <c r="D529" s="894"/>
      <c r="E529" s="895"/>
      <c r="F529" s="896"/>
      <c r="G529" s="897"/>
      <c r="H529" s="897"/>
      <c r="I529" s="897"/>
      <c r="J529" s="897"/>
      <c r="K529" s="897"/>
      <c r="L529" s="898"/>
      <c r="M529" s="898"/>
      <c r="N529" s="898"/>
      <c r="O529" s="898"/>
      <c r="P529" s="898"/>
      <c r="Q529" s="898"/>
      <c r="R529" s="898"/>
      <c r="S529" s="898"/>
      <c r="T529" s="898"/>
      <c r="U529" s="898"/>
      <c r="V529" s="898"/>
      <c r="W529" s="898"/>
      <c r="X529" s="898"/>
      <c r="Y529" s="898"/>
      <c r="Z529" s="898"/>
      <c r="AA529" s="898"/>
      <c r="AB529" s="898"/>
      <c r="AC529" s="898"/>
      <c r="AD529" s="898"/>
      <c r="AE529" s="898"/>
      <c r="AF529" s="898"/>
      <c r="AG529" s="898"/>
      <c r="AH529" s="898"/>
      <c r="AI529" s="898"/>
      <c r="AJ529" s="898"/>
      <c r="AK529" s="897"/>
      <c r="AL529" s="897"/>
      <c r="AM529" s="897"/>
      <c r="AN529" s="897"/>
      <c r="AO529" s="897"/>
      <c r="AP529" s="897"/>
      <c r="AQ529" s="897"/>
      <c r="AR529" s="897"/>
    </row>
    <row r="530" spans="1:44" s="930" customFormat="1">
      <c r="A530" s="892"/>
      <c r="B530" s="899"/>
      <c r="C530" s="900"/>
      <c r="D530" s="894"/>
      <c r="E530" s="895"/>
      <c r="F530" s="896"/>
      <c r="G530" s="897"/>
      <c r="H530" s="897"/>
      <c r="I530" s="897"/>
      <c r="J530" s="897"/>
      <c r="K530" s="897"/>
      <c r="L530" s="898"/>
      <c r="M530" s="898"/>
      <c r="N530" s="898"/>
      <c r="O530" s="898"/>
      <c r="P530" s="898"/>
      <c r="Q530" s="898"/>
      <c r="R530" s="898"/>
      <c r="S530" s="898"/>
      <c r="T530" s="898"/>
      <c r="U530" s="898"/>
      <c r="V530" s="898"/>
      <c r="W530" s="898"/>
      <c r="X530" s="898"/>
      <c r="Y530" s="898"/>
      <c r="Z530" s="898"/>
      <c r="AA530" s="898"/>
      <c r="AB530" s="898"/>
      <c r="AC530" s="898"/>
      <c r="AD530" s="898"/>
      <c r="AE530" s="898"/>
      <c r="AF530" s="898"/>
      <c r="AG530" s="898"/>
      <c r="AH530" s="898"/>
      <c r="AI530" s="898"/>
      <c r="AJ530" s="898"/>
      <c r="AK530" s="897"/>
      <c r="AL530" s="897"/>
      <c r="AM530" s="897"/>
      <c r="AN530" s="897"/>
      <c r="AO530" s="897"/>
      <c r="AP530" s="897"/>
      <c r="AQ530" s="897"/>
      <c r="AR530" s="897"/>
    </row>
    <row r="531" spans="1:44" s="930" customFormat="1">
      <c r="A531" s="892"/>
      <c r="B531" s="899"/>
      <c r="C531" s="900"/>
      <c r="D531" s="894"/>
      <c r="E531" s="895"/>
      <c r="F531" s="896"/>
      <c r="G531" s="897"/>
      <c r="H531" s="897"/>
      <c r="I531" s="897"/>
      <c r="J531" s="897"/>
      <c r="K531" s="897"/>
      <c r="L531" s="898"/>
      <c r="M531" s="898"/>
      <c r="N531" s="898"/>
      <c r="O531" s="898"/>
      <c r="P531" s="898"/>
      <c r="Q531" s="898"/>
      <c r="R531" s="898"/>
      <c r="S531" s="898"/>
      <c r="T531" s="898"/>
      <c r="U531" s="898"/>
      <c r="V531" s="898"/>
      <c r="W531" s="898"/>
      <c r="X531" s="898"/>
      <c r="Y531" s="898"/>
      <c r="Z531" s="898"/>
      <c r="AA531" s="898"/>
      <c r="AB531" s="898"/>
      <c r="AC531" s="898"/>
      <c r="AD531" s="898"/>
      <c r="AE531" s="898"/>
      <c r="AF531" s="898"/>
      <c r="AG531" s="898"/>
      <c r="AH531" s="898"/>
      <c r="AI531" s="898"/>
      <c r="AJ531" s="898"/>
      <c r="AK531" s="897"/>
      <c r="AL531" s="897"/>
      <c r="AM531" s="897"/>
      <c r="AN531" s="897"/>
      <c r="AO531" s="897"/>
      <c r="AP531" s="897"/>
      <c r="AQ531" s="897"/>
      <c r="AR531" s="897"/>
    </row>
    <row r="532" spans="1:44" s="930" customFormat="1">
      <c r="A532" s="892"/>
      <c r="B532" s="899"/>
      <c r="C532" s="900"/>
      <c r="D532" s="894"/>
      <c r="E532" s="895"/>
      <c r="F532" s="896"/>
      <c r="G532" s="897"/>
      <c r="H532" s="897"/>
      <c r="I532" s="897"/>
      <c r="J532" s="897"/>
      <c r="K532" s="897"/>
      <c r="L532" s="898"/>
      <c r="M532" s="898"/>
      <c r="N532" s="898"/>
      <c r="O532" s="898"/>
      <c r="P532" s="898"/>
      <c r="Q532" s="898"/>
      <c r="R532" s="898"/>
      <c r="S532" s="898"/>
      <c r="T532" s="898"/>
      <c r="U532" s="898"/>
      <c r="V532" s="898"/>
      <c r="W532" s="898"/>
      <c r="X532" s="898"/>
      <c r="Y532" s="898"/>
      <c r="Z532" s="898"/>
      <c r="AA532" s="898"/>
      <c r="AB532" s="898"/>
      <c r="AC532" s="898"/>
      <c r="AD532" s="898"/>
      <c r="AE532" s="898"/>
      <c r="AF532" s="898"/>
      <c r="AG532" s="898"/>
      <c r="AH532" s="898"/>
      <c r="AI532" s="898"/>
      <c r="AJ532" s="898"/>
      <c r="AK532" s="897"/>
      <c r="AL532" s="897"/>
      <c r="AM532" s="897"/>
      <c r="AN532" s="897"/>
      <c r="AO532" s="897"/>
      <c r="AP532" s="897"/>
      <c r="AQ532" s="897"/>
      <c r="AR532" s="897"/>
    </row>
    <row r="533" spans="1:44" s="930" customFormat="1">
      <c r="A533" s="892"/>
      <c r="B533" s="899"/>
      <c r="C533" s="900"/>
      <c r="D533" s="894"/>
      <c r="E533" s="895"/>
      <c r="F533" s="896"/>
      <c r="G533" s="897"/>
      <c r="H533" s="897"/>
      <c r="I533" s="897"/>
      <c r="J533" s="897"/>
      <c r="K533" s="897"/>
      <c r="L533" s="898"/>
      <c r="M533" s="898"/>
      <c r="N533" s="898"/>
      <c r="O533" s="898"/>
      <c r="P533" s="898"/>
      <c r="Q533" s="898"/>
      <c r="R533" s="898"/>
      <c r="S533" s="898"/>
      <c r="T533" s="898"/>
      <c r="U533" s="898"/>
      <c r="V533" s="898"/>
      <c r="W533" s="898"/>
      <c r="X533" s="898"/>
      <c r="Y533" s="898"/>
      <c r="Z533" s="898"/>
      <c r="AA533" s="898"/>
      <c r="AB533" s="898"/>
      <c r="AC533" s="898"/>
      <c r="AD533" s="898"/>
      <c r="AE533" s="898"/>
      <c r="AF533" s="898"/>
      <c r="AG533" s="898"/>
      <c r="AH533" s="898"/>
      <c r="AI533" s="898"/>
      <c r="AJ533" s="898"/>
      <c r="AK533" s="897"/>
      <c r="AL533" s="897"/>
      <c r="AM533" s="897"/>
      <c r="AN533" s="897"/>
      <c r="AO533" s="897"/>
      <c r="AP533" s="897"/>
      <c r="AQ533" s="897"/>
      <c r="AR533" s="897"/>
    </row>
    <row r="534" spans="1:44" s="930" customFormat="1">
      <c r="A534" s="892"/>
      <c r="B534" s="899"/>
      <c r="C534" s="900"/>
      <c r="D534" s="894"/>
      <c r="E534" s="895"/>
      <c r="F534" s="896"/>
      <c r="G534" s="897"/>
      <c r="H534" s="897"/>
      <c r="I534" s="897"/>
      <c r="J534" s="897"/>
      <c r="K534" s="897"/>
      <c r="L534" s="898"/>
      <c r="M534" s="898"/>
      <c r="N534" s="898"/>
      <c r="O534" s="898"/>
      <c r="P534" s="898"/>
      <c r="Q534" s="898"/>
      <c r="R534" s="898"/>
      <c r="S534" s="898"/>
      <c r="T534" s="898"/>
      <c r="U534" s="898"/>
      <c r="V534" s="898"/>
      <c r="W534" s="898"/>
      <c r="X534" s="898"/>
      <c r="Y534" s="898"/>
      <c r="Z534" s="898"/>
      <c r="AA534" s="898"/>
      <c r="AB534" s="898"/>
      <c r="AC534" s="898"/>
      <c r="AD534" s="898"/>
      <c r="AE534" s="898"/>
      <c r="AF534" s="898"/>
      <c r="AG534" s="898"/>
      <c r="AH534" s="898"/>
      <c r="AI534" s="898"/>
      <c r="AJ534" s="898"/>
      <c r="AK534" s="897"/>
      <c r="AL534" s="897"/>
      <c r="AM534" s="897"/>
      <c r="AN534" s="897"/>
      <c r="AO534" s="897"/>
      <c r="AP534" s="897"/>
      <c r="AQ534" s="897"/>
      <c r="AR534" s="897"/>
    </row>
    <row r="535" spans="1:44" s="930" customFormat="1">
      <c r="A535" s="892"/>
      <c r="B535" s="899"/>
      <c r="C535" s="900"/>
      <c r="D535" s="894"/>
      <c r="E535" s="895"/>
      <c r="F535" s="896"/>
      <c r="G535" s="897"/>
      <c r="H535" s="897"/>
      <c r="I535" s="897"/>
      <c r="J535" s="897"/>
      <c r="K535" s="897"/>
      <c r="L535" s="898"/>
      <c r="M535" s="898"/>
      <c r="N535" s="898"/>
      <c r="O535" s="898"/>
      <c r="P535" s="898"/>
      <c r="Q535" s="898"/>
      <c r="R535" s="898"/>
      <c r="S535" s="898"/>
      <c r="T535" s="898"/>
      <c r="U535" s="898"/>
      <c r="V535" s="898"/>
      <c r="W535" s="898"/>
      <c r="X535" s="898"/>
      <c r="Y535" s="898"/>
      <c r="Z535" s="898"/>
      <c r="AA535" s="898"/>
      <c r="AB535" s="898"/>
      <c r="AC535" s="898"/>
      <c r="AD535" s="898"/>
      <c r="AE535" s="898"/>
      <c r="AF535" s="898"/>
      <c r="AG535" s="898"/>
      <c r="AH535" s="898"/>
      <c r="AI535" s="898"/>
      <c r="AJ535" s="898"/>
      <c r="AK535" s="897"/>
      <c r="AL535" s="897"/>
      <c r="AM535" s="897"/>
      <c r="AN535" s="897"/>
      <c r="AO535" s="897"/>
      <c r="AP535" s="897"/>
      <c r="AQ535" s="897"/>
      <c r="AR535" s="897"/>
    </row>
    <row r="536" spans="1:44" s="930" customFormat="1">
      <c r="A536" s="892"/>
      <c r="B536" s="899"/>
      <c r="C536" s="900"/>
      <c r="D536" s="894"/>
      <c r="E536" s="895"/>
      <c r="F536" s="896"/>
      <c r="G536" s="897"/>
      <c r="H536" s="897"/>
      <c r="I536" s="897"/>
      <c r="J536" s="897"/>
      <c r="K536" s="897"/>
      <c r="L536" s="898"/>
      <c r="M536" s="898"/>
      <c r="N536" s="898"/>
      <c r="O536" s="898"/>
      <c r="P536" s="898"/>
      <c r="Q536" s="898"/>
      <c r="R536" s="898"/>
      <c r="S536" s="898"/>
      <c r="T536" s="898"/>
      <c r="U536" s="898"/>
      <c r="V536" s="898"/>
      <c r="W536" s="898"/>
      <c r="X536" s="898"/>
      <c r="Y536" s="898"/>
      <c r="Z536" s="898"/>
      <c r="AA536" s="898"/>
      <c r="AB536" s="898"/>
      <c r="AC536" s="898"/>
      <c r="AD536" s="898"/>
      <c r="AE536" s="898"/>
      <c r="AF536" s="898"/>
      <c r="AG536" s="898"/>
      <c r="AH536" s="898"/>
      <c r="AI536" s="898"/>
      <c r="AJ536" s="898"/>
      <c r="AK536" s="897"/>
      <c r="AL536" s="897"/>
      <c r="AM536" s="897"/>
      <c r="AN536" s="897"/>
      <c r="AO536" s="897"/>
      <c r="AP536" s="897"/>
      <c r="AQ536" s="897"/>
      <c r="AR536" s="897"/>
    </row>
    <row r="537" spans="1:44" s="930" customFormat="1">
      <c r="A537" s="892"/>
      <c r="B537" s="899"/>
      <c r="C537" s="900"/>
      <c r="D537" s="894"/>
      <c r="E537" s="895"/>
      <c r="F537" s="896"/>
      <c r="G537" s="897"/>
      <c r="H537" s="897"/>
      <c r="I537" s="897"/>
      <c r="J537" s="897"/>
      <c r="K537" s="897"/>
      <c r="L537" s="898"/>
      <c r="M537" s="898"/>
      <c r="N537" s="898"/>
      <c r="O537" s="898"/>
      <c r="P537" s="898"/>
      <c r="Q537" s="898"/>
      <c r="R537" s="898"/>
      <c r="S537" s="898"/>
      <c r="T537" s="898"/>
      <c r="U537" s="898"/>
      <c r="V537" s="898"/>
      <c r="W537" s="898"/>
      <c r="X537" s="898"/>
      <c r="Y537" s="898"/>
      <c r="Z537" s="898"/>
      <c r="AA537" s="898"/>
      <c r="AB537" s="898"/>
      <c r="AC537" s="898"/>
      <c r="AD537" s="898"/>
      <c r="AE537" s="898"/>
      <c r="AF537" s="898"/>
      <c r="AG537" s="898"/>
      <c r="AH537" s="898"/>
      <c r="AI537" s="898"/>
      <c r="AJ537" s="898"/>
      <c r="AK537" s="897"/>
      <c r="AL537" s="897"/>
      <c r="AM537" s="897"/>
      <c r="AN537" s="897"/>
      <c r="AO537" s="897"/>
      <c r="AP537" s="897"/>
      <c r="AQ537" s="897"/>
      <c r="AR537" s="897"/>
    </row>
    <row r="538" spans="1:44" s="930" customFormat="1">
      <c r="A538" s="892"/>
      <c r="B538" s="899"/>
      <c r="C538" s="900"/>
      <c r="D538" s="894"/>
      <c r="E538" s="895"/>
      <c r="F538" s="896"/>
      <c r="G538" s="897"/>
      <c r="H538" s="897"/>
      <c r="I538" s="897"/>
      <c r="J538" s="897"/>
      <c r="K538" s="897"/>
      <c r="L538" s="898"/>
      <c r="M538" s="898"/>
      <c r="N538" s="898"/>
      <c r="O538" s="898"/>
      <c r="P538" s="898"/>
      <c r="Q538" s="898"/>
      <c r="R538" s="898"/>
      <c r="S538" s="898"/>
      <c r="T538" s="898"/>
      <c r="U538" s="898"/>
      <c r="V538" s="898"/>
      <c r="W538" s="898"/>
      <c r="X538" s="898"/>
      <c r="Y538" s="898"/>
      <c r="Z538" s="898"/>
      <c r="AA538" s="898"/>
      <c r="AB538" s="898"/>
      <c r="AC538" s="898"/>
      <c r="AD538" s="898"/>
      <c r="AE538" s="898"/>
      <c r="AF538" s="898"/>
      <c r="AG538" s="898"/>
      <c r="AH538" s="898"/>
      <c r="AI538" s="898"/>
      <c r="AJ538" s="898"/>
      <c r="AK538" s="897"/>
      <c r="AL538" s="897"/>
      <c r="AM538" s="897"/>
      <c r="AN538" s="897"/>
      <c r="AO538" s="897"/>
      <c r="AP538" s="897"/>
      <c r="AQ538" s="897"/>
      <c r="AR538" s="897"/>
    </row>
    <row r="539" spans="1:44" s="930" customFormat="1">
      <c r="A539" s="892"/>
      <c r="B539" s="899"/>
      <c r="C539" s="900"/>
      <c r="D539" s="894"/>
      <c r="E539" s="895"/>
      <c r="F539" s="896"/>
      <c r="G539" s="897"/>
      <c r="H539" s="897"/>
      <c r="I539" s="897"/>
      <c r="J539" s="897"/>
      <c r="K539" s="897"/>
      <c r="L539" s="898"/>
      <c r="M539" s="898"/>
      <c r="N539" s="898"/>
      <c r="O539" s="898"/>
      <c r="P539" s="898"/>
      <c r="Q539" s="898"/>
      <c r="R539" s="898"/>
      <c r="S539" s="898"/>
      <c r="T539" s="898"/>
      <c r="U539" s="898"/>
      <c r="V539" s="898"/>
      <c r="W539" s="898"/>
      <c r="X539" s="898"/>
      <c r="Y539" s="898"/>
      <c r="Z539" s="898"/>
      <c r="AA539" s="898"/>
      <c r="AB539" s="898"/>
      <c r="AC539" s="898"/>
      <c r="AD539" s="898"/>
      <c r="AE539" s="898"/>
      <c r="AF539" s="898"/>
      <c r="AG539" s="898"/>
      <c r="AH539" s="898"/>
      <c r="AI539" s="898"/>
      <c r="AJ539" s="898"/>
      <c r="AK539" s="897"/>
      <c r="AL539" s="897"/>
      <c r="AM539" s="897"/>
      <c r="AN539" s="897"/>
      <c r="AO539" s="897"/>
      <c r="AP539" s="897"/>
      <c r="AQ539" s="897"/>
      <c r="AR539" s="897"/>
    </row>
    <row r="540" spans="1:44" s="930" customFormat="1">
      <c r="A540" s="892"/>
      <c r="B540" s="899"/>
      <c r="C540" s="900"/>
      <c r="D540" s="894"/>
      <c r="E540" s="895"/>
      <c r="F540" s="896"/>
      <c r="G540" s="897"/>
      <c r="H540" s="897"/>
      <c r="I540" s="897"/>
      <c r="J540" s="897"/>
      <c r="K540" s="897"/>
      <c r="L540" s="898"/>
      <c r="M540" s="898"/>
      <c r="N540" s="898"/>
      <c r="O540" s="898"/>
      <c r="P540" s="898"/>
      <c r="Q540" s="898"/>
      <c r="R540" s="898"/>
      <c r="S540" s="898"/>
      <c r="T540" s="898"/>
      <c r="U540" s="898"/>
      <c r="V540" s="898"/>
      <c r="W540" s="898"/>
      <c r="X540" s="898"/>
      <c r="Y540" s="898"/>
      <c r="Z540" s="898"/>
      <c r="AA540" s="898"/>
      <c r="AB540" s="898"/>
      <c r="AC540" s="898"/>
      <c r="AD540" s="898"/>
      <c r="AE540" s="898"/>
      <c r="AF540" s="898"/>
      <c r="AG540" s="898"/>
      <c r="AH540" s="898"/>
      <c r="AI540" s="898"/>
      <c r="AJ540" s="898"/>
      <c r="AK540" s="897"/>
      <c r="AL540" s="897"/>
      <c r="AM540" s="897"/>
      <c r="AN540" s="897"/>
      <c r="AO540" s="897"/>
      <c r="AP540" s="897"/>
      <c r="AQ540" s="897"/>
      <c r="AR540" s="897"/>
    </row>
    <row r="541" spans="1:44" s="930" customFormat="1">
      <c r="A541" s="892"/>
      <c r="B541" s="899"/>
      <c r="C541" s="900"/>
      <c r="D541" s="894"/>
      <c r="E541" s="895"/>
      <c r="F541" s="896"/>
      <c r="G541" s="897"/>
      <c r="H541" s="897"/>
      <c r="I541" s="897"/>
      <c r="J541" s="897"/>
      <c r="K541" s="897"/>
      <c r="L541" s="898"/>
      <c r="M541" s="898"/>
      <c r="N541" s="898"/>
      <c r="O541" s="898"/>
      <c r="P541" s="898"/>
      <c r="Q541" s="898"/>
      <c r="R541" s="898"/>
      <c r="S541" s="898"/>
      <c r="T541" s="898"/>
      <c r="U541" s="898"/>
      <c r="V541" s="898"/>
      <c r="W541" s="898"/>
      <c r="X541" s="898"/>
      <c r="Y541" s="898"/>
      <c r="Z541" s="898"/>
      <c r="AA541" s="898"/>
      <c r="AB541" s="898"/>
      <c r="AC541" s="898"/>
      <c r="AD541" s="898"/>
      <c r="AE541" s="898"/>
      <c r="AF541" s="898"/>
      <c r="AG541" s="898"/>
      <c r="AH541" s="898"/>
      <c r="AI541" s="898"/>
      <c r="AJ541" s="898"/>
      <c r="AK541" s="897"/>
      <c r="AL541" s="897"/>
      <c r="AM541" s="897"/>
      <c r="AN541" s="897"/>
      <c r="AO541" s="897"/>
      <c r="AP541" s="897"/>
      <c r="AQ541" s="897"/>
      <c r="AR541" s="897"/>
    </row>
    <row r="542" spans="1:44" s="930" customFormat="1">
      <c r="A542" s="892"/>
      <c r="B542" s="899"/>
      <c r="C542" s="900"/>
      <c r="D542" s="894"/>
      <c r="E542" s="895"/>
      <c r="F542" s="896"/>
      <c r="G542" s="897"/>
      <c r="H542" s="897"/>
      <c r="I542" s="897"/>
      <c r="J542" s="897"/>
      <c r="K542" s="897"/>
      <c r="L542" s="898"/>
      <c r="M542" s="898"/>
      <c r="N542" s="898"/>
      <c r="O542" s="898"/>
      <c r="P542" s="898"/>
      <c r="Q542" s="898"/>
      <c r="R542" s="898"/>
      <c r="S542" s="898"/>
      <c r="T542" s="898"/>
      <c r="U542" s="898"/>
      <c r="V542" s="898"/>
      <c r="W542" s="898"/>
      <c r="X542" s="898"/>
      <c r="Y542" s="898"/>
      <c r="Z542" s="898"/>
      <c r="AA542" s="898"/>
      <c r="AB542" s="898"/>
      <c r="AC542" s="898"/>
      <c r="AD542" s="898"/>
      <c r="AE542" s="898"/>
      <c r="AF542" s="898"/>
      <c r="AG542" s="898"/>
      <c r="AH542" s="898"/>
      <c r="AI542" s="898"/>
      <c r="AJ542" s="898"/>
      <c r="AK542" s="897"/>
      <c r="AL542" s="897"/>
      <c r="AM542" s="897"/>
      <c r="AN542" s="897"/>
      <c r="AO542" s="897"/>
      <c r="AP542" s="897"/>
      <c r="AQ542" s="897"/>
      <c r="AR542" s="897"/>
    </row>
    <row r="543" spans="1:44" s="930" customFormat="1">
      <c r="A543" s="892"/>
      <c r="B543" s="899"/>
      <c r="C543" s="900"/>
      <c r="D543" s="894"/>
      <c r="E543" s="895"/>
      <c r="F543" s="896"/>
      <c r="G543" s="897"/>
      <c r="H543" s="897"/>
      <c r="I543" s="897"/>
      <c r="J543" s="897"/>
      <c r="K543" s="897"/>
      <c r="L543" s="898"/>
      <c r="M543" s="898"/>
      <c r="N543" s="898"/>
      <c r="O543" s="898"/>
      <c r="P543" s="898"/>
      <c r="Q543" s="898"/>
      <c r="R543" s="898"/>
      <c r="S543" s="898"/>
      <c r="T543" s="898"/>
      <c r="U543" s="898"/>
      <c r="V543" s="898"/>
      <c r="W543" s="898"/>
      <c r="X543" s="898"/>
      <c r="Y543" s="898"/>
      <c r="Z543" s="898"/>
      <c r="AA543" s="898"/>
      <c r="AB543" s="898"/>
      <c r="AC543" s="898"/>
      <c r="AD543" s="898"/>
      <c r="AE543" s="898"/>
      <c r="AF543" s="898"/>
      <c r="AG543" s="898"/>
      <c r="AH543" s="898"/>
      <c r="AI543" s="898"/>
      <c r="AJ543" s="898"/>
      <c r="AK543" s="897"/>
      <c r="AL543" s="897"/>
      <c r="AM543" s="897"/>
      <c r="AN543" s="897"/>
      <c r="AO543" s="897"/>
      <c r="AP543" s="897"/>
      <c r="AQ543" s="897"/>
      <c r="AR543" s="897"/>
    </row>
    <row r="544" spans="1:44" s="930" customFormat="1">
      <c r="A544" s="892"/>
      <c r="B544" s="899"/>
      <c r="C544" s="900"/>
      <c r="D544" s="894"/>
      <c r="E544" s="895"/>
      <c r="F544" s="896"/>
      <c r="G544" s="897"/>
      <c r="H544" s="897"/>
      <c r="I544" s="897"/>
      <c r="J544" s="897"/>
      <c r="K544" s="897"/>
      <c r="L544" s="898"/>
      <c r="M544" s="898"/>
      <c r="N544" s="898"/>
      <c r="O544" s="898"/>
      <c r="P544" s="898"/>
      <c r="Q544" s="898"/>
      <c r="R544" s="898"/>
      <c r="S544" s="898"/>
      <c r="T544" s="898"/>
      <c r="U544" s="898"/>
      <c r="V544" s="898"/>
      <c r="W544" s="898"/>
      <c r="X544" s="898"/>
      <c r="Y544" s="898"/>
      <c r="Z544" s="898"/>
      <c r="AA544" s="898"/>
      <c r="AB544" s="898"/>
      <c r="AC544" s="898"/>
      <c r="AD544" s="898"/>
      <c r="AE544" s="898"/>
      <c r="AF544" s="898"/>
      <c r="AG544" s="898"/>
      <c r="AH544" s="898"/>
      <c r="AI544" s="898"/>
      <c r="AJ544" s="898"/>
      <c r="AK544" s="897"/>
      <c r="AL544" s="897"/>
      <c r="AM544" s="897"/>
      <c r="AN544" s="897"/>
      <c r="AO544" s="897"/>
      <c r="AP544" s="897"/>
      <c r="AQ544" s="897"/>
      <c r="AR544" s="897"/>
    </row>
    <row r="545" spans="1:44" s="930" customFormat="1">
      <c r="A545" s="892"/>
      <c r="B545" s="899"/>
      <c r="C545" s="900"/>
      <c r="D545" s="894"/>
      <c r="E545" s="895"/>
      <c r="F545" s="896"/>
      <c r="G545" s="897"/>
      <c r="H545" s="897"/>
      <c r="I545" s="897"/>
      <c r="J545" s="897"/>
      <c r="K545" s="897"/>
      <c r="L545" s="898"/>
      <c r="M545" s="898"/>
      <c r="N545" s="898"/>
      <c r="O545" s="898"/>
      <c r="P545" s="898"/>
      <c r="Q545" s="898"/>
      <c r="R545" s="898"/>
      <c r="S545" s="898"/>
      <c r="T545" s="898"/>
      <c r="U545" s="898"/>
      <c r="V545" s="898"/>
      <c r="W545" s="898"/>
      <c r="X545" s="898"/>
      <c r="Y545" s="898"/>
      <c r="Z545" s="898"/>
      <c r="AA545" s="898"/>
      <c r="AB545" s="898"/>
      <c r="AC545" s="898"/>
      <c r="AD545" s="898"/>
      <c r="AE545" s="898"/>
      <c r="AF545" s="898"/>
      <c r="AG545" s="898"/>
      <c r="AH545" s="898"/>
      <c r="AI545" s="898"/>
      <c r="AJ545" s="898"/>
      <c r="AK545" s="897"/>
      <c r="AL545" s="897"/>
      <c r="AM545" s="897"/>
      <c r="AN545" s="897"/>
      <c r="AO545" s="897"/>
      <c r="AP545" s="897"/>
      <c r="AQ545" s="897"/>
      <c r="AR545" s="897"/>
    </row>
    <row r="546" spans="1:44" s="930" customFormat="1">
      <c r="A546" s="892"/>
      <c r="B546" s="899"/>
      <c r="C546" s="900"/>
      <c r="D546" s="894"/>
      <c r="E546" s="895"/>
      <c r="F546" s="896"/>
      <c r="G546" s="897"/>
      <c r="H546" s="897"/>
      <c r="I546" s="897"/>
      <c r="J546" s="897"/>
      <c r="K546" s="897"/>
      <c r="L546" s="898"/>
      <c r="M546" s="898"/>
      <c r="N546" s="898"/>
      <c r="O546" s="898"/>
      <c r="P546" s="898"/>
      <c r="Q546" s="898"/>
      <c r="R546" s="898"/>
      <c r="S546" s="898"/>
      <c r="T546" s="898"/>
      <c r="U546" s="898"/>
      <c r="V546" s="898"/>
      <c r="W546" s="898"/>
      <c r="X546" s="898"/>
      <c r="Y546" s="898"/>
      <c r="Z546" s="898"/>
      <c r="AA546" s="898"/>
      <c r="AB546" s="898"/>
      <c r="AC546" s="898"/>
      <c r="AD546" s="898"/>
      <c r="AE546" s="898"/>
      <c r="AF546" s="898"/>
      <c r="AG546" s="898"/>
      <c r="AH546" s="898"/>
      <c r="AI546" s="898"/>
      <c r="AJ546" s="898"/>
      <c r="AK546" s="897"/>
      <c r="AL546" s="897"/>
      <c r="AM546" s="897"/>
      <c r="AN546" s="897"/>
      <c r="AO546" s="897"/>
      <c r="AP546" s="897"/>
      <c r="AQ546" s="897"/>
      <c r="AR546" s="897"/>
    </row>
    <row r="547" spans="1:44" s="930" customFormat="1">
      <c r="A547" s="892"/>
      <c r="B547" s="899"/>
      <c r="C547" s="900"/>
      <c r="D547" s="894"/>
      <c r="E547" s="895"/>
      <c r="F547" s="896"/>
      <c r="G547" s="897"/>
      <c r="H547" s="897"/>
      <c r="I547" s="897"/>
      <c r="J547" s="897"/>
      <c r="K547" s="897"/>
      <c r="L547" s="898"/>
      <c r="M547" s="898"/>
      <c r="N547" s="898"/>
      <c r="O547" s="898"/>
      <c r="P547" s="898"/>
      <c r="Q547" s="898"/>
      <c r="R547" s="898"/>
      <c r="S547" s="898"/>
      <c r="T547" s="898"/>
      <c r="U547" s="898"/>
      <c r="V547" s="898"/>
      <c r="W547" s="898"/>
      <c r="X547" s="898"/>
      <c r="Y547" s="898"/>
      <c r="Z547" s="898"/>
      <c r="AA547" s="898"/>
      <c r="AB547" s="898"/>
      <c r="AC547" s="898"/>
      <c r="AD547" s="898"/>
      <c r="AE547" s="898"/>
      <c r="AF547" s="898"/>
      <c r="AG547" s="898"/>
      <c r="AH547" s="898"/>
      <c r="AI547" s="898"/>
      <c r="AJ547" s="898"/>
      <c r="AK547" s="897"/>
      <c r="AL547" s="897"/>
      <c r="AM547" s="897"/>
      <c r="AN547" s="897"/>
      <c r="AO547" s="897"/>
      <c r="AP547" s="897"/>
      <c r="AQ547" s="897"/>
      <c r="AR547" s="897"/>
    </row>
    <row r="548" spans="1:44" s="930" customFormat="1">
      <c r="A548" s="892"/>
      <c r="B548" s="899"/>
      <c r="C548" s="900"/>
      <c r="D548" s="894"/>
      <c r="E548" s="895"/>
      <c r="F548" s="896"/>
      <c r="G548" s="897"/>
      <c r="H548" s="897"/>
      <c r="I548" s="897"/>
      <c r="J548" s="897"/>
      <c r="K548" s="897"/>
      <c r="L548" s="898"/>
      <c r="M548" s="898"/>
      <c r="N548" s="898"/>
      <c r="O548" s="898"/>
      <c r="P548" s="898"/>
      <c r="Q548" s="898"/>
      <c r="R548" s="898"/>
      <c r="S548" s="898"/>
      <c r="T548" s="898"/>
      <c r="U548" s="898"/>
      <c r="V548" s="898"/>
      <c r="W548" s="898"/>
      <c r="X548" s="898"/>
      <c r="Y548" s="898"/>
      <c r="Z548" s="898"/>
      <c r="AA548" s="898"/>
      <c r="AB548" s="898"/>
      <c r="AC548" s="898"/>
      <c r="AD548" s="898"/>
      <c r="AE548" s="898"/>
      <c r="AF548" s="898"/>
      <c r="AG548" s="898"/>
      <c r="AH548" s="898"/>
      <c r="AI548" s="898"/>
      <c r="AJ548" s="898"/>
      <c r="AK548" s="897"/>
      <c r="AL548" s="897"/>
      <c r="AM548" s="897"/>
      <c r="AN548" s="897"/>
      <c r="AO548" s="897"/>
      <c r="AP548" s="897"/>
      <c r="AQ548" s="897"/>
      <c r="AR548" s="897"/>
    </row>
    <row r="549" spans="1:44" s="930" customFormat="1">
      <c r="A549" s="892"/>
      <c r="B549" s="899"/>
      <c r="C549" s="900"/>
      <c r="D549" s="894"/>
      <c r="E549" s="895"/>
      <c r="F549" s="896"/>
      <c r="G549" s="897"/>
      <c r="H549" s="897"/>
      <c r="I549" s="897"/>
      <c r="J549" s="897"/>
      <c r="K549" s="897"/>
      <c r="L549" s="898"/>
      <c r="M549" s="898"/>
      <c r="N549" s="898"/>
      <c r="O549" s="898"/>
      <c r="P549" s="898"/>
      <c r="Q549" s="898"/>
      <c r="R549" s="898"/>
      <c r="S549" s="898"/>
      <c r="T549" s="898"/>
      <c r="U549" s="898"/>
      <c r="V549" s="898"/>
      <c r="W549" s="898"/>
      <c r="X549" s="898"/>
      <c r="Y549" s="898"/>
      <c r="Z549" s="898"/>
      <c r="AA549" s="898"/>
      <c r="AB549" s="898"/>
      <c r="AC549" s="898"/>
      <c r="AD549" s="898"/>
      <c r="AE549" s="898"/>
      <c r="AF549" s="898"/>
      <c r="AG549" s="898"/>
      <c r="AH549" s="898"/>
      <c r="AI549" s="898"/>
      <c r="AJ549" s="898"/>
      <c r="AK549" s="897"/>
      <c r="AL549" s="897"/>
      <c r="AM549" s="897"/>
      <c r="AN549" s="897"/>
      <c r="AO549" s="897"/>
      <c r="AP549" s="897"/>
      <c r="AQ549" s="897"/>
      <c r="AR549" s="897"/>
    </row>
    <row r="550" spans="1:44" s="930" customFormat="1">
      <c r="A550" s="892"/>
      <c r="B550" s="899"/>
      <c r="C550" s="900"/>
      <c r="D550" s="894"/>
      <c r="E550" s="895"/>
      <c r="F550" s="896"/>
      <c r="G550" s="897"/>
      <c r="H550" s="897"/>
      <c r="I550" s="897"/>
      <c r="J550" s="897"/>
      <c r="K550" s="897"/>
      <c r="L550" s="898"/>
      <c r="M550" s="898"/>
      <c r="N550" s="898"/>
      <c r="O550" s="898"/>
      <c r="P550" s="898"/>
      <c r="Q550" s="898"/>
      <c r="R550" s="898"/>
      <c r="S550" s="898"/>
      <c r="T550" s="898"/>
      <c r="U550" s="898"/>
      <c r="V550" s="898"/>
      <c r="W550" s="898"/>
      <c r="X550" s="898"/>
      <c r="Y550" s="898"/>
      <c r="Z550" s="898"/>
      <c r="AA550" s="898"/>
      <c r="AB550" s="898"/>
      <c r="AC550" s="898"/>
      <c r="AD550" s="898"/>
      <c r="AE550" s="898"/>
      <c r="AF550" s="898"/>
      <c r="AG550" s="898"/>
      <c r="AH550" s="898"/>
      <c r="AI550" s="898"/>
      <c r="AJ550" s="898"/>
      <c r="AK550" s="897"/>
      <c r="AL550" s="897"/>
      <c r="AM550" s="897"/>
      <c r="AN550" s="897"/>
      <c r="AO550" s="897"/>
      <c r="AP550" s="897"/>
      <c r="AQ550" s="897"/>
      <c r="AR550" s="897"/>
    </row>
    <row r="551" spans="1:44" s="930" customFormat="1">
      <c r="A551" s="892"/>
      <c r="B551" s="899"/>
      <c r="C551" s="900"/>
      <c r="D551" s="894"/>
      <c r="E551" s="895"/>
      <c r="F551" s="896"/>
      <c r="G551" s="897"/>
      <c r="H551" s="897"/>
      <c r="I551" s="897"/>
      <c r="J551" s="897"/>
      <c r="K551" s="897"/>
      <c r="L551" s="898"/>
      <c r="M551" s="898"/>
      <c r="N551" s="898"/>
      <c r="O551" s="898"/>
      <c r="P551" s="898"/>
      <c r="Q551" s="898"/>
      <c r="R551" s="898"/>
      <c r="S551" s="898"/>
      <c r="T551" s="898"/>
      <c r="U551" s="898"/>
      <c r="V551" s="898"/>
      <c r="W551" s="898"/>
      <c r="X551" s="898"/>
      <c r="Y551" s="898"/>
      <c r="Z551" s="898"/>
      <c r="AA551" s="898"/>
      <c r="AB551" s="898"/>
      <c r="AC551" s="898"/>
      <c r="AD551" s="898"/>
      <c r="AE551" s="898"/>
      <c r="AF551" s="898"/>
      <c r="AG551" s="898"/>
      <c r="AH551" s="898"/>
      <c r="AI551" s="898"/>
      <c r="AJ551" s="898"/>
      <c r="AK551" s="897"/>
      <c r="AL551" s="897"/>
      <c r="AM551" s="897"/>
      <c r="AN551" s="897"/>
      <c r="AO551" s="897"/>
      <c r="AP551" s="897"/>
      <c r="AQ551" s="897"/>
      <c r="AR551" s="897"/>
    </row>
    <row r="552" spans="1:44" s="930" customFormat="1">
      <c r="A552" s="892"/>
      <c r="B552" s="899"/>
      <c r="C552" s="900"/>
      <c r="D552" s="894"/>
      <c r="E552" s="895"/>
      <c r="F552" s="896"/>
      <c r="G552" s="897"/>
      <c r="H552" s="897"/>
      <c r="I552" s="897"/>
      <c r="J552" s="897"/>
      <c r="K552" s="897"/>
      <c r="L552" s="898"/>
      <c r="M552" s="898"/>
      <c r="N552" s="898"/>
      <c r="O552" s="898"/>
      <c r="P552" s="898"/>
      <c r="Q552" s="898"/>
      <c r="R552" s="898"/>
      <c r="S552" s="898"/>
      <c r="T552" s="898"/>
      <c r="U552" s="898"/>
      <c r="V552" s="898"/>
      <c r="W552" s="898"/>
      <c r="X552" s="898"/>
      <c r="Y552" s="898"/>
      <c r="Z552" s="898"/>
      <c r="AA552" s="898"/>
      <c r="AB552" s="898"/>
      <c r="AC552" s="898"/>
      <c r="AD552" s="898"/>
      <c r="AE552" s="898"/>
      <c r="AF552" s="898"/>
      <c r="AG552" s="898"/>
      <c r="AH552" s="898"/>
      <c r="AI552" s="898"/>
      <c r="AJ552" s="898"/>
      <c r="AK552" s="897"/>
      <c r="AL552" s="897"/>
      <c r="AM552" s="897"/>
      <c r="AN552" s="897"/>
      <c r="AO552" s="897"/>
      <c r="AP552" s="897"/>
      <c r="AQ552" s="897"/>
      <c r="AR552" s="897"/>
    </row>
    <row r="553" spans="1:44" s="930" customFormat="1">
      <c r="A553" s="892"/>
      <c r="B553" s="899"/>
      <c r="C553" s="900"/>
      <c r="D553" s="894"/>
      <c r="E553" s="895"/>
      <c r="F553" s="896"/>
      <c r="G553" s="897"/>
      <c r="H553" s="897"/>
      <c r="I553" s="897"/>
      <c r="J553" s="897"/>
      <c r="K553" s="897"/>
      <c r="L553" s="898"/>
      <c r="M553" s="898"/>
      <c r="N553" s="898"/>
      <c r="O553" s="898"/>
      <c r="P553" s="898"/>
      <c r="Q553" s="898"/>
      <c r="R553" s="898"/>
      <c r="S553" s="898"/>
      <c r="T553" s="898"/>
      <c r="U553" s="898"/>
      <c r="V553" s="898"/>
      <c r="W553" s="898"/>
      <c r="X553" s="898"/>
      <c r="Y553" s="898"/>
      <c r="Z553" s="898"/>
      <c r="AA553" s="898"/>
      <c r="AB553" s="898"/>
      <c r="AC553" s="898"/>
      <c r="AD553" s="898"/>
      <c r="AE553" s="898"/>
      <c r="AF553" s="898"/>
      <c r="AG553" s="898"/>
      <c r="AH553" s="898"/>
      <c r="AI553" s="898"/>
      <c r="AJ553" s="898"/>
      <c r="AK553" s="897"/>
      <c r="AL553" s="897"/>
      <c r="AM553" s="897"/>
      <c r="AN553" s="897"/>
      <c r="AO553" s="897"/>
      <c r="AP553" s="897"/>
      <c r="AQ553" s="897"/>
      <c r="AR553" s="897"/>
    </row>
    <row r="554" spans="1:44" s="930" customFormat="1">
      <c r="A554" s="892"/>
      <c r="B554" s="899"/>
      <c r="C554" s="900"/>
      <c r="D554" s="894"/>
      <c r="E554" s="895"/>
      <c r="F554" s="896"/>
      <c r="G554" s="897"/>
      <c r="H554" s="897"/>
      <c r="I554" s="897"/>
      <c r="J554" s="897"/>
      <c r="K554" s="897"/>
      <c r="L554" s="898"/>
      <c r="M554" s="898"/>
      <c r="N554" s="898"/>
      <c r="O554" s="898"/>
      <c r="P554" s="898"/>
      <c r="Q554" s="898"/>
      <c r="R554" s="898"/>
      <c r="S554" s="898"/>
      <c r="T554" s="898"/>
      <c r="U554" s="898"/>
      <c r="V554" s="898"/>
      <c r="W554" s="898"/>
      <c r="X554" s="898"/>
      <c r="Y554" s="898"/>
      <c r="Z554" s="898"/>
      <c r="AA554" s="898"/>
      <c r="AB554" s="898"/>
      <c r="AC554" s="898"/>
      <c r="AD554" s="898"/>
      <c r="AE554" s="898"/>
      <c r="AF554" s="898"/>
      <c r="AG554" s="898"/>
      <c r="AH554" s="898"/>
      <c r="AI554" s="898"/>
      <c r="AJ554" s="898"/>
      <c r="AK554" s="897"/>
      <c r="AL554" s="897"/>
      <c r="AM554" s="897"/>
      <c r="AN554" s="897"/>
      <c r="AO554" s="897"/>
      <c r="AP554" s="897"/>
      <c r="AQ554" s="897"/>
      <c r="AR554" s="897"/>
    </row>
    <row r="555" spans="1:44" s="930" customFormat="1">
      <c r="A555" s="892"/>
      <c r="B555" s="899"/>
      <c r="C555" s="900"/>
      <c r="D555" s="894"/>
      <c r="E555" s="895"/>
      <c r="F555" s="896"/>
      <c r="G555" s="897"/>
      <c r="H555" s="897"/>
      <c r="I555" s="897"/>
      <c r="J555" s="897"/>
      <c r="K555" s="897"/>
      <c r="L555" s="898"/>
      <c r="M555" s="898"/>
      <c r="N555" s="898"/>
      <c r="O555" s="898"/>
      <c r="P555" s="898"/>
      <c r="Q555" s="898"/>
      <c r="R555" s="898"/>
      <c r="S555" s="898"/>
      <c r="T555" s="898"/>
      <c r="U555" s="898"/>
      <c r="V555" s="898"/>
      <c r="W555" s="898"/>
      <c r="X555" s="898"/>
      <c r="Y555" s="898"/>
      <c r="Z555" s="898"/>
      <c r="AA555" s="898"/>
      <c r="AB555" s="898"/>
      <c r="AC555" s="898"/>
      <c r="AD555" s="898"/>
      <c r="AE555" s="898"/>
      <c r="AF555" s="898"/>
      <c r="AG555" s="898"/>
      <c r="AH555" s="898"/>
      <c r="AI555" s="898"/>
      <c r="AJ555" s="898"/>
      <c r="AK555" s="897"/>
      <c r="AL555" s="897"/>
      <c r="AM555" s="897"/>
      <c r="AN555" s="897"/>
      <c r="AO555" s="897"/>
      <c r="AP555" s="897"/>
      <c r="AQ555" s="897"/>
      <c r="AR555" s="897"/>
    </row>
    <row r="556" spans="1:44" s="930" customFormat="1">
      <c r="A556" s="892"/>
      <c r="B556" s="899"/>
      <c r="C556" s="900"/>
      <c r="D556" s="894"/>
      <c r="E556" s="895"/>
      <c r="F556" s="896"/>
      <c r="G556" s="897"/>
      <c r="H556" s="897"/>
      <c r="I556" s="897"/>
      <c r="J556" s="897"/>
      <c r="K556" s="897"/>
      <c r="L556" s="898"/>
      <c r="M556" s="898"/>
      <c r="N556" s="898"/>
      <c r="O556" s="898"/>
      <c r="P556" s="898"/>
      <c r="Q556" s="898"/>
      <c r="R556" s="898"/>
      <c r="S556" s="898"/>
      <c r="T556" s="898"/>
      <c r="U556" s="898"/>
      <c r="V556" s="898"/>
      <c r="W556" s="898"/>
      <c r="X556" s="898"/>
      <c r="Y556" s="898"/>
      <c r="Z556" s="898"/>
      <c r="AA556" s="898"/>
      <c r="AB556" s="898"/>
      <c r="AC556" s="898"/>
      <c r="AD556" s="898"/>
      <c r="AE556" s="898"/>
      <c r="AF556" s="898"/>
      <c r="AG556" s="898"/>
      <c r="AH556" s="898"/>
      <c r="AI556" s="898"/>
      <c r="AJ556" s="898"/>
      <c r="AK556" s="897"/>
      <c r="AL556" s="897"/>
      <c r="AM556" s="897"/>
      <c r="AN556" s="897"/>
      <c r="AO556" s="897"/>
      <c r="AP556" s="897"/>
      <c r="AQ556" s="897"/>
      <c r="AR556" s="897"/>
    </row>
    <row r="557" spans="1:44" s="930" customFormat="1">
      <c r="A557" s="892"/>
      <c r="B557" s="899"/>
      <c r="C557" s="900"/>
      <c r="D557" s="894"/>
      <c r="E557" s="895"/>
      <c r="F557" s="896"/>
      <c r="G557" s="897"/>
      <c r="H557" s="897"/>
      <c r="I557" s="897"/>
      <c r="J557" s="897"/>
      <c r="K557" s="897"/>
      <c r="L557" s="898"/>
      <c r="M557" s="898"/>
      <c r="N557" s="898"/>
      <c r="O557" s="898"/>
      <c r="P557" s="898"/>
      <c r="Q557" s="898"/>
      <c r="R557" s="898"/>
      <c r="S557" s="898"/>
      <c r="T557" s="898"/>
      <c r="U557" s="898"/>
      <c r="V557" s="898"/>
      <c r="W557" s="898"/>
      <c r="X557" s="898"/>
      <c r="Y557" s="898"/>
      <c r="Z557" s="898"/>
      <c r="AA557" s="898"/>
      <c r="AB557" s="898"/>
      <c r="AC557" s="898"/>
      <c r="AD557" s="898"/>
      <c r="AE557" s="898"/>
      <c r="AF557" s="898"/>
      <c r="AG557" s="898"/>
      <c r="AH557" s="898"/>
      <c r="AI557" s="898"/>
      <c r="AJ557" s="898"/>
      <c r="AK557" s="897"/>
      <c r="AL557" s="897"/>
      <c r="AM557" s="897"/>
      <c r="AN557" s="897"/>
      <c r="AO557" s="897"/>
      <c r="AP557" s="897"/>
      <c r="AQ557" s="897"/>
      <c r="AR557" s="897"/>
    </row>
    <row r="558" spans="1:44" s="930" customFormat="1">
      <c r="A558" s="892"/>
      <c r="B558" s="899"/>
      <c r="C558" s="900"/>
      <c r="D558" s="894"/>
      <c r="E558" s="895"/>
      <c r="F558" s="896"/>
      <c r="G558" s="897"/>
      <c r="H558" s="897"/>
      <c r="I558" s="897"/>
      <c r="J558" s="897"/>
      <c r="K558" s="897"/>
      <c r="L558" s="898"/>
      <c r="M558" s="898"/>
      <c r="N558" s="898"/>
      <c r="O558" s="898"/>
      <c r="P558" s="898"/>
      <c r="Q558" s="898"/>
      <c r="R558" s="898"/>
      <c r="S558" s="898"/>
      <c r="T558" s="898"/>
      <c r="U558" s="898"/>
      <c r="V558" s="898"/>
      <c r="W558" s="898"/>
      <c r="X558" s="898"/>
      <c r="Y558" s="898"/>
      <c r="Z558" s="898"/>
      <c r="AA558" s="898"/>
      <c r="AB558" s="898"/>
      <c r="AC558" s="898"/>
      <c r="AD558" s="898"/>
      <c r="AE558" s="898"/>
      <c r="AF558" s="898"/>
      <c r="AG558" s="898"/>
      <c r="AH558" s="898"/>
      <c r="AI558" s="898"/>
      <c r="AJ558" s="898"/>
      <c r="AK558" s="897"/>
      <c r="AL558" s="897"/>
      <c r="AM558" s="897"/>
      <c r="AN558" s="897"/>
      <c r="AO558" s="897"/>
      <c r="AP558" s="897"/>
      <c r="AQ558" s="897"/>
      <c r="AR558" s="897"/>
    </row>
    <row r="559" spans="1:44" s="930" customFormat="1">
      <c r="A559" s="892"/>
      <c r="B559" s="899"/>
      <c r="C559" s="900"/>
      <c r="D559" s="894"/>
      <c r="E559" s="895"/>
      <c r="F559" s="896"/>
      <c r="G559" s="897"/>
      <c r="H559" s="897"/>
      <c r="I559" s="897"/>
      <c r="J559" s="897"/>
      <c r="K559" s="897"/>
      <c r="L559" s="898"/>
      <c r="M559" s="898"/>
      <c r="N559" s="898"/>
      <c r="O559" s="898"/>
      <c r="P559" s="898"/>
      <c r="Q559" s="898"/>
      <c r="R559" s="898"/>
      <c r="S559" s="898"/>
      <c r="T559" s="898"/>
      <c r="U559" s="898"/>
      <c r="V559" s="898"/>
      <c r="W559" s="898"/>
      <c r="X559" s="898"/>
      <c r="Y559" s="898"/>
      <c r="Z559" s="898"/>
      <c r="AA559" s="898"/>
      <c r="AB559" s="898"/>
      <c r="AC559" s="898"/>
      <c r="AD559" s="898"/>
      <c r="AE559" s="898"/>
      <c r="AF559" s="898"/>
      <c r="AG559" s="898"/>
      <c r="AH559" s="898"/>
      <c r="AI559" s="898"/>
      <c r="AJ559" s="898"/>
      <c r="AK559" s="897"/>
      <c r="AL559" s="897"/>
      <c r="AM559" s="897"/>
      <c r="AN559" s="897"/>
      <c r="AO559" s="897"/>
      <c r="AP559" s="897"/>
      <c r="AQ559" s="897"/>
      <c r="AR559" s="897"/>
    </row>
    <row r="560" spans="1:44" s="930" customFormat="1">
      <c r="A560" s="892"/>
      <c r="B560" s="899"/>
      <c r="C560" s="900"/>
      <c r="D560" s="894"/>
      <c r="E560" s="895"/>
      <c r="F560" s="896"/>
      <c r="G560" s="897"/>
      <c r="H560" s="897"/>
      <c r="I560" s="897"/>
      <c r="J560" s="897"/>
      <c r="K560" s="897"/>
      <c r="L560" s="898"/>
      <c r="M560" s="898"/>
      <c r="N560" s="898"/>
      <c r="O560" s="898"/>
      <c r="P560" s="898"/>
      <c r="Q560" s="898"/>
      <c r="R560" s="898"/>
      <c r="S560" s="898"/>
      <c r="T560" s="898"/>
      <c r="U560" s="898"/>
      <c r="V560" s="898"/>
      <c r="W560" s="898"/>
      <c r="X560" s="898"/>
      <c r="Y560" s="898"/>
      <c r="Z560" s="898"/>
      <c r="AA560" s="898"/>
      <c r="AB560" s="898"/>
      <c r="AC560" s="898"/>
      <c r="AD560" s="898"/>
      <c r="AE560" s="898"/>
      <c r="AF560" s="898"/>
      <c r="AG560" s="898"/>
      <c r="AH560" s="898"/>
      <c r="AI560" s="898"/>
      <c r="AJ560" s="898"/>
      <c r="AK560" s="897"/>
      <c r="AL560" s="897"/>
      <c r="AM560" s="897"/>
      <c r="AN560" s="897"/>
      <c r="AO560" s="897"/>
      <c r="AP560" s="897"/>
      <c r="AQ560" s="897"/>
      <c r="AR560" s="897"/>
    </row>
    <row r="561" spans="1:44" s="930" customFormat="1">
      <c r="A561" s="892"/>
      <c r="B561" s="899"/>
      <c r="C561" s="900"/>
      <c r="D561" s="894"/>
      <c r="E561" s="895"/>
      <c r="F561" s="896"/>
      <c r="G561" s="897"/>
      <c r="H561" s="897"/>
      <c r="I561" s="897"/>
      <c r="J561" s="897"/>
      <c r="K561" s="897"/>
      <c r="L561" s="898"/>
      <c r="M561" s="898"/>
      <c r="N561" s="898"/>
      <c r="O561" s="898"/>
      <c r="P561" s="898"/>
      <c r="Q561" s="898"/>
      <c r="R561" s="898"/>
      <c r="S561" s="898"/>
      <c r="T561" s="898"/>
      <c r="U561" s="898"/>
      <c r="V561" s="898"/>
      <c r="W561" s="898"/>
      <c r="X561" s="898"/>
      <c r="Y561" s="898"/>
      <c r="Z561" s="898"/>
      <c r="AA561" s="898"/>
      <c r="AB561" s="898"/>
      <c r="AC561" s="898"/>
      <c r="AD561" s="898"/>
      <c r="AE561" s="898"/>
      <c r="AF561" s="898"/>
      <c r="AG561" s="898"/>
      <c r="AH561" s="898"/>
      <c r="AI561" s="898"/>
      <c r="AJ561" s="898"/>
      <c r="AK561" s="897"/>
      <c r="AL561" s="897"/>
      <c r="AM561" s="897"/>
      <c r="AN561" s="897"/>
      <c r="AO561" s="897"/>
      <c r="AP561" s="897"/>
      <c r="AQ561" s="897"/>
      <c r="AR561" s="897"/>
    </row>
    <row r="562" spans="1:44" s="930" customFormat="1">
      <c r="A562" s="892"/>
      <c r="B562" s="899"/>
      <c r="C562" s="900"/>
      <c r="D562" s="894"/>
      <c r="E562" s="895"/>
      <c r="F562" s="896"/>
      <c r="G562" s="897"/>
      <c r="H562" s="897"/>
      <c r="I562" s="897"/>
      <c r="J562" s="897"/>
      <c r="K562" s="897"/>
      <c r="L562" s="898"/>
      <c r="M562" s="898"/>
      <c r="N562" s="898"/>
      <c r="O562" s="898"/>
      <c r="P562" s="898"/>
      <c r="Q562" s="898"/>
      <c r="R562" s="898"/>
      <c r="S562" s="898"/>
      <c r="T562" s="898"/>
      <c r="U562" s="898"/>
      <c r="V562" s="898"/>
      <c r="W562" s="898"/>
      <c r="X562" s="898"/>
      <c r="Y562" s="898"/>
      <c r="Z562" s="898"/>
      <c r="AA562" s="898"/>
      <c r="AB562" s="898"/>
      <c r="AC562" s="898"/>
      <c r="AD562" s="898"/>
      <c r="AE562" s="898"/>
      <c r="AF562" s="898"/>
      <c r="AG562" s="898"/>
      <c r="AH562" s="898"/>
      <c r="AI562" s="898"/>
      <c r="AJ562" s="898"/>
      <c r="AK562" s="897"/>
      <c r="AL562" s="897"/>
      <c r="AM562" s="897"/>
      <c r="AN562" s="897"/>
      <c r="AO562" s="897"/>
      <c r="AP562" s="897"/>
      <c r="AQ562" s="897"/>
      <c r="AR562" s="897"/>
    </row>
    <row r="563" spans="1:44" s="930" customFormat="1">
      <c r="A563" s="892"/>
      <c r="B563" s="899"/>
      <c r="C563" s="900"/>
      <c r="D563" s="894"/>
      <c r="E563" s="895"/>
      <c r="F563" s="896"/>
      <c r="G563" s="897"/>
      <c r="H563" s="897"/>
      <c r="I563" s="897"/>
      <c r="J563" s="897"/>
      <c r="K563" s="897"/>
      <c r="L563" s="898"/>
      <c r="M563" s="898"/>
      <c r="N563" s="898"/>
      <c r="O563" s="898"/>
      <c r="P563" s="898"/>
      <c r="Q563" s="898"/>
      <c r="R563" s="898"/>
      <c r="S563" s="898"/>
      <c r="T563" s="898"/>
      <c r="U563" s="898"/>
      <c r="V563" s="898"/>
      <c r="W563" s="898"/>
      <c r="X563" s="898"/>
      <c r="Y563" s="898"/>
      <c r="Z563" s="898"/>
      <c r="AA563" s="898"/>
      <c r="AB563" s="898"/>
      <c r="AC563" s="898"/>
      <c r="AD563" s="898"/>
      <c r="AE563" s="898"/>
      <c r="AF563" s="898"/>
      <c r="AG563" s="898"/>
      <c r="AH563" s="898"/>
      <c r="AI563" s="898"/>
      <c r="AJ563" s="898"/>
      <c r="AK563" s="897"/>
      <c r="AL563" s="897"/>
      <c r="AM563" s="897"/>
      <c r="AN563" s="897"/>
      <c r="AO563" s="897"/>
      <c r="AP563" s="897"/>
      <c r="AQ563" s="897"/>
      <c r="AR563" s="897"/>
    </row>
    <row r="564" spans="1:44" s="930" customFormat="1">
      <c r="A564" s="892"/>
      <c r="B564" s="899"/>
      <c r="C564" s="900"/>
      <c r="D564" s="894"/>
      <c r="E564" s="895"/>
      <c r="F564" s="896"/>
      <c r="G564" s="897"/>
      <c r="H564" s="897"/>
      <c r="I564" s="897"/>
      <c r="J564" s="897"/>
      <c r="K564" s="897"/>
      <c r="L564" s="898"/>
      <c r="M564" s="898"/>
      <c r="N564" s="898"/>
      <c r="O564" s="898"/>
      <c r="P564" s="898"/>
      <c r="Q564" s="898"/>
      <c r="R564" s="898"/>
      <c r="S564" s="898"/>
      <c r="T564" s="898"/>
      <c r="U564" s="898"/>
      <c r="V564" s="898"/>
      <c r="W564" s="898"/>
      <c r="X564" s="898"/>
      <c r="Y564" s="898"/>
      <c r="Z564" s="898"/>
      <c r="AA564" s="898"/>
      <c r="AB564" s="898"/>
      <c r="AC564" s="898"/>
      <c r="AD564" s="898"/>
      <c r="AE564" s="898"/>
      <c r="AF564" s="898"/>
      <c r="AG564" s="898"/>
      <c r="AH564" s="898"/>
      <c r="AI564" s="898"/>
      <c r="AJ564" s="898"/>
      <c r="AK564" s="897"/>
      <c r="AL564" s="897"/>
      <c r="AM564" s="897"/>
      <c r="AN564" s="897"/>
      <c r="AO564" s="897"/>
      <c r="AP564" s="897"/>
      <c r="AQ564" s="897"/>
      <c r="AR564" s="897"/>
    </row>
    <row r="565" spans="1:44" s="930" customFormat="1">
      <c r="A565" s="892"/>
      <c r="B565" s="899"/>
      <c r="C565" s="900"/>
      <c r="D565" s="894"/>
      <c r="E565" s="895"/>
      <c r="F565" s="896"/>
      <c r="G565" s="897"/>
      <c r="H565" s="897"/>
      <c r="I565" s="897"/>
      <c r="J565" s="897"/>
      <c r="K565" s="897"/>
      <c r="L565" s="898"/>
      <c r="M565" s="898"/>
      <c r="N565" s="898"/>
      <c r="O565" s="898"/>
      <c r="P565" s="898"/>
      <c r="Q565" s="898"/>
      <c r="R565" s="898"/>
      <c r="S565" s="898"/>
      <c r="T565" s="898"/>
      <c r="U565" s="898"/>
      <c r="V565" s="898"/>
      <c r="W565" s="898"/>
      <c r="X565" s="898"/>
      <c r="Y565" s="898"/>
      <c r="Z565" s="898"/>
      <c r="AA565" s="898"/>
      <c r="AB565" s="898"/>
      <c r="AC565" s="898"/>
      <c r="AD565" s="898"/>
      <c r="AE565" s="898"/>
      <c r="AF565" s="898"/>
      <c r="AG565" s="898"/>
      <c r="AH565" s="898"/>
      <c r="AI565" s="898"/>
      <c r="AJ565" s="898"/>
      <c r="AK565" s="897"/>
      <c r="AL565" s="897"/>
      <c r="AM565" s="897"/>
      <c r="AN565" s="897"/>
      <c r="AO565" s="897"/>
      <c r="AP565" s="897"/>
      <c r="AQ565" s="897"/>
      <c r="AR565" s="897"/>
    </row>
    <row r="566" spans="1:44" s="930" customFormat="1">
      <c r="A566" s="892"/>
      <c r="B566" s="899"/>
      <c r="C566" s="900"/>
      <c r="D566" s="894"/>
      <c r="E566" s="895"/>
      <c r="F566" s="896"/>
      <c r="G566" s="897"/>
      <c r="H566" s="897"/>
      <c r="I566" s="897"/>
      <c r="J566" s="897"/>
      <c r="K566" s="897"/>
      <c r="L566" s="898"/>
      <c r="M566" s="898"/>
      <c r="N566" s="898"/>
      <c r="O566" s="898"/>
      <c r="P566" s="898"/>
      <c r="Q566" s="898"/>
      <c r="R566" s="898"/>
      <c r="S566" s="898"/>
      <c r="T566" s="898"/>
      <c r="U566" s="898"/>
      <c r="V566" s="898"/>
      <c r="W566" s="898"/>
      <c r="X566" s="898"/>
      <c r="Y566" s="898"/>
      <c r="Z566" s="898"/>
      <c r="AA566" s="898"/>
      <c r="AB566" s="898"/>
      <c r="AC566" s="898"/>
      <c r="AD566" s="898"/>
      <c r="AE566" s="898"/>
      <c r="AF566" s="898"/>
      <c r="AG566" s="898"/>
      <c r="AH566" s="898"/>
      <c r="AI566" s="898"/>
      <c r="AJ566" s="898"/>
      <c r="AK566" s="897"/>
      <c r="AL566" s="897"/>
      <c r="AM566" s="897"/>
      <c r="AN566" s="897"/>
      <c r="AO566" s="897"/>
      <c r="AP566" s="897"/>
      <c r="AQ566" s="897"/>
      <c r="AR566" s="897"/>
    </row>
    <row r="567" spans="1:44" s="930" customFormat="1">
      <c r="A567" s="892"/>
      <c r="B567" s="899"/>
      <c r="C567" s="900"/>
      <c r="D567" s="894"/>
      <c r="E567" s="895"/>
      <c r="F567" s="896"/>
      <c r="G567" s="897"/>
      <c r="H567" s="897"/>
      <c r="I567" s="897"/>
      <c r="J567" s="897"/>
      <c r="K567" s="897"/>
      <c r="L567" s="898"/>
      <c r="M567" s="898"/>
      <c r="N567" s="898"/>
      <c r="O567" s="898"/>
      <c r="P567" s="898"/>
      <c r="Q567" s="898"/>
      <c r="R567" s="898"/>
      <c r="S567" s="898"/>
      <c r="T567" s="898"/>
      <c r="U567" s="898"/>
      <c r="V567" s="898"/>
      <c r="W567" s="898"/>
      <c r="X567" s="898"/>
      <c r="Y567" s="898"/>
      <c r="Z567" s="898"/>
      <c r="AA567" s="898"/>
      <c r="AB567" s="898"/>
      <c r="AC567" s="898"/>
      <c r="AD567" s="898"/>
      <c r="AE567" s="898"/>
      <c r="AF567" s="898"/>
      <c r="AG567" s="898"/>
      <c r="AH567" s="898"/>
      <c r="AI567" s="898"/>
      <c r="AJ567" s="898"/>
      <c r="AK567" s="897"/>
      <c r="AL567" s="897"/>
      <c r="AM567" s="897"/>
      <c r="AN567" s="897"/>
      <c r="AO567" s="897"/>
      <c r="AP567" s="897"/>
      <c r="AQ567" s="897"/>
      <c r="AR567" s="897"/>
    </row>
    <row r="568" spans="1:44" s="930" customFormat="1">
      <c r="A568" s="892"/>
      <c r="B568" s="899"/>
      <c r="C568" s="900"/>
      <c r="D568" s="894"/>
      <c r="E568" s="895"/>
      <c r="F568" s="896"/>
      <c r="G568" s="897"/>
      <c r="H568" s="897"/>
      <c r="I568" s="897"/>
      <c r="J568" s="897"/>
      <c r="K568" s="897"/>
      <c r="L568" s="898"/>
      <c r="M568" s="898"/>
      <c r="N568" s="898"/>
      <c r="O568" s="898"/>
      <c r="P568" s="898"/>
      <c r="Q568" s="898"/>
      <c r="R568" s="898"/>
      <c r="S568" s="898"/>
      <c r="T568" s="898"/>
      <c r="U568" s="898"/>
      <c r="V568" s="898"/>
      <c r="W568" s="898"/>
      <c r="X568" s="898"/>
      <c r="Y568" s="898"/>
      <c r="Z568" s="898"/>
      <c r="AA568" s="898"/>
      <c r="AB568" s="898"/>
      <c r="AC568" s="898"/>
      <c r="AD568" s="898"/>
      <c r="AE568" s="898"/>
      <c r="AF568" s="898"/>
      <c r="AG568" s="898"/>
      <c r="AH568" s="898"/>
      <c r="AI568" s="898"/>
      <c r="AJ568" s="898"/>
      <c r="AK568" s="897"/>
      <c r="AL568" s="897"/>
      <c r="AM568" s="897"/>
      <c r="AN568" s="897"/>
      <c r="AO568" s="897"/>
      <c r="AP568" s="897"/>
      <c r="AQ568" s="897"/>
      <c r="AR568" s="897"/>
    </row>
    <row r="569" spans="1:44" s="930" customFormat="1">
      <c r="A569" s="892"/>
      <c r="B569" s="899"/>
      <c r="C569" s="900"/>
      <c r="D569" s="894"/>
      <c r="E569" s="895"/>
      <c r="F569" s="896"/>
      <c r="G569" s="897"/>
      <c r="H569" s="897"/>
      <c r="I569" s="897"/>
      <c r="J569" s="897"/>
      <c r="K569" s="897"/>
      <c r="L569" s="898"/>
      <c r="M569" s="898"/>
      <c r="N569" s="898"/>
      <c r="O569" s="898"/>
      <c r="P569" s="898"/>
      <c r="Q569" s="898"/>
      <c r="R569" s="898"/>
      <c r="S569" s="898"/>
      <c r="T569" s="898"/>
      <c r="U569" s="898"/>
      <c r="V569" s="898"/>
      <c r="W569" s="898"/>
      <c r="X569" s="898"/>
      <c r="Y569" s="898"/>
      <c r="Z569" s="898"/>
      <c r="AA569" s="898"/>
      <c r="AB569" s="898"/>
      <c r="AC569" s="898"/>
      <c r="AD569" s="898"/>
      <c r="AE569" s="898"/>
      <c r="AF569" s="898"/>
      <c r="AG569" s="898"/>
      <c r="AH569" s="898"/>
      <c r="AI569" s="898"/>
      <c r="AJ569" s="898"/>
      <c r="AK569" s="897"/>
      <c r="AL569" s="897"/>
      <c r="AM569" s="897"/>
      <c r="AN569" s="897"/>
      <c r="AO569" s="897"/>
      <c r="AP569" s="897"/>
      <c r="AQ569" s="897"/>
      <c r="AR569" s="897"/>
    </row>
    <row r="570" spans="1:44" s="930" customFormat="1">
      <c r="A570" s="892"/>
      <c r="B570" s="899"/>
      <c r="C570" s="900"/>
      <c r="D570" s="894"/>
      <c r="E570" s="895"/>
      <c r="F570" s="896"/>
      <c r="G570" s="897"/>
      <c r="H570" s="897"/>
      <c r="I570" s="897"/>
      <c r="J570" s="897"/>
      <c r="K570" s="897"/>
      <c r="L570" s="898"/>
      <c r="M570" s="898"/>
      <c r="N570" s="898"/>
      <c r="O570" s="898"/>
      <c r="P570" s="898"/>
      <c r="Q570" s="898"/>
      <c r="R570" s="898"/>
      <c r="S570" s="898"/>
      <c r="T570" s="898"/>
      <c r="U570" s="898"/>
      <c r="V570" s="898"/>
      <c r="W570" s="898"/>
      <c r="X570" s="898"/>
      <c r="Y570" s="898"/>
      <c r="Z570" s="898"/>
      <c r="AA570" s="898"/>
      <c r="AB570" s="898"/>
      <c r="AC570" s="898"/>
      <c r="AD570" s="898"/>
      <c r="AE570" s="898"/>
      <c r="AF570" s="898"/>
      <c r="AG570" s="898"/>
      <c r="AH570" s="898"/>
      <c r="AI570" s="898"/>
      <c r="AJ570" s="898"/>
      <c r="AK570" s="897"/>
      <c r="AL570" s="897"/>
      <c r="AM570" s="897"/>
      <c r="AN570" s="897"/>
      <c r="AO570" s="897"/>
      <c r="AP570" s="897"/>
      <c r="AQ570" s="897"/>
      <c r="AR570" s="897"/>
    </row>
    <row r="571" spans="1:44" s="930" customFormat="1">
      <c r="A571" s="892"/>
      <c r="B571" s="899"/>
      <c r="C571" s="900"/>
      <c r="D571" s="894"/>
      <c r="E571" s="895"/>
      <c r="F571" s="896"/>
      <c r="G571" s="897"/>
      <c r="H571" s="897"/>
      <c r="I571" s="897"/>
      <c r="J571" s="897"/>
      <c r="K571" s="897"/>
      <c r="L571" s="898"/>
      <c r="M571" s="898"/>
      <c r="N571" s="898"/>
      <c r="O571" s="898"/>
      <c r="P571" s="898"/>
      <c r="Q571" s="898"/>
      <c r="R571" s="898"/>
      <c r="S571" s="898"/>
      <c r="T571" s="898"/>
      <c r="U571" s="898"/>
      <c r="V571" s="898"/>
      <c r="W571" s="898"/>
      <c r="X571" s="898"/>
      <c r="Y571" s="898"/>
      <c r="Z571" s="898"/>
      <c r="AA571" s="898"/>
      <c r="AB571" s="898"/>
      <c r="AC571" s="898"/>
      <c r="AD571" s="898"/>
      <c r="AE571" s="898"/>
      <c r="AF571" s="898"/>
      <c r="AG571" s="898"/>
      <c r="AH571" s="898"/>
      <c r="AI571" s="898"/>
      <c r="AJ571" s="898"/>
      <c r="AK571" s="897"/>
      <c r="AL571" s="897"/>
      <c r="AM571" s="897"/>
      <c r="AN571" s="897"/>
      <c r="AO571" s="897"/>
      <c r="AP571" s="897"/>
      <c r="AQ571" s="897"/>
      <c r="AR571" s="897"/>
    </row>
    <row r="572" spans="1:44" s="930" customFormat="1">
      <c r="A572" s="892"/>
      <c r="B572" s="899"/>
      <c r="C572" s="900"/>
      <c r="D572" s="894"/>
      <c r="E572" s="895"/>
      <c r="F572" s="896"/>
      <c r="G572" s="897"/>
      <c r="H572" s="897"/>
      <c r="I572" s="897"/>
      <c r="J572" s="897"/>
      <c r="K572" s="897"/>
      <c r="L572" s="898"/>
      <c r="M572" s="898"/>
      <c r="N572" s="898"/>
      <c r="O572" s="898"/>
      <c r="P572" s="898"/>
      <c r="Q572" s="898"/>
      <c r="R572" s="898"/>
      <c r="S572" s="898"/>
      <c r="T572" s="898"/>
      <c r="U572" s="898"/>
      <c r="V572" s="898"/>
      <c r="W572" s="898"/>
      <c r="X572" s="898"/>
      <c r="Y572" s="898"/>
      <c r="Z572" s="898"/>
      <c r="AA572" s="898"/>
      <c r="AB572" s="898"/>
      <c r="AC572" s="898"/>
      <c r="AD572" s="898"/>
      <c r="AE572" s="898"/>
      <c r="AF572" s="898"/>
      <c r="AG572" s="898"/>
      <c r="AH572" s="898"/>
      <c r="AI572" s="898"/>
      <c r="AJ572" s="898"/>
      <c r="AK572" s="897"/>
      <c r="AL572" s="897"/>
      <c r="AM572" s="897"/>
      <c r="AN572" s="897"/>
      <c r="AO572" s="897"/>
      <c r="AP572" s="897"/>
      <c r="AQ572" s="897"/>
      <c r="AR572" s="897"/>
    </row>
    <row r="573" spans="1:44" s="930" customFormat="1">
      <c r="A573" s="892"/>
      <c r="B573" s="899"/>
      <c r="C573" s="900"/>
      <c r="D573" s="894"/>
      <c r="E573" s="895"/>
      <c r="F573" s="896"/>
      <c r="G573" s="897"/>
      <c r="H573" s="897"/>
      <c r="I573" s="897"/>
      <c r="J573" s="897"/>
      <c r="K573" s="897"/>
      <c r="L573" s="898"/>
      <c r="M573" s="898"/>
      <c r="N573" s="898"/>
      <c r="O573" s="898"/>
      <c r="P573" s="898"/>
      <c r="Q573" s="898"/>
      <c r="R573" s="898"/>
      <c r="S573" s="898"/>
      <c r="T573" s="898"/>
      <c r="U573" s="898"/>
      <c r="V573" s="898"/>
      <c r="W573" s="898"/>
      <c r="X573" s="898"/>
      <c r="Y573" s="898"/>
      <c r="Z573" s="898"/>
      <c r="AA573" s="898"/>
      <c r="AB573" s="898"/>
      <c r="AC573" s="898"/>
      <c r="AD573" s="898"/>
      <c r="AE573" s="898"/>
      <c r="AF573" s="898"/>
      <c r="AG573" s="898"/>
      <c r="AH573" s="898"/>
      <c r="AI573" s="898"/>
      <c r="AJ573" s="898"/>
      <c r="AK573" s="897"/>
      <c r="AL573" s="897"/>
      <c r="AM573" s="897"/>
      <c r="AN573" s="897"/>
      <c r="AO573" s="897"/>
      <c r="AP573" s="897"/>
      <c r="AQ573" s="897"/>
      <c r="AR573" s="897"/>
    </row>
    <row r="574" spans="1:44" s="930" customFormat="1">
      <c r="A574" s="892"/>
      <c r="B574" s="899"/>
      <c r="C574" s="900"/>
      <c r="D574" s="894"/>
      <c r="E574" s="895"/>
      <c r="F574" s="896"/>
      <c r="G574" s="897"/>
      <c r="H574" s="897"/>
      <c r="I574" s="897"/>
      <c r="J574" s="897"/>
      <c r="K574" s="897"/>
      <c r="L574" s="898"/>
      <c r="M574" s="898"/>
      <c r="N574" s="898"/>
      <c r="O574" s="898"/>
      <c r="P574" s="898"/>
      <c r="Q574" s="898"/>
      <c r="R574" s="898"/>
      <c r="S574" s="898"/>
      <c r="T574" s="898"/>
      <c r="U574" s="898"/>
      <c r="V574" s="898"/>
      <c r="W574" s="898"/>
      <c r="X574" s="898"/>
      <c r="Y574" s="898"/>
      <c r="Z574" s="898"/>
      <c r="AA574" s="898"/>
      <c r="AB574" s="898"/>
      <c r="AC574" s="898"/>
      <c r="AD574" s="898"/>
      <c r="AE574" s="898"/>
      <c r="AF574" s="898"/>
      <c r="AG574" s="898"/>
      <c r="AH574" s="898"/>
      <c r="AI574" s="898"/>
      <c r="AJ574" s="898"/>
      <c r="AK574" s="897"/>
      <c r="AL574" s="897"/>
      <c r="AM574" s="897"/>
      <c r="AN574" s="897"/>
      <c r="AO574" s="897"/>
      <c r="AP574" s="897"/>
      <c r="AQ574" s="897"/>
      <c r="AR574" s="897"/>
    </row>
    <row r="575" spans="1:44" s="930" customFormat="1">
      <c r="A575" s="892"/>
      <c r="B575" s="899"/>
      <c r="C575" s="900"/>
      <c r="D575" s="894"/>
      <c r="E575" s="895"/>
      <c r="F575" s="896"/>
      <c r="G575" s="897"/>
      <c r="H575" s="897"/>
      <c r="I575" s="897"/>
      <c r="J575" s="897"/>
      <c r="K575" s="897"/>
      <c r="L575" s="898"/>
      <c r="M575" s="898"/>
      <c r="N575" s="898"/>
      <c r="O575" s="898"/>
      <c r="P575" s="898"/>
      <c r="Q575" s="898"/>
      <c r="R575" s="898"/>
      <c r="S575" s="898"/>
      <c r="T575" s="898"/>
      <c r="U575" s="898"/>
      <c r="V575" s="898"/>
      <c r="W575" s="898"/>
      <c r="X575" s="898"/>
      <c r="Y575" s="898"/>
      <c r="Z575" s="898"/>
      <c r="AA575" s="898"/>
      <c r="AB575" s="898"/>
      <c r="AC575" s="898"/>
      <c r="AD575" s="898"/>
      <c r="AE575" s="898"/>
      <c r="AF575" s="898"/>
      <c r="AG575" s="898"/>
      <c r="AH575" s="898"/>
      <c r="AI575" s="898"/>
      <c r="AJ575" s="898"/>
      <c r="AK575" s="897"/>
      <c r="AL575" s="897"/>
      <c r="AM575" s="897"/>
      <c r="AN575" s="897"/>
      <c r="AO575" s="897"/>
      <c r="AP575" s="897"/>
      <c r="AQ575" s="897"/>
      <c r="AR575" s="897"/>
    </row>
    <row r="576" spans="1:44" s="930" customFormat="1">
      <c r="A576" s="892"/>
      <c r="B576" s="899"/>
      <c r="C576" s="900"/>
      <c r="D576" s="894"/>
      <c r="E576" s="895"/>
      <c r="F576" s="896"/>
      <c r="G576" s="897"/>
      <c r="H576" s="897"/>
      <c r="I576" s="897"/>
      <c r="J576" s="897"/>
      <c r="K576" s="897"/>
      <c r="L576" s="898"/>
      <c r="M576" s="898"/>
      <c r="N576" s="898"/>
      <c r="O576" s="898"/>
      <c r="P576" s="898"/>
      <c r="Q576" s="898"/>
      <c r="R576" s="898"/>
      <c r="S576" s="898"/>
      <c r="T576" s="898"/>
      <c r="U576" s="898"/>
      <c r="V576" s="898"/>
      <c r="W576" s="898"/>
      <c r="X576" s="898"/>
      <c r="Y576" s="898"/>
      <c r="Z576" s="898"/>
      <c r="AA576" s="898"/>
      <c r="AB576" s="898"/>
      <c r="AC576" s="898"/>
      <c r="AD576" s="898"/>
      <c r="AE576" s="898"/>
      <c r="AF576" s="898"/>
      <c r="AG576" s="898"/>
      <c r="AH576" s="898"/>
      <c r="AI576" s="898"/>
      <c r="AJ576" s="898"/>
      <c r="AK576" s="897"/>
      <c r="AL576" s="897"/>
      <c r="AM576" s="897"/>
      <c r="AN576" s="897"/>
      <c r="AO576" s="897"/>
      <c r="AP576" s="897"/>
      <c r="AQ576" s="897"/>
      <c r="AR576" s="897"/>
    </row>
    <row r="577" spans="1:44" s="930" customFormat="1">
      <c r="A577" s="892"/>
      <c r="B577" s="899"/>
      <c r="C577" s="900"/>
      <c r="D577" s="894"/>
      <c r="E577" s="895"/>
      <c r="F577" s="896"/>
      <c r="G577" s="897"/>
      <c r="H577" s="897"/>
      <c r="I577" s="897"/>
      <c r="J577" s="897"/>
      <c r="K577" s="897"/>
      <c r="L577" s="898"/>
      <c r="M577" s="898"/>
      <c r="N577" s="898"/>
      <c r="O577" s="898"/>
      <c r="P577" s="898"/>
      <c r="Q577" s="898"/>
      <c r="R577" s="898"/>
      <c r="S577" s="898"/>
      <c r="T577" s="898"/>
      <c r="U577" s="898"/>
      <c r="V577" s="898"/>
      <c r="W577" s="898"/>
      <c r="X577" s="898"/>
      <c r="Y577" s="898"/>
      <c r="Z577" s="898"/>
      <c r="AA577" s="898"/>
      <c r="AB577" s="898"/>
      <c r="AC577" s="898"/>
      <c r="AD577" s="898"/>
      <c r="AE577" s="898"/>
      <c r="AF577" s="898"/>
      <c r="AG577" s="898"/>
      <c r="AH577" s="898"/>
      <c r="AI577" s="898"/>
      <c r="AJ577" s="898"/>
      <c r="AK577" s="897"/>
      <c r="AL577" s="897"/>
      <c r="AM577" s="897"/>
      <c r="AN577" s="897"/>
      <c r="AO577" s="897"/>
      <c r="AP577" s="897"/>
      <c r="AQ577" s="897"/>
      <c r="AR577" s="897"/>
    </row>
    <row r="578" spans="1:44" s="930" customFormat="1">
      <c r="A578" s="892"/>
      <c r="B578" s="899"/>
      <c r="C578" s="900"/>
      <c r="D578" s="894"/>
      <c r="E578" s="895"/>
      <c r="F578" s="896"/>
      <c r="G578" s="897"/>
      <c r="H578" s="897"/>
      <c r="I578" s="897"/>
      <c r="J578" s="897"/>
      <c r="K578" s="897"/>
      <c r="L578" s="898"/>
      <c r="M578" s="898"/>
      <c r="N578" s="898"/>
      <c r="O578" s="898"/>
      <c r="P578" s="898"/>
      <c r="Q578" s="898"/>
      <c r="R578" s="898"/>
      <c r="S578" s="898"/>
      <c r="T578" s="898"/>
      <c r="U578" s="898"/>
      <c r="V578" s="898"/>
      <c r="W578" s="898"/>
      <c r="X578" s="898"/>
      <c r="Y578" s="898"/>
      <c r="Z578" s="898"/>
      <c r="AA578" s="898"/>
      <c r="AB578" s="898"/>
      <c r="AC578" s="898"/>
      <c r="AD578" s="898"/>
      <c r="AE578" s="898"/>
      <c r="AF578" s="898"/>
      <c r="AG578" s="898"/>
      <c r="AH578" s="898"/>
      <c r="AI578" s="898"/>
      <c r="AJ578" s="898"/>
      <c r="AK578" s="897"/>
      <c r="AL578" s="897"/>
      <c r="AM578" s="897"/>
      <c r="AN578" s="897"/>
      <c r="AO578" s="897"/>
      <c r="AP578" s="897"/>
      <c r="AQ578" s="897"/>
      <c r="AR578" s="897"/>
    </row>
    <row r="579" spans="1:44" s="930" customFormat="1">
      <c r="A579" s="892"/>
      <c r="B579" s="899"/>
      <c r="C579" s="900"/>
      <c r="D579" s="894"/>
      <c r="E579" s="895"/>
      <c r="F579" s="896"/>
      <c r="G579" s="897"/>
      <c r="H579" s="897"/>
      <c r="I579" s="897"/>
      <c r="J579" s="897"/>
      <c r="K579" s="897"/>
      <c r="L579" s="898"/>
      <c r="M579" s="898"/>
      <c r="N579" s="898"/>
      <c r="O579" s="898"/>
      <c r="P579" s="898"/>
      <c r="Q579" s="898"/>
      <c r="R579" s="898"/>
      <c r="S579" s="898"/>
      <c r="T579" s="898"/>
      <c r="U579" s="898"/>
      <c r="V579" s="898"/>
      <c r="W579" s="898"/>
      <c r="X579" s="898"/>
      <c r="Y579" s="898"/>
      <c r="Z579" s="898"/>
      <c r="AA579" s="898"/>
      <c r="AB579" s="898"/>
      <c r="AC579" s="898"/>
      <c r="AD579" s="898"/>
      <c r="AE579" s="898"/>
      <c r="AF579" s="898"/>
      <c r="AG579" s="898"/>
      <c r="AH579" s="898"/>
      <c r="AI579" s="898"/>
      <c r="AJ579" s="898"/>
      <c r="AK579" s="897"/>
      <c r="AL579" s="897"/>
      <c r="AM579" s="897"/>
      <c r="AN579" s="897"/>
      <c r="AO579" s="897"/>
      <c r="AP579" s="897"/>
      <c r="AQ579" s="897"/>
      <c r="AR579" s="897"/>
    </row>
    <row r="580" spans="1:44" s="930" customFormat="1">
      <c r="A580" s="892"/>
      <c r="B580" s="899"/>
      <c r="C580" s="900"/>
      <c r="D580" s="894"/>
      <c r="E580" s="895"/>
      <c r="F580" s="896"/>
      <c r="G580" s="897"/>
      <c r="H580" s="897"/>
      <c r="I580" s="897"/>
      <c r="J580" s="897"/>
      <c r="K580" s="897"/>
      <c r="L580" s="898"/>
      <c r="M580" s="898"/>
      <c r="N580" s="898"/>
      <c r="O580" s="898"/>
      <c r="P580" s="898"/>
      <c r="Q580" s="898"/>
      <c r="R580" s="898"/>
      <c r="S580" s="898"/>
      <c r="T580" s="898"/>
      <c r="U580" s="898"/>
      <c r="V580" s="898"/>
      <c r="W580" s="898"/>
      <c r="X580" s="898"/>
      <c r="Y580" s="898"/>
      <c r="Z580" s="898"/>
      <c r="AA580" s="898"/>
      <c r="AB580" s="898"/>
      <c r="AC580" s="898"/>
      <c r="AD580" s="898"/>
      <c r="AE580" s="898"/>
      <c r="AF580" s="898"/>
      <c r="AG580" s="898"/>
      <c r="AH580" s="898"/>
      <c r="AI580" s="898"/>
      <c r="AJ580" s="898"/>
      <c r="AK580" s="897"/>
      <c r="AL580" s="897"/>
      <c r="AM580" s="897"/>
      <c r="AN580" s="897"/>
      <c r="AO580" s="897"/>
      <c r="AP580" s="897"/>
      <c r="AQ580" s="897"/>
      <c r="AR580" s="897"/>
    </row>
    <row r="581" spans="1:44" s="930" customFormat="1">
      <c r="A581" s="892"/>
      <c r="B581" s="899"/>
      <c r="C581" s="900"/>
      <c r="D581" s="894"/>
      <c r="E581" s="895"/>
      <c r="F581" s="896"/>
      <c r="G581" s="897"/>
      <c r="H581" s="897"/>
      <c r="I581" s="897"/>
      <c r="J581" s="897"/>
      <c r="K581" s="897"/>
      <c r="L581" s="898"/>
      <c r="M581" s="898"/>
      <c r="N581" s="898"/>
      <c r="O581" s="898"/>
      <c r="P581" s="898"/>
      <c r="Q581" s="898"/>
      <c r="R581" s="898"/>
      <c r="S581" s="898"/>
      <c r="T581" s="898"/>
      <c r="U581" s="898"/>
      <c r="V581" s="898"/>
      <c r="W581" s="898"/>
      <c r="X581" s="898"/>
      <c r="Y581" s="898"/>
      <c r="Z581" s="898"/>
      <c r="AA581" s="898"/>
      <c r="AB581" s="898"/>
      <c r="AC581" s="898"/>
      <c r="AD581" s="898"/>
      <c r="AE581" s="898"/>
      <c r="AF581" s="898"/>
      <c r="AG581" s="898"/>
      <c r="AH581" s="898"/>
      <c r="AI581" s="898"/>
      <c r="AJ581" s="898"/>
      <c r="AK581" s="897"/>
      <c r="AL581" s="897"/>
      <c r="AM581" s="897"/>
      <c r="AN581" s="897"/>
      <c r="AO581" s="897"/>
      <c r="AP581" s="897"/>
      <c r="AQ581" s="897"/>
      <c r="AR581" s="897"/>
    </row>
    <row r="582" spans="1:44" s="930" customFormat="1">
      <c r="A582" s="892"/>
      <c r="B582" s="899"/>
      <c r="C582" s="900"/>
      <c r="D582" s="894"/>
      <c r="E582" s="895"/>
      <c r="F582" s="896"/>
      <c r="G582" s="897"/>
      <c r="H582" s="897"/>
      <c r="I582" s="897"/>
      <c r="J582" s="897"/>
      <c r="K582" s="897"/>
      <c r="L582" s="898"/>
      <c r="M582" s="898"/>
      <c r="N582" s="898"/>
      <c r="O582" s="898"/>
      <c r="P582" s="898"/>
      <c r="Q582" s="898"/>
      <c r="R582" s="898"/>
      <c r="S582" s="898"/>
      <c r="T582" s="898"/>
      <c r="U582" s="898"/>
      <c r="V582" s="898"/>
      <c r="W582" s="898"/>
      <c r="X582" s="898"/>
      <c r="Y582" s="898"/>
      <c r="Z582" s="898"/>
      <c r="AA582" s="898"/>
      <c r="AB582" s="898"/>
      <c r="AC582" s="898"/>
      <c r="AD582" s="898"/>
      <c r="AE582" s="898"/>
      <c r="AF582" s="898"/>
      <c r="AG582" s="898"/>
      <c r="AH582" s="898"/>
      <c r="AI582" s="898"/>
      <c r="AJ582" s="898"/>
      <c r="AK582" s="897"/>
      <c r="AL582" s="897"/>
      <c r="AM582" s="897"/>
      <c r="AN582" s="897"/>
      <c r="AO582" s="897"/>
      <c r="AP582" s="897"/>
      <c r="AQ582" s="897"/>
      <c r="AR582" s="897"/>
    </row>
    <row r="583" spans="1:44" s="930" customFormat="1">
      <c r="A583" s="892"/>
      <c r="B583" s="899"/>
      <c r="C583" s="900"/>
      <c r="D583" s="894"/>
      <c r="E583" s="895"/>
      <c r="F583" s="896"/>
      <c r="G583" s="897"/>
      <c r="H583" s="897"/>
      <c r="I583" s="897"/>
      <c r="J583" s="897"/>
      <c r="K583" s="897"/>
      <c r="L583" s="898"/>
      <c r="M583" s="898"/>
      <c r="N583" s="898"/>
      <c r="O583" s="898"/>
      <c r="P583" s="898"/>
      <c r="Q583" s="898"/>
      <c r="R583" s="898"/>
      <c r="S583" s="898"/>
      <c r="T583" s="898"/>
      <c r="U583" s="898"/>
      <c r="V583" s="898"/>
      <c r="W583" s="898"/>
      <c r="X583" s="898"/>
      <c r="Y583" s="898"/>
      <c r="Z583" s="898"/>
      <c r="AA583" s="898"/>
      <c r="AB583" s="898"/>
      <c r="AC583" s="898"/>
      <c r="AD583" s="898"/>
      <c r="AE583" s="898"/>
      <c r="AF583" s="898"/>
      <c r="AG583" s="898"/>
      <c r="AH583" s="898"/>
      <c r="AI583" s="898"/>
      <c r="AJ583" s="898"/>
      <c r="AK583" s="897"/>
      <c r="AL583" s="897"/>
      <c r="AM583" s="897"/>
      <c r="AN583" s="897"/>
      <c r="AO583" s="897"/>
      <c r="AP583" s="897"/>
      <c r="AQ583" s="897"/>
      <c r="AR583" s="897"/>
    </row>
    <row r="584" spans="1:44" s="930" customFormat="1">
      <c r="A584" s="892"/>
      <c r="B584" s="899"/>
      <c r="C584" s="900"/>
      <c r="D584" s="894"/>
      <c r="E584" s="895"/>
      <c r="F584" s="896"/>
      <c r="G584" s="897"/>
      <c r="H584" s="897"/>
      <c r="I584" s="897"/>
      <c r="J584" s="897"/>
      <c r="K584" s="897"/>
      <c r="L584" s="898"/>
      <c r="M584" s="898"/>
      <c r="N584" s="898"/>
      <c r="O584" s="898"/>
      <c r="P584" s="898"/>
      <c r="Q584" s="898"/>
      <c r="R584" s="898"/>
      <c r="S584" s="898"/>
      <c r="T584" s="898"/>
      <c r="U584" s="898"/>
      <c r="V584" s="898"/>
      <c r="W584" s="898"/>
      <c r="X584" s="898"/>
      <c r="Y584" s="898"/>
      <c r="Z584" s="898"/>
      <c r="AA584" s="898"/>
      <c r="AB584" s="898"/>
      <c r="AC584" s="898"/>
      <c r="AD584" s="898"/>
      <c r="AE584" s="898"/>
      <c r="AF584" s="898"/>
      <c r="AG584" s="898"/>
      <c r="AH584" s="898"/>
      <c r="AI584" s="898"/>
      <c r="AJ584" s="898"/>
      <c r="AK584" s="897"/>
      <c r="AL584" s="897"/>
      <c r="AM584" s="897"/>
      <c r="AN584" s="897"/>
      <c r="AO584" s="897"/>
      <c r="AP584" s="897"/>
      <c r="AQ584" s="897"/>
      <c r="AR584" s="897"/>
    </row>
    <row r="585" spans="1:44" s="930" customFormat="1">
      <c r="A585" s="892"/>
      <c r="B585" s="899"/>
      <c r="C585" s="900"/>
      <c r="D585" s="894"/>
      <c r="E585" s="895"/>
      <c r="F585" s="896"/>
      <c r="G585" s="897"/>
      <c r="H585" s="897"/>
      <c r="I585" s="897"/>
      <c r="J585" s="897"/>
      <c r="K585" s="897"/>
      <c r="L585" s="898"/>
      <c r="M585" s="898"/>
      <c r="N585" s="898"/>
      <c r="O585" s="898"/>
      <c r="P585" s="898"/>
      <c r="Q585" s="898"/>
      <c r="R585" s="898"/>
      <c r="S585" s="898"/>
      <c r="T585" s="898"/>
      <c r="U585" s="898"/>
      <c r="V585" s="898"/>
      <c r="W585" s="898"/>
      <c r="X585" s="898"/>
      <c r="Y585" s="898"/>
      <c r="Z585" s="898"/>
      <c r="AA585" s="898"/>
      <c r="AB585" s="898"/>
      <c r="AC585" s="898"/>
      <c r="AD585" s="898"/>
      <c r="AE585" s="898"/>
      <c r="AF585" s="898"/>
      <c r="AG585" s="898"/>
      <c r="AH585" s="898"/>
      <c r="AI585" s="898"/>
      <c r="AJ585" s="898"/>
      <c r="AK585" s="897"/>
      <c r="AL585" s="897"/>
      <c r="AM585" s="897"/>
      <c r="AN585" s="897"/>
      <c r="AO585" s="897"/>
      <c r="AP585" s="897"/>
      <c r="AQ585" s="897"/>
      <c r="AR585" s="897"/>
    </row>
    <row r="586" spans="1:44" s="930" customFormat="1">
      <c r="A586" s="892"/>
      <c r="B586" s="899"/>
      <c r="C586" s="900"/>
      <c r="D586" s="894"/>
      <c r="E586" s="895"/>
      <c r="F586" s="896"/>
      <c r="G586" s="897"/>
      <c r="H586" s="897"/>
      <c r="I586" s="897"/>
      <c r="J586" s="897"/>
      <c r="K586" s="897"/>
      <c r="L586" s="898"/>
      <c r="M586" s="898"/>
      <c r="N586" s="898"/>
      <c r="O586" s="898"/>
      <c r="P586" s="898"/>
      <c r="Q586" s="898"/>
      <c r="R586" s="898"/>
      <c r="S586" s="898"/>
      <c r="T586" s="898"/>
      <c r="U586" s="898"/>
      <c r="V586" s="898"/>
      <c r="W586" s="898"/>
      <c r="X586" s="898"/>
      <c r="Y586" s="898"/>
      <c r="Z586" s="898"/>
      <c r="AA586" s="898"/>
      <c r="AB586" s="898"/>
      <c r="AC586" s="898"/>
      <c r="AD586" s="898"/>
      <c r="AE586" s="898"/>
      <c r="AF586" s="898"/>
      <c r="AG586" s="898"/>
      <c r="AH586" s="898"/>
      <c r="AI586" s="898"/>
      <c r="AJ586" s="898"/>
      <c r="AK586" s="897"/>
      <c r="AL586" s="897"/>
      <c r="AM586" s="897"/>
      <c r="AN586" s="897"/>
      <c r="AO586" s="897"/>
      <c r="AP586" s="897"/>
      <c r="AQ586" s="897"/>
      <c r="AR586" s="897"/>
    </row>
    <row r="587" spans="1:44" s="930" customFormat="1">
      <c r="A587" s="892"/>
      <c r="B587" s="899"/>
      <c r="C587" s="900"/>
      <c r="D587" s="894"/>
      <c r="E587" s="895"/>
      <c r="F587" s="896"/>
      <c r="G587" s="897"/>
      <c r="H587" s="897"/>
      <c r="I587" s="897"/>
      <c r="J587" s="897"/>
      <c r="K587" s="897"/>
      <c r="L587" s="898"/>
      <c r="M587" s="898"/>
      <c r="N587" s="898"/>
      <c r="O587" s="898"/>
      <c r="P587" s="898"/>
      <c r="Q587" s="898"/>
      <c r="R587" s="898"/>
      <c r="S587" s="898"/>
      <c r="T587" s="898"/>
      <c r="U587" s="898"/>
      <c r="V587" s="898"/>
      <c r="W587" s="898"/>
      <c r="X587" s="898"/>
      <c r="Y587" s="898"/>
      <c r="Z587" s="898"/>
      <c r="AA587" s="898"/>
      <c r="AB587" s="898"/>
      <c r="AC587" s="898"/>
      <c r="AD587" s="898"/>
      <c r="AE587" s="898"/>
      <c r="AF587" s="898"/>
      <c r="AG587" s="898"/>
      <c r="AH587" s="898"/>
      <c r="AI587" s="898"/>
      <c r="AJ587" s="898"/>
      <c r="AK587" s="897"/>
      <c r="AL587" s="897"/>
      <c r="AM587" s="897"/>
      <c r="AN587" s="897"/>
      <c r="AO587" s="897"/>
      <c r="AP587" s="897"/>
      <c r="AQ587" s="897"/>
      <c r="AR587" s="897"/>
    </row>
    <row r="588" spans="1:44" s="930" customFormat="1">
      <c r="A588" s="892"/>
      <c r="B588" s="899"/>
      <c r="C588" s="900"/>
      <c r="D588" s="894"/>
      <c r="E588" s="895"/>
      <c r="F588" s="896"/>
      <c r="G588" s="897"/>
      <c r="H588" s="897"/>
      <c r="I588" s="897"/>
      <c r="J588" s="897"/>
      <c r="K588" s="897"/>
      <c r="L588" s="898"/>
      <c r="M588" s="898"/>
      <c r="N588" s="898"/>
      <c r="O588" s="898"/>
      <c r="P588" s="898"/>
      <c r="Q588" s="898"/>
      <c r="R588" s="898"/>
      <c r="S588" s="898"/>
      <c r="T588" s="898"/>
      <c r="U588" s="898"/>
      <c r="V588" s="898"/>
      <c r="W588" s="898"/>
      <c r="X588" s="898"/>
      <c r="Y588" s="898"/>
      <c r="Z588" s="898"/>
      <c r="AA588" s="898"/>
      <c r="AB588" s="898"/>
      <c r="AC588" s="898"/>
      <c r="AD588" s="898"/>
      <c r="AE588" s="898"/>
      <c r="AF588" s="898"/>
      <c r="AG588" s="898"/>
      <c r="AH588" s="898"/>
      <c r="AI588" s="898"/>
      <c r="AJ588" s="898"/>
      <c r="AK588" s="897"/>
      <c r="AL588" s="897"/>
      <c r="AM588" s="897"/>
      <c r="AN588" s="897"/>
      <c r="AO588" s="897"/>
      <c r="AP588" s="897"/>
      <c r="AQ588" s="897"/>
      <c r="AR588" s="897"/>
    </row>
    <row r="589" spans="1:44" s="930" customFormat="1">
      <c r="A589" s="892"/>
      <c r="B589" s="899"/>
      <c r="C589" s="900"/>
      <c r="D589" s="894"/>
      <c r="E589" s="895"/>
      <c r="F589" s="896"/>
      <c r="G589" s="897"/>
      <c r="H589" s="897"/>
      <c r="I589" s="897"/>
      <c r="J589" s="897"/>
      <c r="K589" s="897"/>
      <c r="L589" s="898"/>
      <c r="M589" s="898"/>
      <c r="N589" s="898"/>
      <c r="O589" s="898"/>
      <c r="P589" s="898"/>
      <c r="Q589" s="898"/>
      <c r="R589" s="898"/>
      <c r="S589" s="898"/>
      <c r="T589" s="898"/>
      <c r="U589" s="898"/>
      <c r="V589" s="898"/>
      <c r="W589" s="898"/>
      <c r="X589" s="898"/>
      <c r="Y589" s="898"/>
      <c r="Z589" s="898"/>
      <c r="AA589" s="898"/>
      <c r="AB589" s="898"/>
      <c r="AC589" s="898"/>
      <c r="AD589" s="898"/>
      <c r="AE589" s="898"/>
      <c r="AF589" s="898"/>
      <c r="AG589" s="898"/>
      <c r="AH589" s="898"/>
      <c r="AI589" s="898"/>
      <c r="AJ589" s="898"/>
      <c r="AK589" s="897"/>
      <c r="AL589" s="897"/>
      <c r="AM589" s="897"/>
      <c r="AN589" s="897"/>
      <c r="AO589" s="897"/>
      <c r="AP589" s="897"/>
      <c r="AQ589" s="897"/>
      <c r="AR589" s="897"/>
    </row>
    <row r="590" spans="1:44" s="930" customFormat="1">
      <c r="A590" s="892"/>
      <c r="B590" s="899"/>
      <c r="C590" s="900"/>
      <c r="D590" s="894"/>
      <c r="E590" s="895"/>
      <c r="F590" s="896"/>
      <c r="G590" s="897"/>
      <c r="H590" s="897"/>
      <c r="I590" s="897"/>
      <c r="J590" s="897"/>
      <c r="K590" s="897"/>
      <c r="L590" s="898"/>
      <c r="M590" s="898"/>
      <c r="N590" s="898"/>
      <c r="O590" s="898"/>
      <c r="P590" s="898"/>
      <c r="Q590" s="898"/>
      <c r="R590" s="898"/>
      <c r="S590" s="898"/>
      <c r="T590" s="898"/>
      <c r="U590" s="898"/>
      <c r="V590" s="898"/>
      <c r="W590" s="898"/>
      <c r="X590" s="898"/>
      <c r="Y590" s="898"/>
      <c r="Z590" s="898"/>
      <c r="AA590" s="898"/>
      <c r="AB590" s="898"/>
      <c r="AC590" s="898"/>
      <c r="AD590" s="898"/>
      <c r="AE590" s="898"/>
      <c r="AF590" s="898"/>
      <c r="AG590" s="898"/>
      <c r="AH590" s="898"/>
      <c r="AI590" s="898"/>
      <c r="AJ590" s="898"/>
      <c r="AK590" s="897"/>
      <c r="AL590" s="897"/>
      <c r="AM590" s="897"/>
      <c r="AN590" s="897"/>
      <c r="AO590" s="897"/>
      <c r="AP590" s="897"/>
      <c r="AQ590" s="897"/>
      <c r="AR590" s="897"/>
    </row>
    <row r="591" spans="1:44" s="930" customFormat="1">
      <c r="A591" s="892"/>
      <c r="B591" s="899"/>
      <c r="C591" s="900"/>
      <c r="D591" s="894"/>
      <c r="E591" s="895"/>
      <c r="F591" s="896"/>
      <c r="G591" s="897"/>
      <c r="H591" s="897"/>
      <c r="I591" s="897"/>
      <c r="J591" s="897"/>
      <c r="K591" s="897"/>
      <c r="L591" s="898"/>
      <c r="M591" s="898"/>
      <c r="N591" s="898"/>
      <c r="O591" s="898"/>
      <c r="P591" s="898"/>
      <c r="Q591" s="898"/>
      <c r="R591" s="898"/>
      <c r="S591" s="898"/>
      <c r="T591" s="898"/>
      <c r="U591" s="898"/>
      <c r="V591" s="898"/>
      <c r="W591" s="898"/>
      <c r="X591" s="898"/>
      <c r="Y591" s="898"/>
      <c r="Z591" s="898"/>
      <c r="AA591" s="898"/>
      <c r="AB591" s="898"/>
      <c r="AC591" s="898"/>
      <c r="AD591" s="898"/>
      <c r="AE591" s="898"/>
      <c r="AF591" s="898"/>
      <c r="AG591" s="898"/>
      <c r="AH591" s="898"/>
      <c r="AI591" s="898"/>
      <c r="AJ591" s="898"/>
      <c r="AK591" s="897"/>
      <c r="AL591" s="897"/>
      <c r="AM591" s="897"/>
      <c r="AN591" s="897"/>
      <c r="AO591" s="897"/>
      <c r="AP591" s="897"/>
      <c r="AQ591" s="897"/>
      <c r="AR591" s="897"/>
    </row>
    <row r="592" spans="1:44" s="930" customFormat="1">
      <c r="A592" s="892"/>
      <c r="B592" s="899"/>
      <c r="C592" s="900"/>
      <c r="D592" s="894"/>
      <c r="E592" s="895"/>
      <c r="F592" s="896"/>
      <c r="G592" s="897"/>
      <c r="H592" s="897"/>
      <c r="I592" s="897"/>
      <c r="J592" s="897"/>
      <c r="K592" s="897"/>
      <c r="L592" s="898"/>
      <c r="M592" s="898"/>
      <c r="N592" s="898"/>
      <c r="O592" s="898"/>
      <c r="P592" s="898"/>
      <c r="Q592" s="898"/>
      <c r="R592" s="898"/>
      <c r="S592" s="898"/>
      <c r="T592" s="898"/>
      <c r="U592" s="898"/>
      <c r="V592" s="898"/>
      <c r="W592" s="898"/>
      <c r="X592" s="898"/>
      <c r="Y592" s="898"/>
      <c r="Z592" s="898"/>
      <c r="AA592" s="898"/>
      <c r="AB592" s="898"/>
      <c r="AC592" s="898"/>
      <c r="AD592" s="898"/>
      <c r="AE592" s="898"/>
      <c r="AF592" s="898"/>
      <c r="AG592" s="898"/>
      <c r="AH592" s="898"/>
      <c r="AI592" s="898"/>
      <c r="AJ592" s="898"/>
      <c r="AK592" s="897"/>
      <c r="AL592" s="897"/>
      <c r="AM592" s="897"/>
      <c r="AN592" s="897"/>
      <c r="AO592" s="897"/>
      <c r="AP592" s="897"/>
      <c r="AQ592" s="897"/>
      <c r="AR592" s="897"/>
    </row>
    <row r="593" spans="1:44" s="930" customFormat="1">
      <c r="A593" s="892"/>
      <c r="B593" s="899"/>
      <c r="C593" s="900"/>
      <c r="D593" s="894"/>
      <c r="E593" s="895"/>
      <c r="F593" s="896"/>
      <c r="G593" s="897"/>
      <c r="H593" s="897"/>
      <c r="I593" s="897"/>
      <c r="J593" s="897"/>
      <c r="K593" s="897"/>
      <c r="L593" s="898"/>
      <c r="M593" s="898"/>
      <c r="N593" s="898"/>
      <c r="O593" s="898"/>
      <c r="P593" s="898"/>
      <c r="Q593" s="898"/>
      <c r="R593" s="898"/>
      <c r="S593" s="898"/>
      <c r="T593" s="898"/>
      <c r="U593" s="898"/>
      <c r="V593" s="898"/>
      <c r="W593" s="898"/>
      <c r="X593" s="898"/>
      <c r="Y593" s="898"/>
      <c r="Z593" s="898"/>
      <c r="AA593" s="898"/>
      <c r="AB593" s="898"/>
      <c r="AC593" s="898"/>
      <c r="AD593" s="898"/>
      <c r="AE593" s="898"/>
      <c r="AF593" s="898"/>
      <c r="AG593" s="898"/>
      <c r="AH593" s="898"/>
      <c r="AI593" s="898"/>
      <c r="AJ593" s="898"/>
      <c r="AK593" s="897"/>
      <c r="AL593" s="897"/>
      <c r="AM593" s="897"/>
      <c r="AN593" s="897"/>
      <c r="AO593" s="897"/>
      <c r="AP593" s="897"/>
      <c r="AQ593" s="897"/>
      <c r="AR593" s="897"/>
    </row>
    <row r="594" spans="1:44" s="930" customFormat="1">
      <c r="A594" s="892"/>
      <c r="B594" s="899"/>
      <c r="C594" s="900"/>
      <c r="D594" s="894"/>
      <c r="E594" s="895"/>
      <c r="F594" s="896"/>
      <c r="G594" s="897"/>
      <c r="H594" s="897"/>
      <c r="I594" s="897"/>
      <c r="J594" s="897"/>
      <c r="K594" s="897"/>
      <c r="L594" s="898"/>
      <c r="M594" s="898"/>
      <c r="N594" s="898"/>
      <c r="O594" s="898"/>
      <c r="P594" s="898"/>
      <c r="Q594" s="898"/>
      <c r="R594" s="898"/>
      <c r="S594" s="898"/>
      <c r="T594" s="898"/>
      <c r="U594" s="898"/>
      <c r="V594" s="898"/>
      <c r="W594" s="898"/>
      <c r="X594" s="898"/>
      <c r="Y594" s="898"/>
      <c r="Z594" s="898"/>
      <c r="AA594" s="898"/>
      <c r="AB594" s="898"/>
      <c r="AC594" s="898"/>
      <c r="AD594" s="898"/>
      <c r="AE594" s="898"/>
      <c r="AF594" s="898"/>
      <c r="AG594" s="898"/>
      <c r="AH594" s="898"/>
      <c r="AI594" s="898"/>
      <c r="AJ594" s="898"/>
      <c r="AK594" s="897"/>
      <c r="AL594" s="897"/>
      <c r="AM594" s="897"/>
      <c r="AN594" s="897"/>
      <c r="AO594" s="897"/>
      <c r="AP594" s="897"/>
      <c r="AQ594" s="897"/>
      <c r="AR594" s="897"/>
    </row>
    <row r="595" spans="1:44" s="930" customFormat="1">
      <c r="A595" s="892"/>
      <c r="B595" s="899"/>
      <c r="C595" s="900"/>
      <c r="D595" s="894"/>
      <c r="E595" s="895"/>
      <c r="F595" s="896"/>
      <c r="G595" s="897"/>
      <c r="H595" s="897"/>
      <c r="I595" s="897"/>
      <c r="J595" s="897"/>
      <c r="K595" s="897"/>
      <c r="L595" s="898"/>
      <c r="M595" s="898"/>
      <c r="N595" s="898"/>
      <c r="O595" s="898"/>
      <c r="P595" s="898"/>
      <c r="Q595" s="898"/>
      <c r="R595" s="898"/>
      <c r="S595" s="898"/>
      <c r="T595" s="898"/>
      <c r="U595" s="898"/>
      <c r="V595" s="898"/>
      <c r="W595" s="898"/>
      <c r="X595" s="898"/>
      <c r="Y595" s="898"/>
      <c r="Z595" s="898"/>
      <c r="AA595" s="898"/>
      <c r="AB595" s="898"/>
      <c r="AC595" s="898"/>
      <c r="AD595" s="898"/>
      <c r="AE595" s="898"/>
      <c r="AF595" s="898"/>
      <c r="AG595" s="898"/>
      <c r="AH595" s="898"/>
      <c r="AI595" s="898"/>
      <c r="AJ595" s="898"/>
      <c r="AK595" s="897"/>
      <c r="AL595" s="897"/>
      <c r="AM595" s="897"/>
      <c r="AN595" s="897"/>
      <c r="AO595" s="897"/>
      <c r="AP595" s="897"/>
      <c r="AQ595" s="897"/>
      <c r="AR595" s="897"/>
    </row>
    <row r="596" spans="1:44" s="930" customFormat="1">
      <c r="A596" s="892"/>
      <c r="B596" s="899"/>
      <c r="C596" s="900"/>
      <c r="D596" s="894"/>
      <c r="E596" s="895"/>
      <c r="F596" s="896"/>
      <c r="G596" s="897"/>
      <c r="H596" s="897"/>
      <c r="I596" s="897"/>
      <c r="J596" s="897"/>
      <c r="K596" s="897"/>
      <c r="L596" s="898"/>
      <c r="M596" s="898"/>
      <c r="N596" s="898"/>
      <c r="O596" s="898"/>
      <c r="P596" s="898"/>
      <c r="Q596" s="898"/>
      <c r="R596" s="898"/>
      <c r="S596" s="898"/>
      <c r="T596" s="898"/>
      <c r="U596" s="898"/>
      <c r="V596" s="898"/>
      <c r="W596" s="898"/>
      <c r="X596" s="898"/>
      <c r="Y596" s="898"/>
      <c r="Z596" s="898"/>
      <c r="AA596" s="898"/>
      <c r="AB596" s="898"/>
      <c r="AC596" s="898"/>
      <c r="AD596" s="898"/>
      <c r="AE596" s="898"/>
      <c r="AF596" s="898"/>
      <c r="AG596" s="898"/>
      <c r="AH596" s="898"/>
      <c r="AI596" s="898"/>
      <c r="AJ596" s="898"/>
      <c r="AK596" s="897"/>
      <c r="AL596" s="897"/>
      <c r="AM596" s="897"/>
      <c r="AN596" s="897"/>
      <c r="AO596" s="897"/>
      <c r="AP596" s="897"/>
      <c r="AQ596" s="897"/>
      <c r="AR596" s="897"/>
    </row>
    <row r="597" spans="1:44" s="930" customFormat="1">
      <c r="A597" s="892"/>
      <c r="B597" s="899"/>
      <c r="C597" s="900"/>
      <c r="D597" s="894"/>
      <c r="E597" s="895"/>
      <c r="F597" s="896"/>
      <c r="G597" s="897"/>
      <c r="H597" s="897"/>
      <c r="I597" s="897"/>
      <c r="J597" s="897"/>
      <c r="K597" s="897"/>
      <c r="L597" s="898"/>
      <c r="M597" s="898"/>
      <c r="N597" s="898"/>
      <c r="O597" s="898"/>
      <c r="P597" s="898"/>
      <c r="Q597" s="898"/>
      <c r="R597" s="898"/>
      <c r="S597" s="898"/>
      <c r="T597" s="898"/>
      <c r="U597" s="898"/>
      <c r="V597" s="898"/>
      <c r="W597" s="898"/>
      <c r="X597" s="898"/>
      <c r="Y597" s="898"/>
      <c r="Z597" s="898"/>
      <c r="AA597" s="898"/>
      <c r="AB597" s="898"/>
      <c r="AC597" s="898"/>
      <c r="AD597" s="898"/>
      <c r="AE597" s="898"/>
      <c r="AF597" s="898"/>
      <c r="AG597" s="898"/>
      <c r="AH597" s="898"/>
      <c r="AI597" s="898"/>
      <c r="AJ597" s="898"/>
      <c r="AK597" s="897"/>
      <c r="AL597" s="897"/>
      <c r="AM597" s="897"/>
      <c r="AN597" s="897"/>
      <c r="AO597" s="897"/>
      <c r="AP597" s="897"/>
      <c r="AQ597" s="897"/>
      <c r="AR597" s="897"/>
    </row>
    <row r="598" spans="1:44" s="930" customFormat="1">
      <c r="A598" s="892"/>
      <c r="B598" s="899"/>
      <c r="C598" s="900"/>
      <c r="D598" s="894"/>
      <c r="E598" s="895"/>
      <c r="F598" s="896"/>
      <c r="G598" s="897"/>
      <c r="H598" s="897"/>
      <c r="I598" s="897"/>
      <c r="J598" s="897"/>
      <c r="K598" s="897"/>
      <c r="L598" s="898"/>
      <c r="M598" s="898"/>
      <c r="N598" s="898"/>
      <c r="O598" s="898"/>
      <c r="P598" s="898"/>
      <c r="Q598" s="898"/>
      <c r="R598" s="898"/>
      <c r="S598" s="898"/>
      <c r="T598" s="898"/>
      <c r="U598" s="898"/>
      <c r="V598" s="898"/>
      <c r="W598" s="898"/>
      <c r="X598" s="898"/>
      <c r="Y598" s="898"/>
      <c r="Z598" s="898"/>
      <c r="AA598" s="898"/>
      <c r="AB598" s="898"/>
      <c r="AC598" s="898"/>
      <c r="AD598" s="898"/>
      <c r="AE598" s="898"/>
      <c r="AF598" s="898"/>
      <c r="AG598" s="898"/>
      <c r="AH598" s="898"/>
      <c r="AI598" s="898"/>
      <c r="AJ598" s="898"/>
      <c r="AK598" s="897"/>
      <c r="AL598" s="897"/>
      <c r="AM598" s="897"/>
      <c r="AN598" s="897"/>
      <c r="AO598" s="897"/>
      <c r="AP598" s="897"/>
      <c r="AQ598" s="897"/>
      <c r="AR598" s="897"/>
    </row>
    <row r="599" spans="1:44" s="930" customFormat="1">
      <c r="A599" s="892"/>
      <c r="B599" s="899"/>
      <c r="C599" s="900"/>
      <c r="D599" s="894"/>
      <c r="E599" s="895"/>
      <c r="F599" s="896"/>
      <c r="G599" s="897"/>
      <c r="H599" s="897"/>
      <c r="I599" s="897"/>
      <c r="J599" s="897"/>
      <c r="K599" s="897"/>
      <c r="L599" s="898"/>
      <c r="M599" s="898"/>
      <c r="N599" s="898"/>
      <c r="O599" s="898"/>
      <c r="P599" s="898"/>
      <c r="Q599" s="898"/>
      <c r="R599" s="898"/>
      <c r="S599" s="898"/>
      <c r="T599" s="898"/>
      <c r="U599" s="898"/>
      <c r="V599" s="898"/>
      <c r="W599" s="898"/>
      <c r="X599" s="898"/>
      <c r="Y599" s="898"/>
      <c r="Z599" s="898"/>
      <c r="AA599" s="898"/>
      <c r="AB599" s="898"/>
      <c r="AC599" s="898"/>
      <c r="AD599" s="898"/>
      <c r="AE599" s="898"/>
      <c r="AF599" s="898"/>
      <c r="AG599" s="898"/>
      <c r="AH599" s="898"/>
      <c r="AI599" s="898"/>
      <c r="AJ599" s="898"/>
      <c r="AK599" s="897"/>
      <c r="AL599" s="897"/>
      <c r="AM599" s="897"/>
      <c r="AN599" s="897"/>
      <c r="AO599" s="897"/>
      <c r="AP599" s="897"/>
      <c r="AQ599" s="897"/>
      <c r="AR599" s="897"/>
    </row>
    <row r="600" spans="1:44" s="930" customFormat="1">
      <c r="A600" s="892"/>
      <c r="B600" s="899"/>
      <c r="C600" s="900"/>
      <c r="D600" s="894"/>
      <c r="E600" s="895"/>
      <c r="F600" s="896"/>
      <c r="G600" s="897"/>
      <c r="H600" s="897"/>
      <c r="I600" s="897"/>
      <c r="J600" s="897"/>
      <c r="K600" s="897"/>
      <c r="L600" s="898"/>
      <c r="M600" s="898"/>
      <c r="N600" s="898"/>
      <c r="O600" s="898"/>
      <c r="P600" s="898"/>
      <c r="Q600" s="898"/>
      <c r="R600" s="898"/>
      <c r="S600" s="898"/>
      <c r="T600" s="898"/>
      <c r="U600" s="898"/>
      <c r="V600" s="898"/>
      <c r="W600" s="898"/>
      <c r="X600" s="898"/>
      <c r="Y600" s="898"/>
      <c r="Z600" s="898"/>
      <c r="AA600" s="898"/>
      <c r="AB600" s="898"/>
      <c r="AC600" s="898"/>
      <c r="AD600" s="898"/>
      <c r="AE600" s="898"/>
      <c r="AF600" s="898"/>
      <c r="AG600" s="898"/>
      <c r="AH600" s="898"/>
      <c r="AI600" s="898"/>
      <c r="AJ600" s="898"/>
      <c r="AK600" s="897"/>
      <c r="AL600" s="897"/>
      <c r="AM600" s="897"/>
      <c r="AN600" s="897"/>
      <c r="AO600" s="897"/>
      <c r="AP600" s="897"/>
      <c r="AQ600" s="897"/>
      <c r="AR600" s="897"/>
    </row>
    <row r="601" spans="1:44" s="930" customFormat="1">
      <c r="A601" s="892"/>
      <c r="B601" s="899"/>
      <c r="C601" s="900"/>
      <c r="D601" s="894"/>
      <c r="E601" s="895"/>
      <c r="F601" s="896"/>
      <c r="G601" s="897"/>
      <c r="H601" s="897"/>
      <c r="I601" s="897"/>
      <c r="J601" s="897"/>
      <c r="K601" s="897"/>
      <c r="L601" s="898"/>
      <c r="M601" s="898"/>
      <c r="N601" s="898"/>
      <c r="O601" s="898"/>
      <c r="P601" s="898"/>
      <c r="Q601" s="898"/>
      <c r="R601" s="898"/>
      <c r="S601" s="898"/>
      <c r="T601" s="898"/>
      <c r="U601" s="898"/>
      <c r="V601" s="898"/>
      <c r="W601" s="898"/>
      <c r="X601" s="898"/>
      <c r="Y601" s="898"/>
      <c r="Z601" s="898"/>
      <c r="AA601" s="898"/>
      <c r="AB601" s="898"/>
      <c r="AC601" s="898"/>
      <c r="AD601" s="898"/>
      <c r="AE601" s="898"/>
      <c r="AF601" s="898"/>
      <c r="AG601" s="898"/>
      <c r="AH601" s="898"/>
      <c r="AI601" s="898"/>
      <c r="AJ601" s="898"/>
      <c r="AK601" s="897"/>
      <c r="AL601" s="897"/>
      <c r="AM601" s="897"/>
      <c r="AN601" s="897"/>
      <c r="AO601" s="897"/>
      <c r="AP601" s="897"/>
      <c r="AQ601" s="897"/>
      <c r="AR601" s="897"/>
    </row>
    <row r="602" spans="1:44" s="930" customFormat="1">
      <c r="A602" s="892"/>
      <c r="B602" s="899"/>
      <c r="C602" s="900"/>
      <c r="D602" s="894"/>
      <c r="E602" s="895"/>
      <c r="F602" s="896"/>
      <c r="G602" s="897"/>
      <c r="H602" s="897"/>
      <c r="I602" s="897"/>
      <c r="J602" s="897"/>
      <c r="K602" s="897"/>
      <c r="L602" s="898"/>
      <c r="M602" s="898"/>
      <c r="N602" s="898"/>
      <c r="O602" s="898"/>
      <c r="P602" s="898"/>
      <c r="Q602" s="898"/>
      <c r="R602" s="898"/>
      <c r="S602" s="898"/>
      <c r="T602" s="898"/>
      <c r="U602" s="898"/>
      <c r="V602" s="898"/>
      <c r="W602" s="898"/>
      <c r="X602" s="898"/>
      <c r="Y602" s="898"/>
      <c r="Z602" s="898"/>
      <c r="AA602" s="898"/>
      <c r="AB602" s="898"/>
      <c r="AC602" s="898"/>
      <c r="AD602" s="898"/>
      <c r="AE602" s="898"/>
      <c r="AF602" s="898"/>
      <c r="AG602" s="898"/>
      <c r="AH602" s="898"/>
      <c r="AI602" s="898"/>
      <c r="AJ602" s="898"/>
      <c r="AK602" s="897"/>
      <c r="AL602" s="897"/>
      <c r="AM602" s="897"/>
      <c r="AN602" s="897"/>
      <c r="AO602" s="897"/>
      <c r="AP602" s="897"/>
      <c r="AQ602" s="897"/>
      <c r="AR602" s="897"/>
    </row>
    <row r="603" spans="1:44" s="930" customFormat="1">
      <c r="A603" s="892"/>
      <c r="B603" s="899"/>
      <c r="C603" s="900"/>
      <c r="D603" s="894"/>
      <c r="E603" s="895"/>
      <c r="F603" s="896"/>
      <c r="G603" s="897"/>
      <c r="H603" s="897"/>
      <c r="I603" s="897"/>
      <c r="J603" s="897"/>
      <c r="K603" s="897"/>
      <c r="L603" s="898"/>
      <c r="M603" s="898"/>
      <c r="N603" s="898"/>
      <c r="O603" s="898"/>
      <c r="P603" s="898"/>
      <c r="Q603" s="898"/>
      <c r="R603" s="898"/>
      <c r="S603" s="898"/>
      <c r="T603" s="898"/>
      <c r="U603" s="898"/>
      <c r="V603" s="898"/>
      <c r="W603" s="898"/>
      <c r="X603" s="898"/>
      <c r="Y603" s="898"/>
      <c r="Z603" s="898"/>
      <c r="AA603" s="898"/>
      <c r="AB603" s="898"/>
      <c r="AC603" s="898"/>
      <c r="AD603" s="898"/>
      <c r="AE603" s="898"/>
      <c r="AF603" s="898"/>
      <c r="AG603" s="898"/>
      <c r="AH603" s="898"/>
      <c r="AI603" s="898"/>
      <c r="AJ603" s="898"/>
      <c r="AK603" s="897"/>
      <c r="AL603" s="897"/>
      <c r="AM603" s="897"/>
      <c r="AN603" s="897"/>
      <c r="AO603" s="897"/>
      <c r="AP603" s="897"/>
      <c r="AQ603" s="897"/>
      <c r="AR603" s="897"/>
    </row>
    <row r="604" spans="1:44" s="930" customFormat="1">
      <c r="A604" s="892"/>
      <c r="B604" s="899"/>
      <c r="C604" s="900"/>
      <c r="D604" s="894"/>
      <c r="E604" s="895"/>
      <c r="F604" s="896"/>
      <c r="G604" s="897"/>
      <c r="H604" s="897"/>
      <c r="I604" s="897"/>
      <c r="J604" s="897"/>
      <c r="K604" s="897"/>
      <c r="L604" s="898"/>
      <c r="M604" s="898"/>
      <c r="N604" s="898"/>
      <c r="O604" s="898"/>
      <c r="P604" s="898"/>
      <c r="Q604" s="898"/>
      <c r="R604" s="898"/>
      <c r="S604" s="898"/>
      <c r="T604" s="898"/>
      <c r="U604" s="898"/>
      <c r="V604" s="898"/>
      <c r="W604" s="898"/>
      <c r="X604" s="898"/>
      <c r="Y604" s="898"/>
      <c r="Z604" s="898"/>
      <c r="AA604" s="898"/>
      <c r="AB604" s="898"/>
      <c r="AC604" s="898"/>
      <c r="AD604" s="898"/>
      <c r="AE604" s="898"/>
      <c r="AF604" s="898"/>
      <c r="AG604" s="898"/>
      <c r="AH604" s="898"/>
      <c r="AI604" s="898"/>
      <c r="AJ604" s="898"/>
      <c r="AK604" s="897"/>
      <c r="AL604" s="897"/>
      <c r="AM604" s="897"/>
      <c r="AN604" s="897"/>
      <c r="AO604" s="897"/>
      <c r="AP604" s="897"/>
      <c r="AQ604" s="897"/>
      <c r="AR604" s="897"/>
    </row>
    <row r="605" spans="1:44" s="930" customFormat="1">
      <c r="A605" s="892"/>
      <c r="B605" s="899"/>
      <c r="C605" s="900"/>
      <c r="D605" s="894"/>
      <c r="E605" s="895"/>
      <c r="F605" s="896"/>
      <c r="G605" s="897"/>
      <c r="H605" s="897"/>
      <c r="I605" s="897"/>
      <c r="J605" s="897"/>
      <c r="K605" s="897"/>
      <c r="L605" s="898"/>
      <c r="M605" s="898"/>
      <c r="N605" s="898"/>
      <c r="O605" s="898"/>
      <c r="P605" s="898"/>
      <c r="Q605" s="898"/>
      <c r="R605" s="898"/>
      <c r="S605" s="898"/>
      <c r="T605" s="898"/>
      <c r="U605" s="898"/>
      <c r="V605" s="898"/>
      <c r="W605" s="898"/>
      <c r="X605" s="898"/>
      <c r="Y605" s="898"/>
      <c r="Z605" s="898"/>
      <c r="AA605" s="898"/>
      <c r="AB605" s="898"/>
      <c r="AC605" s="898"/>
      <c r="AD605" s="898"/>
      <c r="AE605" s="898"/>
      <c r="AF605" s="898"/>
      <c r="AG605" s="898"/>
      <c r="AH605" s="898"/>
      <c r="AI605" s="898"/>
      <c r="AJ605" s="898"/>
      <c r="AK605" s="897"/>
      <c r="AL605" s="897"/>
      <c r="AM605" s="897"/>
      <c r="AN605" s="897"/>
      <c r="AO605" s="897"/>
      <c r="AP605" s="897"/>
      <c r="AQ605" s="897"/>
      <c r="AR605" s="897"/>
    </row>
    <row r="606" spans="1:44" s="930" customFormat="1">
      <c r="A606" s="892"/>
      <c r="B606" s="899"/>
      <c r="C606" s="900"/>
      <c r="D606" s="894"/>
      <c r="E606" s="895"/>
      <c r="F606" s="896"/>
      <c r="G606" s="897"/>
      <c r="H606" s="897"/>
      <c r="I606" s="897"/>
      <c r="J606" s="897"/>
      <c r="K606" s="897"/>
      <c r="L606" s="898"/>
      <c r="M606" s="898"/>
      <c r="N606" s="898"/>
      <c r="O606" s="898"/>
      <c r="P606" s="898"/>
      <c r="Q606" s="898"/>
      <c r="R606" s="898"/>
      <c r="S606" s="898"/>
      <c r="T606" s="898"/>
      <c r="U606" s="898"/>
      <c r="V606" s="898"/>
      <c r="W606" s="898"/>
      <c r="X606" s="898"/>
      <c r="Y606" s="898"/>
      <c r="Z606" s="898"/>
      <c r="AA606" s="898"/>
      <c r="AB606" s="898"/>
      <c r="AC606" s="898"/>
      <c r="AD606" s="898"/>
      <c r="AE606" s="898"/>
      <c r="AF606" s="898"/>
      <c r="AG606" s="898"/>
      <c r="AH606" s="898"/>
      <c r="AI606" s="898"/>
      <c r="AJ606" s="898"/>
      <c r="AK606" s="897"/>
      <c r="AL606" s="897"/>
      <c r="AM606" s="897"/>
      <c r="AN606" s="897"/>
      <c r="AO606" s="897"/>
      <c r="AP606" s="897"/>
      <c r="AQ606" s="897"/>
      <c r="AR606" s="897"/>
    </row>
    <row r="607" spans="1:44" s="930" customFormat="1">
      <c r="A607" s="892"/>
      <c r="B607" s="899"/>
      <c r="C607" s="900"/>
      <c r="D607" s="894"/>
      <c r="E607" s="895"/>
      <c r="F607" s="896"/>
      <c r="G607" s="897"/>
      <c r="H607" s="897"/>
      <c r="I607" s="897"/>
      <c r="J607" s="897"/>
      <c r="K607" s="897"/>
      <c r="L607" s="898"/>
      <c r="M607" s="898"/>
      <c r="N607" s="898"/>
      <c r="O607" s="898"/>
      <c r="P607" s="898"/>
      <c r="Q607" s="898"/>
      <c r="R607" s="898"/>
      <c r="S607" s="898"/>
      <c r="T607" s="898"/>
      <c r="U607" s="898"/>
      <c r="V607" s="898"/>
      <c r="W607" s="898"/>
      <c r="X607" s="898"/>
      <c r="Y607" s="898"/>
      <c r="Z607" s="898"/>
      <c r="AA607" s="898"/>
      <c r="AB607" s="898"/>
      <c r="AC607" s="898"/>
      <c r="AD607" s="898"/>
      <c r="AE607" s="898"/>
      <c r="AF607" s="898"/>
      <c r="AG607" s="898"/>
      <c r="AH607" s="898"/>
      <c r="AI607" s="898"/>
      <c r="AJ607" s="898"/>
      <c r="AK607" s="897"/>
      <c r="AL607" s="897"/>
      <c r="AM607" s="897"/>
      <c r="AN607" s="897"/>
      <c r="AO607" s="897"/>
      <c r="AP607" s="897"/>
      <c r="AQ607" s="897"/>
      <c r="AR607" s="897"/>
    </row>
    <row r="608" spans="1:44" s="930" customFormat="1">
      <c r="A608" s="892"/>
      <c r="B608" s="899"/>
      <c r="C608" s="900"/>
      <c r="D608" s="894"/>
      <c r="E608" s="895"/>
      <c r="F608" s="896"/>
      <c r="G608" s="897"/>
      <c r="H608" s="897"/>
      <c r="I608" s="897"/>
      <c r="J608" s="897"/>
      <c r="K608" s="897"/>
      <c r="L608" s="898"/>
      <c r="M608" s="898"/>
      <c r="N608" s="898"/>
      <c r="O608" s="898"/>
      <c r="P608" s="898"/>
      <c r="Q608" s="898"/>
      <c r="R608" s="898"/>
      <c r="S608" s="898"/>
      <c r="T608" s="898"/>
      <c r="U608" s="898"/>
      <c r="V608" s="898"/>
      <c r="W608" s="898"/>
      <c r="X608" s="898"/>
      <c r="Y608" s="898"/>
      <c r="Z608" s="898"/>
      <c r="AA608" s="898"/>
      <c r="AB608" s="898"/>
      <c r="AC608" s="898"/>
      <c r="AD608" s="898"/>
      <c r="AE608" s="898"/>
      <c r="AF608" s="898"/>
      <c r="AG608" s="898"/>
      <c r="AH608" s="898"/>
      <c r="AI608" s="898"/>
      <c r="AJ608" s="898"/>
      <c r="AK608" s="897"/>
      <c r="AL608" s="897"/>
      <c r="AM608" s="897"/>
      <c r="AN608" s="897"/>
      <c r="AO608" s="897"/>
      <c r="AP608" s="897"/>
      <c r="AQ608" s="897"/>
      <c r="AR608" s="897"/>
    </row>
    <row r="609" spans="1:44" s="930" customFormat="1">
      <c r="A609" s="892"/>
      <c r="B609" s="899"/>
      <c r="C609" s="900"/>
      <c r="D609" s="894"/>
      <c r="E609" s="895"/>
      <c r="F609" s="896"/>
      <c r="G609" s="897"/>
      <c r="H609" s="897"/>
      <c r="I609" s="897"/>
      <c r="J609" s="897"/>
      <c r="K609" s="897"/>
      <c r="L609" s="898"/>
      <c r="M609" s="898"/>
      <c r="N609" s="898"/>
      <c r="O609" s="898"/>
      <c r="P609" s="898"/>
      <c r="Q609" s="898"/>
      <c r="R609" s="898"/>
      <c r="S609" s="898"/>
      <c r="T609" s="898"/>
      <c r="U609" s="898"/>
      <c r="V609" s="898"/>
      <c r="W609" s="898"/>
      <c r="X609" s="898"/>
      <c r="Y609" s="898"/>
      <c r="Z609" s="898"/>
      <c r="AA609" s="898"/>
      <c r="AB609" s="898"/>
      <c r="AC609" s="898"/>
      <c r="AD609" s="898"/>
      <c r="AE609" s="898"/>
      <c r="AF609" s="898"/>
      <c r="AG609" s="898"/>
      <c r="AH609" s="898"/>
      <c r="AI609" s="898"/>
      <c r="AJ609" s="898"/>
      <c r="AK609" s="897"/>
      <c r="AL609" s="897"/>
      <c r="AM609" s="897"/>
      <c r="AN609" s="897"/>
      <c r="AO609" s="897"/>
      <c r="AP609" s="897"/>
      <c r="AQ609" s="897"/>
      <c r="AR609" s="897"/>
    </row>
    <row r="610" spans="1:44" s="930" customFormat="1">
      <c r="A610" s="892"/>
      <c r="B610" s="899"/>
      <c r="C610" s="900"/>
      <c r="D610" s="894"/>
      <c r="E610" s="895"/>
      <c r="F610" s="896"/>
      <c r="G610" s="897"/>
      <c r="H610" s="897"/>
      <c r="I610" s="897"/>
      <c r="J610" s="897"/>
      <c r="K610" s="897"/>
      <c r="L610" s="898"/>
      <c r="M610" s="898"/>
      <c r="N610" s="898"/>
      <c r="O610" s="898"/>
      <c r="P610" s="898"/>
      <c r="Q610" s="898"/>
      <c r="R610" s="898"/>
      <c r="S610" s="898"/>
      <c r="T610" s="898"/>
      <c r="U610" s="898"/>
      <c r="V610" s="898"/>
      <c r="W610" s="898"/>
      <c r="X610" s="898"/>
      <c r="Y610" s="898"/>
      <c r="Z610" s="898"/>
      <c r="AA610" s="898"/>
      <c r="AB610" s="898"/>
      <c r="AC610" s="898"/>
      <c r="AD610" s="898"/>
      <c r="AE610" s="898"/>
      <c r="AF610" s="898"/>
      <c r="AG610" s="898"/>
      <c r="AH610" s="898"/>
      <c r="AI610" s="898"/>
      <c r="AJ610" s="898"/>
      <c r="AK610" s="897"/>
      <c r="AL610" s="897"/>
      <c r="AM610" s="897"/>
      <c r="AN610" s="897"/>
      <c r="AO610" s="897"/>
      <c r="AP610" s="897"/>
      <c r="AQ610" s="897"/>
      <c r="AR610" s="897"/>
    </row>
    <row r="611" spans="1:44" s="930" customFormat="1">
      <c r="A611" s="892"/>
      <c r="B611" s="899"/>
      <c r="C611" s="900"/>
      <c r="D611" s="894"/>
      <c r="E611" s="895"/>
      <c r="F611" s="896"/>
      <c r="G611" s="897"/>
      <c r="H611" s="897"/>
      <c r="I611" s="897"/>
      <c r="J611" s="897"/>
      <c r="K611" s="897"/>
      <c r="L611" s="898"/>
      <c r="M611" s="898"/>
      <c r="N611" s="898"/>
      <c r="O611" s="898"/>
      <c r="P611" s="898"/>
      <c r="Q611" s="898"/>
      <c r="R611" s="898"/>
      <c r="S611" s="898"/>
      <c r="T611" s="898"/>
      <c r="U611" s="898"/>
      <c r="V611" s="898"/>
      <c r="W611" s="898"/>
      <c r="X611" s="898"/>
      <c r="Y611" s="898"/>
      <c r="Z611" s="898"/>
      <c r="AA611" s="898"/>
      <c r="AB611" s="898"/>
      <c r="AC611" s="898"/>
      <c r="AD611" s="898"/>
      <c r="AE611" s="898"/>
      <c r="AF611" s="898"/>
      <c r="AG611" s="898"/>
      <c r="AH611" s="898"/>
      <c r="AI611" s="898"/>
      <c r="AJ611" s="898"/>
      <c r="AK611" s="897"/>
      <c r="AL611" s="897"/>
      <c r="AM611" s="897"/>
      <c r="AN611" s="897"/>
      <c r="AO611" s="897"/>
      <c r="AP611" s="897"/>
      <c r="AQ611" s="897"/>
      <c r="AR611" s="897"/>
    </row>
    <row r="612" spans="1:44" s="930" customFormat="1">
      <c r="A612" s="892"/>
      <c r="B612" s="899"/>
      <c r="C612" s="900"/>
      <c r="D612" s="894"/>
      <c r="E612" s="895"/>
      <c r="F612" s="896"/>
      <c r="G612" s="897"/>
      <c r="H612" s="897"/>
      <c r="I612" s="897"/>
      <c r="J612" s="897"/>
      <c r="K612" s="897"/>
      <c r="L612" s="898"/>
      <c r="M612" s="898"/>
      <c r="N612" s="898"/>
      <c r="O612" s="898"/>
      <c r="P612" s="898"/>
      <c r="Q612" s="898"/>
      <c r="R612" s="898"/>
      <c r="S612" s="898"/>
      <c r="T612" s="898"/>
      <c r="U612" s="898"/>
      <c r="V612" s="898"/>
      <c r="W612" s="898"/>
      <c r="X612" s="898"/>
      <c r="Y612" s="898"/>
      <c r="Z612" s="898"/>
      <c r="AA612" s="898"/>
      <c r="AB612" s="898"/>
      <c r="AC612" s="898"/>
      <c r="AD612" s="898"/>
      <c r="AE612" s="898"/>
      <c r="AF612" s="898"/>
      <c r="AG612" s="898"/>
      <c r="AH612" s="898"/>
      <c r="AI612" s="898"/>
      <c r="AJ612" s="898"/>
      <c r="AK612" s="897"/>
      <c r="AL612" s="897"/>
      <c r="AM612" s="897"/>
      <c r="AN612" s="897"/>
      <c r="AO612" s="897"/>
      <c r="AP612" s="897"/>
      <c r="AQ612" s="897"/>
      <c r="AR612" s="897"/>
    </row>
    <row r="613" spans="1:44" s="930" customFormat="1">
      <c r="A613" s="892"/>
      <c r="B613" s="899"/>
      <c r="C613" s="900"/>
      <c r="D613" s="894"/>
      <c r="E613" s="895"/>
      <c r="F613" s="896"/>
      <c r="G613" s="897"/>
      <c r="H613" s="897"/>
      <c r="I613" s="897"/>
      <c r="J613" s="897"/>
      <c r="K613" s="897"/>
      <c r="L613" s="898"/>
      <c r="M613" s="898"/>
      <c r="N613" s="898"/>
      <c r="O613" s="898"/>
      <c r="P613" s="898"/>
      <c r="Q613" s="898"/>
      <c r="R613" s="898"/>
      <c r="S613" s="898"/>
      <c r="T613" s="898"/>
      <c r="U613" s="898"/>
      <c r="V613" s="898"/>
      <c r="W613" s="898"/>
      <c r="X613" s="898"/>
      <c r="Y613" s="898"/>
      <c r="Z613" s="898"/>
      <c r="AA613" s="898"/>
      <c r="AB613" s="898"/>
      <c r="AC613" s="898"/>
      <c r="AD613" s="898"/>
      <c r="AE613" s="898"/>
      <c r="AF613" s="898"/>
      <c r="AG613" s="898"/>
      <c r="AH613" s="898"/>
      <c r="AI613" s="898"/>
      <c r="AJ613" s="898"/>
      <c r="AK613" s="897"/>
      <c r="AL613" s="897"/>
      <c r="AM613" s="897"/>
      <c r="AN613" s="897"/>
      <c r="AO613" s="897"/>
      <c r="AP613" s="897"/>
      <c r="AQ613" s="897"/>
      <c r="AR613" s="897"/>
    </row>
    <row r="614" spans="1:44" s="930" customFormat="1">
      <c r="A614" s="892"/>
      <c r="B614" s="899"/>
      <c r="C614" s="900"/>
      <c r="D614" s="894"/>
      <c r="E614" s="895"/>
      <c r="F614" s="896"/>
      <c r="G614" s="897"/>
      <c r="H614" s="897"/>
      <c r="I614" s="897"/>
      <c r="J614" s="897"/>
      <c r="K614" s="897"/>
      <c r="L614" s="898"/>
      <c r="M614" s="898"/>
      <c r="N614" s="898"/>
      <c r="O614" s="898"/>
      <c r="P614" s="898"/>
      <c r="Q614" s="898"/>
      <c r="R614" s="898"/>
      <c r="S614" s="898"/>
      <c r="T614" s="898"/>
      <c r="U614" s="898"/>
      <c r="V614" s="898"/>
      <c r="W614" s="898"/>
      <c r="X614" s="898"/>
      <c r="Y614" s="898"/>
      <c r="Z614" s="898"/>
      <c r="AA614" s="898"/>
      <c r="AB614" s="898"/>
      <c r="AC614" s="898"/>
      <c r="AD614" s="898"/>
      <c r="AE614" s="898"/>
      <c r="AF614" s="898"/>
      <c r="AG614" s="898"/>
      <c r="AH614" s="898"/>
      <c r="AI614" s="898"/>
      <c r="AJ614" s="898"/>
      <c r="AK614" s="897"/>
      <c r="AL614" s="897"/>
      <c r="AM614" s="897"/>
      <c r="AN614" s="897"/>
      <c r="AO614" s="897"/>
      <c r="AP614" s="897"/>
      <c r="AQ614" s="897"/>
      <c r="AR614" s="897"/>
    </row>
    <row r="615" spans="1:44" s="930" customFormat="1">
      <c r="A615" s="892"/>
      <c r="B615" s="899"/>
      <c r="C615" s="900"/>
      <c r="D615" s="894"/>
      <c r="E615" s="895"/>
      <c r="F615" s="896"/>
      <c r="G615" s="897"/>
      <c r="H615" s="897"/>
      <c r="I615" s="897"/>
      <c r="J615" s="897"/>
      <c r="K615" s="897"/>
      <c r="L615" s="898"/>
      <c r="M615" s="898"/>
      <c r="N615" s="898"/>
      <c r="O615" s="898"/>
      <c r="P615" s="898"/>
      <c r="Q615" s="898"/>
      <c r="R615" s="898"/>
      <c r="S615" s="898"/>
      <c r="T615" s="898"/>
      <c r="U615" s="898"/>
      <c r="V615" s="898"/>
      <c r="W615" s="898"/>
      <c r="X615" s="898"/>
      <c r="Y615" s="898"/>
      <c r="Z615" s="898"/>
      <c r="AA615" s="898"/>
      <c r="AB615" s="898"/>
      <c r="AC615" s="898"/>
      <c r="AD615" s="898"/>
      <c r="AE615" s="898"/>
      <c r="AF615" s="898"/>
      <c r="AG615" s="898"/>
      <c r="AH615" s="898"/>
      <c r="AI615" s="898"/>
      <c r="AJ615" s="898"/>
      <c r="AK615" s="897"/>
      <c r="AL615" s="897"/>
      <c r="AM615" s="897"/>
      <c r="AN615" s="897"/>
      <c r="AO615" s="897"/>
      <c r="AP615" s="897"/>
      <c r="AQ615" s="897"/>
      <c r="AR615" s="897"/>
    </row>
    <row r="616" spans="1:44" s="930" customFormat="1">
      <c r="A616" s="892"/>
      <c r="B616" s="899"/>
      <c r="C616" s="900"/>
      <c r="D616" s="894"/>
      <c r="E616" s="895"/>
      <c r="F616" s="896"/>
      <c r="G616" s="897"/>
      <c r="H616" s="897"/>
      <c r="I616" s="897"/>
      <c r="J616" s="897"/>
      <c r="K616" s="897"/>
      <c r="L616" s="898"/>
      <c r="M616" s="898"/>
      <c r="N616" s="898"/>
      <c r="O616" s="898"/>
      <c r="P616" s="898"/>
      <c r="Q616" s="898"/>
      <c r="R616" s="898"/>
      <c r="S616" s="898"/>
      <c r="T616" s="898"/>
      <c r="U616" s="898"/>
      <c r="V616" s="898"/>
      <c r="W616" s="898"/>
      <c r="X616" s="898"/>
      <c r="Y616" s="898"/>
      <c r="Z616" s="898"/>
      <c r="AA616" s="898"/>
      <c r="AB616" s="898"/>
      <c r="AC616" s="898"/>
      <c r="AD616" s="898"/>
      <c r="AE616" s="898"/>
      <c r="AF616" s="898"/>
      <c r="AG616" s="898"/>
      <c r="AH616" s="898"/>
      <c r="AI616" s="898"/>
      <c r="AJ616" s="898"/>
      <c r="AK616" s="897"/>
      <c r="AL616" s="897"/>
      <c r="AM616" s="897"/>
      <c r="AN616" s="897"/>
      <c r="AO616" s="897"/>
      <c r="AP616" s="897"/>
      <c r="AQ616" s="897"/>
      <c r="AR616" s="897"/>
    </row>
    <row r="617" spans="1:44" s="930" customFormat="1">
      <c r="A617" s="892"/>
      <c r="B617" s="899"/>
      <c r="C617" s="900"/>
      <c r="D617" s="894"/>
      <c r="E617" s="895"/>
      <c r="F617" s="896"/>
      <c r="G617" s="897"/>
      <c r="H617" s="897"/>
      <c r="I617" s="897"/>
      <c r="J617" s="897"/>
      <c r="K617" s="897"/>
      <c r="L617" s="898"/>
      <c r="M617" s="898"/>
      <c r="N617" s="898"/>
      <c r="O617" s="898"/>
      <c r="P617" s="898"/>
      <c r="Q617" s="898"/>
      <c r="R617" s="898"/>
      <c r="S617" s="898"/>
      <c r="T617" s="898"/>
      <c r="U617" s="898"/>
      <c r="V617" s="898"/>
      <c r="W617" s="898"/>
      <c r="X617" s="898"/>
      <c r="Y617" s="898"/>
      <c r="Z617" s="898"/>
      <c r="AA617" s="898"/>
      <c r="AB617" s="898"/>
      <c r="AC617" s="898"/>
      <c r="AD617" s="898"/>
      <c r="AE617" s="898"/>
      <c r="AF617" s="898"/>
      <c r="AG617" s="898"/>
      <c r="AH617" s="898"/>
      <c r="AI617" s="898"/>
      <c r="AJ617" s="898"/>
      <c r="AK617" s="897"/>
      <c r="AL617" s="897"/>
      <c r="AM617" s="897"/>
      <c r="AN617" s="897"/>
      <c r="AO617" s="897"/>
      <c r="AP617" s="897"/>
      <c r="AQ617" s="897"/>
      <c r="AR617" s="897"/>
    </row>
    <row r="618" spans="1:44" s="930" customFormat="1">
      <c r="A618" s="892"/>
      <c r="B618" s="899"/>
      <c r="C618" s="900"/>
      <c r="D618" s="894"/>
      <c r="E618" s="895"/>
      <c r="F618" s="896"/>
      <c r="G618" s="897"/>
      <c r="H618" s="897"/>
      <c r="I618" s="897"/>
      <c r="J618" s="897"/>
      <c r="K618" s="897"/>
      <c r="L618" s="898"/>
      <c r="M618" s="898"/>
      <c r="N618" s="898"/>
      <c r="O618" s="898"/>
      <c r="P618" s="898"/>
      <c r="Q618" s="898"/>
      <c r="R618" s="898"/>
      <c r="S618" s="898"/>
      <c r="T618" s="898"/>
      <c r="U618" s="898"/>
      <c r="V618" s="898"/>
      <c r="W618" s="898"/>
      <c r="X618" s="898"/>
      <c r="Y618" s="898"/>
      <c r="Z618" s="898"/>
      <c r="AA618" s="898"/>
      <c r="AB618" s="898"/>
      <c r="AC618" s="898"/>
      <c r="AD618" s="898"/>
      <c r="AE618" s="898"/>
      <c r="AF618" s="898"/>
      <c r="AG618" s="898"/>
      <c r="AH618" s="898"/>
      <c r="AI618" s="898"/>
      <c r="AJ618" s="898"/>
      <c r="AK618" s="897"/>
      <c r="AL618" s="897"/>
      <c r="AM618" s="897"/>
      <c r="AN618" s="897"/>
      <c r="AO618" s="897"/>
      <c r="AP618" s="897"/>
      <c r="AQ618" s="897"/>
      <c r="AR618" s="897"/>
    </row>
    <row r="619" spans="1:44" s="930" customFormat="1">
      <c r="A619" s="892"/>
      <c r="B619" s="899"/>
      <c r="C619" s="900"/>
      <c r="D619" s="894"/>
      <c r="E619" s="895"/>
      <c r="F619" s="896"/>
      <c r="G619" s="897"/>
      <c r="H619" s="897"/>
      <c r="I619" s="897"/>
      <c r="J619" s="897"/>
      <c r="K619" s="897"/>
      <c r="L619" s="898"/>
      <c r="M619" s="898"/>
      <c r="N619" s="898"/>
      <c r="O619" s="898"/>
      <c r="P619" s="898"/>
      <c r="Q619" s="898"/>
      <c r="R619" s="898"/>
      <c r="S619" s="898"/>
      <c r="T619" s="898"/>
      <c r="U619" s="898"/>
      <c r="V619" s="898"/>
      <c r="W619" s="898"/>
      <c r="X619" s="898"/>
      <c r="Y619" s="898"/>
      <c r="Z619" s="898"/>
      <c r="AA619" s="898"/>
      <c r="AB619" s="898"/>
      <c r="AC619" s="898"/>
      <c r="AD619" s="898"/>
      <c r="AE619" s="898"/>
      <c r="AF619" s="898"/>
      <c r="AG619" s="898"/>
      <c r="AH619" s="898"/>
      <c r="AI619" s="898"/>
      <c r="AJ619" s="898"/>
      <c r="AK619" s="897"/>
      <c r="AL619" s="897"/>
      <c r="AM619" s="897"/>
      <c r="AN619" s="897"/>
      <c r="AO619" s="897"/>
      <c r="AP619" s="897"/>
      <c r="AQ619" s="897"/>
      <c r="AR619" s="897"/>
    </row>
    <row r="620" spans="1:44" s="930" customFormat="1">
      <c r="A620" s="892"/>
      <c r="B620" s="899"/>
      <c r="C620" s="900"/>
      <c r="D620" s="894"/>
      <c r="E620" s="895"/>
      <c r="F620" s="896"/>
      <c r="G620" s="897"/>
      <c r="H620" s="897"/>
      <c r="I620" s="897"/>
      <c r="J620" s="897"/>
      <c r="K620" s="897"/>
      <c r="L620" s="898"/>
      <c r="M620" s="898"/>
      <c r="N620" s="898"/>
      <c r="O620" s="898"/>
      <c r="P620" s="898"/>
      <c r="Q620" s="898"/>
      <c r="R620" s="898"/>
      <c r="S620" s="898"/>
      <c r="T620" s="898"/>
      <c r="U620" s="898"/>
      <c r="V620" s="898"/>
      <c r="W620" s="898"/>
      <c r="X620" s="898"/>
      <c r="Y620" s="898"/>
      <c r="Z620" s="898"/>
      <c r="AA620" s="898"/>
      <c r="AB620" s="898"/>
      <c r="AC620" s="898"/>
      <c r="AD620" s="898"/>
      <c r="AE620" s="898"/>
      <c r="AF620" s="898"/>
      <c r="AG620" s="898"/>
      <c r="AH620" s="898"/>
      <c r="AI620" s="898"/>
      <c r="AJ620" s="898"/>
      <c r="AK620" s="897"/>
      <c r="AL620" s="897"/>
      <c r="AM620" s="897"/>
      <c r="AN620" s="897"/>
      <c r="AO620" s="897"/>
      <c r="AP620" s="897"/>
      <c r="AQ620" s="897"/>
      <c r="AR620" s="897"/>
    </row>
    <row r="621" spans="1:44" s="930" customFormat="1">
      <c r="A621" s="892"/>
      <c r="B621" s="899"/>
      <c r="C621" s="900"/>
      <c r="D621" s="894"/>
      <c r="E621" s="895"/>
      <c r="F621" s="896"/>
      <c r="G621" s="897"/>
      <c r="H621" s="897"/>
      <c r="I621" s="897"/>
      <c r="J621" s="897"/>
      <c r="K621" s="897"/>
      <c r="L621" s="898"/>
      <c r="M621" s="898"/>
      <c r="N621" s="898"/>
      <c r="O621" s="898"/>
      <c r="P621" s="898"/>
      <c r="Q621" s="898"/>
      <c r="R621" s="898"/>
      <c r="S621" s="898"/>
      <c r="T621" s="898"/>
      <c r="U621" s="898"/>
      <c r="V621" s="898"/>
      <c r="W621" s="898"/>
      <c r="X621" s="898"/>
      <c r="Y621" s="898"/>
      <c r="Z621" s="898"/>
      <c r="AA621" s="898"/>
      <c r="AB621" s="898"/>
      <c r="AC621" s="898"/>
      <c r="AD621" s="898"/>
      <c r="AE621" s="898"/>
      <c r="AF621" s="898"/>
      <c r="AG621" s="898"/>
      <c r="AH621" s="898"/>
      <c r="AI621" s="898"/>
      <c r="AJ621" s="898"/>
      <c r="AK621" s="897"/>
      <c r="AL621" s="897"/>
      <c r="AM621" s="897"/>
      <c r="AN621" s="897"/>
      <c r="AO621" s="897"/>
      <c r="AP621" s="897"/>
      <c r="AQ621" s="897"/>
      <c r="AR621" s="897"/>
    </row>
    <row r="622" spans="1:44" s="930" customFormat="1">
      <c r="A622" s="892"/>
      <c r="B622" s="899"/>
      <c r="C622" s="900"/>
      <c r="D622" s="894"/>
      <c r="E622" s="895"/>
      <c r="F622" s="896"/>
      <c r="G622" s="897"/>
      <c r="H622" s="897"/>
      <c r="I622" s="897"/>
      <c r="J622" s="897"/>
      <c r="K622" s="897"/>
      <c r="L622" s="898"/>
      <c r="M622" s="898"/>
      <c r="N622" s="898"/>
      <c r="O622" s="898"/>
      <c r="P622" s="898"/>
      <c r="Q622" s="898"/>
      <c r="R622" s="898"/>
      <c r="S622" s="898"/>
      <c r="T622" s="898"/>
      <c r="U622" s="898"/>
      <c r="V622" s="898"/>
      <c r="W622" s="898"/>
      <c r="X622" s="898"/>
      <c r="Y622" s="898"/>
      <c r="Z622" s="898"/>
      <c r="AA622" s="898"/>
      <c r="AB622" s="898"/>
      <c r="AC622" s="898"/>
      <c r="AD622" s="898"/>
      <c r="AE622" s="898"/>
      <c r="AF622" s="898"/>
      <c r="AG622" s="898"/>
      <c r="AH622" s="898"/>
      <c r="AI622" s="898"/>
      <c r="AJ622" s="898"/>
      <c r="AK622" s="897"/>
      <c r="AL622" s="897"/>
      <c r="AM622" s="897"/>
      <c r="AN622" s="897"/>
      <c r="AO622" s="897"/>
      <c r="AP622" s="897"/>
      <c r="AQ622" s="897"/>
      <c r="AR622" s="897"/>
    </row>
    <row r="623" spans="1:44" s="930" customFormat="1">
      <c r="A623" s="892"/>
      <c r="B623" s="899"/>
      <c r="C623" s="900"/>
      <c r="D623" s="894"/>
      <c r="E623" s="895"/>
      <c r="F623" s="896"/>
      <c r="G623" s="897"/>
      <c r="H623" s="897"/>
      <c r="I623" s="897"/>
      <c r="J623" s="897"/>
      <c r="K623" s="897"/>
      <c r="L623" s="898"/>
      <c r="M623" s="898"/>
      <c r="N623" s="898"/>
      <c r="O623" s="898"/>
      <c r="P623" s="898"/>
      <c r="Q623" s="898"/>
      <c r="R623" s="898"/>
      <c r="S623" s="898"/>
      <c r="T623" s="898"/>
      <c r="U623" s="898"/>
      <c r="V623" s="898"/>
      <c r="W623" s="898"/>
      <c r="X623" s="898"/>
      <c r="Y623" s="898"/>
      <c r="Z623" s="898"/>
      <c r="AA623" s="898"/>
      <c r="AB623" s="898"/>
      <c r="AC623" s="898"/>
      <c r="AD623" s="898"/>
      <c r="AE623" s="898"/>
      <c r="AF623" s="898"/>
      <c r="AG623" s="898"/>
      <c r="AH623" s="898"/>
      <c r="AI623" s="898"/>
      <c r="AJ623" s="898"/>
      <c r="AK623" s="897"/>
      <c r="AL623" s="897"/>
      <c r="AM623" s="897"/>
      <c r="AN623" s="897"/>
      <c r="AO623" s="897"/>
      <c r="AP623" s="897"/>
      <c r="AQ623" s="897"/>
      <c r="AR623" s="897"/>
    </row>
    <row r="624" spans="1:44" s="930" customFormat="1">
      <c r="A624" s="892"/>
      <c r="B624" s="899"/>
      <c r="C624" s="900"/>
      <c r="D624" s="894"/>
      <c r="E624" s="895"/>
      <c r="F624" s="896"/>
      <c r="G624" s="897"/>
      <c r="H624" s="897"/>
      <c r="I624" s="897"/>
      <c r="J624" s="897"/>
      <c r="K624" s="897"/>
      <c r="L624" s="898"/>
      <c r="M624" s="898"/>
      <c r="N624" s="898"/>
      <c r="O624" s="898"/>
      <c r="P624" s="898"/>
      <c r="Q624" s="898"/>
      <c r="R624" s="898"/>
      <c r="S624" s="898"/>
      <c r="T624" s="898"/>
      <c r="U624" s="898"/>
      <c r="V624" s="898"/>
      <c r="W624" s="898"/>
      <c r="X624" s="898"/>
      <c r="Y624" s="898"/>
      <c r="Z624" s="898"/>
      <c r="AA624" s="898"/>
      <c r="AB624" s="898"/>
      <c r="AC624" s="898"/>
      <c r="AD624" s="898"/>
      <c r="AE624" s="898"/>
      <c r="AF624" s="898"/>
      <c r="AG624" s="898"/>
      <c r="AH624" s="898"/>
      <c r="AI624" s="898"/>
      <c r="AJ624" s="898"/>
      <c r="AK624" s="897"/>
      <c r="AL624" s="897"/>
      <c r="AM624" s="897"/>
      <c r="AN624" s="897"/>
      <c r="AO624" s="897"/>
      <c r="AP624" s="897"/>
      <c r="AQ624" s="897"/>
      <c r="AR624" s="897"/>
    </row>
    <row r="625" spans="1:44" s="930" customFormat="1">
      <c r="A625" s="892"/>
      <c r="B625" s="899"/>
      <c r="C625" s="900"/>
      <c r="D625" s="894"/>
      <c r="E625" s="895"/>
      <c r="F625" s="896"/>
      <c r="G625" s="897"/>
      <c r="H625" s="897"/>
      <c r="I625" s="897"/>
      <c r="J625" s="897"/>
      <c r="K625" s="897"/>
      <c r="L625" s="898"/>
      <c r="M625" s="898"/>
      <c r="N625" s="898"/>
      <c r="O625" s="898"/>
      <c r="P625" s="898"/>
      <c r="Q625" s="898"/>
      <c r="R625" s="898"/>
      <c r="S625" s="898"/>
      <c r="T625" s="898"/>
      <c r="U625" s="898"/>
      <c r="V625" s="898"/>
      <c r="W625" s="898"/>
      <c r="X625" s="898"/>
      <c r="Y625" s="898"/>
      <c r="Z625" s="898"/>
      <c r="AA625" s="898"/>
      <c r="AB625" s="898"/>
      <c r="AC625" s="898"/>
      <c r="AD625" s="898"/>
      <c r="AE625" s="898"/>
      <c r="AF625" s="898"/>
      <c r="AG625" s="898"/>
      <c r="AH625" s="898"/>
      <c r="AI625" s="898"/>
      <c r="AJ625" s="898"/>
      <c r="AK625" s="897"/>
      <c r="AL625" s="897"/>
      <c r="AM625" s="897"/>
      <c r="AN625" s="897"/>
      <c r="AO625" s="897"/>
      <c r="AP625" s="897"/>
      <c r="AQ625" s="897"/>
      <c r="AR625" s="897"/>
    </row>
    <row r="626" spans="1:44" s="930" customFormat="1">
      <c r="A626" s="892"/>
      <c r="B626" s="899"/>
      <c r="C626" s="900"/>
      <c r="D626" s="894"/>
      <c r="E626" s="895"/>
      <c r="F626" s="896"/>
      <c r="G626" s="897"/>
      <c r="H626" s="897"/>
      <c r="I626" s="897"/>
      <c r="J626" s="897"/>
      <c r="K626" s="897"/>
      <c r="L626" s="898"/>
      <c r="M626" s="898"/>
      <c r="N626" s="898"/>
      <c r="O626" s="898"/>
      <c r="P626" s="898"/>
      <c r="Q626" s="898"/>
      <c r="R626" s="898"/>
      <c r="S626" s="898"/>
      <c r="T626" s="898"/>
      <c r="U626" s="898"/>
      <c r="V626" s="898"/>
      <c r="W626" s="898"/>
      <c r="X626" s="898"/>
      <c r="Y626" s="898"/>
      <c r="Z626" s="898"/>
      <c r="AA626" s="898"/>
      <c r="AB626" s="898"/>
      <c r="AC626" s="898"/>
      <c r="AD626" s="898"/>
      <c r="AE626" s="898"/>
      <c r="AF626" s="898"/>
      <c r="AG626" s="898"/>
      <c r="AH626" s="898"/>
      <c r="AI626" s="898"/>
      <c r="AJ626" s="898"/>
      <c r="AK626" s="897"/>
      <c r="AL626" s="897"/>
      <c r="AM626" s="897"/>
      <c r="AN626" s="897"/>
      <c r="AO626" s="897"/>
      <c r="AP626" s="897"/>
      <c r="AQ626" s="897"/>
      <c r="AR626" s="897"/>
    </row>
    <row r="627" spans="1:44" s="930" customFormat="1">
      <c r="A627" s="892"/>
      <c r="B627" s="899"/>
      <c r="C627" s="900"/>
      <c r="D627" s="894"/>
      <c r="E627" s="895"/>
      <c r="F627" s="896"/>
      <c r="G627" s="897"/>
      <c r="H627" s="897"/>
      <c r="I627" s="897"/>
      <c r="J627" s="897"/>
      <c r="K627" s="897"/>
      <c r="L627" s="898"/>
      <c r="M627" s="898"/>
      <c r="N627" s="898"/>
      <c r="O627" s="898"/>
      <c r="P627" s="898"/>
      <c r="Q627" s="898"/>
      <c r="R627" s="898"/>
      <c r="S627" s="898"/>
      <c r="T627" s="898"/>
      <c r="U627" s="898"/>
      <c r="V627" s="898"/>
      <c r="W627" s="898"/>
      <c r="X627" s="898"/>
      <c r="Y627" s="898"/>
      <c r="Z627" s="898"/>
      <c r="AA627" s="898"/>
      <c r="AB627" s="898"/>
      <c r="AC627" s="898"/>
      <c r="AD627" s="898"/>
      <c r="AE627" s="898"/>
      <c r="AF627" s="898"/>
      <c r="AG627" s="898"/>
      <c r="AH627" s="898"/>
      <c r="AI627" s="898"/>
      <c r="AJ627" s="898"/>
      <c r="AK627" s="897"/>
      <c r="AL627" s="897"/>
      <c r="AM627" s="897"/>
      <c r="AN627" s="897"/>
      <c r="AO627" s="897"/>
      <c r="AP627" s="897"/>
      <c r="AQ627" s="897"/>
      <c r="AR627" s="897"/>
    </row>
    <row r="628" spans="1:44" s="930" customFormat="1">
      <c r="A628" s="892"/>
      <c r="B628" s="899"/>
      <c r="C628" s="900"/>
      <c r="D628" s="894"/>
      <c r="E628" s="895"/>
      <c r="F628" s="896"/>
      <c r="G628" s="897"/>
      <c r="H628" s="897"/>
      <c r="I628" s="897"/>
      <c r="J628" s="897"/>
      <c r="K628" s="897"/>
      <c r="L628" s="898"/>
      <c r="M628" s="898"/>
      <c r="N628" s="898"/>
      <c r="O628" s="898"/>
      <c r="P628" s="898"/>
      <c r="Q628" s="898"/>
      <c r="R628" s="898"/>
      <c r="S628" s="898"/>
      <c r="T628" s="898"/>
      <c r="U628" s="898"/>
      <c r="V628" s="898"/>
      <c r="W628" s="898"/>
      <c r="X628" s="898"/>
      <c r="Y628" s="898"/>
      <c r="Z628" s="898"/>
      <c r="AA628" s="898"/>
      <c r="AB628" s="898"/>
      <c r="AC628" s="898"/>
      <c r="AD628" s="898"/>
      <c r="AE628" s="898"/>
      <c r="AF628" s="898"/>
      <c r="AG628" s="898"/>
      <c r="AH628" s="898"/>
      <c r="AI628" s="898"/>
      <c r="AJ628" s="898"/>
      <c r="AK628" s="897"/>
      <c r="AL628" s="897"/>
      <c r="AM628" s="897"/>
      <c r="AN628" s="897"/>
      <c r="AO628" s="897"/>
      <c r="AP628" s="897"/>
      <c r="AQ628" s="897"/>
      <c r="AR628" s="897"/>
    </row>
    <row r="629" spans="1:44" s="930" customFormat="1">
      <c r="A629" s="892"/>
      <c r="B629" s="899"/>
      <c r="C629" s="900"/>
      <c r="D629" s="894"/>
      <c r="E629" s="895"/>
      <c r="F629" s="896"/>
      <c r="G629" s="897"/>
      <c r="H629" s="897"/>
      <c r="I629" s="897"/>
      <c r="J629" s="897"/>
      <c r="K629" s="897"/>
      <c r="L629" s="898"/>
      <c r="M629" s="898"/>
      <c r="N629" s="898"/>
      <c r="O629" s="898"/>
      <c r="P629" s="898"/>
      <c r="Q629" s="898"/>
      <c r="R629" s="898"/>
      <c r="S629" s="898"/>
      <c r="T629" s="898"/>
      <c r="U629" s="898"/>
      <c r="V629" s="898"/>
      <c r="W629" s="898"/>
      <c r="X629" s="898"/>
      <c r="Y629" s="898"/>
      <c r="Z629" s="898"/>
      <c r="AA629" s="898"/>
      <c r="AB629" s="898"/>
      <c r="AC629" s="898"/>
      <c r="AD629" s="898"/>
      <c r="AE629" s="898"/>
      <c r="AF629" s="898"/>
      <c r="AG629" s="898"/>
      <c r="AH629" s="898"/>
      <c r="AI629" s="898"/>
      <c r="AJ629" s="898"/>
      <c r="AK629" s="897"/>
      <c r="AL629" s="897"/>
      <c r="AM629" s="897"/>
      <c r="AN629" s="897"/>
      <c r="AO629" s="897"/>
      <c r="AP629" s="897"/>
      <c r="AQ629" s="897"/>
      <c r="AR629" s="897"/>
    </row>
    <row r="630" spans="1:44" s="930" customFormat="1">
      <c r="A630" s="892"/>
      <c r="B630" s="899"/>
      <c r="C630" s="900"/>
      <c r="D630" s="894"/>
      <c r="E630" s="895"/>
      <c r="F630" s="896"/>
      <c r="G630" s="897"/>
      <c r="H630" s="897"/>
      <c r="I630" s="897"/>
      <c r="J630" s="897"/>
      <c r="K630" s="897"/>
      <c r="L630" s="898"/>
      <c r="M630" s="898"/>
      <c r="N630" s="898"/>
      <c r="O630" s="898"/>
      <c r="P630" s="898"/>
      <c r="Q630" s="898"/>
      <c r="R630" s="898"/>
      <c r="S630" s="898"/>
      <c r="T630" s="898"/>
      <c r="U630" s="898"/>
      <c r="V630" s="898"/>
      <c r="W630" s="898"/>
      <c r="X630" s="898"/>
      <c r="Y630" s="898"/>
      <c r="Z630" s="898"/>
      <c r="AA630" s="898"/>
      <c r="AB630" s="898"/>
      <c r="AC630" s="898"/>
      <c r="AD630" s="898"/>
      <c r="AE630" s="898"/>
      <c r="AF630" s="898"/>
      <c r="AG630" s="898"/>
      <c r="AH630" s="898"/>
      <c r="AI630" s="898"/>
      <c r="AJ630" s="898"/>
      <c r="AK630" s="897"/>
      <c r="AL630" s="897"/>
      <c r="AM630" s="897"/>
      <c r="AN630" s="897"/>
      <c r="AO630" s="897"/>
      <c r="AP630" s="897"/>
      <c r="AQ630" s="897"/>
      <c r="AR630" s="897"/>
    </row>
    <row r="631" spans="1:44" s="930" customFormat="1">
      <c r="A631" s="892"/>
      <c r="B631" s="899"/>
      <c r="C631" s="900"/>
      <c r="D631" s="894"/>
      <c r="E631" s="895"/>
      <c r="F631" s="896"/>
      <c r="G631" s="897"/>
      <c r="H631" s="897"/>
      <c r="I631" s="897"/>
      <c r="J631" s="897"/>
      <c r="K631" s="897"/>
      <c r="L631" s="898"/>
      <c r="M631" s="898"/>
      <c r="N631" s="898"/>
      <c r="O631" s="898"/>
      <c r="P631" s="898"/>
      <c r="Q631" s="898"/>
      <c r="R631" s="898"/>
      <c r="S631" s="898"/>
      <c r="T631" s="898"/>
      <c r="U631" s="898"/>
      <c r="V631" s="898"/>
      <c r="W631" s="898"/>
      <c r="X631" s="898"/>
      <c r="Y631" s="898"/>
      <c r="Z631" s="898"/>
      <c r="AA631" s="898"/>
      <c r="AB631" s="898"/>
      <c r="AC631" s="898"/>
      <c r="AD631" s="898"/>
      <c r="AE631" s="898"/>
      <c r="AF631" s="898"/>
      <c r="AG631" s="898"/>
      <c r="AH631" s="898"/>
      <c r="AI631" s="898"/>
      <c r="AJ631" s="898"/>
      <c r="AK631" s="897"/>
      <c r="AL631" s="897"/>
      <c r="AM631" s="897"/>
      <c r="AN631" s="897"/>
      <c r="AO631" s="897"/>
      <c r="AP631" s="897"/>
      <c r="AQ631" s="897"/>
      <c r="AR631" s="897"/>
    </row>
    <row r="632" spans="1:44" s="930" customFormat="1">
      <c r="A632" s="892"/>
      <c r="B632" s="899"/>
      <c r="C632" s="900"/>
      <c r="D632" s="894"/>
      <c r="E632" s="895"/>
      <c r="F632" s="896"/>
      <c r="G632" s="897"/>
      <c r="H632" s="897"/>
      <c r="I632" s="897"/>
      <c r="J632" s="897"/>
      <c r="K632" s="897"/>
      <c r="L632" s="898"/>
      <c r="M632" s="898"/>
      <c r="N632" s="898"/>
      <c r="O632" s="898"/>
      <c r="P632" s="898"/>
      <c r="Q632" s="898"/>
      <c r="R632" s="898"/>
      <c r="S632" s="898"/>
      <c r="T632" s="898"/>
      <c r="U632" s="898"/>
      <c r="V632" s="898"/>
      <c r="W632" s="898"/>
      <c r="X632" s="898"/>
      <c r="Y632" s="898"/>
      <c r="Z632" s="898"/>
      <c r="AA632" s="898"/>
      <c r="AB632" s="898"/>
      <c r="AC632" s="898"/>
      <c r="AD632" s="898"/>
      <c r="AE632" s="898"/>
      <c r="AF632" s="898"/>
      <c r="AG632" s="898"/>
      <c r="AH632" s="898"/>
      <c r="AI632" s="898"/>
      <c r="AJ632" s="898"/>
      <c r="AK632" s="897"/>
      <c r="AL632" s="897"/>
      <c r="AM632" s="897"/>
      <c r="AN632" s="897"/>
      <c r="AO632" s="897"/>
      <c r="AP632" s="897"/>
      <c r="AQ632" s="897"/>
      <c r="AR632" s="897"/>
    </row>
    <row r="633" spans="1:44" s="930" customFormat="1">
      <c r="A633" s="892"/>
      <c r="B633" s="899"/>
      <c r="C633" s="900"/>
      <c r="D633" s="894"/>
      <c r="E633" s="895"/>
      <c r="F633" s="896"/>
      <c r="G633" s="897"/>
      <c r="H633" s="897"/>
      <c r="I633" s="897"/>
      <c r="J633" s="897"/>
      <c r="K633" s="897"/>
      <c r="L633" s="898"/>
      <c r="M633" s="898"/>
      <c r="N633" s="898"/>
      <c r="O633" s="898"/>
      <c r="P633" s="898"/>
      <c r="Q633" s="898"/>
      <c r="R633" s="898"/>
      <c r="S633" s="898"/>
      <c r="T633" s="898"/>
      <c r="U633" s="898"/>
      <c r="V633" s="898"/>
      <c r="W633" s="898"/>
      <c r="X633" s="898"/>
      <c r="Y633" s="898"/>
      <c r="Z633" s="898"/>
      <c r="AA633" s="898"/>
      <c r="AB633" s="898"/>
      <c r="AC633" s="898"/>
      <c r="AD633" s="898"/>
      <c r="AE633" s="898"/>
      <c r="AF633" s="898"/>
      <c r="AG633" s="898"/>
      <c r="AH633" s="898"/>
      <c r="AI633" s="898"/>
      <c r="AJ633" s="898"/>
      <c r="AK633" s="897"/>
      <c r="AL633" s="897"/>
      <c r="AM633" s="897"/>
      <c r="AN633" s="897"/>
      <c r="AO633" s="897"/>
      <c r="AP633" s="897"/>
      <c r="AQ633" s="897"/>
      <c r="AR633" s="897"/>
    </row>
    <row r="634" spans="1:44" s="930" customFormat="1">
      <c r="A634" s="892"/>
      <c r="B634" s="899"/>
      <c r="C634" s="900"/>
      <c r="D634" s="894"/>
      <c r="E634" s="895"/>
      <c r="F634" s="896"/>
      <c r="G634" s="897"/>
      <c r="H634" s="897"/>
      <c r="I634" s="897"/>
      <c r="J634" s="897"/>
      <c r="K634" s="897"/>
      <c r="L634" s="898"/>
      <c r="M634" s="898"/>
      <c r="N634" s="898"/>
      <c r="O634" s="898"/>
      <c r="P634" s="898"/>
      <c r="Q634" s="898"/>
      <c r="R634" s="898"/>
      <c r="S634" s="898"/>
      <c r="T634" s="898"/>
      <c r="U634" s="898"/>
      <c r="V634" s="898"/>
      <c r="W634" s="898"/>
      <c r="X634" s="898"/>
      <c r="Y634" s="898"/>
      <c r="Z634" s="898"/>
      <c r="AA634" s="898"/>
      <c r="AB634" s="898"/>
      <c r="AC634" s="898"/>
      <c r="AD634" s="898"/>
      <c r="AE634" s="898"/>
      <c r="AF634" s="898"/>
      <c r="AG634" s="898"/>
      <c r="AH634" s="898"/>
      <c r="AI634" s="898"/>
      <c r="AJ634" s="898"/>
      <c r="AK634" s="897"/>
      <c r="AL634" s="897"/>
      <c r="AM634" s="897"/>
      <c r="AN634" s="897"/>
      <c r="AO634" s="897"/>
      <c r="AP634" s="897"/>
      <c r="AQ634" s="897"/>
      <c r="AR634" s="897"/>
    </row>
    <row r="635" spans="1:44" s="930" customFormat="1">
      <c r="A635" s="892"/>
      <c r="B635" s="899"/>
      <c r="C635" s="900"/>
      <c r="D635" s="894"/>
      <c r="E635" s="895"/>
      <c r="F635" s="896"/>
      <c r="G635" s="897"/>
      <c r="H635" s="897"/>
      <c r="I635" s="897"/>
      <c r="J635" s="897"/>
      <c r="K635" s="897"/>
      <c r="L635" s="898"/>
      <c r="M635" s="898"/>
      <c r="N635" s="898"/>
      <c r="O635" s="898"/>
      <c r="P635" s="898"/>
      <c r="Q635" s="898"/>
      <c r="R635" s="898"/>
      <c r="S635" s="898"/>
      <c r="T635" s="898"/>
      <c r="U635" s="898"/>
      <c r="V635" s="898"/>
      <c r="W635" s="898"/>
      <c r="X635" s="898"/>
      <c r="Y635" s="898"/>
      <c r="Z635" s="898"/>
      <c r="AA635" s="898"/>
      <c r="AB635" s="898"/>
      <c r="AC635" s="898"/>
      <c r="AD635" s="898"/>
      <c r="AE635" s="898"/>
      <c r="AF635" s="898"/>
      <c r="AG635" s="898"/>
      <c r="AH635" s="898"/>
      <c r="AI635" s="898"/>
      <c r="AJ635" s="898"/>
      <c r="AK635" s="897"/>
      <c r="AL635" s="897"/>
      <c r="AM635" s="897"/>
      <c r="AN635" s="897"/>
      <c r="AO635" s="897"/>
      <c r="AP635" s="897"/>
      <c r="AQ635" s="897"/>
      <c r="AR635" s="897"/>
    </row>
    <row r="636" spans="1:44" s="930" customFormat="1">
      <c r="A636" s="892"/>
      <c r="B636" s="899"/>
      <c r="C636" s="900"/>
      <c r="D636" s="894"/>
      <c r="E636" s="895"/>
      <c r="F636" s="896"/>
      <c r="G636" s="897"/>
      <c r="H636" s="897"/>
      <c r="I636" s="897"/>
      <c r="J636" s="897"/>
      <c r="K636" s="897"/>
      <c r="L636" s="898"/>
      <c r="M636" s="898"/>
      <c r="N636" s="898"/>
      <c r="O636" s="898"/>
      <c r="P636" s="898"/>
      <c r="Q636" s="898"/>
      <c r="R636" s="898"/>
      <c r="S636" s="898"/>
      <c r="T636" s="898"/>
      <c r="U636" s="898"/>
      <c r="V636" s="898"/>
      <c r="W636" s="898"/>
      <c r="X636" s="898"/>
      <c r="Y636" s="898"/>
      <c r="Z636" s="898"/>
      <c r="AA636" s="898"/>
      <c r="AB636" s="898"/>
      <c r="AC636" s="898"/>
      <c r="AD636" s="898"/>
      <c r="AE636" s="898"/>
      <c r="AF636" s="898"/>
      <c r="AG636" s="898"/>
      <c r="AH636" s="898"/>
      <c r="AI636" s="898"/>
      <c r="AJ636" s="898"/>
      <c r="AK636" s="897"/>
      <c r="AL636" s="897"/>
      <c r="AM636" s="897"/>
      <c r="AN636" s="897"/>
      <c r="AO636" s="897"/>
      <c r="AP636" s="897"/>
      <c r="AQ636" s="897"/>
      <c r="AR636" s="897"/>
    </row>
    <row r="637" spans="1:44" s="930" customFormat="1">
      <c r="A637" s="892"/>
      <c r="B637" s="899"/>
      <c r="C637" s="900"/>
      <c r="D637" s="894"/>
      <c r="E637" s="895"/>
      <c r="F637" s="896"/>
      <c r="G637" s="897"/>
      <c r="H637" s="897"/>
      <c r="I637" s="897"/>
      <c r="J637" s="897"/>
      <c r="K637" s="897"/>
      <c r="L637" s="898"/>
      <c r="M637" s="898"/>
      <c r="N637" s="898"/>
      <c r="O637" s="898"/>
      <c r="P637" s="898"/>
      <c r="Q637" s="898"/>
      <c r="R637" s="898"/>
      <c r="S637" s="898"/>
      <c r="T637" s="898"/>
      <c r="U637" s="898"/>
      <c r="V637" s="898"/>
      <c r="W637" s="898"/>
      <c r="X637" s="898"/>
      <c r="Y637" s="898"/>
      <c r="Z637" s="898"/>
      <c r="AA637" s="898"/>
      <c r="AB637" s="898"/>
      <c r="AC637" s="898"/>
      <c r="AD637" s="898"/>
      <c r="AE637" s="898"/>
      <c r="AF637" s="898"/>
      <c r="AG637" s="898"/>
      <c r="AH637" s="898"/>
      <c r="AI637" s="898"/>
      <c r="AJ637" s="898"/>
      <c r="AK637" s="897"/>
      <c r="AL637" s="897"/>
      <c r="AM637" s="897"/>
      <c r="AN637" s="897"/>
      <c r="AO637" s="897"/>
      <c r="AP637" s="897"/>
      <c r="AQ637" s="897"/>
      <c r="AR637" s="897"/>
    </row>
    <row r="638" spans="1:44" s="930" customFormat="1">
      <c r="A638" s="892"/>
      <c r="B638" s="899"/>
      <c r="C638" s="900"/>
      <c r="D638" s="894"/>
      <c r="E638" s="895"/>
      <c r="F638" s="896"/>
      <c r="G638" s="897"/>
      <c r="H638" s="897"/>
      <c r="I638" s="897"/>
      <c r="J638" s="897"/>
      <c r="K638" s="897"/>
      <c r="L638" s="898"/>
      <c r="M638" s="898"/>
      <c r="N638" s="898"/>
      <c r="O638" s="898"/>
      <c r="P638" s="898"/>
      <c r="Q638" s="898"/>
      <c r="R638" s="898"/>
      <c r="S638" s="898"/>
      <c r="T638" s="898"/>
      <c r="U638" s="898"/>
      <c r="V638" s="898"/>
      <c r="W638" s="898"/>
      <c r="X638" s="898"/>
      <c r="Y638" s="898"/>
      <c r="Z638" s="898"/>
      <c r="AA638" s="898"/>
      <c r="AB638" s="898"/>
      <c r="AC638" s="898"/>
      <c r="AD638" s="898"/>
      <c r="AE638" s="898"/>
      <c r="AF638" s="898"/>
      <c r="AG638" s="898"/>
      <c r="AH638" s="898"/>
      <c r="AI638" s="898"/>
      <c r="AJ638" s="898"/>
      <c r="AK638" s="897"/>
      <c r="AL638" s="897"/>
      <c r="AM638" s="897"/>
      <c r="AN638" s="897"/>
      <c r="AO638" s="897"/>
      <c r="AP638" s="897"/>
      <c r="AQ638" s="897"/>
      <c r="AR638" s="897"/>
    </row>
    <row r="639" spans="1:44" s="930" customFormat="1">
      <c r="A639" s="892"/>
      <c r="B639" s="899"/>
      <c r="C639" s="900"/>
      <c r="D639" s="894"/>
      <c r="E639" s="895"/>
      <c r="F639" s="896"/>
      <c r="G639" s="897"/>
      <c r="H639" s="897"/>
      <c r="I639" s="897"/>
      <c r="J639" s="897"/>
      <c r="K639" s="897"/>
      <c r="L639" s="898"/>
      <c r="M639" s="898"/>
      <c r="N639" s="898"/>
      <c r="O639" s="898"/>
      <c r="P639" s="898"/>
      <c r="Q639" s="898"/>
      <c r="R639" s="898"/>
      <c r="S639" s="898"/>
      <c r="T639" s="898"/>
      <c r="U639" s="898"/>
      <c r="V639" s="898"/>
      <c r="W639" s="898"/>
      <c r="X639" s="898"/>
      <c r="Y639" s="898"/>
      <c r="Z639" s="898"/>
      <c r="AA639" s="898"/>
      <c r="AB639" s="898"/>
      <c r="AC639" s="898"/>
      <c r="AD639" s="898"/>
      <c r="AE639" s="898"/>
      <c r="AF639" s="898"/>
      <c r="AG639" s="898"/>
      <c r="AH639" s="898"/>
      <c r="AI639" s="898"/>
      <c r="AJ639" s="898"/>
      <c r="AK639" s="897"/>
      <c r="AL639" s="897"/>
      <c r="AM639" s="897"/>
      <c r="AN639" s="897"/>
      <c r="AO639" s="897"/>
      <c r="AP639" s="897"/>
      <c r="AQ639" s="897"/>
      <c r="AR639" s="897"/>
    </row>
    <row r="640" spans="1:44" s="930" customFormat="1">
      <c r="A640" s="892"/>
      <c r="B640" s="899"/>
      <c r="C640" s="900"/>
      <c r="D640" s="894"/>
      <c r="E640" s="895"/>
      <c r="F640" s="896"/>
      <c r="G640" s="897"/>
      <c r="H640" s="897"/>
      <c r="I640" s="897"/>
      <c r="J640" s="897"/>
      <c r="K640" s="897"/>
      <c r="L640" s="898"/>
      <c r="M640" s="898"/>
      <c r="N640" s="898"/>
      <c r="O640" s="898"/>
      <c r="P640" s="898"/>
      <c r="Q640" s="898"/>
      <c r="R640" s="898"/>
      <c r="S640" s="898"/>
      <c r="T640" s="898"/>
      <c r="U640" s="898"/>
      <c r="V640" s="898"/>
      <c r="W640" s="898"/>
      <c r="X640" s="898"/>
      <c r="Y640" s="898"/>
      <c r="Z640" s="898"/>
      <c r="AA640" s="898"/>
      <c r="AB640" s="898"/>
      <c r="AC640" s="898"/>
      <c r="AD640" s="898"/>
      <c r="AE640" s="898"/>
      <c r="AF640" s="898"/>
      <c r="AG640" s="898"/>
      <c r="AH640" s="898"/>
      <c r="AI640" s="898"/>
      <c r="AJ640" s="898"/>
      <c r="AK640" s="897"/>
      <c r="AL640" s="897"/>
      <c r="AM640" s="897"/>
      <c r="AN640" s="897"/>
      <c r="AO640" s="897"/>
      <c r="AP640" s="897"/>
      <c r="AQ640" s="897"/>
      <c r="AR640" s="897"/>
    </row>
    <row r="641" spans="1:44" s="930" customFormat="1">
      <c r="A641" s="892"/>
      <c r="B641" s="899"/>
      <c r="C641" s="900"/>
      <c r="D641" s="894"/>
      <c r="E641" s="895"/>
      <c r="F641" s="896"/>
      <c r="G641" s="897"/>
      <c r="H641" s="897"/>
      <c r="I641" s="897"/>
      <c r="J641" s="897"/>
      <c r="K641" s="897"/>
      <c r="L641" s="898"/>
      <c r="M641" s="898"/>
      <c r="N641" s="898"/>
      <c r="O641" s="898"/>
      <c r="P641" s="898"/>
      <c r="Q641" s="898"/>
      <c r="R641" s="898"/>
      <c r="S641" s="898"/>
      <c r="T641" s="898"/>
      <c r="U641" s="898"/>
      <c r="V641" s="898"/>
      <c r="W641" s="898"/>
      <c r="X641" s="898"/>
      <c r="Y641" s="898"/>
      <c r="Z641" s="898"/>
      <c r="AA641" s="898"/>
      <c r="AB641" s="898"/>
      <c r="AC641" s="898"/>
      <c r="AD641" s="898"/>
      <c r="AE641" s="898"/>
      <c r="AF641" s="898"/>
      <c r="AG641" s="898"/>
      <c r="AH641" s="898"/>
      <c r="AI641" s="898"/>
      <c r="AJ641" s="898"/>
      <c r="AK641" s="897"/>
      <c r="AL641" s="897"/>
      <c r="AM641" s="897"/>
      <c r="AN641" s="897"/>
      <c r="AO641" s="897"/>
      <c r="AP641" s="897"/>
      <c r="AQ641" s="897"/>
      <c r="AR641" s="897"/>
    </row>
    <row r="642" spans="1:44" s="930" customFormat="1">
      <c r="A642" s="892"/>
      <c r="B642" s="899"/>
      <c r="C642" s="900"/>
      <c r="D642" s="894"/>
      <c r="E642" s="895"/>
      <c r="F642" s="896"/>
      <c r="G642" s="897"/>
      <c r="H642" s="897"/>
      <c r="I642" s="897"/>
      <c r="J642" s="897"/>
      <c r="K642" s="897"/>
      <c r="L642" s="898"/>
      <c r="M642" s="898"/>
      <c r="N642" s="898"/>
      <c r="O642" s="898"/>
      <c r="P642" s="898"/>
      <c r="Q642" s="898"/>
      <c r="R642" s="898"/>
      <c r="S642" s="898"/>
      <c r="T642" s="898"/>
      <c r="U642" s="898"/>
      <c r="V642" s="898"/>
      <c r="W642" s="898"/>
      <c r="X642" s="898"/>
      <c r="Y642" s="898"/>
      <c r="Z642" s="898"/>
      <c r="AA642" s="898"/>
      <c r="AB642" s="898"/>
      <c r="AC642" s="898"/>
      <c r="AD642" s="898"/>
      <c r="AE642" s="898"/>
      <c r="AF642" s="898"/>
      <c r="AG642" s="898"/>
      <c r="AH642" s="898"/>
      <c r="AI642" s="898"/>
      <c r="AJ642" s="898"/>
      <c r="AK642" s="897"/>
      <c r="AL642" s="897"/>
      <c r="AM642" s="897"/>
      <c r="AN642" s="897"/>
      <c r="AO642" s="897"/>
      <c r="AP642" s="897"/>
      <c r="AQ642" s="897"/>
      <c r="AR642" s="897"/>
    </row>
    <row r="643" spans="1:44" s="930" customFormat="1">
      <c r="A643" s="892"/>
      <c r="B643" s="899"/>
      <c r="C643" s="900"/>
      <c r="D643" s="894"/>
      <c r="E643" s="895"/>
      <c r="F643" s="896"/>
      <c r="G643" s="897"/>
      <c r="H643" s="897"/>
      <c r="I643" s="897"/>
      <c r="J643" s="897"/>
      <c r="K643" s="897"/>
      <c r="L643" s="898"/>
      <c r="M643" s="898"/>
      <c r="N643" s="898"/>
      <c r="O643" s="898"/>
      <c r="P643" s="898"/>
      <c r="Q643" s="898"/>
      <c r="R643" s="898"/>
      <c r="S643" s="898"/>
      <c r="T643" s="898"/>
      <c r="U643" s="898"/>
      <c r="V643" s="898"/>
      <c r="W643" s="898"/>
      <c r="X643" s="898"/>
      <c r="Y643" s="898"/>
      <c r="Z643" s="898"/>
      <c r="AA643" s="898"/>
      <c r="AB643" s="898"/>
      <c r="AC643" s="898"/>
      <c r="AD643" s="898"/>
      <c r="AE643" s="898"/>
      <c r="AF643" s="898"/>
      <c r="AG643" s="898"/>
      <c r="AH643" s="898"/>
      <c r="AI643" s="898"/>
      <c r="AJ643" s="898"/>
      <c r="AK643" s="897"/>
      <c r="AL643" s="897"/>
      <c r="AM643" s="897"/>
      <c r="AN643" s="897"/>
      <c r="AO643" s="897"/>
      <c r="AP643" s="897"/>
      <c r="AQ643" s="897"/>
      <c r="AR643" s="897"/>
    </row>
    <row r="644" spans="1:44" s="930" customFormat="1">
      <c r="A644" s="892"/>
      <c r="B644" s="899"/>
      <c r="C644" s="900"/>
      <c r="D644" s="894"/>
      <c r="E644" s="895"/>
      <c r="F644" s="896"/>
      <c r="G644" s="897"/>
      <c r="H644" s="897"/>
      <c r="I644" s="897"/>
      <c r="J644" s="897"/>
      <c r="K644" s="897"/>
      <c r="L644" s="898"/>
      <c r="M644" s="898"/>
      <c r="N644" s="898"/>
      <c r="O644" s="898"/>
      <c r="P644" s="898"/>
      <c r="Q644" s="898"/>
      <c r="R644" s="898"/>
      <c r="S644" s="898"/>
      <c r="T644" s="898"/>
      <c r="U644" s="898"/>
      <c r="V644" s="898"/>
      <c r="W644" s="898"/>
      <c r="X644" s="898"/>
      <c r="Y644" s="898"/>
      <c r="Z644" s="898"/>
      <c r="AA644" s="898"/>
      <c r="AB644" s="898"/>
      <c r="AC644" s="898"/>
      <c r="AD644" s="898"/>
      <c r="AE644" s="898"/>
      <c r="AF644" s="898"/>
      <c r="AG644" s="898"/>
      <c r="AH644" s="898"/>
      <c r="AI644" s="898"/>
      <c r="AJ644" s="898"/>
      <c r="AK644" s="897"/>
      <c r="AL644" s="897"/>
      <c r="AM644" s="897"/>
      <c r="AN644" s="897"/>
      <c r="AO644" s="897"/>
      <c r="AP644" s="897"/>
      <c r="AQ644" s="897"/>
      <c r="AR644" s="897"/>
    </row>
    <row r="645" spans="1:44" s="930" customFormat="1">
      <c r="A645" s="892"/>
      <c r="B645" s="899"/>
      <c r="C645" s="900"/>
      <c r="D645" s="894"/>
      <c r="E645" s="895"/>
      <c r="F645" s="896"/>
      <c r="G645" s="897"/>
      <c r="H645" s="897"/>
      <c r="I645" s="897"/>
      <c r="J645" s="897"/>
      <c r="K645" s="897"/>
      <c r="L645" s="898"/>
      <c r="M645" s="898"/>
      <c r="N645" s="898"/>
      <c r="O645" s="898"/>
      <c r="P645" s="898"/>
      <c r="Q645" s="898"/>
      <c r="R645" s="898"/>
      <c r="S645" s="898"/>
      <c r="T645" s="898"/>
      <c r="U645" s="898"/>
      <c r="V645" s="898"/>
      <c r="W645" s="898"/>
      <c r="X645" s="898"/>
      <c r="Y645" s="898"/>
      <c r="Z645" s="898"/>
      <c r="AA645" s="898"/>
      <c r="AB645" s="898"/>
      <c r="AC645" s="898"/>
      <c r="AD645" s="898"/>
      <c r="AE645" s="898"/>
      <c r="AF645" s="898"/>
      <c r="AG645" s="898"/>
      <c r="AH645" s="898"/>
      <c r="AI645" s="898"/>
      <c r="AJ645" s="898"/>
      <c r="AK645" s="897"/>
      <c r="AL645" s="897"/>
      <c r="AM645" s="897"/>
      <c r="AN645" s="897"/>
      <c r="AO645" s="897"/>
      <c r="AP645" s="897"/>
      <c r="AQ645" s="897"/>
      <c r="AR645" s="897"/>
    </row>
    <row r="646" spans="1:44" s="930" customFormat="1">
      <c r="A646" s="892"/>
      <c r="B646" s="899"/>
      <c r="C646" s="900"/>
      <c r="D646" s="894"/>
      <c r="E646" s="895"/>
      <c r="F646" s="896"/>
      <c r="G646" s="897"/>
      <c r="H646" s="897"/>
      <c r="I646" s="897"/>
      <c r="J646" s="897"/>
      <c r="K646" s="897"/>
      <c r="L646" s="898"/>
      <c r="M646" s="898"/>
      <c r="N646" s="898"/>
      <c r="O646" s="898"/>
      <c r="P646" s="898"/>
      <c r="Q646" s="898"/>
      <c r="R646" s="898"/>
      <c r="S646" s="898"/>
      <c r="T646" s="898"/>
      <c r="U646" s="898"/>
      <c r="V646" s="898"/>
      <c r="W646" s="898"/>
      <c r="X646" s="898"/>
      <c r="Y646" s="898"/>
      <c r="Z646" s="898"/>
      <c r="AA646" s="898"/>
      <c r="AB646" s="898"/>
      <c r="AC646" s="898"/>
      <c r="AD646" s="898"/>
      <c r="AE646" s="898"/>
      <c r="AF646" s="898"/>
      <c r="AG646" s="898"/>
      <c r="AH646" s="898"/>
      <c r="AI646" s="898"/>
      <c r="AJ646" s="898"/>
      <c r="AK646" s="897"/>
      <c r="AL646" s="897"/>
      <c r="AM646" s="897"/>
      <c r="AN646" s="897"/>
      <c r="AO646" s="897"/>
      <c r="AP646" s="897"/>
      <c r="AQ646" s="897"/>
      <c r="AR646" s="897"/>
    </row>
    <row r="647" spans="1:44" s="930" customFormat="1">
      <c r="A647" s="892"/>
      <c r="B647" s="899"/>
      <c r="C647" s="900"/>
      <c r="D647" s="894"/>
      <c r="E647" s="895"/>
      <c r="F647" s="896"/>
      <c r="G647" s="897"/>
      <c r="H647" s="897"/>
      <c r="I647" s="897"/>
      <c r="J647" s="897"/>
      <c r="K647" s="897"/>
      <c r="L647" s="898"/>
      <c r="M647" s="898"/>
      <c r="N647" s="898"/>
      <c r="O647" s="898"/>
      <c r="P647" s="898"/>
      <c r="Q647" s="898"/>
      <c r="R647" s="898"/>
      <c r="S647" s="898"/>
      <c r="T647" s="898"/>
      <c r="U647" s="898"/>
      <c r="V647" s="898"/>
      <c r="W647" s="898"/>
      <c r="X647" s="898"/>
      <c r="Y647" s="898"/>
      <c r="Z647" s="898"/>
      <c r="AA647" s="898"/>
      <c r="AB647" s="898"/>
      <c r="AC647" s="898"/>
      <c r="AD647" s="898"/>
      <c r="AE647" s="898"/>
      <c r="AF647" s="898"/>
      <c r="AG647" s="898"/>
      <c r="AH647" s="898"/>
      <c r="AI647" s="898"/>
      <c r="AJ647" s="898"/>
      <c r="AK647" s="897"/>
      <c r="AL647" s="897"/>
      <c r="AM647" s="897"/>
      <c r="AN647" s="897"/>
      <c r="AO647" s="897"/>
      <c r="AP647" s="897"/>
      <c r="AQ647" s="897"/>
      <c r="AR647" s="897"/>
    </row>
    <row r="648" spans="1:44" s="930" customFormat="1">
      <c r="A648" s="892"/>
      <c r="B648" s="899"/>
      <c r="C648" s="900"/>
      <c r="D648" s="894"/>
      <c r="E648" s="895"/>
      <c r="F648" s="896"/>
      <c r="G648" s="897"/>
      <c r="H648" s="897"/>
      <c r="I648" s="897"/>
      <c r="J648" s="897"/>
      <c r="K648" s="897"/>
      <c r="L648" s="898"/>
      <c r="M648" s="898"/>
      <c r="N648" s="898"/>
      <c r="O648" s="898"/>
      <c r="P648" s="898"/>
      <c r="Q648" s="898"/>
      <c r="R648" s="898"/>
      <c r="S648" s="898"/>
      <c r="T648" s="898"/>
      <c r="U648" s="898"/>
      <c r="V648" s="898"/>
      <c r="W648" s="898"/>
      <c r="X648" s="898"/>
      <c r="Y648" s="898"/>
      <c r="Z648" s="898"/>
      <c r="AA648" s="898"/>
      <c r="AB648" s="898"/>
      <c r="AC648" s="898"/>
      <c r="AD648" s="898"/>
      <c r="AE648" s="898"/>
      <c r="AF648" s="898"/>
      <c r="AG648" s="898"/>
      <c r="AH648" s="898"/>
      <c r="AI648" s="898"/>
      <c r="AJ648" s="898"/>
      <c r="AK648" s="897"/>
      <c r="AL648" s="897"/>
      <c r="AM648" s="897"/>
      <c r="AN648" s="897"/>
      <c r="AO648" s="897"/>
      <c r="AP648" s="897"/>
      <c r="AQ648" s="897"/>
      <c r="AR648" s="897"/>
    </row>
    <row r="649" spans="1:44" s="930" customFormat="1">
      <c r="A649" s="892"/>
      <c r="B649" s="899"/>
      <c r="C649" s="900"/>
      <c r="D649" s="894"/>
      <c r="E649" s="895"/>
      <c r="F649" s="896"/>
      <c r="G649" s="897"/>
      <c r="H649" s="897"/>
      <c r="I649" s="897"/>
      <c r="J649" s="897"/>
      <c r="K649" s="897"/>
      <c r="L649" s="898"/>
      <c r="M649" s="898"/>
      <c r="N649" s="898"/>
      <c r="O649" s="898"/>
      <c r="P649" s="898"/>
      <c r="Q649" s="898"/>
      <c r="R649" s="898"/>
      <c r="S649" s="898"/>
      <c r="T649" s="898"/>
      <c r="U649" s="898"/>
      <c r="V649" s="898"/>
      <c r="W649" s="898"/>
      <c r="X649" s="898"/>
      <c r="Y649" s="898"/>
      <c r="Z649" s="898"/>
      <c r="AA649" s="898"/>
      <c r="AB649" s="898"/>
      <c r="AC649" s="898"/>
      <c r="AD649" s="898"/>
      <c r="AE649" s="898"/>
      <c r="AF649" s="898"/>
      <c r="AG649" s="898"/>
      <c r="AH649" s="898"/>
      <c r="AI649" s="898"/>
      <c r="AJ649" s="898"/>
      <c r="AK649" s="897"/>
      <c r="AL649" s="897"/>
      <c r="AM649" s="897"/>
      <c r="AN649" s="897"/>
      <c r="AO649" s="897"/>
      <c r="AP649" s="897"/>
      <c r="AQ649" s="897"/>
      <c r="AR649" s="897"/>
    </row>
    <row r="650" spans="1:44" s="930" customFormat="1">
      <c r="A650" s="892"/>
      <c r="B650" s="899"/>
      <c r="C650" s="900"/>
      <c r="D650" s="894"/>
      <c r="E650" s="895"/>
      <c r="F650" s="896"/>
      <c r="G650" s="897"/>
      <c r="H650" s="897"/>
      <c r="I650" s="897"/>
      <c r="J650" s="897"/>
      <c r="K650" s="897"/>
      <c r="L650" s="898"/>
      <c r="M650" s="898"/>
      <c r="N650" s="898"/>
      <c r="O650" s="898"/>
      <c r="P650" s="898"/>
      <c r="Q650" s="898"/>
      <c r="R650" s="898"/>
      <c r="S650" s="898"/>
      <c r="T650" s="898"/>
      <c r="U650" s="898"/>
      <c r="V650" s="898"/>
      <c r="W650" s="898"/>
      <c r="X650" s="898"/>
      <c r="Y650" s="898"/>
      <c r="Z650" s="898"/>
      <c r="AA650" s="898"/>
      <c r="AB650" s="898"/>
      <c r="AC650" s="898"/>
      <c r="AD650" s="898"/>
      <c r="AE650" s="898"/>
      <c r="AF650" s="898"/>
      <c r="AG650" s="898"/>
      <c r="AH650" s="898"/>
      <c r="AI650" s="898"/>
      <c r="AJ650" s="898"/>
      <c r="AK650" s="897"/>
      <c r="AL650" s="897"/>
      <c r="AM650" s="897"/>
      <c r="AN650" s="897"/>
      <c r="AO650" s="897"/>
      <c r="AP650" s="897"/>
      <c r="AQ650" s="897"/>
      <c r="AR650" s="897"/>
    </row>
    <row r="651" spans="1:44" s="930" customFormat="1">
      <c r="A651" s="892"/>
      <c r="B651" s="899"/>
      <c r="C651" s="900"/>
      <c r="D651" s="894"/>
      <c r="E651" s="895"/>
      <c r="F651" s="896"/>
      <c r="G651" s="897"/>
      <c r="H651" s="897"/>
      <c r="I651" s="897"/>
      <c r="J651" s="897"/>
      <c r="K651" s="897"/>
      <c r="L651" s="898"/>
      <c r="M651" s="898"/>
      <c r="N651" s="898"/>
      <c r="O651" s="898"/>
      <c r="P651" s="898"/>
      <c r="Q651" s="898"/>
      <c r="R651" s="898"/>
      <c r="S651" s="898"/>
      <c r="T651" s="898"/>
      <c r="U651" s="898"/>
      <c r="V651" s="898"/>
      <c r="W651" s="898"/>
      <c r="X651" s="898"/>
      <c r="Y651" s="898"/>
      <c r="Z651" s="898"/>
      <c r="AA651" s="898"/>
      <c r="AB651" s="898"/>
      <c r="AC651" s="898"/>
      <c r="AD651" s="898"/>
      <c r="AE651" s="898"/>
      <c r="AF651" s="898"/>
      <c r="AG651" s="898"/>
      <c r="AH651" s="898"/>
      <c r="AI651" s="898"/>
      <c r="AJ651" s="898"/>
      <c r="AK651" s="897"/>
      <c r="AL651" s="897"/>
      <c r="AM651" s="897"/>
      <c r="AN651" s="897"/>
      <c r="AO651" s="897"/>
      <c r="AP651" s="897"/>
      <c r="AQ651" s="897"/>
      <c r="AR651" s="897"/>
    </row>
    <row r="652" spans="1:44" s="930" customFormat="1">
      <c r="A652" s="892"/>
      <c r="B652" s="899"/>
      <c r="C652" s="900"/>
      <c r="D652" s="894"/>
      <c r="E652" s="895"/>
      <c r="F652" s="896"/>
      <c r="G652" s="897"/>
      <c r="H652" s="897"/>
      <c r="I652" s="897"/>
      <c r="J652" s="897"/>
      <c r="K652" s="897"/>
      <c r="L652" s="898"/>
      <c r="M652" s="898"/>
      <c r="N652" s="898"/>
      <c r="O652" s="898"/>
      <c r="P652" s="898"/>
      <c r="Q652" s="898"/>
      <c r="R652" s="898"/>
      <c r="S652" s="898"/>
      <c r="T652" s="898"/>
      <c r="U652" s="898"/>
      <c r="V652" s="898"/>
      <c r="W652" s="898"/>
      <c r="X652" s="898"/>
      <c r="Y652" s="898"/>
      <c r="Z652" s="898"/>
      <c r="AA652" s="898"/>
      <c r="AB652" s="898"/>
      <c r="AC652" s="898"/>
      <c r="AD652" s="898"/>
      <c r="AE652" s="898"/>
      <c r="AF652" s="898"/>
      <c r="AG652" s="898"/>
      <c r="AH652" s="898"/>
      <c r="AI652" s="898"/>
      <c r="AJ652" s="898"/>
      <c r="AK652" s="897"/>
      <c r="AL652" s="897"/>
      <c r="AM652" s="897"/>
      <c r="AN652" s="897"/>
      <c r="AO652" s="897"/>
      <c r="AP652" s="897"/>
      <c r="AQ652" s="897"/>
      <c r="AR652" s="897"/>
    </row>
    <row r="653" spans="1:44" s="930" customFormat="1">
      <c r="A653" s="892"/>
      <c r="B653" s="899"/>
      <c r="C653" s="900"/>
      <c r="D653" s="894"/>
      <c r="E653" s="895"/>
      <c r="F653" s="896"/>
      <c r="G653" s="897"/>
      <c r="H653" s="897"/>
      <c r="I653" s="897"/>
      <c r="J653" s="897"/>
      <c r="K653" s="897"/>
      <c r="L653" s="898"/>
      <c r="M653" s="898"/>
      <c r="N653" s="898"/>
      <c r="O653" s="898"/>
      <c r="P653" s="898"/>
      <c r="Q653" s="898"/>
      <c r="R653" s="898"/>
      <c r="S653" s="898"/>
      <c r="T653" s="898"/>
      <c r="U653" s="898"/>
      <c r="V653" s="898"/>
      <c r="W653" s="898"/>
      <c r="X653" s="898"/>
      <c r="Y653" s="898"/>
      <c r="Z653" s="898"/>
      <c r="AA653" s="898"/>
      <c r="AB653" s="898"/>
      <c r="AC653" s="898"/>
      <c r="AD653" s="898"/>
      <c r="AE653" s="898"/>
      <c r="AF653" s="898"/>
      <c r="AG653" s="898"/>
      <c r="AH653" s="898"/>
      <c r="AI653" s="898"/>
      <c r="AJ653" s="898"/>
      <c r="AK653" s="897"/>
      <c r="AL653" s="897"/>
      <c r="AM653" s="897"/>
      <c r="AN653" s="897"/>
      <c r="AO653" s="897"/>
      <c r="AP653" s="897"/>
      <c r="AQ653" s="897"/>
      <c r="AR653" s="897"/>
    </row>
    <row r="654" spans="1:44" s="930" customFormat="1">
      <c r="A654" s="892"/>
      <c r="B654" s="899"/>
      <c r="C654" s="900"/>
      <c r="D654" s="894"/>
      <c r="E654" s="895"/>
      <c r="F654" s="896"/>
      <c r="G654" s="897"/>
      <c r="H654" s="897"/>
      <c r="I654" s="897"/>
      <c r="J654" s="897"/>
      <c r="K654" s="897"/>
      <c r="L654" s="898"/>
      <c r="M654" s="898"/>
      <c r="N654" s="898"/>
      <c r="O654" s="898"/>
      <c r="P654" s="898"/>
      <c r="Q654" s="898"/>
      <c r="R654" s="898"/>
      <c r="S654" s="898"/>
      <c r="T654" s="898"/>
      <c r="U654" s="898"/>
      <c r="V654" s="898"/>
      <c r="W654" s="898"/>
      <c r="X654" s="898"/>
      <c r="Y654" s="898"/>
      <c r="Z654" s="898"/>
      <c r="AA654" s="898"/>
      <c r="AB654" s="898"/>
      <c r="AC654" s="898"/>
      <c r="AD654" s="898"/>
      <c r="AE654" s="898"/>
      <c r="AF654" s="898"/>
      <c r="AG654" s="898"/>
      <c r="AH654" s="898"/>
      <c r="AI654" s="898"/>
      <c r="AJ654" s="898"/>
      <c r="AK654" s="897"/>
      <c r="AL654" s="897"/>
      <c r="AM654" s="897"/>
      <c r="AN654" s="897"/>
      <c r="AO654" s="897"/>
      <c r="AP654" s="897"/>
      <c r="AQ654" s="897"/>
      <c r="AR654" s="897"/>
    </row>
    <row r="655" spans="1:44" s="930" customFormat="1">
      <c r="A655" s="892"/>
      <c r="B655" s="899"/>
      <c r="C655" s="900"/>
      <c r="D655" s="894"/>
      <c r="E655" s="895"/>
      <c r="F655" s="896"/>
      <c r="G655" s="897"/>
      <c r="H655" s="897"/>
      <c r="I655" s="897"/>
      <c r="J655" s="897"/>
      <c r="K655" s="897"/>
      <c r="L655" s="898"/>
      <c r="M655" s="898"/>
      <c r="N655" s="898"/>
      <c r="O655" s="898"/>
      <c r="P655" s="898"/>
      <c r="Q655" s="898"/>
      <c r="R655" s="898"/>
      <c r="S655" s="898"/>
      <c r="T655" s="898"/>
      <c r="U655" s="898"/>
      <c r="V655" s="898"/>
      <c r="W655" s="898"/>
      <c r="X655" s="898"/>
      <c r="Y655" s="898"/>
      <c r="Z655" s="898"/>
      <c r="AA655" s="898"/>
      <c r="AB655" s="898"/>
      <c r="AC655" s="898"/>
      <c r="AD655" s="898"/>
      <c r="AE655" s="898"/>
      <c r="AF655" s="898"/>
      <c r="AG655" s="898"/>
      <c r="AH655" s="898"/>
      <c r="AI655" s="898"/>
      <c r="AJ655" s="898"/>
      <c r="AK655" s="897"/>
      <c r="AL655" s="897"/>
      <c r="AM655" s="897"/>
      <c r="AN655" s="897"/>
      <c r="AO655" s="897"/>
      <c r="AP655" s="897"/>
      <c r="AQ655" s="897"/>
      <c r="AR655" s="897"/>
    </row>
    <row r="656" spans="1:44" s="930" customFormat="1">
      <c r="A656" s="892"/>
      <c r="B656" s="899"/>
      <c r="C656" s="900"/>
      <c r="D656" s="894"/>
      <c r="E656" s="895"/>
      <c r="F656" s="896"/>
      <c r="G656" s="897"/>
      <c r="H656" s="897"/>
      <c r="I656" s="897"/>
      <c r="J656" s="897"/>
      <c r="K656" s="897"/>
      <c r="L656" s="898"/>
      <c r="M656" s="898"/>
      <c r="N656" s="898"/>
      <c r="O656" s="898"/>
      <c r="P656" s="898"/>
      <c r="Q656" s="898"/>
      <c r="R656" s="898"/>
      <c r="S656" s="898"/>
      <c r="T656" s="898"/>
      <c r="U656" s="898"/>
      <c r="V656" s="898"/>
      <c r="W656" s="898"/>
      <c r="X656" s="898"/>
      <c r="Y656" s="898"/>
      <c r="Z656" s="898"/>
      <c r="AA656" s="898"/>
      <c r="AB656" s="898"/>
      <c r="AC656" s="898"/>
      <c r="AD656" s="898"/>
      <c r="AE656" s="898"/>
      <c r="AF656" s="898"/>
      <c r="AG656" s="898"/>
      <c r="AH656" s="898"/>
      <c r="AI656" s="898"/>
      <c r="AJ656" s="898"/>
      <c r="AK656" s="897"/>
      <c r="AL656" s="897"/>
      <c r="AM656" s="897"/>
      <c r="AN656" s="897"/>
      <c r="AO656" s="897"/>
      <c r="AP656" s="897"/>
      <c r="AQ656" s="897"/>
      <c r="AR656" s="897"/>
    </row>
    <row r="657" spans="1:44" s="930" customFormat="1">
      <c r="A657" s="892"/>
      <c r="B657" s="899"/>
      <c r="C657" s="900"/>
      <c r="D657" s="894"/>
      <c r="E657" s="895"/>
      <c r="F657" s="896"/>
      <c r="G657" s="897"/>
      <c r="H657" s="897"/>
      <c r="I657" s="897"/>
      <c r="J657" s="897"/>
      <c r="K657" s="897"/>
      <c r="L657" s="898"/>
      <c r="M657" s="898"/>
      <c r="N657" s="898"/>
      <c r="O657" s="898"/>
      <c r="P657" s="898"/>
      <c r="Q657" s="898"/>
      <c r="R657" s="898"/>
      <c r="S657" s="898"/>
      <c r="T657" s="898"/>
      <c r="U657" s="898"/>
      <c r="V657" s="898"/>
      <c r="W657" s="898"/>
      <c r="X657" s="898"/>
      <c r="Y657" s="898"/>
      <c r="Z657" s="898"/>
      <c r="AA657" s="898"/>
      <c r="AB657" s="898"/>
      <c r="AC657" s="898"/>
      <c r="AD657" s="898"/>
      <c r="AE657" s="898"/>
      <c r="AF657" s="898"/>
      <c r="AG657" s="898"/>
      <c r="AH657" s="898"/>
      <c r="AI657" s="898"/>
      <c r="AJ657" s="898"/>
      <c r="AK657" s="897"/>
      <c r="AL657" s="897"/>
      <c r="AM657" s="897"/>
      <c r="AN657" s="897"/>
      <c r="AO657" s="897"/>
      <c r="AP657" s="897"/>
      <c r="AQ657" s="897"/>
      <c r="AR657" s="897"/>
    </row>
    <row r="658" spans="1:44" s="930" customFormat="1">
      <c r="A658" s="892"/>
      <c r="B658" s="899"/>
      <c r="C658" s="900"/>
      <c r="D658" s="894"/>
      <c r="E658" s="895"/>
      <c r="F658" s="896"/>
      <c r="G658" s="897"/>
      <c r="H658" s="897"/>
      <c r="I658" s="897"/>
      <c r="J658" s="897"/>
      <c r="K658" s="897"/>
      <c r="L658" s="898"/>
      <c r="M658" s="898"/>
      <c r="N658" s="898"/>
      <c r="O658" s="898"/>
      <c r="P658" s="898"/>
      <c r="Q658" s="898"/>
      <c r="R658" s="898"/>
      <c r="S658" s="898"/>
      <c r="T658" s="898"/>
      <c r="U658" s="898"/>
      <c r="V658" s="898"/>
      <c r="W658" s="898"/>
      <c r="X658" s="898"/>
      <c r="Y658" s="898"/>
      <c r="Z658" s="898"/>
      <c r="AA658" s="898"/>
      <c r="AB658" s="898"/>
      <c r="AC658" s="898"/>
      <c r="AD658" s="898"/>
      <c r="AE658" s="898"/>
      <c r="AF658" s="898"/>
      <c r="AG658" s="898"/>
      <c r="AH658" s="898"/>
      <c r="AI658" s="898"/>
      <c r="AJ658" s="898"/>
      <c r="AK658" s="897"/>
      <c r="AL658" s="897"/>
      <c r="AM658" s="897"/>
      <c r="AN658" s="897"/>
      <c r="AO658" s="897"/>
      <c r="AP658" s="897"/>
      <c r="AQ658" s="897"/>
      <c r="AR658" s="897"/>
    </row>
    <row r="659" spans="1:44" s="930" customFormat="1">
      <c r="A659" s="892"/>
      <c r="B659" s="899"/>
      <c r="C659" s="900"/>
      <c r="D659" s="894"/>
      <c r="E659" s="895"/>
      <c r="F659" s="896"/>
      <c r="G659" s="897"/>
      <c r="H659" s="897"/>
      <c r="I659" s="897"/>
      <c r="J659" s="897"/>
      <c r="K659" s="897"/>
      <c r="L659" s="898"/>
      <c r="M659" s="898"/>
      <c r="N659" s="898"/>
      <c r="O659" s="898"/>
      <c r="P659" s="898"/>
      <c r="Q659" s="898"/>
      <c r="R659" s="898"/>
      <c r="S659" s="898"/>
      <c r="T659" s="898"/>
      <c r="U659" s="898"/>
      <c r="V659" s="898"/>
      <c r="W659" s="898"/>
      <c r="X659" s="898"/>
      <c r="Y659" s="898"/>
      <c r="Z659" s="898"/>
      <c r="AA659" s="898"/>
      <c r="AB659" s="898"/>
      <c r="AC659" s="898"/>
      <c r="AD659" s="898"/>
      <c r="AE659" s="898"/>
      <c r="AF659" s="898"/>
      <c r="AG659" s="898"/>
      <c r="AH659" s="898"/>
      <c r="AI659" s="898"/>
      <c r="AJ659" s="898"/>
      <c r="AK659" s="897"/>
      <c r="AL659" s="897"/>
      <c r="AM659" s="897"/>
      <c r="AN659" s="897"/>
      <c r="AO659" s="897"/>
      <c r="AP659" s="897"/>
      <c r="AQ659" s="897"/>
      <c r="AR659" s="897"/>
    </row>
    <row r="660" spans="1:44" s="930" customFormat="1">
      <c r="A660" s="892"/>
      <c r="B660" s="899"/>
      <c r="C660" s="900"/>
      <c r="D660" s="894"/>
      <c r="E660" s="895"/>
      <c r="F660" s="896"/>
      <c r="G660" s="897"/>
      <c r="H660" s="897"/>
      <c r="I660" s="897"/>
      <c r="J660" s="897"/>
      <c r="K660" s="897"/>
      <c r="L660" s="898"/>
      <c r="M660" s="898"/>
      <c r="N660" s="898"/>
      <c r="O660" s="898"/>
      <c r="P660" s="898"/>
      <c r="Q660" s="898"/>
      <c r="R660" s="898"/>
      <c r="S660" s="898"/>
      <c r="T660" s="898"/>
      <c r="U660" s="898"/>
      <c r="V660" s="898"/>
      <c r="W660" s="898"/>
      <c r="X660" s="898"/>
      <c r="Y660" s="898"/>
      <c r="Z660" s="898"/>
      <c r="AA660" s="898"/>
      <c r="AB660" s="898"/>
      <c r="AC660" s="898"/>
      <c r="AD660" s="898"/>
      <c r="AE660" s="898"/>
      <c r="AF660" s="898"/>
      <c r="AG660" s="898"/>
      <c r="AH660" s="898"/>
      <c r="AI660" s="898"/>
      <c r="AJ660" s="898"/>
      <c r="AK660" s="897"/>
      <c r="AL660" s="897"/>
      <c r="AM660" s="897"/>
      <c r="AN660" s="897"/>
      <c r="AO660" s="897"/>
      <c r="AP660" s="897"/>
      <c r="AQ660" s="897"/>
      <c r="AR660" s="897"/>
    </row>
    <row r="661" spans="1:44" s="930" customFormat="1">
      <c r="A661" s="892"/>
      <c r="B661" s="899"/>
      <c r="C661" s="900"/>
      <c r="D661" s="894"/>
      <c r="E661" s="895"/>
      <c r="F661" s="896"/>
      <c r="G661" s="897"/>
      <c r="H661" s="897"/>
      <c r="I661" s="897"/>
      <c r="J661" s="897"/>
      <c r="K661" s="897"/>
      <c r="L661" s="898"/>
      <c r="M661" s="898"/>
      <c r="N661" s="898"/>
      <c r="O661" s="898"/>
      <c r="P661" s="898"/>
      <c r="Q661" s="898"/>
      <c r="R661" s="898"/>
      <c r="S661" s="898"/>
      <c r="T661" s="898"/>
      <c r="U661" s="898"/>
      <c r="V661" s="898"/>
      <c r="W661" s="898"/>
      <c r="X661" s="898"/>
      <c r="Y661" s="898"/>
      <c r="Z661" s="898"/>
      <c r="AA661" s="898"/>
      <c r="AB661" s="898"/>
      <c r="AC661" s="898"/>
      <c r="AD661" s="898"/>
      <c r="AE661" s="898"/>
      <c r="AF661" s="898"/>
      <c r="AG661" s="898"/>
      <c r="AH661" s="898"/>
      <c r="AI661" s="898"/>
      <c r="AJ661" s="898"/>
      <c r="AK661" s="897"/>
      <c r="AL661" s="897"/>
      <c r="AM661" s="897"/>
      <c r="AN661" s="897"/>
      <c r="AO661" s="897"/>
      <c r="AP661" s="897"/>
      <c r="AQ661" s="897"/>
      <c r="AR661" s="897"/>
    </row>
    <row r="662" spans="1:44" s="930" customFormat="1">
      <c r="A662" s="892"/>
      <c r="B662" s="899"/>
      <c r="C662" s="900"/>
      <c r="D662" s="894"/>
      <c r="E662" s="895"/>
      <c r="F662" s="896"/>
      <c r="G662" s="897"/>
      <c r="H662" s="897"/>
      <c r="I662" s="897"/>
      <c r="J662" s="897"/>
      <c r="K662" s="897"/>
      <c r="L662" s="898"/>
      <c r="M662" s="898"/>
      <c r="N662" s="898"/>
      <c r="O662" s="898"/>
      <c r="P662" s="898"/>
      <c r="Q662" s="898"/>
      <c r="R662" s="898"/>
      <c r="S662" s="898"/>
      <c r="T662" s="898"/>
      <c r="U662" s="898"/>
      <c r="V662" s="898"/>
      <c r="W662" s="898"/>
      <c r="X662" s="898"/>
      <c r="Y662" s="898"/>
      <c r="Z662" s="898"/>
      <c r="AA662" s="898"/>
      <c r="AB662" s="898"/>
      <c r="AC662" s="898"/>
      <c r="AD662" s="898"/>
      <c r="AE662" s="898"/>
      <c r="AF662" s="898"/>
      <c r="AG662" s="898"/>
      <c r="AH662" s="898"/>
      <c r="AI662" s="898"/>
      <c r="AJ662" s="898"/>
      <c r="AK662" s="897"/>
      <c r="AL662" s="897"/>
      <c r="AM662" s="897"/>
      <c r="AN662" s="897"/>
      <c r="AO662" s="897"/>
      <c r="AP662" s="897"/>
      <c r="AQ662" s="897"/>
      <c r="AR662" s="897"/>
    </row>
    <row r="663" spans="1:44" s="930" customFormat="1">
      <c r="A663" s="892"/>
      <c r="B663" s="899"/>
      <c r="C663" s="900"/>
      <c r="D663" s="894"/>
      <c r="E663" s="895"/>
      <c r="F663" s="896"/>
      <c r="G663" s="897"/>
      <c r="H663" s="897"/>
      <c r="I663" s="897"/>
      <c r="J663" s="897"/>
      <c r="K663" s="897"/>
      <c r="L663" s="898"/>
      <c r="M663" s="898"/>
      <c r="N663" s="898"/>
      <c r="O663" s="898"/>
      <c r="P663" s="898"/>
      <c r="Q663" s="898"/>
      <c r="R663" s="898"/>
      <c r="S663" s="898"/>
      <c r="T663" s="898"/>
      <c r="U663" s="898"/>
      <c r="V663" s="898"/>
      <c r="W663" s="898"/>
      <c r="X663" s="898"/>
      <c r="Y663" s="898"/>
      <c r="Z663" s="898"/>
      <c r="AA663" s="898"/>
      <c r="AB663" s="898"/>
      <c r="AC663" s="898"/>
      <c r="AD663" s="898"/>
      <c r="AE663" s="898"/>
      <c r="AF663" s="898"/>
      <c r="AG663" s="898"/>
      <c r="AH663" s="898"/>
      <c r="AI663" s="898"/>
      <c r="AJ663" s="898"/>
      <c r="AK663" s="897"/>
      <c r="AL663" s="897"/>
      <c r="AM663" s="897"/>
      <c r="AN663" s="897"/>
      <c r="AO663" s="897"/>
      <c r="AP663" s="897"/>
      <c r="AQ663" s="897"/>
      <c r="AR663" s="897"/>
    </row>
    <row r="664" spans="1:44" s="930" customFormat="1">
      <c r="A664" s="892"/>
      <c r="B664" s="899"/>
      <c r="C664" s="900"/>
      <c r="D664" s="894"/>
      <c r="E664" s="895"/>
      <c r="F664" s="896"/>
      <c r="G664" s="897"/>
      <c r="H664" s="897"/>
      <c r="I664" s="897"/>
      <c r="J664" s="897"/>
      <c r="K664" s="897"/>
      <c r="L664" s="898"/>
      <c r="M664" s="898"/>
      <c r="N664" s="898"/>
      <c r="O664" s="898"/>
      <c r="P664" s="898"/>
      <c r="Q664" s="898"/>
      <c r="R664" s="898"/>
      <c r="S664" s="898"/>
      <c r="T664" s="898"/>
      <c r="U664" s="898"/>
      <c r="V664" s="898"/>
      <c r="W664" s="898"/>
      <c r="X664" s="898"/>
      <c r="Y664" s="898"/>
      <c r="Z664" s="898"/>
      <c r="AA664" s="898"/>
      <c r="AB664" s="898"/>
      <c r="AC664" s="898"/>
      <c r="AD664" s="898"/>
      <c r="AE664" s="898"/>
      <c r="AF664" s="898"/>
      <c r="AG664" s="898"/>
      <c r="AH664" s="898"/>
      <c r="AI664" s="898"/>
      <c r="AJ664" s="898"/>
      <c r="AK664" s="897"/>
      <c r="AL664" s="897"/>
      <c r="AM664" s="897"/>
      <c r="AN664" s="897"/>
      <c r="AO664" s="897"/>
      <c r="AP664" s="897"/>
      <c r="AQ664" s="897"/>
      <c r="AR664" s="897"/>
    </row>
    <row r="665" spans="1:44" s="930" customFormat="1">
      <c r="A665" s="892"/>
      <c r="B665" s="899"/>
      <c r="C665" s="900"/>
      <c r="D665" s="894"/>
      <c r="E665" s="895"/>
      <c r="F665" s="896"/>
      <c r="G665" s="897"/>
      <c r="H665" s="897"/>
      <c r="I665" s="897"/>
      <c r="J665" s="897"/>
      <c r="K665" s="897"/>
      <c r="L665" s="898"/>
      <c r="M665" s="898"/>
      <c r="N665" s="898"/>
      <c r="O665" s="898"/>
      <c r="P665" s="898"/>
      <c r="Q665" s="898"/>
      <c r="R665" s="898"/>
      <c r="S665" s="898"/>
      <c r="T665" s="898"/>
      <c r="U665" s="898"/>
      <c r="V665" s="898"/>
      <c r="W665" s="898"/>
      <c r="X665" s="898"/>
      <c r="Y665" s="898"/>
      <c r="Z665" s="898"/>
      <c r="AA665" s="898"/>
      <c r="AB665" s="898"/>
      <c r="AC665" s="898"/>
      <c r="AD665" s="898"/>
      <c r="AE665" s="898"/>
      <c r="AF665" s="898"/>
      <c r="AG665" s="898"/>
      <c r="AH665" s="898"/>
      <c r="AI665" s="898"/>
      <c r="AJ665" s="898"/>
      <c r="AK665" s="897"/>
      <c r="AL665" s="897"/>
      <c r="AM665" s="897"/>
      <c r="AN665" s="897"/>
      <c r="AO665" s="897"/>
      <c r="AP665" s="897"/>
      <c r="AQ665" s="897"/>
      <c r="AR665" s="897"/>
    </row>
    <row r="666" spans="1:44" s="930" customFormat="1">
      <c r="A666" s="892"/>
      <c r="B666" s="899"/>
      <c r="C666" s="900"/>
      <c r="D666" s="894"/>
      <c r="E666" s="895"/>
      <c r="F666" s="896"/>
      <c r="G666" s="897"/>
      <c r="H666" s="897"/>
      <c r="I666" s="897"/>
      <c r="J666" s="897"/>
      <c r="K666" s="897"/>
      <c r="L666" s="898"/>
      <c r="M666" s="898"/>
      <c r="N666" s="898"/>
      <c r="O666" s="898"/>
      <c r="P666" s="898"/>
      <c r="Q666" s="898"/>
      <c r="R666" s="898"/>
      <c r="S666" s="898"/>
      <c r="T666" s="898"/>
      <c r="U666" s="898"/>
      <c r="V666" s="898"/>
      <c r="W666" s="898"/>
      <c r="X666" s="898"/>
      <c r="Y666" s="898"/>
      <c r="Z666" s="898"/>
      <c r="AA666" s="898"/>
      <c r="AB666" s="898"/>
      <c r="AC666" s="898"/>
      <c r="AD666" s="898"/>
      <c r="AE666" s="898"/>
      <c r="AF666" s="898"/>
      <c r="AG666" s="898"/>
      <c r="AH666" s="898"/>
      <c r="AI666" s="898"/>
      <c r="AJ666" s="898"/>
      <c r="AK666" s="897"/>
      <c r="AL666" s="897"/>
      <c r="AM666" s="897"/>
      <c r="AN666" s="897"/>
      <c r="AO666" s="897"/>
      <c r="AP666" s="897"/>
      <c r="AQ666" s="897"/>
      <c r="AR666" s="897"/>
    </row>
    <row r="667" spans="1:44" s="930" customFormat="1">
      <c r="A667" s="892"/>
      <c r="B667" s="899"/>
      <c r="C667" s="900"/>
      <c r="D667" s="894"/>
      <c r="E667" s="895"/>
      <c r="F667" s="896"/>
      <c r="G667" s="897"/>
      <c r="H667" s="897"/>
      <c r="I667" s="897"/>
      <c r="J667" s="897"/>
      <c r="K667" s="897"/>
      <c r="L667" s="898"/>
      <c r="M667" s="898"/>
      <c r="N667" s="898"/>
      <c r="O667" s="898"/>
      <c r="P667" s="898"/>
      <c r="Q667" s="898"/>
      <c r="R667" s="898"/>
      <c r="S667" s="898"/>
      <c r="T667" s="898"/>
      <c r="U667" s="898"/>
      <c r="V667" s="898"/>
      <c r="W667" s="898"/>
      <c r="X667" s="898"/>
      <c r="Y667" s="898"/>
      <c r="Z667" s="898"/>
      <c r="AA667" s="898"/>
      <c r="AB667" s="898"/>
      <c r="AC667" s="898"/>
      <c r="AD667" s="898"/>
      <c r="AE667" s="898"/>
      <c r="AF667" s="898"/>
      <c r="AG667" s="898"/>
      <c r="AH667" s="898"/>
      <c r="AI667" s="898"/>
      <c r="AJ667" s="898"/>
      <c r="AK667" s="897"/>
      <c r="AL667" s="897"/>
      <c r="AM667" s="897"/>
      <c r="AN667" s="897"/>
      <c r="AO667" s="897"/>
      <c r="AP667" s="897"/>
      <c r="AQ667" s="897"/>
      <c r="AR667" s="897"/>
    </row>
    <row r="668" spans="1:44" s="930" customFormat="1">
      <c r="A668" s="892"/>
      <c r="B668" s="899"/>
      <c r="C668" s="900"/>
      <c r="D668" s="894"/>
      <c r="E668" s="895"/>
      <c r="F668" s="896"/>
      <c r="G668" s="897"/>
      <c r="H668" s="897"/>
      <c r="I668" s="897"/>
      <c r="J668" s="897"/>
      <c r="K668" s="897"/>
      <c r="L668" s="898"/>
      <c r="M668" s="898"/>
      <c r="N668" s="898"/>
      <c r="O668" s="898"/>
      <c r="P668" s="898"/>
      <c r="Q668" s="898"/>
      <c r="R668" s="898"/>
      <c r="S668" s="898"/>
      <c r="T668" s="898"/>
      <c r="U668" s="898"/>
      <c r="V668" s="898"/>
      <c r="W668" s="898"/>
      <c r="X668" s="898"/>
      <c r="Y668" s="898"/>
      <c r="Z668" s="898"/>
      <c r="AA668" s="898"/>
      <c r="AB668" s="898"/>
      <c r="AC668" s="898"/>
      <c r="AD668" s="898"/>
      <c r="AE668" s="898"/>
      <c r="AF668" s="898"/>
      <c r="AG668" s="898"/>
      <c r="AH668" s="898"/>
      <c r="AI668" s="898"/>
      <c r="AJ668" s="898"/>
      <c r="AK668" s="897"/>
      <c r="AL668" s="897"/>
      <c r="AM668" s="897"/>
      <c r="AN668" s="897"/>
      <c r="AO668" s="897"/>
      <c r="AP668" s="897"/>
      <c r="AQ668" s="897"/>
      <c r="AR668" s="897"/>
    </row>
    <row r="669" spans="1:44" s="930" customFormat="1">
      <c r="A669" s="892"/>
      <c r="B669" s="899"/>
      <c r="C669" s="900"/>
      <c r="D669" s="894"/>
      <c r="E669" s="895"/>
      <c r="F669" s="896"/>
      <c r="G669" s="897"/>
      <c r="H669" s="897"/>
      <c r="I669" s="897"/>
      <c r="J669" s="897"/>
      <c r="K669" s="897"/>
      <c r="L669" s="898"/>
      <c r="M669" s="898"/>
      <c r="N669" s="898"/>
      <c r="O669" s="898"/>
      <c r="P669" s="898"/>
      <c r="Q669" s="898"/>
      <c r="R669" s="898"/>
      <c r="S669" s="898"/>
      <c r="T669" s="898"/>
      <c r="U669" s="898"/>
      <c r="V669" s="898"/>
      <c r="W669" s="898"/>
      <c r="X669" s="898"/>
      <c r="Y669" s="898"/>
      <c r="Z669" s="898"/>
      <c r="AA669" s="898"/>
      <c r="AB669" s="898"/>
      <c r="AC669" s="898"/>
      <c r="AD669" s="898"/>
      <c r="AE669" s="898"/>
      <c r="AF669" s="898"/>
      <c r="AG669" s="898"/>
      <c r="AH669" s="898"/>
      <c r="AI669" s="898"/>
      <c r="AJ669" s="898"/>
      <c r="AK669" s="897"/>
      <c r="AL669" s="897"/>
      <c r="AM669" s="897"/>
      <c r="AN669" s="897"/>
      <c r="AO669" s="897"/>
      <c r="AP669" s="897"/>
      <c r="AQ669" s="897"/>
      <c r="AR669" s="897"/>
    </row>
    <row r="670" spans="1:44" s="930" customFormat="1">
      <c r="A670" s="892"/>
      <c r="B670" s="899"/>
      <c r="C670" s="900"/>
      <c r="D670" s="894"/>
      <c r="E670" s="895"/>
      <c r="F670" s="896"/>
      <c r="G670" s="897"/>
      <c r="H670" s="897"/>
      <c r="I670" s="897"/>
      <c r="J670" s="897"/>
      <c r="K670" s="897"/>
      <c r="L670" s="898"/>
      <c r="M670" s="898"/>
      <c r="N670" s="898"/>
      <c r="O670" s="898"/>
      <c r="P670" s="898"/>
      <c r="Q670" s="898"/>
      <c r="R670" s="898"/>
      <c r="S670" s="898"/>
      <c r="T670" s="898"/>
      <c r="U670" s="898"/>
      <c r="V670" s="898"/>
      <c r="W670" s="898"/>
      <c r="X670" s="898"/>
      <c r="Y670" s="898"/>
      <c r="Z670" s="898"/>
      <c r="AA670" s="898"/>
      <c r="AB670" s="898"/>
      <c r="AC670" s="898"/>
      <c r="AD670" s="898"/>
      <c r="AE670" s="898"/>
      <c r="AF670" s="898"/>
      <c r="AG670" s="898"/>
      <c r="AH670" s="898"/>
      <c r="AI670" s="898"/>
      <c r="AJ670" s="898"/>
      <c r="AK670" s="897"/>
      <c r="AL670" s="897"/>
      <c r="AM670" s="897"/>
      <c r="AN670" s="897"/>
      <c r="AO670" s="897"/>
      <c r="AP670" s="897"/>
      <c r="AQ670" s="897"/>
      <c r="AR670" s="897"/>
    </row>
    <row r="671" spans="1:44" s="930" customFormat="1">
      <c r="A671" s="892"/>
      <c r="B671" s="899"/>
      <c r="C671" s="900"/>
      <c r="D671" s="894"/>
      <c r="E671" s="895"/>
      <c r="F671" s="896"/>
      <c r="G671" s="897"/>
      <c r="H671" s="897"/>
      <c r="I671" s="897"/>
      <c r="J671" s="897"/>
      <c r="K671" s="897"/>
      <c r="L671" s="898"/>
      <c r="M671" s="898"/>
      <c r="N671" s="898"/>
      <c r="O671" s="898"/>
      <c r="P671" s="898"/>
      <c r="Q671" s="898"/>
      <c r="R671" s="898"/>
      <c r="S671" s="898"/>
      <c r="T671" s="898"/>
      <c r="U671" s="898"/>
      <c r="V671" s="898"/>
      <c r="W671" s="898"/>
      <c r="X671" s="898"/>
      <c r="Y671" s="898"/>
      <c r="Z671" s="898"/>
      <c r="AA671" s="898"/>
      <c r="AB671" s="898"/>
      <c r="AC671" s="898"/>
      <c r="AD671" s="898"/>
      <c r="AE671" s="898"/>
      <c r="AF671" s="898"/>
      <c r="AG671" s="898"/>
      <c r="AH671" s="898"/>
      <c r="AI671" s="898"/>
      <c r="AJ671" s="898"/>
      <c r="AK671" s="897"/>
      <c r="AL671" s="897"/>
      <c r="AM671" s="897"/>
      <c r="AN671" s="897"/>
      <c r="AO671" s="897"/>
      <c r="AP671" s="897"/>
      <c r="AQ671" s="897"/>
      <c r="AR671" s="897"/>
    </row>
    <row r="672" spans="1:44" s="930" customFormat="1">
      <c r="A672" s="892"/>
      <c r="B672" s="899"/>
      <c r="C672" s="900"/>
      <c r="D672" s="894"/>
      <c r="E672" s="895"/>
      <c r="F672" s="896"/>
      <c r="G672" s="897"/>
      <c r="H672" s="897"/>
      <c r="I672" s="897"/>
      <c r="J672" s="897"/>
      <c r="K672" s="897"/>
      <c r="L672" s="898"/>
      <c r="M672" s="898"/>
      <c r="N672" s="898"/>
      <c r="O672" s="898"/>
      <c r="P672" s="898"/>
      <c r="Q672" s="898"/>
      <c r="R672" s="898"/>
      <c r="S672" s="898"/>
      <c r="T672" s="898"/>
      <c r="U672" s="898"/>
      <c r="V672" s="898"/>
      <c r="W672" s="898"/>
      <c r="X672" s="898"/>
      <c r="Y672" s="898"/>
      <c r="Z672" s="898"/>
      <c r="AA672" s="898"/>
      <c r="AB672" s="898"/>
      <c r="AC672" s="898"/>
      <c r="AD672" s="898"/>
      <c r="AE672" s="898"/>
      <c r="AF672" s="898"/>
      <c r="AG672" s="898"/>
      <c r="AH672" s="898"/>
      <c r="AI672" s="898"/>
      <c r="AJ672" s="898"/>
      <c r="AK672" s="897"/>
      <c r="AL672" s="897"/>
      <c r="AM672" s="897"/>
      <c r="AN672" s="897"/>
      <c r="AO672" s="897"/>
      <c r="AP672" s="897"/>
      <c r="AQ672" s="897"/>
      <c r="AR672" s="897"/>
    </row>
    <row r="673" spans="1:44" s="930" customFormat="1">
      <c r="A673" s="892"/>
      <c r="B673" s="899"/>
      <c r="C673" s="900"/>
      <c r="D673" s="894"/>
      <c r="E673" s="895"/>
      <c r="F673" s="896"/>
      <c r="G673" s="897"/>
      <c r="H673" s="897"/>
      <c r="I673" s="897"/>
      <c r="J673" s="897"/>
      <c r="K673" s="897"/>
      <c r="L673" s="898"/>
      <c r="M673" s="898"/>
      <c r="N673" s="898"/>
      <c r="O673" s="898"/>
      <c r="P673" s="898"/>
      <c r="Q673" s="898"/>
      <c r="R673" s="898"/>
      <c r="S673" s="898"/>
      <c r="T673" s="898"/>
      <c r="U673" s="898"/>
      <c r="V673" s="898"/>
      <c r="W673" s="898"/>
      <c r="X673" s="898"/>
      <c r="Y673" s="898"/>
      <c r="Z673" s="898"/>
      <c r="AA673" s="898"/>
      <c r="AB673" s="898"/>
      <c r="AC673" s="898"/>
      <c r="AD673" s="898"/>
      <c r="AE673" s="898"/>
      <c r="AF673" s="898"/>
      <c r="AG673" s="898"/>
      <c r="AH673" s="898"/>
      <c r="AI673" s="898"/>
      <c r="AJ673" s="898"/>
      <c r="AK673" s="897"/>
      <c r="AL673" s="897"/>
      <c r="AM673" s="897"/>
      <c r="AN673" s="897"/>
      <c r="AO673" s="897"/>
      <c r="AP673" s="897"/>
      <c r="AQ673" s="897"/>
      <c r="AR673" s="897"/>
    </row>
    <row r="674" spans="1:44" s="930" customFormat="1">
      <c r="A674" s="892"/>
      <c r="B674" s="899"/>
      <c r="C674" s="900"/>
      <c r="D674" s="894"/>
      <c r="E674" s="895"/>
      <c r="F674" s="896"/>
      <c r="G674" s="897"/>
      <c r="H674" s="897"/>
      <c r="I674" s="897"/>
      <c r="J674" s="897"/>
      <c r="K674" s="897"/>
      <c r="L674" s="898"/>
      <c r="M674" s="898"/>
      <c r="N674" s="898"/>
      <c r="O674" s="898"/>
      <c r="P674" s="898"/>
      <c r="Q674" s="898"/>
      <c r="R674" s="898"/>
      <c r="S674" s="898"/>
      <c r="T674" s="898"/>
      <c r="U674" s="898"/>
      <c r="V674" s="898"/>
      <c r="W674" s="898"/>
      <c r="X674" s="898"/>
      <c r="Y674" s="898"/>
      <c r="Z674" s="898"/>
      <c r="AA674" s="898"/>
      <c r="AB674" s="898"/>
      <c r="AC674" s="898"/>
      <c r="AD674" s="898"/>
      <c r="AE674" s="898"/>
      <c r="AF674" s="898"/>
      <c r="AG674" s="898"/>
      <c r="AH674" s="898"/>
      <c r="AI674" s="898"/>
      <c r="AJ674" s="898"/>
      <c r="AK674" s="897"/>
      <c r="AL674" s="897"/>
      <c r="AM674" s="897"/>
      <c r="AN674" s="897"/>
      <c r="AO674" s="897"/>
      <c r="AP674" s="897"/>
      <c r="AQ674" s="897"/>
      <c r="AR674" s="897"/>
    </row>
    <row r="675" spans="1:44" s="930" customFormat="1">
      <c r="A675" s="892"/>
      <c r="B675" s="899"/>
      <c r="C675" s="900"/>
      <c r="D675" s="894"/>
      <c r="E675" s="895"/>
      <c r="F675" s="896"/>
      <c r="G675" s="897"/>
      <c r="H675" s="897"/>
      <c r="I675" s="897"/>
      <c r="J675" s="897"/>
      <c r="K675" s="897"/>
      <c r="L675" s="898"/>
      <c r="M675" s="898"/>
      <c r="N675" s="898"/>
      <c r="O675" s="898"/>
      <c r="P675" s="898"/>
      <c r="Q675" s="898"/>
      <c r="R675" s="898"/>
      <c r="S675" s="898"/>
      <c r="T675" s="898"/>
      <c r="U675" s="898"/>
      <c r="V675" s="898"/>
      <c r="W675" s="898"/>
      <c r="X675" s="898"/>
      <c r="Y675" s="898"/>
      <c r="Z675" s="898"/>
      <c r="AA675" s="898"/>
      <c r="AB675" s="898"/>
      <c r="AC675" s="898"/>
      <c r="AD675" s="898"/>
      <c r="AE675" s="898"/>
      <c r="AF675" s="898"/>
      <c r="AG675" s="898"/>
      <c r="AH675" s="898"/>
      <c r="AI675" s="898"/>
      <c r="AJ675" s="898"/>
      <c r="AK675" s="897"/>
      <c r="AL675" s="897"/>
      <c r="AM675" s="897"/>
      <c r="AN675" s="897"/>
      <c r="AO675" s="897"/>
      <c r="AP675" s="897"/>
      <c r="AQ675" s="897"/>
      <c r="AR675" s="897"/>
    </row>
    <row r="676" spans="1:44" s="930" customFormat="1">
      <c r="A676" s="892"/>
      <c r="B676" s="899"/>
      <c r="C676" s="900"/>
      <c r="D676" s="894"/>
      <c r="E676" s="895"/>
      <c r="F676" s="896"/>
      <c r="G676" s="897"/>
      <c r="H676" s="897"/>
      <c r="I676" s="897"/>
      <c r="J676" s="897"/>
      <c r="K676" s="897"/>
      <c r="L676" s="898"/>
      <c r="M676" s="898"/>
      <c r="N676" s="898"/>
      <c r="O676" s="898"/>
      <c r="P676" s="898"/>
      <c r="Q676" s="898"/>
      <c r="R676" s="898"/>
      <c r="S676" s="898"/>
      <c r="T676" s="898"/>
      <c r="U676" s="898"/>
      <c r="V676" s="898"/>
      <c r="W676" s="898"/>
      <c r="X676" s="898"/>
      <c r="Y676" s="898"/>
      <c r="Z676" s="898"/>
      <c r="AA676" s="898"/>
      <c r="AB676" s="898"/>
      <c r="AC676" s="898"/>
      <c r="AD676" s="898"/>
      <c r="AE676" s="898"/>
      <c r="AF676" s="898"/>
      <c r="AG676" s="898"/>
      <c r="AH676" s="898"/>
      <c r="AI676" s="898"/>
      <c r="AJ676" s="898"/>
      <c r="AK676" s="897"/>
      <c r="AL676" s="897"/>
      <c r="AM676" s="897"/>
      <c r="AN676" s="897"/>
      <c r="AO676" s="897"/>
      <c r="AP676" s="897"/>
      <c r="AQ676" s="897"/>
      <c r="AR676" s="897"/>
    </row>
    <row r="677" spans="1:44" s="930" customFormat="1">
      <c r="A677" s="892"/>
      <c r="B677" s="899"/>
      <c r="C677" s="900"/>
      <c r="D677" s="894"/>
      <c r="E677" s="895"/>
      <c r="F677" s="896"/>
      <c r="G677" s="897"/>
      <c r="H677" s="897"/>
      <c r="I677" s="897"/>
      <c r="J677" s="897"/>
      <c r="K677" s="897"/>
      <c r="L677" s="898"/>
      <c r="M677" s="898"/>
      <c r="N677" s="898"/>
      <c r="O677" s="898"/>
      <c r="P677" s="898"/>
      <c r="Q677" s="898"/>
      <c r="R677" s="898"/>
      <c r="S677" s="898"/>
      <c r="T677" s="898"/>
      <c r="U677" s="898"/>
      <c r="V677" s="898"/>
      <c r="W677" s="898"/>
      <c r="X677" s="898"/>
      <c r="Y677" s="898"/>
      <c r="Z677" s="898"/>
      <c r="AA677" s="898"/>
      <c r="AB677" s="898"/>
      <c r="AC677" s="898"/>
      <c r="AD677" s="898"/>
      <c r="AE677" s="898"/>
      <c r="AF677" s="898"/>
      <c r="AG677" s="898"/>
      <c r="AH677" s="898"/>
      <c r="AI677" s="898"/>
      <c r="AJ677" s="898"/>
      <c r="AK677" s="897"/>
      <c r="AL677" s="897"/>
      <c r="AM677" s="897"/>
      <c r="AN677" s="897"/>
      <c r="AO677" s="897"/>
      <c r="AP677" s="897"/>
      <c r="AQ677" s="897"/>
      <c r="AR677" s="897"/>
    </row>
    <row r="678" spans="1:44" s="930" customFormat="1">
      <c r="A678" s="892"/>
      <c r="B678" s="899"/>
      <c r="C678" s="900"/>
      <c r="D678" s="894"/>
      <c r="E678" s="895"/>
      <c r="F678" s="896"/>
      <c r="G678" s="897"/>
      <c r="H678" s="897"/>
      <c r="I678" s="897"/>
      <c r="J678" s="897"/>
      <c r="K678" s="897"/>
      <c r="L678" s="898"/>
      <c r="M678" s="898"/>
      <c r="N678" s="898"/>
      <c r="O678" s="898"/>
      <c r="P678" s="898"/>
      <c r="Q678" s="898"/>
      <c r="R678" s="898"/>
      <c r="S678" s="898"/>
      <c r="T678" s="898"/>
      <c r="U678" s="898"/>
      <c r="V678" s="898"/>
      <c r="W678" s="898"/>
      <c r="X678" s="898"/>
      <c r="Y678" s="898"/>
      <c r="Z678" s="898"/>
      <c r="AA678" s="898"/>
      <c r="AB678" s="898"/>
      <c r="AC678" s="898"/>
      <c r="AD678" s="898"/>
      <c r="AE678" s="898"/>
      <c r="AF678" s="898"/>
      <c r="AG678" s="898"/>
      <c r="AH678" s="898"/>
      <c r="AI678" s="898"/>
      <c r="AJ678" s="898"/>
      <c r="AK678" s="897"/>
      <c r="AL678" s="897"/>
      <c r="AM678" s="897"/>
      <c r="AN678" s="897"/>
      <c r="AO678" s="897"/>
      <c r="AP678" s="897"/>
      <c r="AQ678" s="897"/>
      <c r="AR678" s="897"/>
    </row>
    <row r="679" spans="1:44" s="930" customFormat="1">
      <c r="A679" s="892"/>
      <c r="B679" s="899"/>
      <c r="C679" s="900"/>
      <c r="D679" s="894"/>
      <c r="E679" s="895"/>
      <c r="F679" s="896"/>
      <c r="G679" s="897"/>
      <c r="H679" s="897"/>
      <c r="I679" s="897"/>
      <c r="J679" s="897"/>
      <c r="K679" s="897"/>
      <c r="L679" s="898"/>
      <c r="M679" s="898"/>
      <c r="N679" s="898"/>
      <c r="O679" s="898"/>
      <c r="P679" s="898"/>
      <c r="Q679" s="898"/>
      <c r="R679" s="898"/>
      <c r="S679" s="898"/>
      <c r="T679" s="898"/>
      <c r="U679" s="898"/>
      <c r="V679" s="898"/>
      <c r="W679" s="898"/>
      <c r="X679" s="898"/>
      <c r="Y679" s="898"/>
      <c r="Z679" s="898"/>
      <c r="AA679" s="898"/>
      <c r="AB679" s="898"/>
      <c r="AC679" s="898"/>
      <c r="AD679" s="898"/>
      <c r="AE679" s="898"/>
      <c r="AF679" s="898"/>
      <c r="AG679" s="898"/>
      <c r="AH679" s="898"/>
      <c r="AI679" s="898"/>
      <c r="AJ679" s="898"/>
      <c r="AK679" s="897"/>
      <c r="AL679" s="897"/>
      <c r="AM679" s="897"/>
      <c r="AN679" s="897"/>
      <c r="AO679" s="897"/>
      <c r="AP679" s="897"/>
      <c r="AQ679" s="897"/>
      <c r="AR679" s="897"/>
    </row>
    <row r="680" spans="1:44" s="930" customFormat="1">
      <c r="A680" s="892"/>
      <c r="B680" s="899"/>
      <c r="C680" s="900"/>
      <c r="D680" s="894"/>
      <c r="E680" s="895"/>
      <c r="F680" s="896"/>
      <c r="G680" s="897"/>
      <c r="H680" s="897"/>
      <c r="I680" s="897"/>
      <c r="J680" s="897"/>
      <c r="K680" s="897"/>
      <c r="L680" s="898"/>
      <c r="M680" s="898"/>
      <c r="N680" s="898"/>
      <c r="O680" s="898"/>
      <c r="P680" s="898"/>
      <c r="Q680" s="898"/>
      <c r="R680" s="898"/>
      <c r="S680" s="898"/>
      <c r="T680" s="898"/>
      <c r="U680" s="898"/>
      <c r="V680" s="898"/>
      <c r="W680" s="898"/>
      <c r="X680" s="898"/>
      <c r="Y680" s="898"/>
      <c r="Z680" s="898"/>
      <c r="AA680" s="898"/>
      <c r="AB680" s="898"/>
      <c r="AC680" s="898"/>
      <c r="AD680" s="898"/>
      <c r="AE680" s="898"/>
      <c r="AF680" s="898"/>
      <c r="AG680" s="898"/>
      <c r="AH680" s="898"/>
      <c r="AI680" s="898"/>
      <c r="AJ680" s="898"/>
      <c r="AK680" s="897"/>
      <c r="AL680" s="897"/>
      <c r="AM680" s="897"/>
      <c r="AN680" s="897"/>
      <c r="AO680" s="897"/>
      <c r="AP680" s="897"/>
      <c r="AQ680" s="897"/>
      <c r="AR680" s="897"/>
    </row>
    <row r="681" spans="1:44" s="930" customFormat="1">
      <c r="A681" s="892"/>
      <c r="B681" s="899"/>
      <c r="C681" s="900"/>
      <c r="D681" s="894"/>
      <c r="E681" s="895"/>
      <c r="F681" s="896"/>
      <c r="G681" s="897"/>
      <c r="H681" s="897"/>
      <c r="I681" s="897"/>
      <c r="J681" s="897"/>
      <c r="K681" s="897"/>
      <c r="L681" s="898"/>
      <c r="M681" s="898"/>
      <c r="N681" s="898"/>
      <c r="O681" s="898"/>
      <c r="P681" s="898"/>
      <c r="Q681" s="898"/>
      <c r="R681" s="898"/>
      <c r="S681" s="898"/>
      <c r="T681" s="898"/>
      <c r="U681" s="898"/>
      <c r="V681" s="898"/>
      <c r="W681" s="898"/>
      <c r="X681" s="898"/>
      <c r="Y681" s="898"/>
      <c r="Z681" s="898"/>
      <c r="AA681" s="898"/>
      <c r="AB681" s="898"/>
      <c r="AC681" s="898"/>
      <c r="AD681" s="898"/>
      <c r="AE681" s="898"/>
      <c r="AF681" s="898"/>
      <c r="AG681" s="898"/>
      <c r="AH681" s="898"/>
      <c r="AI681" s="898"/>
      <c r="AJ681" s="898"/>
      <c r="AK681" s="897"/>
      <c r="AL681" s="897"/>
      <c r="AM681" s="897"/>
      <c r="AN681" s="897"/>
      <c r="AO681" s="897"/>
      <c r="AP681" s="897"/>
      <c r="AQ681" s="897"/>
      <c r="AR681" s="897"/>
    </row>
    <row r="682" spans="1:44" s="930" customFormat="1">
      <c r="A682" s="892"/>
      <c r="B682" s="899"/>
      <c r="C682" s="900"/>
      <c r="D682" s="894"/>
      <c r="E682" s="895"/>
      <c r="F682" s="896"/>
      <c r="G682" s="897"/>
      <c r="H682" s="897"/>
      <c r="I682" s="897"/>
      <c r="J682" s="897"/>
      <c r="K682" s="897"/>
      <c r="L682" s="898"/>
      <c r="M682" s="898"/>
      <c r="N682" s="898"/>
      <c r="O682" s="898"/>
      <c r="P682" s="898"/>
      <c r="Q682" s="898"/>
      <c r="R682" s="898"/>
      <c r="S682" s="898"/>
      <c r="T682" s="898"/>
      <c r="U682" s="898"/>
      <c r="V682" s="898"/>
      <c r="W682" s="898"/>
      <c r="X682" s="898"/>
      <c r="Y682" s="898"/>
      <c r="Z682" s="898"/>
      <c r="AA682" s="898"/>
      <c r="AB682" s="898"/>
      <c r="AC682" s="898"/>
      <c r="AD682" s="898"/>
      <c r="AE682" s="898"/>
      <c r="AF682" s="898"/>
      <c r="AG682" s="898"/>
      <c r="AH682" s="898"/>
      <c r="AI682" s="898"/>
      <c r="AJ682" s="898"/>
      <c r="AK682" s="897"/>
      <c r="AL682" s="897"/>
      <c r="AM682" s="897"/>
      <c r="AN682" s="897"/>
      <c r="AO682" s="897"/>
      <c r="AP682" s="897"/>
      <c r="AQ682" s="897"/>
      <c r="AR682" s="897"/>
    </row>
    <row r="683" spans="1:44" s="930" customFormat="1">
      <c r="A683" s="892"/>
      <c r="B683" s="899"/>
      <c r="C683" s="900"/>
      <c r="D683" s="894"/>
      <c r="E683" s="895"/>
      <c r="F683" s="896"/>
      <c r="G683" s="897"/>
      <c r="H683" s="897"/>
      <c r="I683" s="897"/>
      <c r="J683" s="897"/>
      <c r="K683" s="897"/>
      <c r="L683" s="898"/>
      <c r="M683" s="898"/>
      <c r="N683" s="898"/>
      <c r="O683" s="898"/>
      <c r="P683" s="898"/>
      <c r="Q683" s="898"/>
      <c r="R683" s="898"/>
      <c r="S683" s="898"/>
      <c r="T683" s="898"/>
      <c r="U683" s="898"/>
      <c r="V683" s="898"/>
      <c r="W683" s="898"/>
      <c r="X683" s="898"/>
      <c r="Y683" s="898"/>
      <c r="Z683" s="898"/>
      <c r="AA683" s="898"/>
      <c r="AB683" s="898"/>
      <c r="AC683" s="898"/>
      <c r="AD683" s="898"/>
      <c r="AE683" s="898"/>
      <c r="AF683" s="898"/>
      <c r="AG683" s="898"/>
      <c r="AH683" s="898"/>
      <c r="AI683" s="898"/>
      <c r="AJ683" s="898"/>
      <c r="AK683" s="897"/>
      <c r="AL683" s="897"/>
      <c r="AM683" s="897"/>
      <c r="AN683" s="897"/>
      <c r="AO683" s="897"/>
      <c r="AP683" s="897"/>
      <c r="AQ683" s="897"/>
      <c r="AR683" s="897"/>
    </row>
    <row r="684" spans="1:44" s="930" customFormat="1">
      <c r="A684" s="892"/>
      <c r="B684" s="899"/>
      <c r="C684" s="900"/>
      <c r="D684" s="894"/>
      <c r="E684" s="895"/>
      <c r="F684" s="896"/>
      <c r="G684" s="897"/>
      <c r="H684" s="897"/>
      <c r="I684" s="897"/>
      <c r="J684" s="897"/>
      <c r="K684" s="897"/>
      <c r="L684" s="898"/>
      <c r="M684" s="898"/>
      <c r="N684" s="898"/>
      <c r="O684" s="898"/>
      <c r="P684" s="898"/>
      <c r="Q684" s="898"/>
      <c r="R684" s="898"/>
      <c r="S684" s="898"/>
      <c r="T684" s="898"/>
      <c r="U684" s="898"/>
      <c r="V684" s="898"/>
      <c r="W684" s="898"/>
      <c r="X684" s="898"/>
      <c r="Y684" s="898"/>
      <c r="Z684" s="898"/>
      <c r="AA684" s="898"/>
      <c r="AB684" s="898"/>
      <c r="AC684" s="898"/>
      <c r="AD684" s="898"/>
      <c r="AE684" s="898"/>
      <c r="AF684" s="898"/>
      <c r="AG684" s="898"/>
      <c r="AH684" s="898"/>
      <c r="AI684" s="898"/>
      <c r="AJ684" s="898"/>
      <c r="AK684" s="897"/>
      <c r="AL684" s="897"/>
      <c r="AM684" s="897"/>
      <c r="AN684" s="897"/>
      <c r="AO684" s="897"/>
      <c r="AP684" s="897"/>
      <c r="AQ684" s="897"/>
      <c r="AR684" s="897"/>
    </row>
    <row r="685" spans="1:44" s="930" customFormat="1">
      <c r="A685" s="892"/>
      <c r="B685" s="899"/>
      <c r="C685" s="900"/>
      <c r="D685" s="894"/>
      <c r="E685" s="895"/>
      <c r="F685" s="896"/>
      <c r="G685" s="897"/>
      <c r="H685" s="897"/>
      <c r="I685" s="897"/>
      <c r="J685" s="897"/>
      <c r="K685" s="897"/>
      <c r="L685" s="898"/>
      <c r="M685" s="898"/>
      <c r="N685" s="898"/>
      <c r="O685" s="898"/>
      <c r="P685" s="898"/>
      <c r="Q685" s="898"/>
      <c r="R685" s="898"/>
      <c r="S685" s="898"/>
      <c r="T685" s="898"/>
      <c r="U685" s="898"/>
      <c r="V685" s="898"/>
      <c r="W685" s="898"/>
      <c r="X685" s="898"/>
      <c r="Y685" s="898"/>
      <c r="Z685" s="898"/>
      <c r="AA685" s="898"/>
      <c r="AB685" s="898"/>
      <c r="AC685" s="898"/>
      <c r="AD685" s="898"/>
      <c r="AE685" s="898"/>
      <c r="AF685" s="898"/>
      <c r="AG685" s="898"/>
      <c r="AH685" s="898"/>
      <c r="AI685" s="898"/>
      <c r="AJ685" s="898"/>
      <c r="AK685" s="897"/>
      <c r="AL685" s="897"/>
      <c r="AM685" s="897"/>
      <c r="AN685" s="897"/>
      <c r="AO685" s="897"/>
      <c r="AP685" s="897"/>
      <c r="AQ685" s="897"/>
      <c r="AR685" s="897"/>
    </row>
    <row r="686" spans="1:44" s="930" customFormat="1">
      <c r="A686" s="892"/>
      <c r="B686" s="899"/>
      <c r="C686" s="900"/>
      <c r="D686" s="894"/>
      <c r="E686" s="895"/>
      <c r="F686" s="896"/>
      <c r="G686" s="897"/>
      <c r="H686" s="897"/>
      <c r="I686" s="897"/>
      <c r="J686" s="897"/>
      <c r="K686" s="897"/>
      <c r="L686" s="898"/>
      <c r="M686" s="898"/>
      <c r="N686" s="898"/>
      <c r="O686" s="898"/>
      <c r="P686" s="898"/>
      <c r="Q686" s="898"/>
      <c r="R686" s="898"/>
      <c r="S686" s="898"/>
      <c r="T686" s="898"/>
      <c r="U686" s="898"/>
      <c r="V686" s="898"/>
      <c r="W686" s="898"/>
      <c r="X686" s="898"/>
      <c r="Y686" s="898"/>
      <c r="Z686" s="898"/>
      <c r="AA686" s="898"/>
      <c r="AB686" s="898"/>
      <c r="AC686" s="898"/>
      <c r="AD686" s="898"/>
      <c r="AE686" s="898"/>
      <c r="AF686" s="898"/>
      <c r="AG686" s="898"/>
      <c r="AH686" s="898"/>
      <c r="AI686" s="898"/>
      <c r="AJ686" s="898"/>
      <c r="AK686" s="897"/>
      <c r="AL686" s="897"/>
      <c r="AM686" s="897"/>
      <c r="AN686" s="897"/>
      <c r="AO686" s="897"/>
      <c r="AP686" s="897"/>
      <c r="AQ686" s="897"/>
      <c r="AR686" s="897"/>
    </row>
    <row r="687" spans="1:44" s="930" customFormat="1">
      <c r="A687" s="892"/>
      <c r="B687" s="899"/>
      <c r="C687" s="900"/>
      <c r="D687" s="894"/>
      <c r="E687" s="895"/>
      <c r="F687" s="896"/>
      <c r="G687" s="897"/>
      <c r="H687" s="897"/>
      <c r="I687" s="897"/>
      <c r="J687" s="897"/>
      <c r="K687" s="897"/>
      <c r="L687" s="898"/>
      <c r="M687" s="898"/>
      <c r="N687" s="898"/>
      <c r="O687" s="898"/>
      <c r="P687" s="898"/>
      <c r="Q687" s="898"/>
      <c r="R687" s="898"/>
      <c r="S687" s="898"/>
      <c r="T687" s="898"/>
      <c r="U687" s="898"/>
      <c r="V687" s="898"/>
      <c r="W687" s="898"/>
      <c r="X687" s="898"/>
      <c r="Y687" s="898"/>
      <c r="Z687" s="898"/>
      <c r="AA687" s="898"/>
      <c r="AB687" s="898"/>
      <c r="AC687" s="898"/>
      <c r="AD687" s="898"/>
      <c r="AE687" s="898"/>
      <c r="AF687" s="898"/>
      <c r="AG687" s="898"/>
      <c r="AH687" s="898"/>
      <c r="AI687" s="898"/>
      <c r="AJ687" s="898"/>
      <c r="AK687" s="897"/>
      <c r="AL687" s="897"/>
      <c r="AM687" s="897"/>
      <c r="AN687" s="897"/>
      <c r="AO687" s="897"/>
      <c r="AP687" s="897"/>
      <c r="AQ687" s="897"/>
      <c r="AR687" s="897"/>
    </row>
    <row r="688" spans="1:44" s="930" customFormat="1">
      <c r="A688" s="892"/>
      <c r="B688" s="899"/>
      <c r="C688" s="900"/>
      <c r="D688" s="894"/>
      <c r="E688" s="895"/>
      <c r="F688" s="896"/>
      <c r="G688" s="897"/>
      <c r="H688" s="897"/>
      <c r="I688" s="897"/>
      <c r="J688" s="897"/>
      <c r="K688" s="897"/>
      <c r="L688" s="898"/>
      <c r="M688" s="898"/>
      <c r="N688" s="898"/>
      <c r="O688" s="898"/>
      <c r="P688" s="898"/>
      <c r="Q688" s="898"/>
      <c r="R688" s="898"/>
      <c r="S688" s="898"/>
      <c r="T688" s="898"/>
      <c r="U688" s="898"/>
      <c r="V688" s="898"/>
      <c r="W688" s="898"/>
      <c r="X688" s="898"/>
      <c r="Y688" s="898"/>
      <c r="Z688" s="898"/>
      <c r="AA688" s="898"/>
      <c r="AB688" s="898"/>
      <c r="AC688" s="898"/>
      <c r="AD688" s="898"/>
      <c r="AE688" s="898"/>
      <c r="AF688" s="898"/>
      <c r="AG688" s="898"/>
      <c r="AH688" s="898"/>
      <c r="AI688" s="898"/>
      <c r="AJ688" s="898"/>
      <c r="AK688" s="897"/>
      <c r="AL688" s="897"/>
      <c r="AM688" s="897"/>
      <c r="AN688" s="897"/>
      <c r="AO688" s="897"/>
      <c r="AP688" s="897"/>
      <c r="AQ688" s="897"/>
      <c r="AR688" s="897"/>
    </row>
    <row r="689" spans="1:44" s="930" customFormat="1">
      <c r="A689" s="892"/>
      <c r="B689" s="899"/>
      <c r="C689" s="900"/>
      <c r="D689" s="894"/>
      <c r="E689" s="895"/>
      <c r="F689" s="896"/>
      <c r="G689" s="897"/>
      <c r="H689" s="897"/>
      <c r="I689" s="897"/>
      <c r="J689" s="897"/>
      <c r="K689" s="897"/>
      <c r="L689" s="898"/>
      <c r="M689" s="898"/>
      <c r="N689" s="898"/>
      <c r="O689" s="898"/>
      <c r="P689" s="898"/>
      <c r="Q689" s="898"/>
      <c r="R689" s="898"/>
      <c r="S689" s="898"/>
      <c r="T689" s="898"/>
      <c r="U689" s="898"/>
      <c r="V689" s="898"/>
      <c r="W689" s="898"/>
      <c r="X689" s="898"/>
      <c r="Y689" s="898"/>
      <c r="Z689" s="898"/>
      <c r="AA689" s="898"/>
      <c r="AB689" s="898"/>
      <c r="AC689" s="898"/>
      <c r="AD689" s="898"/>
      <c r="AE689" s="898"/>
      <c r="AF689" s="898"/>
      <c r="AG689" s="898"/>
      <c r="AH689" s="898"/>
      <c r="AI689" s="898"/>
      <c r="AJ689" s="898"/>
      <c r="AK689" s="897"/>
      <c r="AL689" s="897"/>
      <c r="AM689" s="897"/>
      <c r="AN689" s="897"/>
      <c r="AO689" s="897"/>
      <c r="AP689" s="897"/>
      <c r="AQ689" s="897"/>
      <c r="AR689" s="897"/>
    </row>
    <row r="690" spans="1:44" s="930" customFormat="1">
      <c r="A690" s="892"/>
      <c r="B690" s="899"/>
      <c r="C690" s="900"/>
      <c r="D690" s="894"/>
      <c r="E690" s="895"/>
      <c r="F690" s="896"/>
      <c r="G690" s="897"/>
      <c r="H690" s="897"/>
      <c r="I690" s="897"/>
      <c r="J690" s="897"/>
      <c r="K690" s="897"/>
      <c r="L690" s="898"/>
      <c r="M690" s="898"/>
      <c r="N690" s="898"/>
      <c r="O690" s="898"/>
      <c r="P690" s="898"/>
      <c r="Q690" s="898"/>
      <c r="R690" s="898"/>
      <c r="S690" s="898"/>
      <c r="T690" s="898"/>
      <c r="U690" s="898"/>
      <c r="V690" s="898"/>
      <c r="W690" s="898"/>
      <c r="X690" s="898"/>
      <c r="Y690" s="898"/>
      <c r="Z690" s="898"/>
      <c r="AA690" s="898"/>
      <c r="AB690" s="898"/>
      <c r="AC690" s="898"/>
      <c r="AD690" s="898"/>
      <c r="AE690" s="898"/>
      <c r="AF690" s="898"/>
      <c r="AG690" s="898"/>
      <c r="AH690" s="898"/>
      <c r="AI690" s="898"/>
      <c r="AJ690" s="898"/>
      <c r="AK690" s="897"/>
      <c r="AL690" s="897"/>
      <c r="AM690" s="897"/>
      <c r="AN690" s="897"/>
      <c r="AO690" s="897"/>
      <c r="AP690" s="897"/>
      <c r="AQ690" s="897"/>
      <c r="AR690" s="897"/>
    </row>
    <row r="691" spans="1:44" s="930" customFormat="1">
      <c r="A691" s="892"/>
      <c r="B691" s="899"/>
      <c r="C691" s="900"/>
      <c r="D691" s="894"/>
      <c r="E691" s="895"/>
      <c r="F691" s="896"/>
      <c r="G691" s="897"/>
      <c r="H691" s="897"/>
      <c r="I691" s="897"/>
      <c r="J691" s="897"/>
      <c r="K691" s="897"/>
      <c r="L691" s="898"/>
      <c r="M691" s="898"/>
      <c r="N691" s="898"/>
      <c r="O691" s="898"/>
      <c r="P691" s="898"/>
      <c r="Q691" s="898"/>
      <c r="R691" s="898"/>
      <c r="S691" s="898"/>
      <c r="T691" s="898"/>
      <c r="U691" s="898"/>
      <c r="V691" s="898"/>
      <c r="W691" s="898"/>
      <c r="X691" s="898"/>
      <c r="Y691" s="898"/>
      <c r="Z691" s="898"/>
      <c r="AA691" s="898"/>
      <c r="AB691" s="898"/>
      <c r="AC691" s="898"/>
      <c r="AD691" s="898"/>
      <c r="AE691" s="898"/>
      <c r="AF691" s="898"/>
      <c r="AG691" s="898"/>
      <c r="AH691" s="898"/>
      <c r="AI691" s="898"/>
      <c r="AJ691" s="898"/>
      <c r="AK691" s="897"/>
      <c r="AL691" s="897"/>
      <c r="AM691" s="897"/>
      <c r="AN691" s="897"/>
      <c r="AO691" s="897"/>
      <c r="AP691" s="897"/>
      <c r="AQ691" s="897"/>
      <c r="AR691" s="897"/>
    </row>
    <row r="692" spans="1:44" s="930" customFormat="1">
      <c r="A692" s="892"/>
      <c r="B692" s="899"/>
      <c r="C692" s="900"/>
      <c r="D692" s="894"/>
      <c r="E692" s="895"/>
      <c r="F692" s="896"/>
      <c r="G692" s="897"/>
      <c r="H692" s="897"/>
      <c r="I692" s="897"/>
      <c r="J692" s="897"/>
      <c r="K692" s="897"/>
      <c r="L692" s="898"/>
      <c r="M692" s="898"/>
      <c r="N692" s="898"/>
      <c r="O692" s="898"/>
      <c r="P692" s="898"/>
      <c r="Q692" s="898"/>
      <c r="R692" s="898"/>
      <c r="S692" s="898"/>
      <c r="T692" s="898"/>
      <c r="U692" s="898"/>
      <c r="V692" s="898"/>
      <c r="W692" s="898"/>
      <c r="X692" s="898"/>
      <c r="Y692" s="898"/>
      <c r="Z692" s="898"/>
      <c r="AA692" s="898"/>
      <c r="AB692" s="898"/>
      <c r="AC692" s="898"/>
      <c r="AD692" s="898"/>
      <c r="AE692" s="898"/>
      <c r="AF692" s="898"/>
      <c r="AG692" s="898"/>
      <c r="AH692" s="898"/>
      <c r="AI692" s="898"/>
      <c r="AJ692" s="898"/>
      <c r="AK692" s="897"/>
      <c r="AL692" s="897"/>
      <c r="AM692" s="897"/>
      <c r="AN692" s="897"/>
      <c r="AO692" s="897"/>
      <c r="AP692" s="897"/>
      <c r="AQ692" s="897"/>
      <c r="AR692" s="897"/>
    </row>
    <row r="693" spans="1:44" s="930" customFormat="1">
      <c r="A693" s="892"/>
      <c r="B693" s="899"/>
      <c r="C693" s="900"/>
      <c r="D693" s="894"/>
      <c r="E693" s="895"/>
      <c r="F693" s="896"/>
      <c r="G693" s="897"/>
      <c r="H693" s="897"/>
      <c r="I693" s="897"/>
      <c r="J693" s="897"/>
      <c r="K693" s="897"/>
      <c r="L693" s="898"/>
      <c r="M693" s="898"/>
      <c r="N693" s="898"/>
      <c r="O693" s="898"/>
      <c r="P693" s="898"/>
      <c r="Q693" s="898"/>
      <c r="R693" s="898"/>
      <c r="S693" s="898"/>
      <c r="T693" s="898"/>
      <c r="U693" s="898"/>
      <c r="V693" s="898"/>
      <c r="W693" s="898"/>
      <c r="X693" s="898"/>
      <c r="Y693" s="898"/>
      <c r="Z693" s="898"/>
      <c r="AA693" s="898"/>
      <c r="AB693" s="898"/>
      <c r="AC693" s="898"/>
      <c r="AD693" s="898"/>
      <c r="AE693" s="898"/>
      <c r="AF693" s="898"/>
      <c r="AG693" s="898"/>
      <c r="AH693" s="898"/>
      <c r="AI693" s="898"/>
      <c r="AJ693" s="898"/>
      <c r="AK693" s="897"/>
      <c r="AL693" s="897"/>
      <c r="AM693" s="897"/>
      <c r="AN693" s="897"/>
      <c r="AO693" s="897"/>
      <c r="AP693" s="897"/>
      <c r="AQ693" s="897"/>
      <c r="AR693" s="897"/>
    </row>
    <row r="694" spans="1:44" s="930" customFormat="1">
      <c r="A694" s="892"/>
      <c r="B694" s="899"/>
      <c r="C694" s="900"/>
      <c r="D694" s="894"/>
      <c r="E694" s="895"/>
      <c r="F694" s="896"/>
      <c r="G694" s="897"/>
      <c r="H694" s="897"/>
      <c r="I694" s="897"/>
      <c r="J694" s="897"/>
      <c r="K694" s="897"/>
      <c r="L694" s="898"/>
      <c r="M694" s="898"/>
      <c r="N694" s="898"/>
      <c r="O694" s="898"/>
      <c r="P694" s="898"/>
      <c r="Q694" s="898"/>
      <c r="R694" s="898"/>
      <c r="S694" s="898"/>
      <c r="T694" s="898"/>
      <c r="U694" s="898"/>
      <c r="V694" s="898"/>
      <c r="W694" s="898"/>
      <c r="X694" s="898"/>
      <c r="Y694" s="898"/>
      <c r="Z694" s="898"/>
      <c r="AA694" s="898"/>
      <c r="AB694" s="898"/>
      <c r="AC694" s="898"/>
      <c r="AD694" s="898"/>
      <c r="AE694" s="898"/>
      <c r="AF694" s="898"/>
      <c r="AG694" s="898"/>
      <c r="AH694" s="898"/>
      <c r="AI694" s="898"/>
      <c r="AJ694" s="898"/>
      <c r="AK694" s="897"/>
      <c r="AL694" s="897"/>
      <c r="AM694" s="897"/>
      <c r="AN694" s="897"/>
      <c r="AO694" s="897"/>
      <c r="AP694" s="897"/>
      <c r="AQ694" s="897"/>
      <c r="AR694" s="897"/>
    </row>
    <row r="695" spans="1:44" s="930" customFormat="1">
      <c r="A695" s="892"/>
      <c r="B695" s="899"/>
      <c r="C695" s="900"/>
      <c r="D695" s="894"/>
      <c r="E695" s="895"/>
      <c r="F695" s="896"/>
      <c r="G695" s="897"/>
      <c r="H695" s="897"/>
      <c r="I695" s="897"/>
      <c r="J695" s="897"/>
      <c r="K695" s="897"/>
      <c r="L695" s="898"/>
      <c r="M695" s="898"/>
      <c r="N695" s="898"/>
      <c r="O695" s="898"/>
      <c r="P695" s="898"/>
      <c r="Q695" s="898"/>
      <c r="R695" s="898"/>
      <c r="S695" s="898"/>
      <c r="T695" s="898"/>
      <c r="U695" s="898"/>
      <c r="V695" s="898"/>
      <c r="W695" s="898"/>
      <c r="X695" s="898"/>
      <c r="Y695" s="898"/>
      <c r="Z695" s="898"/>
      <c r="AA695" s="898"/>
      <c r="AB695" s="898"/>
      <c r="AC695" s="898"/>
      <c r="AD695" s="898"/>
      <c r="AE695" s="898"/>
      <c r="AF695" s="898"/>
      <c r="AG695" s="898"/>
      <c r="AH695" s="898"/>
      <c r="AI695" s="898"/>
      <c r="AJ695" s="898"/>
      <c r="AK695" s="897"/>
      <c r="AL695" s="897"/>
      <c r="AM695" s="897"/>
      <c r="AN695" s="897"/>
      <c r="AO695" s="897"/>
      <c r="AP695" s="897"/>
      <c r="AQ695" s="897"/>
      <c r="AR695" s="897"/>
    </row>
    <row r="696" spans="1:44" s="930" customFormat="1">
      <c r="A696" s="892"/>
      <c r="B696" s="899"/>
      <c r="C696" s="900"/>
      <c r="D696" s="894"/>
      <c r="E696" s="895"/>
      <c r="F696" s="896"/>
      <c r="G696" s="897"/>
      <c r="H696" s="897"/>
      <c r="I696" s="897"/>
      <c r="J696" s="897"/>
      <c r="K696" s="897"/>
      <c r="L696" s="898"/>
      <c r="M696" s="898"/>
      <c r="N696" s="898"/>
      <c r="O696" s="898"/>
      <c r="P696" s="898"/>
      <c r="Q696" s="898"/>
      <c r="R696" s="898"/>
      <c r="S696" s="898"/>
      <c r="T696" s="898"/>
      <c r="U696" s="898"/>
      <c r="V696" s="898"/>
      <c r="W696" s="898"/>
      <c r="X696" s="898"/>
      <c r="Y696" s="898"/>
      <c r="Z696" s="898"/>
      <c r="AA696" s="898"/>
      <c r="AB696" s="898"/>
      <c r="AC696" s="898"/>
      <c r="AD696" s="898"/>
      <c r="AE696" s="898"/>
      <c r="AF696" s="898"/>
      <c r="AG696" s="898"/>
      <c r="AH696" s="898"/>
      <c r="AI696" s="898"/>
      <c r="AJ696" s="898"/>
      <c r="AK696" s="897"/>
      <c r="AL696" s="897"/>
      <c r="AM696" s="897"/>
      <c r="AN696" s="897"/>
      <c r="AO696" s="897"/>
      <c r="AP696" s="897"/>
      <c r="AQ696" s="897"/>
      <c r="AR696" s="897"/>
    </row>
    <row r="697" spans="1:44" s="930" customFormat="1">
      <c r="A697" s="892"/>
      <c r="B697" s="899"/>
      <c r="C697" s="900"/>
      <c r="D697" s="894"/>
      <c r="E697" s="895"/>
      <c r="F697" s="896"/>
      <c r="G697" s="897"/>
      <c r="H697" s="897"/>
      <c r="I697" s="897"/>
      <c r="J697" s="897"/>
      <c r="K697" s="897"/>
      <c r="L697" s="898"/>
      <c r="M697" s="898"/>
      <c r="N697" s="898"/>
      <c r="O697" s="898"/>
      <c r="P697" s="898"/>
      <c r="Q697" s="898"/>
      <c r="R697" s="898"/>
      <c r="S697" s="898"/>
      <c r="T697" s="898"/>
      <c r="U697" s="898"/>
      <c r="V697" s="898"/>
      <c r="W697" s="898"/>
      <c r="X697" s="898"/>
      <c r="Y697" s="898"/>
      <c r="Z697" s="898"/>
      <c r="AA697" s="898"/>
      <c r="AB697" s="898"/>
      <c r="AC697" s="898"/>
      <c r="AD697" s="898"/>
      <c r="AE697" s="898"/>
      <c r="AF697" s="898"/>
      <c r="AG697" s="898"/>
      <c r="AH697" s="898"/>
      <c r="AI697" s="898"/>
      <c r="AJ697" s="898"/>
      <c r="AK697" s="897"/>
      <c r="AL697" s="897"/>
      <c r="AM697" s="897"/>
      <c r="AN697" s="897"/>
      <c r="AO697" s="897"/>
      <c r="AP697" s="897"/>
      <c r="AQ697" s="897"/>
      <c r="AR697" s="897"/>
    </row>
    <row r="698" spans="1:44" s="930" customFormat="1">
      <c r="A698" s="892"/>
      <c r="B698" s="899"/>
      <c r="C698" s="900"/>
      <c r="D698" s="894"/>
      <c r="E698" s="895"/>
      <c r="F698" s="896"/>
      <c r="G698" s="897"/>
      <c r="H698" s="897"/>
      <c r="I698" s="897"/>
      <c r="J698" s="897"/>
      <c r="K698" s="897"/>
      <c r="L698" s="898"/>
      <c r="M698" s="898"/>
      <c r="N698" s="898"/>
      <c r="O698" s="898"/>
      <c r="P698" s="898"/>
      <c r="Q698" s="898"/>
      <c r="R698" s="898"/>
      <c r="S698" s="898"/>
      <c r="T698" s="898"/>
      <c r="U698" s="898"/>
      <c r="V698" s="898"/>
      <c r="W698" s="898"/>
      <c r="X698" s="898"/>
      <c r="Y698" s="898"/>
      <c r="Z698" s="898"/>
      <c r="AA698" s="898"/>
      <c r="AB698" s="898"/>
      <c r="AC698" s="898"/>
      <c r="AD698" s="898"/>
      <c r="AE698" s="898"/>
      <c r="AF698" s="898"/>
      <c r="AG698" s="898"/>
      <c r="AH698" s="898"/>
      <c r="AI698" s="898"/>
      <c r="AJ698" s="898"/>
      <c r="AK698" s="897"/>
      <c r="AL698" s="897"/>
      <c r="AM698" s="897"/>
      <c r="AN698" s="897"/>
      <c r="AO698" s="897"/>
      <c r="AP698" s="897"/>
      <c r="AQ698" s="897"/>
      <c r="AR698" s="897"/>
    </row>
    <row r="699" spans="1:44" s="930" customFormat="1">
      <c r="A699" s="892"/>
      <c r="B699" s="899"/>
      <c r="C699" s="900"/>
      <c r="D699" s="894"/>
      <c r="E699" s="895"/>
      <c r="F699" s="896"/>
      <c r="G699" s="897"/>
      <c r="H699" s="897"/>
      <c r="I699" s="897"/>
      <c r="J699" s="897"/>
      <c r="K699" s="897"/>
      <c r="L699" s="898"/>
      <c r="M699" s="898"/>
      <c r="N699" s="898"/>
      <c r="O699" s="898"/>
      <c r="P699" s="898"/>
      <c r="Q699" s="898"/>
      <c r="R699" s="898"/>
      <c r="S699" s="898"/>
      <c r="T699" s="898"/>
      <c r="U699" s="898"/>
      <c r="V699" s="898"/>
      <c r="W699" s="898"/>
      <c r="X699" s="898"/>
      <c r="Y699" s="898"/>
      <c r="Z699" s="898"/>
      <c r="AA699" s="898"/>
      <c r="AB699" s="898"/>
      <c r="AC699" s="898"/>
      <c r="AD699" s="898"/>
      <c r="AE699" s="898"/>
      <c r="AF699" s="898"/>
      <c r="AG699" s="898"/>
      <c r="AH699" s="898"/>
      <c r="AI699" s="898"/>
      <c r="AJ699" s="898"/>
      <c r="AK699" s="897"/>
      <c r="AL699" s="897"/>
      <c r="AM699" s="897"/>
      <c r="AN699" s="897"/>
      <c r="AO699" s="897"/>
      <c r="AP699" s="897"/>
      <c r="AQ699" s="897"/>
      <c r="AR699" s="897"/>
    </row>
    <row r="700" spans="1:44" s="930" customFormat="1">
      <c r="A700" s="892"/>
      <c r="B700" s="899"/>
      <c r="C700" s="900"/>
      <c r="D700" s="894"/>
      <c r="E700" s="895"/>
      <c r="F700" s="896"/>
      <c r="G700" s="897"/>
      <c r="H700" s="897"/>
      <c r="I700" s="897"/>
      <c r="J700" s="897"/>
      <c r="K700" s="897"/>
      <c r="L700" s="898"/>
      <c r="M700" s="898"/>
      <c r="N700" s="898"/>
      <c r="O700" s="898"/>
      <c r="P700" s="898"/>
      <c r="Q700" s="898"/>
      <c r="R700" s="898"/>
      <c r="S700" s="898"/>
      <c r="T700" s="898"/>
      <c r="U700" s="898"/>
      <c r="V700" s="898"/>
      <c r="W700" s="898"/>
      <c r="X700" s="898"/>
      <c r="Y700" s="898"/>
      <c r="Z700" s="898"/>
      <c r="AA700" s="898"/>
      <c r="AB700" s="898"/>
      <c r="AC700" s="898"/>
      <c r="AD700" s="898"/>
      <c r="AE700" s="898"/>
      <c r="AF700" s="898"/>
      <c r="AG700" s="898"/>
      <c r="AH700" s="898"/>
      <c r="AI700" s="898"/>
      <c r="AJ700" s="898"/>
      <c r="AK700" s="897"/>
      <c r="AL700" s="897"/>
      <c r="AM700" s="897"/>
      <c r="AN700" s="897"/>
      <c r="AO700" s="897"/>
      <c r="AP700" s="897"/>
      <c r="AQ700" s="897"/>
      <c r="AR700" s="897"/>
    </row>
    <row r="701" spans="1:44" s="930" customFormat="1">
      <c r="A701" s="892"/>
      <c r="B701" s="899"/>
      <c r="C701" s="900"/>
      <c r="D701" s="894"/>
      <c r="E701" s="895"/>
      <c r="F701" s="896"/>
      <c r="G701" s="897"/>
      <c r="H701" s="897"/>
      <c r="I701" s="897"/>
      <c r="J701" s="897"/>
      <c r="K701" s="897"/>
      <c r="L701" s="898"/>
      <c r="M701" s="898"/>
      <c r="N701" s="898"/>
      <c r="O701" s="898"/>
      <c r="P701" s="898"/>
      <c r="Q701" s="898"/>
      <c r="R701" s="898"/>
      <c r="S701" s="898"/>
      <c r="T701" s="898"/>
      <c r="U701" s="898"/>
      <c r="V701" s="898"/>
      <c r="W701" s="898"/>
      <c r="X701" s="898"/>
      <c r="Y701" s="898"/>
      <c r="Z701" s="898"/>
      <c r="AA701" s="898"/>
      <c r="AB701" s="898"/>
      <c r="AC701" s="898"/>
      <c r="AD701" s="898"/>
      <c r="AE701" s="898"/>
      <c r="AF701" s="898"/>
      <c r="AG701" s="898"/>
      <c r="AH701" s="898"/>
      <c r="AI701" s="898"/>
      <c r="AJ701" s="898"/>
      <c r="AK701" s="897"/>
      <c r="AL701" s="897"/>
      <c r="AM701" s="897"/>
      <c r="AN701" s="897"/>
      <c r="AO701" s="897"/>
      <c r="AP701" s="897"/>
      <c r="AQ701" s="897"/>
      <c r="AR701" s="897"/>
    </row>
    <row r="702" spans="1:44" s="930" customFormat="1">
      <c r="A702" s="892"/>
      <c r="B702" s="899"/>
      <c r="C702" s="900"/>
      <c r="D702" s="894"/>
      <c r="E702" s="895"/>
      <c r="F702" s="896"/>
      <c r="G702" s="897"/>
      <c r="H702" s="897"/>
      <c r="I702" s="897"/>
      <c r="J702" s="897"/>
      <c r="K702" s="897"/>
      <c r="L702" s="898"/>
      <c r="M702" s="898"/>
      <c r="N702" s="898"/>
      <c r="O702" s="898"/>
      <c r="P702" s="898"/>
      <c r="Q702" s="898"/>
      <c r="R702" s="898"/>
      <c r="S702" s="898"/>
      <c r="T702" s="898"/>
      <c r="U702" s="898"/>
      <c r="V702" s="898"/>
      <c r="W702" s="898"/>
      <c r="X702" s="898"/>
      <c r="Y702" s="898"/>
      <c r="Z702" s="898"/>
      <c r="AA702" s="898"/>
      <c r="AB702" s="898"/>
      <c r="AC702" s="898"/>
      <c r="AD702" s="898"/>
      <c r="AE702" s="898"/>
      <c r="AF702" s="898"/>
      <c r="AG702" s="898"/>
      <c r="AH702" s="898"/>
      <c r="AI702" s="898"/>
      <c r="AJ702" s="898"/>
      <c r="AK702" s="897"/>
      <c r="AL702" s="897"/>
      <c r="AM702" s="897"/>
      <c r="AN702" s="897"/>
      <c r="AO702" s="897"/>
      <c r="AP702" s="897"/>
      <c r="AQ702" s="897"/>
      <c r="AR702" s="897"/>
    </row>
    <row r="703" spans="1:44" s="930" customFormat="1">
      <c r="A703" s="892"/>
      <c r="B703" s="899"/>
      <c r="C703" s="900"/>
      <c r="D703" s="894"/>
      <c r="E703" s="895"/>
      <c r="F703" s="896"/>
      <c r="G703" s="897"/>
      <c r="H703" s="897"/>
      <c r="I703" s="897"/>
      <c r="J703" s="897"/>
      <c r="K703" s="897"/>
      <c r="L703" s="898"/>
      <c r="M703" s="898"/>
      <c r="N703" s="898"/>
      <c r="O703" s="898"/>
      <c r="P703" s="898"/>
      <c r="Q703" s="898"/>
      <c r="R703" s="898"/>
      <c r="S703" s="898"/>
      <c r="T703" s="898"/>
      <c r="U703" s="898"/>
      <c r="V703" s="898"/>
      <c r="W703" s="898"/>
      <c r="X703" s="898"/>
      <c r="Y703" s="898"/>
      <c r="Z703" s="898"/>
      <c r="AA703" s="898"/>
      <c r="AB703" s="898"/>
      <c r="AC703" s="898"/>
      <c r="AD703" s="898"/>
      <c r="AE703" s="898"/>
      <c r="AF703" s="898"/>
      <c r="AG703" s="898"/>
      <c r="AH703" s="898"/>
      <c r="AI703" s="898"/>
      <c r="AJ703" s="898"/>
      <c r="AK703" s="897"/>
      <c r="AL703" s="897"/>
      <c r="AM703" s="897"/>
      <c r="AN703" s="897"/>
      <c r="AO703" s="897"/>
      <c r="AP703" s="897"/>
      <c r="AQ703" s="897"/>
      <c r="AR703" s="897"/>
    </row>
    <row r="704" spans="1:44" s="930" customFormat="1">
      <c r="A704" s="892"/>
      <c r="B704" s="899"/>
      <c r="C704" s="900"/>
      <c r="D704" s="894"/>
      <c r="E704" s="895"/>
      <c r="F704" s="896"/>
      <c r="G704" s="897"/>
      <c r="H704" s="897"/>
      <c r="I704" s="897"/>
      <c r="J704" s="897"/>
      <c r="K704" s="897"/>
      <c r="L704" s="898"/>
      <c r="M704" s="898"/>
      <c r="N704" s="898"/>
      <c r="O704" s="898"/>
      <c r="P704" s="898"/>
      <c r="Q704" s="898"/>
      <c r="R704" s="898"/>
      <c r="S704" s="898"/>
      <c r="T704" s="898"/>
      <c r="U704" s="898"/>
      <c r="V704" s="898"/>
      <c r="W704" s="898"/>
      <c r="X704" s="898"/>
      <c r="Y704" s="898"/>
      <c r="Z704" s="898"/>
      <c r="AA704" s="898"/>
      <c r="AB704" s="898"/>
      <c r="AC704" s="898"/>
      <c r="AD704" s="898"/>
      <c r="AE704" s="898"/>
      <c r="AF704" s="898"/>
      <c r="AG704" s="898"/>
      <c r="AH704" s="898"/>
      <c r="AI704" s="898"/>
      <c r="AJ704" s="898"/>
      <c r="AK704" s="897"/>
      <c r="AL704" s="897"/>
      <c r="AM704" s="897"/>
      <c r="AN704" s="897"/>
      <c r="AO704" s="897"/>
      <c r="AP704" s="897"/>
      <c r="AQ704" s="897"/>
      <c r="AR704" s="897"/>
    </row>
    <row r="705" spans="1:44" s="930" customFormat="1">
      <c r="A705" s="892"/>
      <c r="B705" s="899"/>
      <c r="C705" s="900"/>
      <c r="D705" s="894"/>
      <c r="E705" s="895"/>
      <c r="F705" s="896"/>
      <c r="G705" s="897"/>
      <c r="H705" s="897"/>
      <c r="I705" s="897"/>
      <c r="J705" s="897"/>
      <c r="K705" s="897"/>
      <c r="L705" s="898"/>
      <c r="M705" s="898"/>
      <c r="N705" s="898"/>
      <c r="O705" s="898"/>
      <c r="P705" s="898"/>
      <c r="Q705" s="898"/>
      <c r="R705" s="898"/>
      <c r="S705" s="898"/>
      <c r="T705" s="898"/>
      <c r="U705" s="898"/>
      <c r="V705" s="898"/>
      <c r="W705" s="898"/>
      <c r="X705" s="898"/>
      <c r="Y705" s="898"/>
      <c r="Z705" s="898"/>
      <c r="AA705" s="898"/>
      <c r="AB705" s="898"/>
      <c r="AC705" s="898"/>
      <c r="AD705" s="898"/>
      <c r="AE705" s="898"/>
      <c r="AF705" s="898"/>
      <c r="AG705" s="898"/>
      <c r="AH705" s="898"/>
      <c r="AI705" s="898"/>
      <c r="AJ705" s="898"/>
      <c r="AK705" s="897"/>
      <c r="AL705" s="897"/>
      <c r="AM705" s="897"/>
      <c r="AN705" s="897"/>
      <c r="AO705" s="897"/>
      <c r="AP705" s="897"/>
      <c r="AQ705" s="897"/>
      <c r="AR705" s="897"/>
    </row>
    <row r="706" spans="1:44" s="930" customFormat="1">
      <c r="A706" s="892"/>
      <c r="B706" s="899"/>
      <c r="C706" s="900"/>
      <c r="D706" s="894"/>
      <c r="E706" s="895"/>
      <c r="F706" s="896"/>
      <c r="G706" s="897"/>
      <c r="H706" s="897"/>
      <c r="I706" s="897"/>
      <c r="J706" s="897"/>
      <c r="K706" s="897"/>
      <c r="L706" s="898"/>
      <c r="M706" s="898"/>
      <c r="N706" s="898"/>
      <c r="O706" s="898"/>
      <c r="P706" s="898"/>
      <c r="Q706" s="898"/>
      <c r="R706" s="898"/>
      <c r="S706" s="898"/>
      <c r="T706" s="898"/>
      <c r="U706" s="898"/>
      <c r="V706" s="898"/>
      <c r="W706" s="898"/>
      <c r="X706" s="898"/>
      <c r="Y706" s="898"/>
      <c r="Z706" s="898"/>
      <c r="AA706" s="898"/>
      <c r="AB706" s="898"/>
      <c r="AC706" s="898"/>
      <c r="AD706" s="898"/>
      <c r="AE706" s="898"/>
      <c r="AF706" s="898"/>
      <c r="AG706" s="898"/>
      <c r="AH706" s="898"/>
      <c r="AI706" s="898"/>
      <c r="AJ706" s="898"/>
      <c r="AK706" s="897"/>
      <c r="AL706" s="897"/>
      <c r="AM706" s="897"/>
      <c r="AN706" s="897"/>
      <c r="AO706" s="897"/>
      <c r="AP706" s="897"/>
      <c r="AQ706" s="897"/>
      <c r="AR706" s="897"/>
    </row>
    <row r="707" spans="1:44" s="930" customFormat="1">
      <c r="A707" s="892"/>
      <c r="B707" s="899"/>
      <c r="C707" s="900"/>
      <c r="D707" s="894"/>
      <c r="E707" s="895"/>
      <c r="F707" s="896"/>
      <c r="G707" s="897"/>
      <c r="H707" s="897"/>
      <c r="I707" s="897"/>
      <c r="J707" s="897"/>
      <c r="K707" s="897"/>
      <c r="L707" s="898"/>
      <c r="M707" s="898"/>
      <c r="N707" s="898"/>
      <c r="O707" s="898"/>
      <c r="P707" s="898"/>
      <c r="Q707" s="898"/>
      <c r="R707" s="898"/>
      <c r="S707" s="898"/>
      <c r="T707" s="898"/>
      <c r="U707" s="898"/>
      <c r="V707" s="898"/>
      <c r="W707" s="898"/>
      <c r="X707" s="898"/>
      <c r="Y707" s="898"/>
      <c r="Z707" s="898"/>
      <c r="AA707" s="898"/>
      <c r="AB707" s="898"/>
      <c r="AC707" s="898"/>
      <c r="AD707" s="898"/>
      <c r="AE707" s="898"/>
      <c r="AF707" s="898"/>
      <c r="AG707" s="898"/>
      <c r="AH707" s="898"/>
      <c r="AI707" s="898"/>
      <c r="AJ707" s="898"/>
      <c r="AK707" s="897"/>
      <c r="AL707" s="897"/>
      <c r="AM707" s="897"/>
      <c r="AN707" s="897"/>
      <c r="AO707" s="897"/>
      <c r="AP707" s="897"/>
      <c r="AQ707" s="897"/>
      <c r="AR707" s="897"/>
    </row>
    <row r="708" spans="1:44" s="930" customFormat="1">
      <c r="A708" s="892"/>
      <c r="B708" s="899"/>
      <c r="C708" s="900"/>
      <c r="D708" s="894"/>
      <c r="E708" s="895"/>
      <c r="F708" s="896"/>
      <c r="G708" s="897"/>
      <c r="H708" s="897"/>
      <c r="I708" s="897"/>
      <c r="J708" s="897"/>
      <c r="K708" s="897"/>
      <c r="L708" s="898"/>
      <c r="M708" s="898"/>
      <c r="N708" s="898"/>
      <c r="O708" s="898"/>
      <c r="P708" s="898"/>
      <c r="Q708" s="898"/>
      <c r="R708" s="898"/>
      <c r="S708" s="898"/>
      <c r="T708" s="898"/>
      <c r="U708" s="898"/>
      <c r="V708" s="898"/>
      <c r="W708" s="898"/>
      <c r="X708" s="898"/>
      <c r="Y708" s="898"/>
      <c r="Z708" s="898"/>
      <c r="AA708" s="898"/>
      <c r="AB708" s="898"/>
      <c r="AC708" s="898"/>
      <c r="AD708" s="898"/>
      <c r="AE708" s="898"/>
      <c r="AF708" s="898"/>
      <c r="AG708" s="898"/>
      <c r="AH708" s="898"/>
      <c r="AI708" s="898"/>
      <c r="AJ708" s="898"/>
      <c r="AK708" s="897"/>
      <c r="AL708" s="897"/>
      <c r="AM708" s="897"/>
      <c r="AN708" s="897"/>
      <c r="AO708" s="897"/>
      <c r="AP708" s="897"/>
      <c r="AQ708" s="897"/>
      <c r="AR708" s="897"/>
    </row>
    <row r="709" spans="1:44" s="930" customFormat="1">
      <c r="A709" s="892"/>
      <c r="B709" s="899"/>
      <c r="C709" s="900"/>
      <c r="D709" s="894"/>
      <c r="E709" s="895"/>
      <c r="F709" s="896"/>
      <c r="G709" s="897"/>
      <c r="H709" s="897"/>
      <c r="I709" s="897"/>
      <c r="J709" s="897"/>
      <c r="K709" s="897"/>
      <c r="L709" s="898"/>
      <c r="M709" s="898"/>
      <c r="N709" s="898"/>
      <c r="O709" s="898"/>
      <c r="P709" s="898"/>
      <c r="Q709" s="898"/>
      <c r="R709" s="898"/>
      <c r="S709" s="898"/>
      <c r="T709" s="898"/>
      <c r="U709" s="898"/>
      <c r="V709" s="898"/>
      <c r="W709" s="898"/>
      <c r="X709" s="898"/>
      <c r="Y709" s="898"/>
      <c r="Z709" s="898"/>
      <c r="AA709" s="898"/>
      <c r="AB709" s="898"/>
      <c r="AC709" s="898"/>
      <c r="AD709" s="898"/>
      <c r="AE709" s="898"/>
      <c r="AF709" s="898"/>
      <c r="AG709" s="898"/>
      <c r="AH709" s="898"/>
      <c r="AI709" s="898"/>
      <c r="AJ709" s="898"/>
      <c r="AK709" s="897"/>
      <c r="AL709" s="897"/>
      <c r="AM709" s="897"/>
      <c r="AN709" s="897"/>
      <c r="AO709" s="897"/>
      <c r="AP709" s="897"/>
      <c r="AQ709" s="897"/>
      <c r="AR709" s="897"/>
    </row>
    <row r="710" spans="1:44" s="930" customFormat="1">
      <c r="A710" s="892"/>
      <c r="B710" s="899"/>
      <c r="C710" s="900"/>
      <c r="D710" s="894"/>
      <c r="E710" s="895"/>
      <c r="F710" s="896"/>
      <c r="G710" s="897"/>
      <c r="H710" s="897"/>
      <c r="I710" s="897"/>
      <c r="J710" s="897"/>
      <c r="K710" s="897"/>
      <c r="L710" s="898"/>
      <c r="M710" s="898"/>
      <c r="N710" s="898"/>
      <c r="O710" s="898"/>
      <c r="P710" s="898"/>
      <c r="Q710" s="898"/>
      <c r="R710" s="898"/>
      <c r="S710" s="898"/>
      <c r="T710" s="898"/>
      <c r="U710" s="898"/>
      <c r="V710" s="898"/>
      <c r="W710" s="898"/>
      <c r="X710" s="898"/>
      <c r="Y710" s="898"/>
      <c r="Z710" s="898"/>
      <c r="AA710" s="898"/>
      <c r="AB710" s="898"/>
      <c r="AC710" s="898"/>
      <c r="AD710" s="898"/>
      <c r="AE710" s="898"/>
      <c r="AF710" s="898"/>
      <c r="AG710" s="898"/>
      <c r="AH710" s="898"/>
      <c r="AI710" s="898"/>
      <c r="AJ710" s="898"/>
      <c r="AK710" s="897"/>
      <c r="AL710" s="897"/>
      <c r="AM710" s="897"/>
      <c r="AN710" s="897"/>
      <c r="AO710" s="897"/>
      <c r="AP710" s="897"/>
      <c r="AQ710" s="897"/>
      <c r="AR710" s="897"/>
    </row>
    <row r="711" spans="1:44" s="930" customFormat="1">
      <c r="A711" s="892"/>
      <c r="B711" s="899"/>
      <c r="C711" s="900"/>
      <c r="D711" s="894"/>
      <c r="E711" s="895"/>
      <c r="F711" s="896"/>
      <c r="G711" s="897"/>
      <c r="H711" s="897"/>
      <c r="I711" s="897"/>
      <c r="J711" s="897"/>
      <c r="K711" s="897"/>
      <c r="L711" s="898"/>
      <c r="M711" s="898"/>
      <c r="N711" s="898"/>
      <c r="O711" s="898"/>
      <c r="P711" s="898"/>
      <c r="Q711" s="898"/>
      <c r="R711" s="898"/>
      <c r="S711" s="898"/>
      <c r="T711" s="898"/>
      <c r="U711" s="898"/>
      <c r="V711" s="898"/>
      <c r="W711" s="898"/>
      <c r="X711" s="898"/>
      <c r="Y711" s="898"/>
      <c r="Z711" s="898"/>
      <c r="AA711" s="898"/>
      <c r="AB711" s="898"/>
      <c r="AC711" s="898"/>
      <c r="AD711" s="898"/>
      <c r="AE711" s="898"/>
      <c r="AF711" s="898"/>
      <c r="AG711" s="898"/>
      <c r="AH711" s="898"/>
      <c r="AI711" s="898"/>
      <c r="AJ711" s="898"/>
      <c r="AK711" s="897"/>
      <c r="AL711" s="897"/>
      <c r="AM711" s="897"/>
      <c r="AN711" s="897"/>
      <c r="AO711" s="897"/>
      <c r="AP711" s="897"/>
      <c r="AQ711" s="897"/>
      <c r="AR711" s="897"/>
    </row>
    <row r="712" spans="1:44" s="930" customFormat="1">
      <c r="A712" s="892"/>
      <c r="B712" s="899"/>
      <c r="C712" s="900"/>
      <c r="D712" s="894"/>
      <c r="E712" s="895"/>
      <c r="F712" s="896"/>
      <c r="G712" s="897"/>
      <c r="H712" s="897"/>
      <c r="I712" s="897"/>
      <c r="J712" s="897"/>
      <c r="K712" s="897"/>
      <c r="L712" s="898"/>
      <c r="M712" s="898"/>
      <c r="N712" s="898"/>
      <c r="O712" s="898"/>
      <c r="P712" s="898"/>
      <c r="Q712" s="898"/>
      <c r="R712" s="898"/>
      <c r="S712" s="898"/>
      <c r="T712" s="898"/>
      <c r="U712" s="898"/>
      <c r="V712" s="898"/>
      <c r="W712" s="898"/>
      <c r="X712" s="898"/>
      <c r="Y712" s="898"/>
      <c r="Z712" s="898"/>
      <c r="AA712" s="898"/>
      <c r="AB712" s="898"/>
      <c r="AC712" s="898"/>
      <c r="AD712" s="898"/>
      <c r="AE712" s="898"/>
      <c r="AF712" s="898"/>
      <c r="AG712" s="898"/>
      <c r="AH712" s="898"/>
      <c r="AI712" s="898"/>
      <c r="AJ712" s="898"/>
      <c r="AK712" s="897"/>
      <c r="AL712" s="897"/>
      <c r="AM712" s="897"/>
      <c r="AN712" s="897"/>
      <c r="AO712" s="897"/>
      <c r="AP712" s="897"/>
      <c r="AQ712" s="897"/>
      <c r="AR712" s="897"/>
    </row>
    <row r="713" spans="1:44" s="930" customFormat="1">
      <c r="A713" s="892"/>
      <c r="B713" s="899"/>
      <c r="C713" s="900"/>
      <c r="D713" s="894"/>
      <c r="E713" s="895"/>
      <c r="F713" s="896"/>
      <c r="G713" s="897"/>
      <c r="H713" s="897"/>
      <c r="I713" s="897"/>
      <c r="J713" s="897"/>
      <c r="K713" s="897"/>
      <c r="L713" s="898"/>
      <c r="M713" s="898"/>
      <c r="N713" s="898"/>
      <c r="O713" s="898"/>
      <c r="P713" s="898"/>
      <c r="Q713" s="898"/>
      <c r="R713" s="898"/>
      <c r="S713" s="898"/>
      <c r="T713" s="898"/>
      <c r="U713" s="898"/>
      <c r="V713" s="898"/>
      <c r="W713" s="898"/>
      <c r="X713" s="898"/>
      <c r="Y713" s="898"/>
      <c r="Z713" s="898"/>
      <c r="AA713" s="898"/>
      <c r="AB713" s="898"/>
      <c r="AC713" s="898"/>
      <c r="AD713" s="898"/>
      <c r="AE713" s="898"/>
      <c r="AF713" s="898"/>
      <c r="AG713" s="898"/>
      <c r="AH713" s="898"/>
      <c r="AI713" s="898"/>
      <c r="AJ713" s="898"/>
      <c r="AK713" s="897"/>
      <c r="AL713" s="897"/>
      <c r="AM713" s="897"/>
      <c r="AN713" s="897"/>
      <c r="AO713" s="897"/>
      <c r="AP713" s="897"/>
      <c r="AQ713" s="897"/>
      <c r="AR713" s="897"/>
    </row>
    <row r="714" spans="1:44" s="930" customFormat="1">
      <c r="A714" s="892"/>
      <c r="B714" s="899"/>
      <c r="C714" s="900"/>
      <c r="D714" s="894"/>
      <c r="E714" s="895"/>
      <c r="F714" s="896"/>
      <c r="G714" s="897"/>
      <c r="H714" s="897"/>
      <c r="I714" s="897"/>
      <c r="J714" s="897"/>
      <c r="K714" s="897"/>
      <c r="L714" s="898"/>
      <c r="M714" s="898"/>
      <c r="N714" s="898"/>
      <c r="O714" s="898"/>
      <c r="P714" s="898"/>
      <c r="Q714" s="898"/>
      <c r="R714" s="898"/>
      <c r="S714" s="898"/>
      <c r="T714" s="898"/>
      <c r="U714" s="898"/>
      <c r="V714" s="898"/>
      <c r="W714" s="898"/>
      <c r="X714" s="898"/>
      <c r="Y714" s="898"/>
      <c r="Z714" s="898"/>
      <c r="AA714" s="898"/>
      <c r="AB714" s="898"/>
      <c r="AC714" s="898"/>
      <c r="AD714" s="898"/>
      <c r="AE714" s="898"/>
      <c r="AF714" s="898"/>
      <c r="AG714" s="898"/>
      <c r="AH714" s="898"/>
      <c r="AI714" s="898"/>
      <c r="AJ714" s="898"/>
      <c r="AK714" s="897"/>
      <c r="AL714" s="897"/>
      <c r="AM714" s="897"/>
      <c r="AN714" s="897"/>
      <c r="AO714" s="897"/>
      <c r="AP714" s="897"/>
      <c r="AQ714" s="897"/>
      <c r="AR714" s="897"/>
    </row>
    <row r="715" spans="1:44" s="930" customFormat="1">
      <c r="A715" s="892"/>
      <c r="B715" s="899"/>
      <c r="C715" s="900"/>
      <c r="D715" s="894"/>
      <c r="E715" s="895"/>
      <c r="F715" s="896"/>
      <c r="G715" s="897"/>
      <c r="H715" s="897"/>
      <c r="I715" s="897"/>
      <c r="J715" s="897"/>
      <c r="K715" s="897"/>
      <c r="L715" s="898"/>
      <c r="M715" s="898"/>
      <c r="N715" s="898"/>
      <c r="O715" s="898"/>
      <c r="P715" s="898"/>
      <c r="Q715" s="898"/>
      <c r="R715" s="898"/>
      <c r="S715" s="898"/>
      <c r="T715" s="898"/>
      <c r="U715" s="898"/>
      <c r="V715" s="898"/>
      <c r="W715" s="898"/>
      <c r="X715" s="898"/>
      <c r="Y715" s="898"/>
      <c r="Z715" s="898"/>
      <c r="AA715" s="898"/>
      <c r="AB715" s="898"/>
      <c r="AC715" s="898"/>
      <c r="AD715" s="898"/>
      <c r="AE715" s="898"/>
      <c r="AF715" s="898"/>
      <c r="AG715" s="898"/>
      <c r="AH715" s="898"/>
      <c r="AI715" s="898"/>
      <c r="AJ715" s="898"/>
      <c r="AK715" s="897"/>
      <c r="AL715" s="897"/>
      <c r="AM715" s="897"/>
      <c r="AN715" s="897"/>
      <c r="AO715" s="897"/>
      <c r="AP715" s="897"/>
      <c r="AQ715" s="897"/>
      <c r="AR715" s="897"/>
    </row>
    <row r="716" spans="1:44" s="930" customFormat="1">
      <c r="A716" s="892"/>
      <c r="B716" s="899"/>
      <c r="C716" s="900"/>
      <c r="D716" s="894"/>
      <c r="E716" s="895"/>
      <c r="F716" s="896"/>
      <c r="G716" s="897"/>
      <c r="H716" s="897"/>
      <c r="I716" s="897"/>
      <c r="J716" s="897"/>
      <c r="K716" s="897"/>
      <c r="L716" s="898"/>
      <c r="M716" s="898"/>
      <c r="N716" s="898"/>
      <c r="O716" s="898"/>
      <c r="P716" s="898"/>
      <c r="Q716" s="898"/>
      <c r="R716" s="898"/>
      <c r="S716" s="898"/>
      <c r="T716" s="898"/>
      <c r="U716" s="898"/>
      <c r="V716" s="898"/>
      <c r="W716" s="898"/>
      <c r="X716" s="898"/>
      <c r="Y716" s="898"/>
      <c r="Z716" s="898"/>
      <c r="AA716" s="898"/>
      <c r="AB716" s="898"/>
      <c r="AC716" s="898"/>
      <c r="AD716" s="898"/>
      <c r="AE716" s="898"/>
      <c r="AF716" s="898"/>
      <c r="AG716" s="898"/>
      <c r="AH716" s="898"/>
      <c r="AI716" s="898"/>
      <c r="AJ716" s="898"/>
      <c r="AK716" s="897"/>
      <c r="AL716" s="897"/>
      <c r="AM716" s="897"/>
      <c r="AN716" s="897"/>
      <c r="AO716" s="897"/>
      <c r="AP716" s="897"/>
      <c r="AQ716" s="897"/>
      <c r="AR716" s="897"/>
    </row>
    <row r="717" spans="1:44" s="930" customFormat="1">
      <c r="A717" s="892"/>
      <c r="B717" s="899"/>
      <c r="C717" s="900"/>
      <c r="D717" s="894"/>
      <c r="E717" s="895"/>
      <c r="F717" s="896"/>
      <c r="G717" s="897"/>
      <c r="H717" s="897"/>
      <c r="I717" s="897"/>
      <c r="J717" s="897"/>
      <c r="K717" s="897"/>
      <c r="L717" s="898"/>
      <c r="M717" s="898"/>
      <c r="N717" s="898"/>
      <c r="O717" s="898"/>
      <c r="P717" s="898"/>
      <c r="Q717" s="898"/>
      <c r="R717" s="898"/>
      <c r="S717" s="898"/>
      <c r="T717" s="898"/>
      <c r="U717" s="898"/>
      <c r="V717" s="898"/>
      <c r="W717" s="898"/>
      <c r="X717" s="898"/>
      <c r="Y717" s="898"/>
      <c r="Z717" s="898"/>
      <c r="AA717" s="898"/>
      <c r="AB717" s="898"/>
      <c r="AC717" s="898"/>
      <c r="AD717" s="898"/>
      <c r="AE717" s="898"/>
      <c r="AF717" s="898"/>
      <c r="AG717" s="898"/>
      <c r="AH717" s="898"/>
      <c r="AI717" s="898"/>
      <c r="AJ717" s="898"/>
      <c r="AK717" s="897"/>
      <c r="AL717" s="897"/>
      <c r="AM717" s="897"/>
      <c r="AN717" s="897"/>
      <c r="AO717" s="897"/>
      <c r="AP717" s="897"/>
      <c r="AQ717" s="897"/>
      <c r="AR717" s="897"/>
    </row>
    <row r="718" spans="1:44" s="930" customFormat="1">
      <c r="A718" s="892"/>
      <c r="B718" s="899"/>
      <c r="C718" s="900"/>
      <c r="D718" s="894"/>
      <c r="E718" s="895"/>
      <c r="F718" s="896"/>
      <c r="G718" s="897"/>
      <c r="H718" s="897"/>
      <c r="I718" s="897"/>
      <c r="J718" s="897"/>
      <c r="K718" s="897"/>
      <c r="L718" s="898"/>
      <c r="M718" s="898"/>
      <c r="N718" s="898"/>
      <c r="O718" s="898"/>
      <c r="P718" s="898"/>
      <c r="Q718" s="898"/>
      <c r="R718" s="898"/>
      <c r="S718" s="898"/>
      <c r="T718" s="898"/>
      <c r="U718" s="898"/>
      <c r="V718" s="898"/>
      <c r="W718" s="898"/>
      <c r="X718" s="898"/>
      <c r="Y718" s="898"/>
      <c r="Z718" s="898"/>
      <c r="AA718" s="898"/>
      <c r="AB718" s="898"/>
      <c r="AC718" s="898"/>
      <c r="AD718" s="898"/>
      <c r="AE718" s="898"/>
      <c r="AF718" s="898"/>
      <c r="AG718" s="898"/>
      <c r="AH718" s="898"/>
      <c r="AI718" s="898"/>
      <c r="AJ718" s="898"/>
      <c r="AK718" s="897"/>
      <c r="AL718" s="897"/>
      <c r="AM718" s="897"/>
      <c r="AN718" s="897"/>
      <c r="AO718" s="897"/>
      <c r="AP718" s="897"/>
      <c r="AQ718" s="897"/>
      <c r="AR718" s="897"/>
    </row>
    <row r="719" spans="1:44" s="930" customFormat="1">
      <c r="A719" s="892"/>
      <c r="B719" s="899"/>
      <c r="C719" s="900"/>
      <c r="D719" s="894"/>
      <c r="E719" s="895"/>
      <c r="F719" s="896"/>
      <c r="G719" s="897"/>
      <c r="H719" s="897"/>
      <c r="I719" s="897"/>
      <c r="J719" s="897"/>
      <c r="K719" s="897"/>
      <c r="L719" s="898"/>
      <c r="M719" s="898"/>
      <c r="N719" s="898"/>
      <c r="O719" s="898"/>
      <c r="P719" s="898"/>
      <c r="Q719" s="898"/>
      <c r="R719" s="898"/>
      <c r="S719" s="898"/>
      <c r="T719" s="898"/>
      <c r="U719" s="898"/>
      <c r="V719" s="898"/>
      <c r="W719" s="898"/>
      <c r="X719" s="898"/>
      <c r="Y719" s="898"/>
      <c r="Z719" s="898"/>
      <c r="AA719" s="898"/>
      <c r="AB719" s="898"/>
      <c r="AC719" s="898"/>
      <c r="AD719" s="898"/>
      <c r="AE719" s="898"/>
      <c r="AF719" s="898"/>
      <c r="AG719" s="898"/>
      <c r="AH719" s="898"/>
      <c r="AI719" s="898"/>
      <c r="AJ719" s="898"/>
      <c r="AK719" s="897"/>
      <c r="AL719" s="897"/>
      <c r="AM719" s="897"/>
      <c r="AN719" s="897"/>
      <c r="AO719" s="897"/>
      <c r="AP719" s="897"/>
      <c r="AQ719" s="897"/>
      <c r="AR719" s="897"/>
    </row>
    <row r="720" spans="1:44" s="930" customFormat="1">
      <c r="A720" s="892"/>
      <c r="B720" s="899"/>
      <c r="C720" s="900"/>
      <c r="D720" s="894"/>
      <c r="E720" s="895"/>
      <c r="F720" s="896"/>
      <c r="G720" s="897"/>
      <c r="H720" s="897"/>
      <c r="I720" s="897"/>
      <c r="J720" s="897"/>
      <c r="K720" s="897"/>
      <c r="L720" s="898"/>
      <c r="M720" s="898"/>
      <c r="N720" s="898"/>
      <c r="O720" s="898"/>
      <c r="P720" s="898"/>
      <c r="Q720" s="898"/>
      <c r="R720" s="898"/>
      <c r="S720" s="898"/>
      <c r="T720" s="898"/>
      <c r="U720" s="898"/>
      <c r="V720" s="898"/>
      <c r="W720" s="898"/>
      <c r="X720" s="898"/>
      <c r="Y720" s="898"/>
      <c r="Z720" s="898"/>
      <c r="AA720" s="898"/>
      <c r="AB720" s="898"/>
      <c r="AC720" s="898"/>
      <c r="AD720" s="898"/>
      <c r="AE720" s="898"/>
      <c r="AF720" s="898"/>
      <c r="AG720" s="898"/>
      <c r="AH720" s="898"/>
      <c r="AI720" s="898"/>
      <c r="AJ720" s="898"/>
      <c r="AK720" s="897"/>
      <c r="AL720" s="897"/>
      <c r="AM720" s="897"/>
      <c r="AN720" s="897"/>
      <c r="AO720" s="897"/>
      <c r="AP720" s="897"/>
      <c r="AQ720" s="897"/>
      <c r="AR720" s="897"/>
    </row>
    <row r="721" spans="1:44" s="930" customFormat="1">
      <c r="A721" s="892"/>
      <c r="B721" s="899"/>
      <c r="C721" s="900"/>
      <c r="D721" s="894"/>
      <c r="E721" s="895"/>
      <c r="F721" s="896"/>
      <c r="G721" s="897"/>
      <c r="H721" s="897"/>
      <c r="I721" s="897"/>
      <c r="J721" s="897"/>
      <c r="K721" s="897"/>
      <c r="L721" s="898"/>
      <c r="M721" s="898"/>
      <c r="N721" s="898"/>
      <c r="O721" s="898"/>
      <c r="P721" s="898"/>
      <c r="Q721" s="898"/>
      <c r="R721" s="898"/>
      <c r="S721" s="898"/>
      <c r="T721" s="898"/>
      <c r="U721" s="898"/>
      <c r="V721" s="898"/>
      <c r="W721" s="898"/>
      <c r="X721" s="898"/>
      <c r="Y721" s="898"/>
      <c r="Z721" s="898"/>
      <c r="AA721" s="898"/>
      <c r="AB721" s="898"/>
      <c r="AC721" s="898"/>
      <c r="AD721" s="898"/>
      <c r="AE721" s="898"/>
      <c r="AF721" s="898"/>
      <c r="AG721" s="898"/>
      <c r="AH721" s="898"/>
      <c r="AI721" s="898"/>
      <c r="AJ721" s="898"/>
      <c r="AK721" s="897"/>
      <c r="AL721" s="897"/>
      <c r="AM721" s="897"/>
      <c r="AN721" s="897"/>
      <c r="AO721" s="897"/>
      <c r="AP721" s="897"/>
      <c r="AQ721" s="897"/>
      <c r="AR721" s="897"/>
    </row>
    <row r="722" spans="1:44" s="930" customFormat="1">
      <c r="A722" s="892"/>
      <c r="B722" s="899"/>
      <c r="C722" s="900"/>
      <c r="D722" s="894"/>
      <c r="E722" s="895"/>
      <c r="F722" s="896"/>
      <c r="G722" s="897"/>
      <c r="H722" s="897"/>
      <c r="I722" s="897"/>
      <c r="J722" s="897"/>
      <c r="K722" s="897"/>
      <c r="L722" s="898"/>
      <c r="M722" s="898"/>
      <c r="N722" s="898"/>
      <c r="O722" s="898"/>
      <c r="P722" s="898"/>
      <c r="Q722" s="898"/>
      <c r="R722" s="898"/>
      <c r="S722" s="898"/>
      <c r="T722" s="898"/>
      <c r="U722" s="898"/>
      <c r="V722" s="898"/>
      <c r="W722" s="898"/>
      <c r="X722" s="898"/>
      <c r="Y722" s="898"/>
      <c r="Z722" s="898"/>
      <c r="AA722" s="898"/>
      <c r="AB722" s="898"/>
      <c r="AC722" s="898"/>
      <c r="AD722" s="898"/>
      <c r="AE722" s="898"/>
      <c r="AF722" s="898"/>
      <c r="AG722" s="898"/>
      <c r="AH722" s="898"/>
      <c r="AI722" s="898"/>
      <c r="AJ722" s="898"/>
      <c r="AK722" s="897"/>
      <c r="AL722" s="897"/>
      <c r="AM722" s="897"/>
      <c r="AN722" s="897"/>
      <c r="AO722" s="897"/>
      <c r="AP722" s="897"/>
      <c r="AQ722" s="897"/>
      <c r="AR722" s="897"/>
    </row>
    <row r="723" spans="1:44" s="930" customFormat="1">
      <c r="A723" s="892"/>
      <c r="B723" s="899"/>
      <c r="C723" s="900"/>
      <c r="D723" s="894"/>
      <c r="E723" s="895"/>
      <c r="F723" s="896"/>
      <c r="G723" s="897"/>
      <c r="H723" s="897"/>
      <c r="I723" s="897"/>
      <c r="J723" s="897"/>
      <c r="K723" s="897"/>
      <c r="L723" s="898"/>
      <c r="M723" s="898"/>
      <c r="N723" s="898"/>
      <c r="O723" s="898"/>
      <c r="P723" s="898"/>
      <c r="Q723" s="898"/>
      <c r="R723" s="898"/>
      <c r="S723" s="898"/>
      <c r="T723" s="898"/>
      <c r="U723" s="898"/>
      <c r="V723" s="898"/>
      <c r="W723" s="898"/>
      <c r="X723" s="898"/>
      <c r="Y723" s="898"/>
      <c r="Z723" s="898"/>
      <c r="AA723" s="898"/>
      <c r="AB723" s="898"/>
      <c r="AC723" s="898"/>
      <c r="AD723" s="898"/>
      <c r="AE723" s="898"/>
      <c r="AF723" s="898"/>
      <c r="AG723" s="898"/>
      <c r="AH723" s="898"/>
      <c r="AI723" s="898"/>
      <c r="AJ723" s="898"/>
      <c r="AK723" s="897"/>
      <c r="AL723" s="897"/>
      <c r="AM723" s="897"/>
      <c r="AN723" s="897"/>
      <c r="AO723" s="897"/>
      <c r="AP723" s="897"/>
      <c r="AQ723" s="897"/>
      <c r="AR723" s="897"/>
    </row>
    <row r="724" spans="1:44" s="930" customFormat="1">
      <c r="A724" s="892"/>
      <c r="B724" s="899"/>
      <c r="C724" s="900"/>
      <c r="D724" s="894"/>
      <c r="E724" s="895"/>
      <c r="F724" s="896"/>
      <c r="G724" s="897"/>
      <c r="H724" s="897"/>
      <c r="I724" s="897"/>
      <c r="J724" s="897"/>
      <c r="K724" s="897"/>
      <c r="L724" s="898"/>
      <c r="M724" s="898"/>
      <c r="N724" s="898"/>
      <c r="O724" s="898"/>
      <c r="P724" s="898"/>
      <c r="Q724" s="898"/>
      <c r="R724" s="898"/>
      <c r="S724" s="898"/>
      <c r="T724" s="898"/>
      <c r="U724" s="898"/>
      <c r="V724" s="898"/>
      <c r="W724" s="898"/>
      <c r="X724" s="898"/>
      <c r="Y724" s="898"/>
      <c r="Z724" s="898"/>
      <c r="AA724" s="898"/>
      <c r="AB724" s="898"/>
      <c r="AC724" s="898"/>
      <c r="AD724" s="898"/>
      <c r="AE724" s="898"/>
      <c r="AF724" s="898"/>
      <c r="AG724" s="898"/>
      <c r="AH724" s="898"/>
      <c r="AI724" s="898"/>
      <c r="AJ724" s="898"/>
      <c r="AK724" s="897"/>
      <c r="AL724" s="897"/>
      <c r="AM724" s="897"/>
      <c r="AN724" s="897"/>
      <c r="AO724" s="897"/>
      <c r="AP724" s="897"/>
      <c r="AQ724" s="897"/>
      <c r="AR724" s="897"/>
    </row>
    <row r="725" spans="1:44" s="930" customFormat="1">
      <c r="A725" s="892"/>
      <c r="B725" s="899"/>
      <c r="C725" s="900"/>
      <c r="D725" s="894"/>
      <c r="E725" s="895"/>
      <c r="F725" s="896"/>
      <c r="G725" s="897"/>
      <c r="H725" s="897"/>
      <c r="I725" s="897"/>
      <c r="J725" s="897"/>
      <c r="K725" s="897"/>
      <c r="L725" s="898"/>
      <c r="M725" s="898"/>
      <c r="N725" s="898"/>
      <c r="O725" s="898"/>
      <c r="P725" s="898"/>
      <c r="Q725" s="898"/>
      <c r="R725" s="898"/>
      <c r="S725" s="898"/>
      <c r="T725" s="898"/>
      <c r="U725" s="898"/>
      <c r="V725" s="898"/>
      <c r="W725" s="898"/>
      <c r="X725" s="898"/>
      <c r="Y725" s="898"/>
      <c r="Z725" s="898"/>
      <c r="AA725" s="898"/>
      <c r="AB725" s="898"/>
      <c r="AC725" s="898"/>
      <c r="AD725" s="898"/>
      <c r="AE725" s="898"/>
      <c r="AF725" s="898"/>
      <c r="AG725" s="898"/>
      <c r="AH725" s="898"/>
      <c r="AI725" s="898"/>
      <c r="AJ725" s="898"/>
      <c r="AK725" s="897"/>
      <c r="AL725" s="897"/>
      <c r="AM725" s="897"/>
      <c r="AN725" s="897"/>
      <c r="AO725" s="897"/>
      <c r="AP725" s="897"/>
      <c r="AQ725" s="897"/>
      <c r="AR725" s="897"/>
    </row>
    <row r="726" spans="1:44" s="930" customFormat="1">
      <c r="A726" s="892"/>
      <c r="B726" s="899"/>
      <c r="C726" s="900"/>
      <c r="D726" s="894"/>
      <c r="E726" s="895"/>
      <c r="F726" s="896"/>
      <c r="G726" s="897"/>
      <c r="H726" s="897"/>
      <c r="I726" s="897"/>
      <c r="J726" s="897"/>
      <c r="K726" s="897"/>
      <c r="L726" s="898"/>
      <c r="M726" s="898"/>
      <c r="N726" s="898"/>
      <c r="O726" s="898"/>
      <c r="P726" s="898"/>
      <c r="Q726" s="898"/>
      <c r="R726" s="898"/>
      <c r="S726" s="898"/>
      <c r="T726" s="898"/>
      <c r="U726" s="898"/>
      <c r="V726" s="898"/>
      <c r="W726" s="898"/>
      <c r="X726" s="898"/>
      <c r="Y726" s="898"/>
      <c r="Z726" s="898"/>
      <c r="AA726" s="898"/>
      <c r="AB726" s="898"/>
      <c r="AC726" s="898"/>
      <c r="AD726" s="898"/>
      <c r="AE726" s="898"/>
      <c r="AF726" s="898"/>
      <c r="AG726" s="898"/>
      <c r="AH726" s="898"/>
      <c r="AI726" s="898"/>
      <c r="AJ726" s="898"/>
      <c r="AK726" s="897"/>
      <c r="AL726" s="897"/>
      <c r="AM726" s="897"/>
      <c r="AN726" s="897"/>
      <c r="AO726" s="897"/>
      <c r="AP726" s="897"/>
      <c r="AQ726" s="897"/>
      <c r="AR726" s="897"/>
    </row>
    <row r="727" spans="1:44" s="930" customFormat="1">
      <c r="A727" s="892"/>
      <c r="B727" s="899"/>
      <c r="C727" s="900"/>
      <c r="D727" s="894"/>
      <c r="E727" s="895"/>
      <c r="F727" s="896"/>
      <c r="G727" s="897"/>
      <c r="H727" s="897"/>
      <c r="I727" s="897"/>
      <c r="J727" s="897"/>
      <c r="K727" s="897"/>
      <c r="L727" s="898"/>
      <c r="M727" s="898"/>
      <c r="N727" s="898"/>
      <c r="O727" s="898"/>
      <c r="P727" s="898"/>
      <c r="Q727" s="898"/>
      <c r="R727" s="898"/>
      <c r="S727" s="898"/>
      <c r="T727" s="898"/>
      <c r="U727" s="898"/>
      <c r="V727" s="898"/>
      <c r="W727" s="898"/>
      <c r="X727" s="898"/>
      <c r="Y727" s="898"/>
      <c r="Z727" s="898"/>
      <c r="AA727" s="898"/>
      <c r="AB727" s="898"/>
      <c r="AC727" s="898"/>
      <c r="AD727" s="898"/>
      <c r="AE727" s="898"/>
      <c r="AF727" s="898"/>
      <c r="AG727" s="898"/>
      <c r="AH727" s="898"/>
      <c r="AI727" s="898"/>
      <c r="AJ727" s="898"/>
      <c r="AK727" s="897"/>
      <c r="AL727" s="897"/>
      <c r="AM727" s="897"/>
      <c r="AN727" s="897"/>
      <c r="AO727" s="897"/>
      <c r="AP727" s="897"/>
      <c r="AQ727" s="897"/>
      <c r="AR727" s="897"/>
    </row>
    <row r="728" spans="1:44" s="930" customFormat="1">
      <c r="A728" s="892"/>
      <c r="B728" s="899"/>
      <c r="C728" s="900"/>
      <c r="D728" s="894"/>
      <c r="E728" s="895"/>
      <c r="F728" s="896"/>
      <c r="G728" s="897"/>
      <c r="H728" s="897"/>
      <c r="I728" s="897"/>
      <c r="J728" s="897"/>
      <c r="K728" s="897"/>
      <c r="L728" s="898"/>
      <c r="M728" s="898"/>
      <c r="N728" s="898"/>
      <c r="O728" s="898"/>
      <c r="P728" s="898"/>
      <c r="Q728" s="898"/>
      <c r="R728" s="898"/>
      <c r="S728" s="898"/>
      <c r="T728" s="898"/>
      <c r="U728" s="898"/>
      <c r="V728" s="898"/>
      <c r="W728" s="898"/>
      <c r="X728" s="898"/>
      <c r="Y728" s="898"/>
      <c r="Z728" s="898"/>
      <c r="AA728" s="898"/>
      <c r="AB728" s="898"/>
      <c r="AC728" s="898"/>
      <c r="AD728" s="898"/>
      <c r="AE728" s="898"/>
      <c r="AF728" s="898"/>
      <c r="AG728" s="898"/>
      <c r="AH728" s="898"/>
      <c r="AI728" s="898"/>
      <c r="AJ728" s="898"/>
      <c r="AK728" s="897"/>
      <c r="AL728" s="897"/>
      <c r="AM728" s="897"/>
      <c r="AN728" s="897"/>
      <c r="AO728" s="897"/>
      <c r="AP728" s="897"/>
      <c r="AQ728" s="897"/>
      <c r="AR728" s="897"/>
    </row>
    <row r="729" spans="1:44" s="930" customFormat="1">
      <c r="A729" s="892"/>
      <c r="B729" s="899"/>
      <c r="C729" s="900"/>
      <c r="D729" s="894"/>
      <c r="E729" s="895"/>
      <c r="F729" s="896"/>
      <c r="G729" s="897"/>
      <c r="H729" s="897"/>
      <c r="I729" s="897"/>
      <c r="J729" s="897"/>
      <c r="K729" s="897"/>
      <c r="L729" s="898"/>
      <c r="M729" s="898"/>
      <c r="N729" s="898"/>
      <c r="O729" s="898"/>
      <c r="P729" s="898"/>
      <c r="Q729" s="898"/>
      <c r="R729" s="898"/>
      <c r="S729" s="898"/>
      <c r="T729" s="898"/>
      <c r="U729" s="898"/>
      <c r="V729" s="898"/>
      <c r="W729" s="898"/>
      <c r="X729" s="898"/>
      <c r="Y729" s="898"/>
      <c r="Z729" s="898"/>
      <c r="AA729" s="898"/>
      <c r="AB729" s="898"/>
      <c r="AC729" s="898"/>
      <c r="AD729" s="898"/>
      <c r="AE729" s="898"/>
      <c r="AF729" s="898"/>
      <c r="AG729" s="898"/>
      <c r="AH729" s="898"/>
      <c r="AI729" s="898"/>
      <c r="AJ729" s="898"/>
      <c r="AK729" s="897"/>
      <c r="AL729" s="897"/>
      <c r="AM729" s="897"/>
      <c r="AN729" s="897"/>
      <c r="AO729" s="897"/>
      <c r="AP729" s="897"/>
      <c r="AQ729" s="897"/>
      <c r="AR729" s="897"/>
    </row>
    <row r="730" spans="1:44" s="930" customFormat="1">
      <c r="A730" s="892"/>
      <c r="B730" s="899"/>
      <c r="C730" s="900"/>
      <c r="D730" s="894"/>
      <c r="E730" s="895"/>
      <c r="F730" s="896"/>
      <c r="G730" s="897"/>
      <c r="H730" s="897"/>
      <c r="I730" s="897"/>
      <c r="J730" s="897"/>
      <c r="K730" s="897"/>
      <c r="L730" s="898"/>
      <c r="M730" s="898"/>
      <c r="N730" s="898"/>
      <c r="O730" s="898"/>
      <c r="P730" s="898"/>
      <c r="Q730" s="898"/>
      <c r="R730" s="898"/>
      <c r="S730" s="898"/>
      <c r="T730" s="898"/>
      <c r="U730" s="898"/>
      <c r="V730" s="898"/>
      <c r="W730" s="898"/>
      <c r="X730" s="898"/>
      <c r="Y730" s="898"/>
      <c r="Z730" s="898"/>
      <c r="AA730" s="898"/>
      <c r="AB730" s="898"/>
      <c r="AC730" s="898"/>
      <c r="AD730" s="898"/>
      <c r="AE730" s="898"/>
      <c r="AF730" s="898"/>
      <c r="AG730" s="898"/>
      <c r="AH730" s="898"/>
      <c r="AI730" s="898"/>
      <c r="AJ730" s="898"/>
      <c r="AK730" s="897"/>
      <c r="AL730" s="897"/>
      <c r="AM730" s="897"/>
      <c r="AN730" s="897"/>
      <c r="AO730" s="897"/>
      <c r="AP730" s="897"/>
      <c r="AQ730" s="897"/>
      <c r="AR730" s="897"/>
    </row>
    <row r="731" spans="1:44" s="930" customFormat="1">
      <c r="A731" s="892"/>
      <c r="B731" s="899"/>
      <c r="C731" s="900"/>
      <c r="D731" s="894"/>
      <c r="E731" s="895"/>
      <c r="F731" s="896"/>
      <c r="G731" s="897"/>
      <c r="H731" s="897"/>
      <c r="I731" s="897"/>
      <c r="J731" s="897"/>
      <c r="K731" s="897"/>
      <c r="L731" s="898"/>
      <c r="M731" s="898"/>
      <c r="N731" s="898"/>
      <c r="O731" s="898"/>
      <c r="P731" s="898"/>
      <c r="Q731" s="898"/>
      <c r="R731" s="898"/>
      <c r="S731" s="898"/>
      <c r="T731" s="898"/>
      <c r="U731" s="898"/>
      <c r="V731" s="898"/>
      <c r="W731" s="898"/>
      <c r="X731" s="898"/>
      <c r="Y731" s="898"/>
      <c r="Z731" s="898"/>
      <c r="AA731" s="898"/>
      <c r="AB731" s="898"/>
      <c r="AC731" s="898"/>
      <c r="AD731" s="898"/>
      <c r="AE731" s="898"/>
      <c r="AF731" s="898"/>
      <c r="AG731" s="898"/>
      <c r="AH731" s="898"/>
      <c r="AI731" s="898"/>
      <c r="AJ731" s="898"/>
      <c r="AK731" s="897"/>
      <c r="AL731" s="897"/>
      <c r="AM731" s="897"/>
      <c r="AN731" s="897"/>
      <c r="AO731" s="897"/>
      <c r="AP731" s="897"/>
      <c r="AQ731" s="897"/>
      <c r="AR731" s="897"/>
    </row>
    <row r="732" spans="1:44" s="930" customFormat="1">
      <c r="A732" s="892"/>
      <c r="B732" s="899"/>
      <c r="C732" s="900"/>
      <c r="D732" s="894"/>
      <c r="E732" s="895"/>
      <c r="F732" s="896"/>
      <c r="G732" s="897"/>
      <c r="H732" s="897"/>
      <c r="I732" s="897"/>
      <c r="J732" s="897"/>
      <c r="K732" s="897"/>
      <c r="L732" s="898"/>
      <c r="M732" s="898"/>
      <c r="N732" s="898"/>
      <c r="O732" s="898"/>
      <c r="P732" s="898"/>
      <c r="Q732" s="898"/>
      <c r="R732" s="898"/>
      <c r="S732" s="898"/>
      <c r="T732" s="898"/>
      <c r="U732" s="898"/>
      <c r="V732" s="898"/>
      <c r="W732" s="898"/>
      <c r="X732" s="898"/>
      <c r="Y732" s="898"/>
      <c r="Z732" s="898"/>
      <c r="AA732" s="898"/>
      <c r="AB732" s="898"/>
      <c r="AC732" s="898"/>
      <c r="AD732" s="898"/>
      <c r="AE732" s="898"/>
      <c r="AF732" s="898"/>
      <c r="AG732" s="898"/>
      <c r="AH732" s="898"/>
      <c r="AI732" s="898"/>
      <c r="AJ732" s="898"/>
      <c r="AK732" s="897"/>
      <c r="AL732" s="897"/>
      <c r="AM732" s="897"/>
      <c r="AN732" s="897"/>
      <c r="AO732" s="897"/>
      <c r="AP732" s="897"/>
      <c r="AQ732" s="897"/>
      <c r="AR732" s="897"/>
    </row>
    <row r="733" spans="1:44" s="930" customFormat="1">
      <c r="A733" s="892"/>
      <c r="B733" s="899"/>
      <c r="C733" s="900"/>
      <c r="D733" s="894"/>
      <c r="E733" s="895"/>
      <c r="F733" s="896"/>
      <c r="G733" s="897"/>
      <c r="H733" s="897"/>
      <c r="I733" s="897"/>
      <c r="J733" s="897"/>
      <c r="K733" s="897"/>
      <c r="L733" s="898"/>
      <c r="M733" s="898"/>
      <c r="N733" s="898"/>
      <c r="O733" s="898"/>
      <c r="P733" s="898"/>
      <c r="Q733" s="898"/>
      <c r="R733" s="898"/>
      <c r="S733" s="898"/>
      <c r="T733" s="898"/>
      <c r="U733" s="898"/>
      <c r="V733" s="898"/>
      <c r="W733" s="898"/>
      <c r="X733" s="898"/>
      <c r="Y733" s="898"/>
      <c r="Z733" s="898"/>
      <c r="AA733" s="898"/>
      <c r="AB733" s="898"/>
      <c r="AC733" s="898"/>
      <c r="AD733" s="898"/>
      <c r="AE733" s="898"/>
      <c r="AF733" s="898"/>
      <c r="AG733" s="898"/>
      <c r="AH733" s="898"/>
      <c r="AI733" s="898"/>
      <c r="AJ733" s="898"/>
      <c r="AK733" s="897"/>
      <c r="AL733" s="897"/>
      <c r="AM733" s="897"/>
      <c r="AN733" s="897"/>
      <c r="AO733" s="897"/>
      <c r="AP733" s="897"/>
      <c r="AQ733" s="897"/>
      <c r="AR733" s="897"/>
    </row>
    <row r="734" spans="1:44" s="930" customFormat="1">
      <c r="A734" s="892"/>
      <c r="B734" s="899"/>
      <c r="C734" s="900"/>
      <c r="D734" s="894"/>
      <c r="E734" s="895"/>
      <c r="F734" s="896"/>
      <c r="G734" s="897"/>
      <c r="H734" s="897"/>
      <c r="I734" s="897"/>
      <c r="J734" s="897"/>
      <c r="K734" s="897"/>
      <c r="L734" s="898"/>
      <c r="M734" s="898"/>
      <c r="N734" s="898"/>
      <c r="O734" s="898"/>
      <c r="P734" s="898"/>
      <c r="Q734" s="898"/>
      <c r="R734" s="898"/>
      <c r="S734" s="898"/>
      <c r="T734" s="898"/>
      <c r="U734" s="898"/>
      <c r="V734" s="898"/>
      <c r="W734" s="898"/>
      <c r="X734" s="898"/>
      <c r="Y734" s="898"/>
      <c r="Z734" s="898"/>
      <c r="AA734" s="898"/>
      <c r="AB734" s="898"/>
      <c r="AC734" s="898"/>
      <c r="AD734" s="898"/>
      <c r="AE734" s="898"/>
      <c r="AF734" s="898"/>
      <c r="AG734" s="898"/>
      <c r="AH734" s="898"/>
      <c r="AI734" s="898"/>
      <c r="AJ734" s="898"/>
      <c r="AK734" s="897"/>
      <c r="AL734" s="897"/>
      <c r="AM734" s="897"/>
      <c r="AN734" s="897"/>
      <c r="AO734" s="897"/>
      <c r="AP734" s="897"/>
      <c r="AQ734" s="897"/>
      <c r="AR734" s="897"/>
    </row>
    <row r="735" spans="1:44" s="930" customFormat="1">
      <c r="A735" s="892"/>
      <c r="B735" s="899"/>
      <c r="C735" s="900"/>
      <c r="D735" s="894"/>
      <c r="E735" s="895"/>
      <c r="F735" s="896"/>
      <c r="G735" s="897"/>
      <c r="H735" s="897"/>
      <c r="I735" s="897"/>
      <c r="J735" s="897"/>
      <c r="K735" s="897"/>
      <c r="L735" s="898"/>
      <c r="M735" s="898"/>
      <c r="N735" s="898"/>
      <c r="O735" s="898"/>
      <c r="P735" s="898"/>
      <c r="Q735" s="898"/>
      <c r="R735" s="898"/>
      <c r="S735" s="898"/>
      <c r="T735" s="898"/>
      <c r="U735" s="898"/>
      <c r="V735" s="898"/>
      <c r="W735" s="898"/>
      <c r="X735" s="898"/>
      <c r="Y735" s="898"/>
      <c r="Z735" s="898"/>
      <c r="AA735" s="898"/>
      <c r="AB735" s="898"/>
      <c r="AC735" s="898"/>
      <c r="AD735" s="898"/>
      <c r="AE735" s="898"/>
      <c r="AF735" s="898"/>
      <c r="AG735" s="898"/>
      <c r="AH735" s="898"/>
      <c r="AI735" s="898"/>
      <c r="AJ735" s="898"/>
      <c r="AK735" s="897"/>
      <c r="AL735" s="897"/>
      <c r="AM735" s="897"/>
      <c r="AN735" s="897"/>
      <c r="AO735" s="897"/>
      <c r="AP735" s="897"/>
      <c r="AQ735" s="897"/>
      <c r="AR735" s="897"/>
    </row>
    <row r="736" spans="1:44" s="930" customFormat="1">
      <c r="A736" s="892"/>
      <c r="B736" s="899"/>
      <c r="C736" s="900"/>
      <c r="D736" s="894"/>
      <c r="E736" s="895"/>
      <c r="F736" s="896"/>
      <c r="G736" s="897"/>
      <c r="H736" s="897"/>
      <c r="I736" s="897"/>
      <c r="J736" s="897"/>
      <c r="K736" s="897"/>
      <c r="L736" s="898"/>
      <c r="M736" s="898"/>
      <c r="N736" s="898"/>
      <c r="O736" s="898"/>
      <c r="P736" s="898"/>
      <c r="Q736" s="898"/>
      <c r="R736" s="898"/>
      <c r="S736" s="898"/>
      <c r="T736" s="898"/>
      <c r="U736" s="898"/>
      <c r="V736" s="898"/>
      <c r="W736" s="898"/>
      <c r="X736" s="898"/>
      <c r="Y736" s="898"/>
      <c r="Z736" s="898"/>
      <c r="AA736" s="898"/>
      <c r="AB736" s="898"/>
      <c r="AC736" s="898"/>
      <c r="AD736" s="898"/>
      <c r="AE736" s="898"/>
      <c r="AF736" s="898"/>
      <c r="AG736" s="898"/>
      <c r="AH736" s="898"/>
      <c r="AI736" s="898"/>
      <c r="AJ736" s="898"/>
      <c r="AK736" s="897"/>
      <c r="AL736" s="897"/>
      <c r="AM736" s="897"/>
      <c r="AN736" s="897"/>
      <c r="AO736" s="897"/>
      <c r="AP736" s="897"/>
      <c r="AQ736" s="897"/>
      <c r="AR736" s="897"/>
    </row>
    <row r="737" spans="1:44" s="930" customFormat="1">
      <c r="A737" s="892"/>
      <c r="B737" s="899"/>
      <c r="C737" s="900"/>
      <c r="D737" s="894"/>
      <c r="E737" s="895"/>
      <c r="F737" s="896"/>
      <c r="G737" s="897"/>
      <c r="H737" s="897"/>
      <c r="I737" s="897"/>
      <c r="J737" s="897"/>
      <c r="K737" s="897"/>
      <c r="L737" s="898"/>
      <c r="M737" s="898"/>
      <c r="N737" s="898"/>
      <c r="O737" s="898"/>
      <c r="P737" s="898"/>
      <c r="Q737" s="898"/>
      <c r="R737" s="898"/>
      <c r="S737" s="898"/>
      <c r="T737" s="898"/>
      <c r="U737" s="898"/>
      <c r="V737" s="898"/>
      <c r="W737" s="898"/>
      <c r="X737" s="898"/>
      <c r="Y737" s="898"/>
      <c r="Z737" s="898"/>
      <c r="AA737" s="898"/>
      <c r="AB737" s="898"/>
      <c r="AC737" s="898"/>
      <c r="AD737" s="898"/>
      <c r="AE737" s="898"/>
      <c r="AF737" s="898"/>
      <c r="AG737" s="898"/>
      <c r="AH737" s="898"/>
      <c r="AI737" s="898"/>
      <c r="AJ737" s="898"/>
      <c r="AK737" s="897"/>
      <c r="AL737" s="897"/>
      <c r="AM737" s="897"/>
      <c r="AN737" s="897"/>
      <c r="AO737" s="897"/>
      <c r="AP737" s="897"/>
      <c r="AQ737" s="897"/>
      <c r="AR737" s="897"/>
    </row>
    <row r="738" spans="1:44" s="930" customFormat="1">
      <c r="A738" s="892"/>
      <c r="B738" s="899"/>
      <c r="C738" s="900"/>
      <c r="D738" s="894"/>
      <c r="E738" s="895"/>
      <c r="F738" s="896"/>
      <c r="G738" s="897"/>
      <c r="H738" s="897"/>
      <c r="I738" s="897"/>
      <c r="J738" s="897"/>
      <c r="K738" s="897"/>
      <c r="L738" s="898"/>
      <c r="M738" s="898"/>
      <c r="N738" s="898"/>
      <c r="O738" s="898"/>
      <c r="P738" s="898"/>
      <c r="Q738" s="898"/>
      <c r="R738" s="898"/>
      <c r="S738" s="898"/>
      <c r="T738" s="898"/>
      <c r="U738" s="898"/>
      <c r="V738" s="898"/>
      <c r="W738" s="898"/>
      <c r="X738" s="898"/>
      <c r="Y738" s="898"/>
      <c r="Z738" s="898"/>
      <c r="AA738" s="898"/>
      <c r="AB738" s="898"/>
      <c r="AC738" s="898"/>
      <c r="AD738" s="898"/>
      <c r="AE738" s="898"/>
      <c r="AF738" s="898"/>
      <c r="AG738" s="898"/>
      <c r="AH738" s="898"/>
      <c r="AI738" s="898"/>
      <c r="AJ738" s="898"/>
      <c r="AK738" s="897"/>
      <c r="AL738" s="897"/>
      <c r="AM738" s="897"/>
      <c r="AN738" s="897"/>
      <c r="AO738" s="897"/>
      <c r="AP738" s="897"/>
      <c r="AQ738" s="897"/>
      <c r="AR738" s="897"/>
    </row>
    <row r="739" spans="1:44" s="930" customFormat="1">
      <c r="A739" s="892"/>
      <c r="B739" s="899"/>
      <c r="C739" s="900"/>
      <c r="D739" s="894"/>
      <c r="E739" s="895"/>
      <c r="F739" s="896"/>
      <c r="G739" s="897"/>
      <c r="H739" s="897"/>
      <c r="I739" s="897"/>
      <c r="J739" s="897"/>
      <c r="K739" s="897"/>
      <c r="L739" s="898"/>
      <c r="M739" s="898"/>
      <c r="N739" s="898"/>
      <c r="O739" s="898"/>
      <c r="P739" s="898"/>
      <c r="Q739" s="898"/>
      <c r="R739" s="898"/>
      <c r="S739" s="898"/>
      <c r="T739" s="898"/>
      <c r="U739" s="898"/>
      <c r="V739" s="898"/>
      <c r="W739" s="898"/>
      <c r="X739" s="898"/>
      <c r="Y739" s="898"/>
      <c r="Z739" s="898"/>
      <c r="AA739" s="898"/>
      <c r="AB739" s="898"/>
      <c r="AC739" s="898"/>
      <c r="AD739" s="898"/>
      <c r="AE739" s="898"/>
      <c r="AF739" s="898"/>
      <c r="AG739" s="898"/>
      <c r="AH739" s="898"/>
      <c r="AI739" s="898"/>
      <c r="AJ739" s="898"/>
      <c r="AK739" s="897"/>
      <c r="AL739" s="897"/>
      <c r="AM739" s="897"/>
      <c r="AN739" s="897"/>
      <c r="AO739" s="897"/>
      <c r="AP739" s="897"/>
      <c r="AQ739" s="897"/>
      <c r="AR739" s="897"/>
    </row>
    <row r="740" spans="1:44" s="930" customFormat="1">
      <c r="A740" s="892"/>
      <c r="B740" s="899"/>
      <c r="C740" s="900"/>
      <c r="D740" s="894"/>
      <c r="E740" s="895"/>
      <c r="F740" s="896"/>
      <c r="G740" s="897"/>
      <c r="H740" s="897"/>
      <c r="I740" s="897"/>
      <c r="J740" s="897"/>
      <c r="K740" s="897"/>
      <c r="L740" s="898"/>
      <c r="M740" s="898"/>
      <c r="N740" s="898"/>
      <c r="O740" s="898"/>
      <c r="P740" s="898"/>
      <c r="Q740" s="898"/>
      <c r="R740" s="898"/>
      <c r="S740" s="898"/>
      <c r="T740" s="898"/>
      <c r="U740" s="898"/>
      <c r="V740" s="898"/>
      <c r="W740" s="898"/>
      <c r="X740" s="898"/>
      <c r="Y740" s="898"/>
      <c r="Z740" s="898"/>
      <c r="AA740" s="898"/>
      <c r="AB740" s="898"/>
      <c r="AC740" s="898"/>
      <c r="AD740" s="898"/>
      <c r="AE740" s="898"/>
      <c r="AF740" s="898"/>
      <c r="AG740" s="898"/>
      <c r="AH740" s="898"/>
      <c r="AI740" s="898"/>
      <c r="AJ740" s="898"/>
      <c r="AK740" s="897"/>
      <c r="AL740" s="897"/>
      <c r="AM740" s="897"/>
      <c r="AN740" s="897"/>
      <c r="AO740" s="897"/>
      <c r="AP740" s="897"/>
      <c r="AQ740" s="897"/>
      <c r="AR740" s="897"/>
    </row>
    <row r="741" spans="1:44" s="930" customFormat="1">
      <c r="A741" s="892"/>
      <c r="B741" s="899"/>
      <c r="C741" s="900"/>
      <c r="D741" s="894"/>
      <c r="E741" s="895"/>
      <c r="F741" s="896"/>
      <c r="G741" s="897"/>
      <c r="H741" s="897"/>
      <c r="I741" s="897"/>
      <c r="J741" s="897"/>
      <c r="K741" s="897"/>
      <c r="L741" s="898"/>
      <c r="M741" s="898"/>
      <c r="N741" s="898"/>
      <c r="O741" s="898"/>
      <c r="P741" s="898"/>
      <c r="Q741" s="898"/>
      <c r="R741" s="898"/>
      <c r="S741" s="898"/>
      <c r="T741" s="898"/>
      <c r="U741" s="898"/>
      <c r="V741" s="898"/>
      <c r="W741" s="898"/>
      <c r="X741" s="898"/>
      <c r="Y741" s="898"/>
      <c r="Z741" s="898"/>
      <c r="AA741" s="898"/>
      <c r="AB741" s="898"/>
      <c r="AC741" s="898"/>
      <c r="AD741" s="898"/>
      <c r="AE741" s="898"/>
      <c r="AF741" s="898"/>
      <c r="AG741" s="898"/>
      <c r="AH741" s="898"/>
      <c r="AI741" s="898"/>
      <c r="AJ741" s="898"/>
      <c r="AK741" s="897"/>
      <c r="AL741" s="897"/>
      <c r="AM741" s="897"/>
      <c r="AN741" s="897"/>
      <c r="AO741" s="897"/>
      <c r="AP741" s="897"/>
      <c r="AQ741" s="897"/>
      <c r="AR741" s="897"/>
    </row>
    <row r="742" spans="1:44" s="930" customFormat="1">
      <c r="A742" s="892"/>
      <c r="B742" s="899"/>
      <c r="C742" s="900"/>
      <c r="D742" s="894"/>
      <c r="E742" s="895"/>
      <c r="F742" s="896"/>
      <c r="G742" s="897"/>
      <c r="H742" s="897"/>
      <c r="I742" s="897"/>
      <c r="J742" s="897"/>
      <c r="K742" s="897"/>
      <c r="L742" s="898"/>
      <c r="M742" s="898"/>
      <c r="N742" s="898"/>
      <c r="O742" s="898"/>
      <c r="P742" s="898"/>
      <c r="Q742" s="898"/>
      <c r="R742" s="898"/>
      <c r="S742" s="898"/>
      <c r="T742" s="898"/>
      <c r="U742" s="898"/>
      <c r="V742" s="898"/>
      <c r="W742" s="898"/>
      <c r="X742" s="898"/>
      <c r="Y742" s="898"/>
      <c r="Z742" s="898"/>
      <c r="AA742" s="898"/>
      <c r="AB742" s="898"/>
      <c r="AC742" s="898"/>
      <c r="AD742" s="898"/>
      <c r="AE742" s="898"/>
      <c r="AF742" s="898"/>
      <c r="AG742" s="898"/>
      <c r="AH742" s="898"/>
      <c r="AI742" s="898"/>
      <c r="AJ742" s="898"/>
      <c r="AK742" s="897"/>
      <c r="AL742" s="897"/>
      <c r="AM742" s="897"/>
      <c r="AN742" s="897"/>
      <c r="AO742" s="897"/>
      <c r="AP742" s="897"/>
      <c r="AQ742" s="897"/>
      <c r="AR742" s="897"/>
    </row>
    <row r="743" spans="1:44" s="930" customFormat="1">
      <c r="A743" s="892"/>
      <c r="B743" s="899"/>
      <c r="C743" s="900"/>
      <c r="D743" s="894"/>
      <c r="E743" s="895"/>
      <c r="F743" s="896"/>
      <c r="G743" s="897"/>
      <c r="H743" s="897"/>
      <c r="I743" s="897"/>
      <c r="J743" s="897"/>
      <c r="K743" s="897"/>
      <c r="L743" s="898"/>
      <c r="M743" s="898"/>
      <c r="N743" s="898"/>
      <c r="O743" s="898"/>
      <c r="P743" s="898"/>
      <c r="Q743" s="898"/>
      <c r="R743" s="898"/>
      <c r="S743" s="898"/>
      <c r="T743" s="898"/>
      <c r="U743" s="898"/>
      <c r="V743" s="898"/>
      <c r="W743" s="898"/>
      <c r="X743" s="898"/>
      <c r="Y743" s="898"/>
      <c r="Z743" s="898"/>
      <c r="AA743" s="898"/>
      <c r="AB743" s="898"/>
      <c r="AC743" s="898"/>
      <c r="AD743" s="898"/>
      <c r="AE743" s="898"/>
      <c r="AF743" s="898"/>
      <c r="AG743" s="898"/>
      <c r="AH743" s="898"/>
      <c r="AI743" s="898"/>
      <c r="AJ743" s="898"/>
      <c r="AK743" s="897"/>
      <c r="AL743" s="897"/>
      <c r="AM743" s="897"/>
      <c r="AN743" s="897"/>
      <c r="AO743" s="897"/>
      <c r="AP743" s="897"/>
      <c r="AQ743" s="897"/>
      <c r="AR743" s="897"/>
    </row>
    <row r="744" spans="1:44" s="930" customFormat="1">
      <c r="A744" s="892"/>
      <c r="B744" s="899"/>
      <c r="C744" s="900"/>
      <c r="D744" s="894"/>
      <c r="E744" s="895"/>
      <c r="F744" s="896"/>
      <c r="G744" s="897"/>
      <c r="H744" s="897"/>
      <c r="I744" s="897"/>
      <c r="J744" s="897"/>
      <c r="K744" s="897"/>
      <c r="L744" s="898"/>
      <c r="M744" s="898"/>
      <c r="N744" s="898"/>
      <c r="O744" s="898"/>
      <c r="P744" s="898"/>
      <c r="Q744" s="898"/>
      <c r="R744" s="898"/>
      <c r="S744" s="898"/>
      <c r="T744" s="898"/>
      <c r="U744" s="898"/>
      <c r="V744" s="898"/>
      <c r="W744" s="898"/>
      <c r="X744" s="898"/>
      <c r="Y744" s="898"/>
      <c r="Z744" s="898"/>
      <c r="AA744" s="898"/>
      <c r="AB744" s="898"/>
      <c r="AC744" s="898"/>
      <c r="AD744" s="898"/>
      <c r="AE744" s="898"/>
      <c r="AF744" s="898"/>
      <c r="AG744" s="898"/>
      <c r="AH744" s="898"/>
      <c r="AI744" s="898"/>
      <c r="AJ744" s="898"/>
      <c r="AK744" s="897"/>
      <c r="AL744" s="897"/>
      <c r="AM744" s="897"/>
      <c r="AN744" s="897"/>
      <c r="AO744" s="897"/>
      <c r="AP744" s="897"/>
      <c r="AQ744" s="897"/>
      <c r="AR744" s="897"/>
    </row>
    <row r="745" spans="1:44" s="930" customFormat="1">
      <c r="A745" s="892"/>
      <c r="B745" s="899"/>
      <c r="C745" s="900"/>
      <c r="D745" s="894"/>
      <c r="E745" s="895"/>
      <c r="F745" s="896"/>
      <c r="G745" s="897"/>
      <c r="H745" s="897"/>
      <c r="I745" s="897"/>
      <c r="J745" s="897"/>
      <c r="K745" s="897"/>
      <c r="L745" s="898"/>
      <c r="M745" s="898"/>
      <c r="N745" s="898"/>
      <c r="O745" s="898"/>
      <c r="P745" s="898"/>
      <c r="Q745" s="898"/>
      <c r="R745" s="898"/>
      <c r="S745" s="898"/>
      <c r="T745" s="898"/>
      <c r="U745" s="898"/>
      <c r="V745" s="898"/>
      <c r="W745" s="898"/>
      <c r="X745" s="898"/>
      <c r="Y745" s="898"/>
      <c r="Z745" s="898"/>
      <c r="AA745" s="898"/>
      <c r="AB745" s="898"/>
      <c r="AC745" s="898"/>
      <c r="AD745" s="898"/>
      <c r="AE745" s="898"/>
      <c r="AF745" s="898"/>
      <c r="AG745" s="898"/>
      <c r="AH745" s="898"/>
      <c r="AI745" s="898"/>
      <c r="AJ745" s="898"/>
      <c r="AK745" s="897"/>
      <c r="AL745" s="897"/>
      <c r="AM745" s="897"/>
      <c r="AN745" s="897"/>
      <c r="AO745" s="897"/>
      <c r="AP745" s="897"/>
      <c r="AQ745" s="897"/>
      <c r="AR745" s="897"/>
    </row>
    <row r="746" spans="1:44" s="930" customFormat="1">
      <c r="A746" s="892"/>
      <c r="B746" s="899"/>
      <c r="C746" s="900"/>
      <c r="D746" s="894"/>
      <c r="E746" s="895"/>
      <c r="F746" s="896"/>
      <c r="G746" s="897"/>
      <c r="H746" s="897"/>
      <c r="I746" s="897"/>
      <c r="J746" s="897"/>
      <c r="K746" s="897"/>
      <c r="L746" s="898"/>
      <c r="M746" s="898"/>
      <c r="N746" s="898"/>
      <c r="O746" s="898"/>
      <c r="P746" s="898"/>
      <c r="Q746" s="898"/>
      <c r="R746" s="898"/>
      <c r="S746" s="898"/>
      <c r="T746" s="898"/>
      <c r="U746" s="898"/>
      <c r="V746" s="898"/>
      <c r="W746" s="898"/>
      <c r="X746" s="898"/>
      <c r="Y746" s="898"/>
      <c r="Z746" s="898"/>
      <c r="AA746" s="898"/>
      <c r="AB746" s="898"/>
      <c r="AC746" s="898"/>
      <c r="AD746" s="898"/>
      <c r="AE746" s="898"/>
      <c r="AF746" s="898"/>
      <c r="AG746" s="898"/>
      <c r="AH746" s="898"/>
      <c r="AI746" s="898"/>
      <c r="AJ746" s="898"/>
      <c r="AK746" s="897"/>
      <c r="AL746" s="897"/>
      <c r="AM746" s="897"/>
      <c r="AN746" s="897"/>
      <c r="AO746" s="897"/>
      <c r="AP746" s="897"/>
      <c r="AQ746" s="897"/>
      <c r="AR746" s="897"/>
    </row>
    <row r="747" spans="1:44" s="930" customFormat="1">
      <c r="A747" s="892"/>
      <c r="B747" s="899"/>
      <c r="C747" s="900"/>
      <c r="D747" s="894"/>
      <c r="E747" s="895"/>
      <c r="F747" s="896"/>
      <c r="G747" s="897"/>
      <c r="H747" s="897"/>
      <c r="I747" s="897"/>
      <c r="J747" s="897"/>
      <c r="K747" s="897"/>
      <c r="L747" s="898"/>
      <c r="M747" s="898"/>
      <c r="N747" s="898"/>
      <c r="O747" s="898"/>
      <c r="P747" s="898"/>
      <c r="Q747" s="898"/>
      <c r="R747" s="898"/>
      <c r="S747" s="898"/>
      <c r="T747" s="898"/>
      <c r="U747" s="898"/>
      <c r="V747" s="898"/>
      <c r="W747" s="898"/>
      <c r="X747" s="898"/>
      <c r="Y747" s="898"/>
      <c r="Z747" s="898"/>
      <c r="AA747" s="898"/>
      <c r="AB747" s="898"/>
      <c r="AC747" s="898"/>
      <c r="AD747" s="898"/>
      <c r="AE747" s="898"/>
      <c r="AF747" s="898"/>
      <c r="AG747" s="898"/>
      <c r="AH747" s="898"/>
      <c r="AI747" s="898"/>
      <c r="AJ747" s="898"/>
      <c r="AK747" s="897"/>
      <c r="AL747" s="897"/>
      <c r="AM747" s="897"/>
      <c r="AN747" s="897"/>
      <c r="AO747" s="897"/>
      <c r="AP747" s="897"/>
      <c r="AQ747" s="897"/>
      <c r="AR747" s="897"/>
    </row>
    <row r="748" spans="1:44" s="930" customFormat="1">
      <c r="A748" s="892"/>
      <c r="B748" s="899"/>
      <c r="C748" s="900"/>
      <c r="D748" s="894"/>
      <c r="E748" s="895"/>
      <c r="F748" s="896"/>
      <c r="G748" s="897"/>
      <c r="H748" s="897"/>
      <c r="I748" s="897"/>
      <c r="J748" s="897"/>
      <c r="K748" s="897"/>
      <c r="L748" s="898"/>
      <c r="M748" s="898"/>
      <c r="N748" s="898"/>
      <c r="O748" s="898"/>
      <c r="P748" s="898"/>
      <c r="Q748" s="898"/>
      <c r="R748" s="898"/>
      <c r="S748" s="898"/>
      <c r="T748" s="898"/>
      <c r="U748" s="898"/>
      <c r="V748" s="898"/>
      <c r="W748" s="898"/>
      <c r="X748" s="898"/>
      <c r="Y748" s="898"/>
      <c r="Z748" s="898"/>
      <c r="AA748" s="898"/>
      <c r="AB748" s="898"/>
      <c r="AC748" s="898"/>
      <c r="AD748" s="898"/>
      <c r="AE748" s="898"/>
      <c r="AF748" s="898"/>
      <c r="AG748" s="898"/>
      <c r="AH748" s="898"/>
      <c r="AI748" s="898"/>
      <c r="AJ748" s="898"/>
      <c r="AK748" s="897"/>
      <c r="AL748" s="897"/>
      <c r="AM748" s="897"/>
      <c r="AN748" s="897"/>
      <c r="AO748" s="897"/>
      <c r="AP748" s="897"/>
      <c r="AQ748" s="897"/>
      <c r="AR748" s="897"/>
    </row>
    <row r="749" spans="1:44" s="930" customFormat="1">
      <c r="A749" s="892"/>
      <c r="B749" s="899"/>
      <c r="C749" s="900"/>
      <c r="D749" s="894"/>
      <c r="E749" s="895"/>
      <c r="F749" s="896"/>
      <c r="G749" s="897"/>
      <c r="H749" s="897"/>
      <c r="I749" s="897"/>
      <c r="J749" s="897"/>
      <c r="K749" s="897"/>
      <c r="L749" s="898"/>
      <c r="M749" s="898"/>
      <c r="N749" s="898"/>
      <c r="O749" s="898"/>
      <c r="P749" s="898"/>
      <c r="Q749" s="898"/>
      <c r="R749" s="898"/>
      <c r="S749" s="898"/>
      <c r="T749" s="898"/>
      <c r="U749" s="898"/>
      <c r="V749" s="898"/>
      <c r="W749" s="898"/>
      <c r="X749" s="898"/>
      <c r="Y749" s="898"/>
      <c r="Z749" s="898"/>
      <c r="AA749" s="898"/>
      <c r="AB749" s="898"/>
      <c r="AC749" s="898"/>
      <c r="AD749" s="898"/>
      <c r="AE749" s="898"/>
      <c r="AF749" s="898"/>
      <c r="AG749" s="898"/>
      <c r="AH749" s="898"/>
      <c r="AI749" s="898"/>
      <c r="AJ749" s="898"/>
      <c r="AK749" s="897"/>
      <c r="AL749" s="897"/>
      <c r="AM749" s="897"/>
      <c r="AN749" s="897"/>
      <c r="AO749" s="897"/>
      <c r="AP749" s="897"/>
      <c r="AQ749" s="897"/>
      <c r="AR749" s="897"/>
    </row>
    <row r="750" spans="1:44" s="930" customFormat="1">
      <c r="A750" s="892"/>
      <c r="B750" s="899"/>
      <c r="C750" s="900"/>
      <c r="D750" s="894"/>
      <c r="E750" s="895"/>
      <c r="F750" s="896"/>
      <c r="G750" s="897"/>
      <c r="H750" s="897"/>
      <c r="I750" s="897"/>
      <c r="J750" s="897"/>
      <c r="K750" s="897"/>
      <c r="L750" s="898"/>
      <c r="M750" s="898"/>
      <c r="N750" s="898"/>
      <c r="O750" s="898"/>
      <c r="P750" s="898"/>
      <c r="Q750" s="898"/>
      <c r="R750" s="898"/>
      <c r="S750" s="898"/>
      <c r="T750" s="898"/>
      <c r="U750" s="898"/>
      <c r="V750" s="898"/>
      <c r="W750" s="898"/>
      <c r="X750" s="898"/>
      <c r="Y750" s="898"/>
      <c r="Z750" s="898"/>
      <c r="AA750" s="898"/>
      <c r="AB750" s="898"/>
      <c r="AC750" s="898"/>
      <c r="AD750" s="898"/>
      <c r="AE750" s="898"/>
      <c r="AF750" s="898"/>
      <c r="AG750" s="898"/>
      <c r="AH750" s="898"/>
      <c r="AI750" s="898"/>
      <c r="AJ750" s="898"/>
      <c r="AK750" s="897"/>
      <c r="AL750" s="897"/>
      <c r="AM750" s="897"/>
      <c r="AN750" s="897"/>
      <c r="AO750" s="897"/>
      <c r="AP750" s="897"/>
      <c r="AQ750" s="897"/>
      <c r="AR750" s="897"/>
    </row>
    <row r="751" spans="1:44" s="930" customFormat="1">
      <c r="A751" s="892"/>
      <c r="B751" s="899"/>
      <c r="C751" s="900"/>
      <c r="D751" s="894"/>
      <c r="E751" s="895"/>
      <c r="F751" s="896"/>
      <c r="G751" s="897"/>
      <c r="H751" s="897"/>
      <c r="I751" s="897"/>
      <c r="J751" s="897"/>
      <c r="K751" s="897"/>
      <c r="L751" s="898"/>
      <c r="M751" s="898"/>
      <c r="N751" s="898"/>
      <c r="O751" s="898"/>
      <c r="P751" s="898"/>
      <c r="Q751" s="898"/>
      <c r="R751" s="898"/>
      <c r="S751" s="898"/>
      <c r="T751" s="898"/>
      <c r="U751" s="898"/>
      <c r="V751" s="898"/>
      <c r="W751" s="898"/>
      <c r="X751" s="898"/>
      <c r="Y751" s="898"/>
      <c r="Z751" s="898"/>
      <c r="AA751" s="898"/>
      <c r="AB751" s="898"/>
      <c r="AC751" s="898"/>
      <c r="AD751" s="898"/>
      <c r="AE751" s="898"/>
      <c r="AF751" s="898"/>
      <c r="AG751" s="898"/>
      <c r="AH751" s="898"/>
      <c r="AI751" s="898"/>
      <c r="AJ751" s="898"/>
      <c r="AK751" s="897"/>
      <c r="AL751" s="897"/>
      <c r="AM751" s="897"/>
      <c r="AN751" s="897"/>
      <c r="AO751" s="897"/>
      <c r="AP751" s="897"/>
      <c r="AQ751" s="897"/>
      <c r="AR751" s="897"/>
    </row>
    <row r="752" spans="1:44" s="930" customFormat="1">
      <c r="A752" s="892"/>
      <c r="B752" s="899"/>
      <c r="C752" s="900"/>
      <c r="D752" s="894"/>
      <c r="E752" s="895"/>
      <c r="F752" s="896"/>
      <c r="G752" s="897"/>
      <c r="H752" s="897"/>
      <c r="I752" s="897"/>
      <c r="J752" s="897"/>
      <c r="K752" s="897"/>
      <c r="L752" s="898"/>
      <c r="M752" s="898"/>
      <c r="N752" s="898"/>
      <c r="O752" s="898"/>
      <c r="P752" s="898"/>
      <c r="Q752" s="898"/>
      <c r="R752" s="898"/>
      <c r="S752" s="898"/>
      <c r="T752" s="898"/>
      <c r="U752" s="898"/>
      <c r="V752" s="898"/>
      <c r="W752" s="898"/>
      <c r="X752" s="898"/>
      <c r="Y752" s="898"/>
      <c r="Z752" s="898"/>
      <c r="AA752" s="898"/>
      <c r="AB752" s="898"/>
      <c r="AC752" s="898"/>
      <c r="AD752" s="898"/>
      <c r="AE752" s="898"/>
      <c r="AF752" s="898"/>
      <c r="AG752" s="898"/>
      <c r="AH752" s="898"/>
      <c r="AI752" s="898"/>
      <c r="AJ752" s="898"/>
      <c r="AK752" s="897"/>
      <c r="AL752" s="897"/>
      <c r="AM752" s="897"/>
      <c r="AN752" s="897"/>
      <c r="AO752" s="897"/>
      <c r="AP752" s="897"/>
      <c r="AQ752" s="897"/>
      <c r="AR752" s="897"/>
    </row>
    <row r="753" spans="1:44" s="930" customFormat="1">
      <c r="A753" s="892"/>
      <c r="B753" s="899"/>
      <c r="C753" s="900"/>
      <c r="D753" s="894"/>
      <c r="E753" s="895"/>
      <c r="F753" s="896"/>
      <c r="G753" s="897"/>
      <c r="H753" s="897"/>
      <c r="I753" s="897"/>
      <c r="J753" s="897"/>
      <c r="K753" s="897"/>
      <c r="L753" s="898"/>
      <c r="M753" s="898"/>
      <c r="N753" s="898"/>
      <c r="O753" s="898"/>
      <c r="P753" s="898"/>
      <c r="Q753" s="898"/>
      <c r="R753" s="898"/>
      <c r="S753" s="898"/>
      <c r="T753" s="898"/>
      <c r="U753" s="898"/>
      <c r="V753" s="898"/>
      <c r="W753" s="898"/>
      <c r="X753" s="898"/>
      <c r="Y753" s="898"/>
      <c r="Z753" s="898"/>
      <c r="AA753" s="898"/>
      <c r="AB753" s="898"/>
      <c r="AC753" s="898"/>
      <c r="AD753" s="898"/>
      <c r="AE753" s="898"/>
      <c r="AF753" s="898"/>
      <c r="AG753" s="898"/>
      <c r="AH753" s="898"/>
      <c r="AI753" s="898"/>
      <c r="AJ753" s="898"/>
      <c r="AK753" s="897"/>
      <c r="AL753" s="897"/>
      <c r="AM753" s="897"/>
      <c r="AN753" s="897"/>
      <c r="AO753" s="897"/>
      <c r="AP753" s="897"/>
      <c r="AQ753" s="897"/>
      <c r="AR753" s="897"/>
    </row>
    <row r="754" spans="1:44" s="930" customFormat="1">
      <c r="A754" s="892"/>
      <c r="B754" s="899"/>
      <c r="C754" s="900"/>
      <c r="D754" s="894"/>
      <c r="E754" s="895"/>
      <c r="F754" s="896"/>
      <c r="G754" s="897"/>
      <c r="H754" s="897"/>
      <c r="I754" s="897"/>
      <c r="J754" s="897"/>
      <c r="K754" s="897"/>
      <c r="L754" s="898"/>
      <c r="M754" s="898"/>
      <c r="N754" s="898"/>
      <c r="O754" s="898"/>
      <c r="P754" s="898"/>
      <c r="Q754" s="898"/>
      <c r="R754" s="898"/>
      <c r="S754" s="898"/>
      <c r="T754" s="898"/>
      <c r="U754" s="898"/>
      <c r="V754" s="898"/>
      <c r="W754" s="898"/>
      <c r="X754" s="898"/>
      <c r="Y754" s="898"/>
      <c r="Z754" s="898"/>
      <c r="AA754" s="898"/>
      <c r="AB754" s="898"/>
      <c r="AC754" s="898"/>
      <c r="AD754" s="898"/>
      <c r="AE754" s="898"/>
      <c r="AF754" s="898"/>
      <c r="AG754" s="898"/>
      <c r="AH754" s="898"/>
      <c r="AI754" s="898"/>
      <c r="AJ754" s="898"/>
      <c r="AK754" s="897"/>
      <c r="AL754" s="897"/>
      <c r="AM754" s="897"/>
      <c r="AN754" s="897"/>
      <c r="AO754" s="897"/>
      <c r="AP754" s="897"/>
      <c r="AQ754" s="897"/>
      <c r="AR754" s="897"/>
    </row>
    <row r="755" spans="1:44" s="930" customFormat="1">
      <c r="A755" s="892"/>
      <c r="B755" s="899"/>
      <c r="C755" s="900"/>
      <c r="D755" s="894"/>
      <c r="E755" s="895"/>
      <c r="F755" s="896"/>
      <c r="G755" s="897"/>
      <c r="H755" s="897"/>
      <c r="I755" s="897"/>
      <c r="J755" s="897"/>
      <c r="K755" s="897"/>
      <c r="L755" s="898"/>
      <c r="M755" s="898"/>
      <c r="N755" s="898"/>
      <c r="O755" s="898"/>
      <c r="P755" s="898"/>
      <c r="Q755" s="898"/>
      <c r="R755" s="898"/>
      <c r="S755" s="898"/>
      <c r="T755" s="898"/>
      <c r="U755" s="898"/>
      <c r="V755" s="898"/>
      <c r="W755" s="898"/>
      <c r="X755" s="898"/>
      <c r="Y755" s="898"/>
      <c r="Z755" s="898"/>
      <c r="AA755" s="898"/>
      <c r="AB755" s="898"/>
      <c r="AC755" s="898"/>
      <c r="AD755" s="898"/>
      <c r="AE755" s="898"/>
      <c r="AF755" s="898"/>
      <c r="AG755" s="898"/>
      <c r="AH755" s="898"/>
      <c r="AI755" s="898"/>
      <c r="AJ755" s="898"/>
      <c r="AK755" s="897"/>
      <c r="AL755" s="897"/>
      <c r="AM755" s="897"/>
      <c r="AN755" s="897"/>
      <c r="AO755" s="897"/>
      <c r="AP755" s="897"/>
      <c r="AQ755" s="897"/>
      <c r="AR755" s="897"/>
    </row>
    <row r="756" spans="1:44" s="930" customFormat="1">
      <c r="A756" s="892"/>
      <c r="B756" s="899"/>
      <c r="C756" s="900"/>
      <c r="D756" s="894"/>
      <c r="E756" s="895"/>
      <c r="F756" s="896"/>
      <c r="G756" s="897"/>
      <c r="H756" s="897"/>
      <c r="I756" s="897"/>
      <c r="J756" s="897"/>
      <c r="K756" s="897"/>
      <c r="L756" s="898"/>
      <c r="M756" s="898"/>
      <c r="N756" s="898"/>
      <c r="O756" s="898"/>
      <c r="P756" s="898"/>
      <c r="Q756" s="898"/>
      <c r="R756" s="898"/>
      <c r="S756" s="898"/>
      <c r="T756" s="898"/>
      <c r="U756" s="898"/>
      <c r="V756" s="898"/>
      <c r="W756" s="898"/>
      <c r="X756" s="898"/>
      <c r="Y756" s="898"/>
      <c r="Z756" s="898"/>
      <c r="AA756" s="898"/>
      <c r="AB756" s="898"/>
      <c r="AC756" s="898"/>
      <c r="AD756" s="898"/>
      <c r="AE756" s="898"/>
      <c r="AF756" s="898"/>
      <c r="AG756" s="898"/>
      <c r="AH756" s="898"/>
      <c r="AI756" s="898"/>
      <c r="AJ756" s="898"/>
      <c r="AK756" s="897"/>
      <c r="AL756" s="897"/>
      <c r="AM756" s="897"/>
      <c r="AN756" s="897"/>
      <c r="AO756" s="897"/>
      <c r="AP756" s="897"/>
      <c r="AQ756" s="897"/>
      <c r="AR756" s="897"/>
    </row>
    <row r="757" spans="1:44" s="930" customFormat="1">
      <c r="A757" s="892"/>
      <c r="B757" s="899"/>
      <c r="C757" s="900"/>
      <c r="D757" s="894"/>
      <c r="E757" s="895"/>
      <c r="F757" s="896"/>
      <c r="G757" s="897"/>
      <c r="H757" s="897"/>
      <c r="I757" s="897"/>
      <c r="J757" s="897"/>
      <c r="K757" s="897"/>
      <c r="L757" s="898"/>
      <c r="M757" s="898"/>
      <c r="N757" s="898"/>
      <c r="O757" s="898"/>
      <c r="P757" s="898"/>
      <c r="Q757" s="898"/>
      <c r="R757" s="898"/>
      <c r="S757" s="898"/>
      <c r="T757" s="898"/>
      <c r="U757" s="898"/>
      <c r="V757" s="898"/>
      <c r="W757" s="898"/>
      <c r="X757" s="898"/>
      <c r="Y757" s="898"/>
      <c r="Z757" s="898"/>
      <c r="AA757" s="898"/>
      <c r="AB757" s="898"/>
      <c r="AC757" s="898"/>
      <c r="AD757" s="898"/>
      <c r="AE757" s="898"/>
      <c r="AF757" s="898"/>
      <c r="AG757" s="898"/>
      <c r="AH757" s="898"/>
      <c r="AI757" s="898"/>
      <c r="AJ757" s="898"/>
      <c r="AK757" s="897"/>
      <c r="AL757" s="897"/>
      <c r="AM757" s="897"/>
      <c r="AN757" s="897"/>
      <c r="AO757" s="897"/>
      <c r="AP757" s="897"/>
      <c r="AQ757" s="897"/>
      <c r="AR757" s="897"/>
    </row>
    <row r="758" spans="1:44" s="930" customFormat="1">
      <c r="A758" s="892"/>
      <c r="B758" s="899"/>
      <c r="C758" s="900"/>
      <c r="D758" s="894"/>
      <c r="E758" s="895"/>
      <c r="F758" s="896"/>
      <c r="G758" s="897"/>
      <c r="H758" s="897"/>
      <c r="I758" s="897"/>
      <c r="J758" s="897"/>
      <c r="K758" s="897"/>
      <c r="L758" s="898"/>
      <c r="M758" s="898"/>
      <c r="N758" s="898"/>
      <c r="O758" s="898"/>
      <c r="P758" s="898"/>
      <c r="Q758" s="898"/>
      <c r="R758" s="898"/>
      <c r="S758" s="898"/>
      <c r="T758" s="898"/>
      <c r="U758" s="898"/>
      <c r="V758" s="898"/>
      <c r="W758" s="898"/>
      <c r="X758" s="898"/>
      <c r="Y758" s="898"/>
      <c r="Z758" s="898"/>
      <c r="AA758" s="898"/>
      <c r="AB758" s="898"/>
      <c r="AC758" s="898"/>
      <c r="AD758" s="898"/>
      <c r="AE758" s="898"/>
      <c r="AF758" s="898"/>
      <c r="AG758" s="898"/>
      <c r="AH758" s="898"/>
      <c r="AI758" s="898"/>
      <c r="AJ758" s="898"/>
      <c r="AK758" s="897"/>
      <c r="AL758" s="897"/>
      <c r="AM758" s="897"/>
      <c r="AN758" s="897"/>
      <c r="AO758" s="897"/>
      <c r="AP758" s="897"/>
      <c r="AQ758" s="897"/>
      <c r="AR758" s="897"/>
    </row>
    <row r="759" spans="1:44" s="930" customFormat="1">
      <c r="A759" s="892"/>
      <c r="B759" s="899"/>
      <c r="C759" s="900"/>
      <c r="D759" s="894"/>
      <c r="E759" s="895"/>
      <c r="F759" s="896"/>
      <c r="G759" s="897"/>
      <c r="H759" s="897"/>
      <c r="I759" s="897"/>
      <c r="J759" s="897"/>
      <c r="K759" s="897"/>
      <c r="L759" s="898"/>
      <c r="M759" s="898"/>
      <c r="N759" s="898"/>
      <c r="O759" s="898"/>
      <c r="P759" s="898"/>
      <c r="Q759" s="898"/>
      <c r="R759" s="898"/>
      <c r="S759" s="898"/>
      <c r="T759" s="898"/>
      <c r="U759" s="898"/>
      <c r="V759" s="898"/>
      <c r="W759" s="898"/>
      <c r="X759" s="898"/>
      <c r="Y759" s="898"/>
      <c r="Z759" s="898"/>
      <c r="AA759" s="898"/>
      <c r="AB759" s="898"/>
      <c r="AC759" s="898"/>
      <c r="AD759" s="898"/>
      <c r="AE759" s="898"/>
      <c r="AF759" s="898"/>
      <c r="AG759" s="898"/>
      <c r="AH759" s="898"/>
      <c r="AI759" s="898"/>
      <c r="AJ759" s="898"/>
      <c r="AK759" s="897"/>
      <c r="AL759" s="897"/>
      <c r="AM759" s="897"/>
      <c r="AN759" s="897"/>
      <c r="AO759" s="897"/>
      <c r="AP759" s="897"/>
      <c r="AQ759" s="897"/>
      <c r="AR759" s="897"/>
    </row>
    <row r="760" spans="1:44" s="930" customFormat="1">
      <c r="A760" s="892"/>
      <c r="B760" s="899"/>
      <c r="C760" s="900"/>
      <c r="D760" s="894"/>
      <c r="E760" s="895"/>
      <c r="F760" s="896"/>
      <c r="G760" s="897"/>
      <c r="H760" s="897"/>
      <c r="I760" s="897"/>
      <c r="J760" s="897"/>
      <c r="K760" s="897"/>
      <c r="L760" s="898"/>
      <c r="M760" s="898"/>
      <c r="N760" s="898"/>
      <c r="O760" s="898"/>
      <c r="P760" s="898"/>
      <c r="Q760" s="898"/>
      <c r="R760" s="898"/>
      <c r="S760" s="898"/>
      <c r="T760" s="898"/>
      <c r="U760" s="898"/>
      <c r="V760" s="898"/>
      <c r="W760" s="898"/>
      <c r="X760" s="898"/>
      <c r="Y760" s="898"/>
      <c r="Z760" s="898"/>
      <c r="AA760" s="898"/>
      <c r="AB760" s="898"/>
      <c r="AC760" s="898"/>
      <c r="AD760" s="898"/>
      <c r="AE760" s="898"/>
      <c r="AF760" s="898"/>
      <c r="AG760" s="898"/>
      <c r="AH760" s="898"/>
      <c r="AI760" s="898"/>
      <c r="AJ760" s="898"/>
      <c r="AK760" s="897"/>
      <c r="AL760" s="897"/>
      <c r="AM760" s="897"/>
      <c r="AN760" s="897"/>
      <c r="AO760" s="897"/>
      <c r="AP760" s="897"/>
      <c r="AQ760" s="897"/>
      <c r="AR760" s="897"/>
    </row>
    <row r="761" spans="1:44" s="930" customFormat="1">
      <c r="A761" s="892"/>
      <c r="B761" s="899"/>
      <c r="C761" s="900"/>
      <c r="D761" s="894"/>
      <c r="E761" s="895"/>
      <c r="F761" s="896"/>
      <c r="G761" s="897"/>
      <c r="H761" s="897"/>
      <c r="I761" s="897"/>
      <c r="J761" s="897"/>
      <c r="K761" s="897"/>
      <c r="L761" s="898"/>
      <c r="M761" s="898"/>
      <c r="N761" s="898"/>
      <c r="O761" s="898"/>
      <c r="P761" s="898"/>
      <c r="Q761" s="898"/>
      <c r="R761" s="898"/>
      <c r="S761" s="898"/>
      <c r="T761" s="898"/>
      <c r="U761" s="898"/>
      <c r="V761" s="898"/>
      <c r="W761" s="898"/>
      <c r="X761" s="898"/>
      <c r="Y761" s="898"/>
      <c r="Z761" s="898"/>
      <c r="AA761" s="898"/>
      <c r="AB761" s="898"/>
      <c r="AC761" s="898"/>
      <c r="AD761" s="898"/>
      <c r="AE761" s="898"/>
      <c r="AF761" s="898"/>
      <c r="AG761" s="898"/>
      <c r="AH761" s="898"/>
      <c r="AI761" s="898"/>
      <c r="AJ761" s="898"/>
      <c r="AK761" s="897"/>
      <c r="AL761" s="897"/>
      <c r="AM761" s="897"/>
      <c r="AN761" s="897"/>
      <c r="AO761" s="897"/>
      <c r="AP761" s="897"/>
      <c r="AQ761" s="897"/>
      <c r="AR761" s="897"/>
    </row>
    <row r="762" spans="1:44" s="930" customFormat="1">
      <c r="A762" s="892"/>
      <c r="B762" s="899"/>
      <c r="C762" s="900"/>
      <c r="D762" s="894"/>
      <c r="E762" s="895"/>
      <c r="F762" s="896"/>
      <c r="G762" s="897"/>
      <c r="H762" s="897"/>
      <c r="I762" s="897"/>
      <c r="J762" s="897"/>
      <c r="K762" s="897"/>
      <c r="L762" s="898"/>
      <c r="M762" s="898"/>
      <c r="N762" s="898"/>
      <c r="O762" s="898"/>
      <c r="P762" s="898"/>
      <c r="Q762" s="898"/>
      <c r="R762" s="898"/>
      <c r="S762" s="898"/>
      <c r="T762" s="898"/>
      <c r="U762" s="898"/>
      <c r="V762" s="898"/>
      <c r="W762" s="898"/>
      <c r="X762" s="898"/>
      <c r="Y762" s="898"/>
      <c r="Z762" s="898"/>
      <c r="AA762" s="898"/>
      <c r="AB762" s="898"/>
      <c r="AC762" s="898"/>
      <c r="AD762" s="898"/>
      <c r="AE762" s="898"/>
      <c r="AF762" s="898"/>
      <c r="AG762" s="898"/>
      <c r="AH762" s="898"/>
      <c r="AI762" s="898"/>
      <c r="AJ762" s="898"/>
      <c r="AK762" s="897"/>
      <c r="AL762" s="897"/>
      <c r="AM762" s="897"/>
      <c r="AN762" s="897"/>
      <c r="AO762" s="897"/>
      <c r="AP762" s="897"/>
      <c r="AQ762" s="897"/>
      <c r="AR762" s="897"/>
    </row>
    <row r="763" spans="1:44" s="930" customFormat="1">
      <c r="A763" s="892"/>
      <c r="B763" s="899"/>
      <c r="C763" s="900"/>
      <c r="D763" s="894"/>
      <c r="E763" s="895"/>
      <c r="F763" s="896"/>
      <c r="G763" s="897"/>
      <c r="H763" s="897"/>
      <c r="I763" s="897"/>
      <c r="J763" s="897"/>
      <c r="K763" s="897"/>
      <c r="L763" s="898"/>
      <c r="M763" s="898"/>
      <c r="N763" s="898"/>
      <c r="O763" s="898"/>
      <c r="P763" s="898"/>
      <c r="Q763" s="898"/>
      <c r="R763" s="898"/>
      <c r="S763" s="898"/>
      <c r="T763" s="898"/>
      <c r="U763" s="898"/>
      <c r="V763" s="898"/>
      <c r="W763" s="898"/>
      <c r="X763" s="898"/>
      <c r="Y763" s="898"/>
      <c r="Z763" s="898"/>
      <c r="AA763" s="898"/>
      <c r="AB763" s="898"/>
      <c r="AC763" s="898"/>
      <c r="AD763" s="898"/>
      <c r="AE763" s="898"/>
      <c r="AF763" s="898"/>
      <c r="AG763" s="898"/>
      <c r="AH763" s="898"/>
      <c r="AI763" s="898"/>
      <c r="AJ763" s="898"/>
      <c r="AK763" s="897"/>
      <c r="AL763" s="897"/>
      <c r="AM763" s="897"/>
      <c r="AN763" s="897"/>
      <c r="AO763" s="897"/>
      <c r="AP763" s="897"/>
      <c r="AQ763" s="897"/>
      <c r="AR763" s="897"/>
    </row>
    <row r="764" spans="1:44" s="930" customFormat="1">
      <c r="A764" s="892"/>
      <c r="B764" s="899"/>
      <c r="C764" s="900"/>
      <c r="D764" s="894"/>
      <c r="E764" s="895"/>
      <c r="F764" s="896"/>
      <c r="G764" s="897"/>
      <c r="H764" s="897"/>
      <c r="I764" s="897"/>
      <c r="J764" s="897"/>
      <c r="K764" s="897"/>
      <c r="L764" s="898"/>
      <c r="M764" s="898"/>
      <c r="N764" s="898"/>
      <c r="O764" s="898"/>
      <c r="P764" s="898"/>
      <c r="Q764" s="898"/>
      <c r="R764" s="898"/>
      <c r="S764" s="898"/>
      <c r="T764" s="898"/>
      <c r="U764" s="898"/>
      <c r="V764" s="898"/>
      <c r="W764" s="898"/>
      <c r="X764" s="898"/>
      <c r="Y764" s="898"/>
      <c r="Z764" s="898"/>
      <c r="AA764" s="898"/>
      <c r="AB764" s="898"/>
      <c r="AC764" s="898"/>
      <c r="AD764" s="898"/>
      <c r="AE764" s="898"/>
      <c r="AF764" s="898"/>
      <c r="AG764" s="898"/>
      <c r="AH764" s="898"/>
      <c r="AI764" s="898"/>
      <c r="AJ764" s="898"/>
      <c r="AK764" s="897"/>
      <c r="AL764" s="897"/>
      <c r="AM764" s="897"/>
      <c r="AN764" s="897"/>
      <c r="AO764" s="897"/>
      <c r="AP764" s="897"/>
      <c r="AQ764" s="897"/>
      <c r="AR764" s="897"/>
    </row>
    <row r="765" spans="1:44" s="930" customFormat="1">
      <c r="A765" s="892"/>
      <c r="B765" s="899"/>
      <c r="C765" s="900"/>
      <c r="D765" s="894"/>
      <c r="E765" s="895"/>
      <c r="F765" s="896"/>
      <c r="G765" s="897"/>
      <c r="H765" s="897"/>
      <c r="I765" s="897"/>
      <c r="J765" s="897"/>
      <c r="K765" s="897"/>
      <c r="L765" s="898"/>
      <c r="M765" s="898"/>
      <c r="N765" s="898"/>
      <c r="O765" s="898"/>
      <c r="P765" s="898"/>
      <c r="Q765" s="898"/>
      <c r="R765" s="898"/>
      <c r="S765" s="898"/>
      <c r="T765" s="898"/>
      <c r="U765" s="898"/>
      <c r="V765" s="898"/>
      <c r="W765" s="898"/>
      <c r="X765" s="898"/>
      <c r="Y765" s="898"/>
      <c r="Z765" s="898"/>
      <c r="AA765" s="898"/>
      <c r="AB765" s="898"/>
      <c r="AC765" s="898"/>
      <c r="AD765" s="898"/>
      <c r="AE765" s="898"/>
      <c r="AF765" s="898"/>
      <c r="AG765" s="898"/>
      <c r="AH765" s="898"/>
      <c r="AI765" s="898"/>
      <c r="AJ765" s="898"/>
      <c r="AK765" s="897"/>
      <c r="AL765" s="897"/>
      <c r="AM765" s="897"/>
      <c r="AN765" s="897"/>
      <c r="AO765" s="897"/>
      <c r="AP765" s="897"/>
      <c r="AQ765" s="897"/>
      <c r="AR765" s="897"/>
    </row>
    <row r="766" spans="1:44" s="930" customFormat="1">
      <c r="A766" s="892"/>
      <c r="B766" s="899"/>
      <c r="C766" s="900"/>
      <c r="D766" s="894"/>
      <c r="E766" s="895"/>
      <c r="F766" s="896"/>
      <c r="G766" s="897"/>
      <c r="H766" s="897"/>
      <c r="I766" s="897"/>
      <c r="J766" s="897"/>
      <c r="K766" s="897"/>
      <c r="L766" s="898"/>
      <c r="M766" s="898"/>
      <c r="N766" s="898"/>
      <c r="O766" s="898"/>
      <c r="P766" s="898"/>
      <c r="Q766" s="898"/>
      <c r="R766" s="898"/>
      <c r="S766" s="898"/>
      <c r="T766" s="898"/>
      <c r="U766" s="898"/>
      <c r="V766" s="898"/>
      <c r="W766" s="898"/>
      <c r="X766" s="898"/>
      <c r="Y766" s="898"/>
      <c r="Z766" s="898"/>
      <c r="AA766" s="898"/>
      <c r="AB766" s="898"/>
      <c r="AC766" s="898"/>
      <c r="AD766" s="898"/>
      <c r="AE766" s="898"/>
      <c r="AF766" s="898"/>
      <c r="AG766" s="898"/>
      <c r="AH766" s="898"/>
      <c r="AI766" s="898"/>
      <c r="AJ766" s="898"/>
      <c r="AK766" s="897"/>
      <c r="AL766" s="897"/>
      <c r="AM766" s="897"/>
      <c r="AN766" s="897"/>
      <c r="AO766" s="897"/>
      <c r="AP766" s="897"/>
      <c r="AQ766" s="897"/>
      <c r="AR766" s="897"/>
    </row>
    <row r="767" spans="1:44" s="930" customFormat="1">
      <c r="A767" s="892"/>
      <c r="B767" s="899"/>
      <c r="C767" s="900"/>
      <c r="D767" s="894"/>
      <c r="E767" s="895"/>
      <c r="F767" s="896"/>
      <c r="G767" s="897"/>
      <c r="H767" s="897"/>
      <c r="I767" s="897"/>
      <c r="J767" s="897"/>
      <c r="K767" s="897"/>
      <c r="L767" s="898"/>
      <c r="M767" s="898"/>
      <c r="N767" s="898"/>
      <c r="O767" s="898"/>
      <c r="P767" s="898"/>
      <c r="Q767" s="898"/>
      <c r="R767" s="898"/>
      <c r="S767" s="898"/>
      <c r="T767" s="898"/>
      <c r="U767" s="898"/>
      <c r="V767" s="898"/>
      <c r="W767" s="898"/>
      <c r="X767" s="898"/>
      <c r="Y767" s="898"/>
      <c r="Z767" s="898"/>
      <c r="AA767" s="898"/>
      <c r="AB767" s="898"/>
      <c r="AC767" s="898"/>
      <c r="AD767" s="898"/>
      <c r="AE767" s="898"/>
      <c r="AF767" s="898"/>
      <c r="AG767" s="898"/>
      <c r="AH767" s="898"/>
      <c r="AI767" s="898"/>
      <c r="AJ767" s="898"/>
      <c r="AK767" s="897"/>
      <c r="AL767" s="897"/>
      <c r="AM767" s="897"/>
      <c r="AN767" s="897"/>
      <c r="AO767" s="897"/>
      <c r="AP767" s="897"/>
      <c r="AQ767" s="897"/>
      <c r="AR767" s="897"/>
    </row>
    <row r="768" spans="1:44" s="930" customFormat="1">
      <c r="A768" s="892"/>
      <c r="B768" s="899"/>
      <c r="C768" s="900"/>
      <c r="D768" s="894"/>
      <c r="E768" s="895"/>
      <c r="F768" s="896"/>
      <c r="G768" s="897"/>
      <c r="H768" s="897"/>
      <c r="I768" s="897"/>
      <c r="J768" s="897"/>
      <c r="K768" s="897"/>
      <c r="L768" s="898"/>
      <c r="M768" s="898"/>
      <c r="N768" s="898"/>
      <c r="O768" s="898"/>
      <c r="P768" s="898"/>
      <c r="Q768" s="898"/>
      <c r="R768" s="898"/>
      <c r="S768" s="898"/>
      <c r="T768" s="898"/>
      <c r="U768" s="898"/>
      <c r="V768" s="898"/>
      <c r="W768" s="898"/>
      <c r="X768" s="898"/>
      <c r="Y768" s="898"/>
      <c r="Z768" s="898"/>
      <c r="AA768" s="898"/>
      <c r="AB768" s="898"/>
      <c r="AC768" s="898"/>
      <c r="AD768" s="898"/>
      <c r="AE768" s="898"/>
      <c r="AF768" s="898"/>
      <c r="AG768" s="898"/>
      <c r="AH768" s="898"/>
      <c r="AI768" s="898"/>
      <c r="AJ768" s="898"/>
      <c r="AK768" s="897"/>
      <c r="AL768" s="897"/>
      <c r="AM768" s="897"/>
      <c r="AN768" s="897"/>
      <c r="AO768" s="897"/>
      <c r="AP768" s="897"/>
      <c r="AQ768" s="897"/>
      <c r="AR768" s="897"/>
    </row>
    <row r="769" spans="1:44" s="930" customFormat="1">
      <c r="A769" s="892"/>
      <c r="B769" s="899"/>
      <c r="C769" s="900"/>
      <c r="D769" s="894"/>
      <c r="E769" s="895"/>
      <c r="F769" s="896"/>
      <c r="G769" s="897"/>
      <c r="H769" s="897"/>
      <c r="I769" s="897"/>
      <c r="J769" s="897"/>
      <c r="K769" s="897"/>
      <c r="L769" s="898"/>
      <c r="M769" s="898"/>
      <c r="N769" s="898"/>
      <c r="O769" s="898"/>
      <c r="P769" s="898"/>
      <c r="Q769" s="898"/>
      <c r="R769" s="898"/>
      <c r="S769" s="898"/>
      <c r="T769" s="898"/>
      <c r="U769" s="898"/>
      <c r="V769" s="898"/>
      <c r="W769" s="898"/>
      <c r="X769" s="898"/>
      <c r="Y769" s="898"/>
      <c r="Z769" s="898"/>
      <c r="AA769" s="898"/>
      <c r="AB769" s="898"/>
      <c r="AC769" s="898"/>
      <c r="AD769" s="898"/>
      <c r="AE769" s="898"/>
      <c r="AF769" s="898"/>
      <c r="AG769" s="898"/>
      <c r="AH769" s="898"/>
      <c r="AI769" s="898"/>
      <c r="AJ769" s="898"/>
      <c r="AK769" s="897"/>
      <c r="AL769" s="897"/>
      <c r="AM769" s="897"/>
      <c r="AN769" s="897"/>
      <c r="AO769" s="897"/>
      <c r="AP769" s="897"/>
      <c r="AQ769" s="897"/>
      <c r="AR769" s="897"/>
    </row>
    <row r="770" spans="1:44" s="930" customFormat="1">
      <c r="A770" s="892"/>
      <c r="B770" s="899"/>
      <c r="C770" s="900"/>
      <c r="D770" s="894"/>
      <c r="E770" s="895"/>
      <c r="F770" s="896"/>
      <c r="G770" s="897"/>
      <c r="H770" s="897"/>
      <c r="I770" s="897"/>
      <c r="J770" s="897"/>
      <c r="K770" s="897"/>
      <c r="L770" s="898"/>
      <c r="M770" s="898"/>
      <c r="N770" s="898"/>
      <c r="O770" s="898"/>
      <c r="P770" s="898"/>
      <c r="Q770" s="898"/>
      <c r="R770" s="898"/>
      <c r="S770" s="898"/>
      <c r="T770" s="898"/>
      <c r="U770" s="898"/>
      <c r="V770" s="898"/>
      <c r="W770" s="898"/>
      <c r="X770" s="898"/>
      <c r="Y770" s="898"/>
      <c r="Z770" s="898"/>
      <c r="AA770" s="898"/>
      <c r="AB770" s="898"/>
      <c r="AC770" s="898"/>
      <c r="AD770" s="898"/>
      <c r="AE770" s="898"/>
      <c r="AF770" s="898"/>
      <c r="AG770" s="898"/>
      <c r="AH770" s="898"/>
      <c r="AI770" s="898"/>
      <c r="AJ770" s="898"/>
      <c r="AK770" s="897"/>
      <c r="AL770" s="897"/>
      <c r="AM770" s="897"/>
      <c r="AN770" s="897"/>
      <c r="AO770" s="897"/>
      <c r="AP770" s="897"/>
      <c r="AQ770" s="897"/>
      <c r="AR770" s="897"/>
    </row>
    <row r="771" spans="1:44" s="930" customFormat="1">
      <c r="A771" s="892"/>
      <c r="B771" s="899"/>
      <c r="C771" s="900"/>
      <c r="D771" s="894"/>
      <c r="E771" s="895"/>
      <c r="F771" s="896"/>
      <c r="G771" s="897"/>
      <c r="H771" s="897"/>
      <c r="I771" s="897"/>
      <c r="J771" s="897"/>
      <c r="K771" s="897"/>
      <c r="L771" s="898"/>
      <c r="M771" s="898"/>
      <c r="N771" s="898"/>
      <c r="O771" s="898"/>
      <c r="P771" s="898"/>
      <c r="Q771" s="898"/>
      <c r="R771" s="898"/>
      <c r="S771" s="898"/>
      <c r="T771" s="898"/>
      <c r="U771" s="898"/>
      <c r="V771" s="898"/>
      <c r="W771" s="898"/>
      <c r="X771" s="898"/>
      <c r="Y771" s="898"/>
      <c r="Z771" s="898"/>
      <c r="AA771" s="898"/>
      <c r="AB771" s="898"/>
      <c r="AC771" s="898"/>
      <c r="AD771" s="898"/>
      <c r="AE771" s="898"/>
      <c r="AF771" s="898"/>
      <c r="AG771" s="898"/>
      <c r="AH771" s="898"/>
      <c r="AI771" s="898"/>
      <c r="AJ771" s="898"/>
      <c r="AK771" s="897"/>
      <c r="AL771" s="897"/>
      <c r="AM771" s="897"/>
      <c r="AN771" s="897"/>
      <c r="AO771" s="897"/>
      <c r="AP771" s="897"/>
      <c r="AQ771" s="897"/>
      <c r="AR771" s="897"/>
    </row>
    <row r="772" spans="1:44" s="930" customFormat="1">
      <c r="A772" s="892"/>
      <c r="B772" s="899"/>
      <c r="C772" s="900"/>
      <c r="D772" s="894"/>
      <c r="E772" s="895"/>
      <c r="F772" s="896"/>
      <c r="G772" s="897"/>
      <c r="H772" s="897"/>
      <c r="I772" s="897"/>
      <c r="J772" s="897"/>
      <c r="K772" s="897"/>
      <c r="L772" s="898"/>
      <c r="M772" s="898"/>
      <c r="N772" s="898"/>
      <c r="O772" s="898"/>
      <c r="P772" s="898"/>
      <c r="Q772" s="898"/>
      <c r="R772" s="898"/>
      <c r="S772" s="898"/>
      <c r="T772" s="898"/>
      <c r="U772" s="898"/>
      <c r="V772" s="898"/>
      <c r="W772" s="898"/>
      <c r="X772" s="898"/>
      <c r="Y772" s="898"/>
      <c r="Z772" s="898"/>
      <c r="AA772" s="898"/>
      <c r="AB772" s="898"/>
      <c r="AC772" s="898"/>
      <c r="AD772" s="898"/>
      <c r="AE772" s="898"/>
      <c r="AF772" s="898"/>
      <c r="AG772" s="898"/>
      <c r="AH772" s="898"/>
      <c r="AI772" s="898"/>
      <c r="AJ772" s="898"/>
      <c r="AK772" s="897"/>
      <c r="AL772" s="897"/>
      <c r="AM772" s="897"/>
      <c r="AN772" s="897"/>
      <c r="AO772" s="897"/>
      <c r="AP772" s="897"/>
      <c r="AQ772" s="897"/>
      <c r="AR772" s="897"/>
    </row>
    <row r="773" spans="1:44" s="930" customFormat="1">
      <c r="A773" s="892"/>
      <c r="B773" s="899"/>
      <c r="C773" s="900"/>
      <c r="D773" s="894"/>
      <c r="E773" s="895"/>
      <c r="F773" s="896"/>
      <c r="G773" s="897"/>
      <c r="H773" s="897"/>
      <c r="I773" s="897"/>
      <c r="J773" s="897"/>
      <c r="K773" s="897"/>
      <c r="L773" s="898"/>
      <c r="M773" s="898"/>
      <c r="N773" s="898"/>
      <c r="O773" s="898"/>
      <c r="P773" s="898"/>
      <c r="Q773" s="898"/>
      <c r="R773" s="898"/>
      <c r="S773" s="898"/>
      <c r="T773" s="898"/>
      <c r="U773" s="898"/>
      <c r="V773" s="898"/>
      <c r="W773" s="898"/>
      <c r="X773" s="898"/>
      <c r="Y773" s="898"/>
      <c r="Z773" s="898"/>
      <c r="AA773" s="898"/>
      <c r="AB773" s="898"/>
      <c r="AC773" s="898"/>
      <c r="AD773" s="898"/>
      <c r="AE773" s="898"/>
      <c r="AF773" s="898"/>
      <c r="AG773" s="898"/>
      <c r="AH773" s="898"/>
      <c r="AI773" s="898"/>
      <c r="AJ773" s="898"/>
      <c r="AK773" s="897"/>
      <c r="AL773" s="897"/>
      <c r="AM773" s="897"/>
      <c r="AN773" s="897"/>
      <c r="AO773" s="897"/>
      <c r="AP773" s="897"/>
      <c r="AQ773" s="897"/>
      <c r="AR773" s="897"/>
    </row>
    <row r="774" spans="1:44" s="930" customFormat="1">
      <c r="A774" s="892"/>
      <c r="B774" s="899"/>
      <c r="C774" s="900"/>
      <c r="D774" s="894"/>
      <c r="E774" s="895"/>
      <c r="F774" s="896"/>
      <c r="G774" s="897"/>
      <c r="H774" s="897"/>
      <c r="I774" s="897"/>
      <c r="J774" s="897"/>
      <c r="K774" s="897"/>
      <c r="L774" s="898"/>
      <c r="M774" s="898"/>
      <c r="N774" s="898"/>
      <c r="O774" s="898"/>
      <c r="P774" s="898"/>
      <c r="Q774" s="898"/>
      <c r="R774" s="898"/>
      <c r="S774" s="898"/>
      <c r="T774" s="898"/>
      <c r="U774" s="898"/>
      <c r="V774" s="898"/>
      <c r="W774" s="898"/>
      <c r="X774" s="898"/>
      <c r="Y774" s="898"/>
      <c r="Z774" s="898"/>
      <c r="AA774" s="898"/>
      <c r="AB774" s="898"/>
      <c r="AC774" s="898"/>
      <c r="AD774" s="898"/>
      <c r="AE774" s="898"/>
      <c r="AF774" s="898"/>
      <c r="AG774" s="898"/>
      <c r="AH774" s="898"/>
      <c r="AI774" s="898"/>
      <c r="AJ774" s="898"/>
      <c r="AK774" s="897"/>
      <c r="AL774" s="897"/>
      <c r="AM774" s="897"/>
      <c r="AN774" s="897"/>
      <c r="AO774" s="897"/>
      <c r="AP774" s="897"/>
      <c r="AQ774" s="897"/>
      <c r="AR774" s="897"/>
    </row>
    <row r="775" spans="1:44" s="930" customFormat="1">
      <c r="A775" s="892"/>
      <c r="B775" s="899"/>
      <c r="C775" s="900"/>
      <c r="D775" s="894"/>
      <c r="E775" s="895"/>
      <c r="F775" s="896"/>
      <c r="G775" s="897"/>
      <c r="H775" s="897"/>
      <c r="I775" s="897"/>
      <c r="J775" s="897"/>
      <c r="K775" s="897"/>
      <c r="L775" s="898"/>
      <c r="M775" s="898"/>
      <c r="N775" s="898"/>
      <c r="O775" s="898"/>
      <c r="P775" s="898"/>
      <c r="Q775" s="898"/>
      <c r="R775" s="898"/>
      <c r="S775" s="898"/>
      <c r="T775" s="898"/>
      <c r="U775" s="898"/>
      <c r="V775" s="898"/>
      <c r="W775" s="898"/>
      <c r="X775" s="898"/>
      <c r="Y775" s="898"/>
      <c r="Z775" s="898"/>
      <c r="AA775" s="898"/>
      <c r="AB775" s="898"/>
      <c r="AC775" s="898"/>
      <c r="AD775" s="898"/>
      <c r="AE775" s="898"/>
      <c r="AF775" s="898"/>
      <c r="AG775" s="898"/>
      <c r="AH775" s="898"/>
      <c r="AI775" s="898"/>
      <c r="AJ775" s="898"/>
      <c r="AK775" s="897"/>
      <c r="AL775" s="897"/>
      <c r="AM775" s="897"/>
      <c r="AN775" s="897"/>
      <c r="AO775" s="897"/>
      <c r="AP775" s="897"/>
      <c r="AQ775" s="897"/>
      <c r="AR775" s="897"/>
    </row>
    <row r="776" spans="1:44" s="930" customFormat="1">
      <c r="A776" s="892"/>
      <c r="B776" s="899"/>
      <c r="C776" s="900"/>
      <c r="D776" s="894"/>
      <c r="E776" s="895"/>
      <c r="F776" s="896"/>
      <c r="G776" s="897"/>
      <c r="H776" s="897"/>
      <c r="I776" s="897"/>
      <c r="J776" s="897"/>
      <c r="K776" s="897"/>
      <c r="L776" s="898"/>
      <c r="M776" s="898"/>
      <c r="N776" s="898"/>
      <c r="O776" s="898"/>
      <c r="P776" s="898"/>
      <c r="Q776" s="898"/>
      <c r="R776" s="898"/>
      <c r="S776" s="898"/>
      <c r="T776" s="898"/>
      <c r="U776" s="898"/>
      <c r="V776" s="898"/>
      <c r="W776" s="898"/>
      <c r="X776" s="898"/>
      <c r="Y776" s="898"/>
      <c r="Z776" s="898"/>
      <c r="AA776" s="898"/>
      <c r="AB776" s="898"/>
      <c r="AC776" s="898"/>
      <c r="AD776" s="898"/>
      <c r="AE776" s="898"/>
      <c r="AF776" s="898"/>
      <c r="AG776" s="898"/>
      <c r="AH776" s="898"/>
      <c r="AI776" s="898"/>
      <c r="AJ776" s="898"/>
      <c r="AK776" s="897"/>
      <c r="AL776" s="897"/>
      <c r="AM776" s="897"/>
      <c r="AN776" s="897"/>
      <c r="AO776" s="897"/>
      <c r="AP776" s="897"/>
      <c r="AQ776" s="897"/>
      <c r="AR776" s="897"/>
    </row>
    <row r="777" spans="1:44" s="930" customFormat="1">
      <c r="A777" s="892"/>
      <c r="B777" s="899"/>
      <c r="C777" s="900"/>
      <c r="D777" s="894"/>
      <c r="E777" s="895"/>
      <c r="F777" s="896"/>
      <c r="G777" s="897"/>
      <c r="H777" s="897"/>
      <c r="I777" s="897"/>
      <c r="J777" s="897"/>
      <c r="K777" s="897"/>
      <c r="L777" s="898"/>
      <c r="M777" s="898"/>
      <c r="N777" s="898"/>
      <c r="O777" s="898"/>
      <c r="P777" s="898"/>
      <c r="Q777" s="898"/>
      <c r="R777" s="898"/>
      <c r="S777" s="898"/>
      <c r="T777" s="898"/>
      <c r="U777" s="898"/>
      <c r="V777" s="898"/>
      <c r="W777" s="898"/>
      <c r="X777" s="898"/>
      <c r="Y777" s="898"/>
      <c r="Z777" s="898"/>
      <c r="AA777" s="898"/>
      <c r="AB777" s="898"/>
      <c r="AC777" s="898"/>
      <c r="AD777" s="898"/>
      <c r="AE777" s="898"/>
      <c r="AF777" s="898"/>
      <c r="AG777" s="898"/>
      <c r="AH777" s="898"/>
      <c r="AI777" s="898"/>
      <c r="AJ777" s="898"/>
      <c r="AK777" s="897"/>
      <c r="AL777" s="897"/>
      <c r="AM777" s="897"/>
      <c r="AN777" s="897"/>
      <c r="AO777" s="897"/>
      <c r="AP777" s="897"/>
      <c r="AQ777" s="897"/>
      <c r="AR777" s="897"/>
    </row>
    <row r="778" spans="1:44" s="930" customFormat="1">
      <c r="A778" s="892"/>
      <c r="B778" s="899"/>
      <c r="C778" s="900"/>
      <c r="D778" s="894"/>
      <c r="E778" s="895"/>
      <c r="F778" s="896"/>
      <c r="G778" s="897"/>
      <c r="H778" s="897"/>
      <c r="I778" s="897"/>
      <c r="J778" s="897"/>
      <c r="K778" s="897"/>
      <c r="L778" s="898"/>
      <c r="M778" s="898"/>
      <c r="N778" s="898"/>
      <c r="O778" s="898"/>
      <c r="P778" s="898"/>
      <c r="Q778" s="898"/>
      <c r="R778" s="898"/>
      <c r="S778" s="898"/>
      <c r="T778" s="898"/>
      <c r="U778" s="898"/>
      <c r="V778" s="898"/>
      <c r="W778" s="898"/>
      <c r="X778" s="898"/>
      <c r="Y778" s="898"/>
      <c r="Z778" s="898"/>
      <c r="AA778" s="898"/>
      <c r="AB778" s="898"/>
      <c r="AC778" s="898"/>
      <c r="AD778" s="898"/>
      <c r="AE778" s="898"/>
      <c r="AF778" s="898"/>
      <c r="AG778" s="898"/>
      <c r="AH778" s="898"/>
      <c r="AI778" s="898"/>
      <c r="AJ778" s="898"/>
      <c r="AK778" s="897"/>
      <c r="AL778" s="897"/>
      <c r="AM778" s="897"/>
      <c r="AN778" s="897"/>
      <c r="AO778" s="897"/>
      <c r="AP778" s="897"/>
      <c r="AQ778" s="897"/>
      <c r="AR778" s="897"/>
    </row>
    <row r="779" spans="1:44" s="930" customFormat="1">
      <c r="A779" s="892"/>
      <c r="B779" s="899"/>
      <c r="C779" s="900"/>
      <c r="D779" s="894"/>
      <c r="E779" s="895"/>
      <c r="F779" s="896"/>
      <c r="G779" s="897"/>
      <c r="H779" s="897"/>
      <c r="I779" s="897"/>
      <c r="J779" s="897"/>
      <c r="K779" s="897"/>
      <c r="L779" s="898"/>
      <c r="M779" s="898"/>
      <c r="N779" s="898"/>
      <c r="O779" s="898"/>
      <c r="P779" s="898"/>
      <c r="Q779" s="898"/>
      <c r="R779" s="898"/>
      <c r="S779" s="898"/>
      <c r="T779" s="898"/>
      <c r="U779" s="898"/>
      <c r="V779" s="898"/>
      <c r="W779" s="898"/>
      <c r="X779" s="898"/>
      <c r="Y779" s="898"/>
      <c r="Z779" s="898"/>
      <c r="AA779" s="898"/>
      <c r="AB779" s="898"/>
      <c r="AC779" s="898"/>
      <c r="AD779" s="898"/>
      <c r="AE779" s="898"/>
      <c r="AF779" s="898"/>
      <c r="AG779" s="898"/>
      <c r="AH779" s="898"/>
      <c r="AI779" s="898"/>
      <c r="AJ779" s="898"/>
      <c r="AK779" s="897"/>
      <c r="AL779" s="897"/>
      <c r="AM779" s="897"/>
      <c r="AN779" s="897"/>
      <c r="AO779" s="897"/>
      <c r="AP779" s="897"/>
      <c r="AQ779" s="897"/>
      <c r="AR779" s="897"/>
    </row>
    <row r="780" spans="1:44" s="930" customFormat="1">
      <c r="A780" s="892"/>
      <c r="B780" s="899"/>
      <c r="C780" s="900"/>
      <c r="D780" s="894"/>
      <c r="E780" s="895"/>
      <c r="F780" s="896"/>
      <c r="G780" s="897"/>
      <c r="H780" s="897"/>
      <c r="I780" s="897"/>
      <c r="J780" s="897"/>
      <c r="K780" s="897"/>
      <c r="L780" s="898"/>
      <c r="M780" s="898"/>
      <c r="N780" s="898"/>
      <c r="O780" s="898"/>
      <c r="P780" s="898"/>
      <c r="Q780" s="898"/>
      <c r="R780" s="898"/>
      <c r="S780" s="898"/>
      <c r="T780" s="898"/>
      <c r="U780" s="898"/>
      <c r="V780" s="898"/>
      <c r="W780" s="898"/>
      <c r="X780" s="898"/>
      <c r="Y780" s="898"/>
      <c r="Z780" s="898"/>
      <c r="AA780" s="898"/>
      <c r="AB780" s="898"/>
      <c r="AC780" s="898"/>
      <c r="AD780" s="898"/>
      <c r="AE780" s="898"/>
      <c r="AF780" s="898"/>
      <c r="AG780" s="898"/>
      <c r="AH780" s="898"/>
      <c r="AI780" s="898"/>
      <c r="AJ780" s="898"/>
      <c r="AK780" s="897"/>
      <c r="AL780" s="897"/>
      <c r="AM780" s="897"/>
      <c r="AN780" s="897"/>
      <c r="AO780" s="897"/>
      <c r="AP780" s="897"/>
      <c r="AQ780" s="897"/>
      <c r="AR780" s="897"/>
    </row>
    <row r="781" spans="1:44" s="930" customFormat="1">
      <c r="A781" s="892"/>
      <c r="B781" s="899"/>
      <c r="C781" s="900"/>
      <c r="D781" s="894"/>
      <c r="E781" s="895"/>
      <c r="F781" s="896"/>
      <c r="G781" s="897"/>
      <c r="H781" s="897"/>
      <c r="I781" s="897"/>
      <c r="J781" s="897"/>
      <c r="K781" s="897"/>
      <c r="L781" s="898"/>
      <c r="M781" s="898"/>
      <c r="N781" s="898"/>
      <c r="O781" s="898"/>
      <c r="P781" s="898"/>
      <c r="Q781" s="898"/>
      <c r="R781" s="898"/>
      <c r="S781" s="898"/>
      <c r="T781" s="898"/>
      <c r="U781" s="898"/>
      <c r="V781" s="898"/>
      <c r="W781" s="898"/>
      <c r="X781" s="898"/>
      <c r="Y781" s="898"/>
      <c r="Z781" s="898"/>
      <c r="AA781" s="898"/>
      <c r="AB781" s="898"/>
      <c r="AC781" s="898"/>
      <c r="AD781" s="898"/>
      <c r="AE781" s="898"/>
      <c r="AF781" s="898"/>
      <c r="AG781" s="898"/>
      <c r="AH781" s="898"/>
      <c r="AI781" s="898"/>
      <c r="AJ781" s="898"/>
      <c r="AK781" s="897"/>
      <c r="AL781" s="897"/>
      <c r="AM781" s="897"/>
      <c r="AN781" s="897"/>
      <c r="AO781" s="897"/>
      <c r="AP781" s="897"/>
      <c r="AQ781" s="897"/>
      <c r="AR781" s="897"/>
    </row>
    <row r="782" spans="1:44" s="930" customFormat="1">
      <c r="A782" s="892"/>
      <c r="B782" s="899"/>
      <c r="C782" s="900"/>
      <c r="D782" s="894"/>
      <c r="E782" s="895"/>
      <c r="F782" s="896"/>
      <c r="G782" s="897"/>
      <c r="H782" s="897"/>
      <c r="I782" s="897"/>
      <c r="J782" s="897"/>
      <c r="K782" s="897"/>
      <c r="L782" s="898"/>
      <c r="M782" s="898"/>
      <c r="N782" s="898"/>
      <c r="O782" s="898"/>
      <c r="P782" s="898"/>
      <c r="Q782" s="898"/>
      <c r="R782" s="898"/>
      <c r="S782" s="898"/>
      <c r="T782" s="898"/>
      <c r="U782" s="898"/>
      <c r="V782" s="898"/>
      <c r="W782" s="898"/>
      <c r="X782" s="898"/>
      <c r="Y782" s="898"/>
      <c r="Z782" s="898"/>
      <c r="AA782" s="898"/>
      <c r="AB782" s="898"/>
      <c r="AC782" s="898"/>
      <c r="AD782" s="898"/>
      <c r="AE782" s="898"/>
      <c r="AF782" s="898"/>
      <c r="AG782" s="898"/>
      <c r="AH782" s="898"/>
      <c r="AI782" s="898"/>
      <c r="AJ782" s="898"/>
      <c r="AK782" s="897"/>
      <c r="AL782" s="897"/>
      <c r="AM782" s="897"/>
      <c r="AN782" s="897"/>
      <c r="AO782" s="897"/>
      <c r="AP782" s="897"/>
      <c r="AQ782" s="897"/>
      <c r="AR782" s="897"/>
    </row>
    <row r="783" spans="1:44" s="930" customFormat="1">
      <c r="A783" s="892"/>
      <c r="B783" s="899"/>
      <c r="C783" s="900"/>
      <c r="D783" s="894"/>
      <c r="E783" s="895"/>
      <c r="F783" s="896"/>
      <c r="G783" s="897"/>
      <c r="H783" s="897"/>
      <c r="I783" s="897"/>
      <c r="J783" s="897"/>
      <c r="K783" s="897"/>
      <c r="L783" s="898"/>
      <c r="M783" s="898"/>
      <c r="N783" s="898"/>
      <c r="O783" s="898"/>
      <c r="P783" s="898"/>
      <c r="Q783" s="898"/>
      <c r="R783" s="898"/>
      <c r="S783" s="898"/>
      <c r="T783" s="898"/>
      <c r="U783" s="898"/>
      <c r="V783" s="898"/>
      <c r="W783" s="898"/>
      <c r="X783" s="898"/>
      <c r="Y783" s="898"/>
      <c r="Z783" s="898"/>
      <c r="AA783" s="898"/>
      <c r="AB783" s="898"/>
      <c r="AC783" s="898"/>
      <c r="AD783" s="898"/>
      <c r="AE783" s="898"/>
      <c r="AF783" s="898"/>
      <c r="AG783" s="898"/>
      <c r="AH783" s="898"/>
      <c r="AI783" s="898"/>
      <c r="AJ783" s="898"/>
      <c r="AK783" s="897"/>
      <c r="AL783" s="897"/>
      <c r="AM783" s="897"/>
      <c r="AN783" s="897"/>
      <c r="AO783" s="897"/>
      <c r="AP783" s="897"/>
      <c r="AQ783" s="897"/>
      <c r="AR783" s="897"/>
    </row>
    <row r="784" spans="1:44" s="930" customFormat="1">
      <c r="A784" s="892"/>
      <c r="B784" s="899"/>
      <c r="C784" s="900"/>
      <c r="D784" s="894"/>
      <c r="E784" s="895"/>
      <c r="F784" s="896"/>
      <c r="G784" s="897"/>
      <c r="H784" s="897"/>
      <c r="I784" s="897"/>
      <c r="J784" s="897"/>
      <c r="K784" s="897"/>
      <c r="L784" s="898"/>
      <c r="M784" s="898"/>
      <c r="N784" s="898"/>
      <c r="O784" s="898"/>
      <c r="P784" s="898"/>
      <c r="Q784" s="898"/>
      <c r="R784" s="898"/>
      <c r="S784" s="898"/>
      <c r="T784" s="898"/>
      <c r="U784" s="898"/>
      <c r="V784" s="898"/>
      <c r="W784" s="898"/>
      <c r="X784" s="898"/>
      <c r="Y784" s="898"/>
      <c r="Z784" s="898"/>
      <c r="AA784" s="898"/>
      <c r="AB784" s="898"/>
      <c r="AC784" s="898"/>
      <c r="AD784" s="898"/>
      <c r="AE784" s="898"/>
      <c r="AF784" s="898"/>
      <c r="AG784" s="898"/>
      <c r="AH784" s="898"/>
      <c r="AI784" s="898"/>
      <c r="AJ784" s="898"/>
      <c r="AK784" s="897"/>
      <c r="AL784" s="897"/>
      <c r="AM784" s="897"/>
      <c r="AN784" s="897"/>
      <c r="AO784" s="897"/>
      <c r="AP784" s="897"/>
      <c r="AQ784" s="897"/>
      <c r="AR784" s="897"/>
    </row>
    <row r="785" spans="1:44" s="930" customFormat="1">
      <c r="A785" s="892"/>
      <c r="B785" s="899"/>
      <c r="C785" s="900"/>
      <c r="D785" s="894"/>
      <c r="E785" s="895"/>
      <c r="F785" s="896"/>
      <c r="G785" s="897"/>
      <c r="H785" s="897"/>
      <c r="I785" s="897"/>
      <c r="J785" s="897"/>
      <c r="K785" s="897"/>
      <c r="L785" s="898"/>
      <c r="M785" s="898"/>
      <c r="N785" s="898"/>
      <c r="O785" s="898"/>
      <c r="P785" s="898"/>
      <c r="Q785" s="898"/>
      <c r="R785" s="898"/>
      <c r="S785" s="898"/>
      <c r="T785" s="898"/>
      <c r="U785" s="898"/>
      <c r="V785" s="898"/>
      <c r="W785" s="898"/>
      <c r="X785" s="898"/>
      <c r="Y785" s="898"/>
      <c r="Z785" s="898"/>
      <c r="AA785" s="898"/>
      <c r="AB785" s="898"/>
      <c r="AC785" s="898"/>
      <c r="AD785" s="898"/>
      <c r="AE785" s="898"/>
      <c r="AF785" s="898"/>
      <c r="AG785" s="898"/>
      <c r="AH785" s="898"/>
      <c r="AI785" s="898"/>
      <c r="AJ785" s="898"/>
      <c r="AK785" s="897"/>
      <c r="AL785" s="897"/>
      <c r="AM785" s="897"/>
      <c r="AN785" s="897"/>
      <c r="AO785" s="897"/>
      <c r="AP785" s="897"/>
      <c r="AQ785" s="897"/>
      <c r="AR785" s="897"/>
    </row>
    <row r="786" spans="1:44" s="930" customFormat="1">
      <c r="A786" s="892"/>
      <c r="B786" s="899"/>
      <c r="C786" s="900"/>
      <c r="D786" s="894"/>
      <c r="E786" s="895"/>
      <c r="F786" s="896"/>
      <c r="G786" s="897"/>
      <c r="H786" s="897"/>
      <c r="I786" s="897"/>
      <c r="J786" s="897"/>
      <c r="K786" s="897"/>
      <c r="L786" s="898"/>
      <c r="M786" s="898"/>
      <c r="N786" s="898"/>
      <c r="O786" s="898"/>
      <c r="P786" s="898"/>
      <c r="Q786" s="898"/>
      <c r="R786" s="898"/>
      <c r="S786" s="898"/>
      <c r="T786" s="898"/>
      <c r="U786" s="898"/>
      <c r="V786" s="898"/>
      <c r="W786" s="898"/>
      <c r="X786" s="898"/>
      <c r="Y786" s="898"/>
      <c r="Z786" s="898"/>
      <c r="AA786" s="898"/>
      <c r="AB786" s="898"/>
      <c r="AC786" s="898"/>
      <c r="AD786" s="898"/>
      <c r="AE786" s="898"/>
      <c r="AF786" s="898"/>
      <c r="AG786" s="898"/>
      <c r="AH786" s="898"/>
      <c r="AI786" s="898"/>
      <c r="AJ786" s="898"/>
      <c r="AK786" s="897"/>
      <c r="AL786" s="897"/>
      <c r="AM786" s="897"/>
      <c r="AN786" s="897"/>
      <c r="AO786" s="897"/>
      <c r="AP786" s="897"/>
      <c r="AQ786" s="897"/>
      <c r="AR786" s="897"/>
    </row>
    <row r="787" spans="1:44" s="930" customFormat="1">
      <c r="A787" s="892"/>
      <c r="B787" s="899"/>
      <c r="C787" s="900"/>
      <c r="D787" s="894"/>
      <c r="E787" s="895"/>
      <c r="F787" s="896"/>
      <c r="G787" s="897"/>
      <c r="H787" s="897"/>
      <c r="I787" s="897"/>
      <c r="J787" s="897"/>
      <c r="K787" s="897"/>
      <c r="L787" s="898"/>
      <c r="M787" s="898"/>
      <c r="N787" s="898"/>
      <c r="O787" s="898"/>
      <c r="P787" s="898"/>
      <c r="Q787" s="898"/>
      <c r="R787" s="898"/>
      <c r="S787" s="898"/>
      <c r="T787" s="898"/>
      <c r="U787" s="898"/>
      <c r="V787" s="898"/>
      <c r="W787" s="898"/>
      <c r="X787" s="898"/>
      <c r="Y787" s="898"/>
      <c r="Z787" s="898"/>
      <c r="AA787" s="898"/>
      <c r="AB787" s="898"/>
      <c r="AC787" s="898"/>
      <c r="AD787" s="898"/>
      <c r="AE787" s="898"/>
      <c r="AF787" s="898"/>
      <c r="AG787" s="898"/>
      <c r="AH787" s="898"/>
      <c r="AI787" s="898"/>
      <c r="AJ787" s="898"/>
      <c r="AK787" s="897"/>
      <c r="AL787" s="897"/>
      <c r="AM787" s="897"/>
      <c r="AN787" s="897"/>
      <c r="AO787" s="897"/>
      <c r="AP787" s="897"/>
      <c r="AQ787" s="897"/>
      <c r="AR787" s="897"/>
    </row>
    <row r="788" spans="1:44" s="930" customFormat="1">
      <c r="A788" s="892"/>
      <c r="B788" s="899"/>
      <c r="C788" s="900"/>
      <c r="D788" s="894"/>
      <c r="E788" s="895"/>
      <c r="F788" s="896"/>
      <c r="G788" s="897"/>
      <c r="H788" s="897"/>
      <c r="I788" s="897"/>
      <c r="J788" s="897"/>
      <c r="K788" s="897"/>
      <c r="L788" s="898"/>
      <c r="M788" s="898"/>
      <c r="N788" s="898"/>
      <c r="O788" s="898"/>
      <c r="P788" s="898"/>
      <c r="Q788" s="898"/>
      <c r="R788" s="898"/>
      <c r="S788" s="898"/>
      <c r="T788" s="898"/>
      <c r="U788" s="898"/>
      <c r="V788" s="898"/>
      <c r="W788" s="898"/>
      <c r="X788" s="898"/>
      <c r="Y788" s="898"/>
      <c r="Z788" s="898"/>
      <c r="AA788" s="898"/>
      <c r="AB788" s="898"/>
      <c r="AC788" s="898"/>
      <c r="AD788" s="898"/>
      <c r="AE788" s="898"/>
      <c r="AF788" s="898"/>
      <c r="AG788" s="898"/>
      <c r="AH788" s="898"/>
      <c r="AI788" s="898"/>
      <c r="AJ788" s="898"/>
      <c r="AK788" s="897"/>
      <c r="AL788" s="897"/>
      <c r="AM788" s="897"/>
      <c r="AN788" s="897"/>
      <c r="AO788" s="897"/>
      <c r="AP788" s="897"/>
      <c r="AQ788" s="897"/>
      <c r="AR788" s="897"/>
    </row>
    <row r="789" spans="1:44" s="930" customFormat="1">
      <c r="A789" s="892"/>
      <c r="B789" s="899"/>
      <c r="C789" s="900"/>
      <c r="D789" s="894"/>
      <c r="E789" s="895"/>
      <c r="F789" s="896"/>
      <c r="G789" s="897"/>
      <c r="H789" s="897"/>
      <c r="I789" s="897"/>
      <c r="J789" s="897"/>
      <c r="K789" s="897"/>
      <c r="L789" s="898"/>
      <c r="M789" s="898"/>
      <c r="N789" s="898"/>
      <c r="O789" s="898"/>
      <c r="P789" s="898"/>
      <c r="Q789" s="898"/>
      <c r="R789" s="898"/>
      <c r="S789" s="898"/>
      <c r="T789" s="898"/>
      <c r="U789" s="898"/>
      <c r="V789" s="898"/>
      <c r="W789" s="898"/>
      <c r="X789" s="898"/>
      <c r="Y789" s="898"/>
      <c r="Z789" s="898"/>
      <c r="AA789" s="898"/>
      <c r="AB789" s="898"/>
      <c r="AC789" s="898"/>
      <c r="AD789" s="898"/>
      <c r="AE789" s="898"/>
      <c r="AF789" s="898"/>
      <c r="AG789" s="898"/>
      <c r="AH789" s="898"/>
      <c r="AI789" s="898"/>
      <c r="AJ789" s="898"/>
      <c r="AK789" s="897"/>
      <c r="AL789" s="897"/>
      <c r="AM789" s="897"/>
      <c r="AN789" s="897"/>
      <c r="AO789" s="897"/>
      <c r="AP789" s="897"/>
      <c r="AQ789" s="897"/>
      <c r="AR789" s="897"/>
    </row>
    <row r="790" spans="1:44" s="930" customFormat="1">
      <c r="A790" s="892"/>
      <c r="B790" s="899"/>
      <c r="C790" s="900"/>
      <c r="D790" s="894"/>
      <c r="E790" s="895"/>
      <c r="F790" s="896"/>
      <c r="G790" s="897"/>
      <c r="H790" s="897"/>
      <c r="I790" s="897"/>
      <c r="J790" s="897"/>
      <c r="K790" s="897"/>
      <c r="L790" s="898"/>
      <c r="M790" s="898"/>
      <c r="N790" s="898"/>
      <c r="O790" s="898"/>
      <c r="P790" s="898"/>
      <c r="Q790" s="898"/>
      <c r="R790" s="898"/>
      <c r="S790" s="898"/>
      <c r="T790" s="898"/>
      <c r="U790" s="898"/>
      <c r="V790" s="898"/>
      <c r="W790" s="898"/>
      <c r="X790" s="898"/>
      <c r="Y790" s="898"/>
      <c r="Z790" s="898"/>
      <c r="AA790" s="898"/>
      <c r="AB790" s="898"/>
      <c r="AC790" s="898"/>
      <c r="AD790" s="898"/>
      <c r="AE790" s="898"/>
      <c r="AF790" s="898"/>
      <c r="AG790" s="898"/>
      <c r="AH790" s="898"/>
      <c r="AI790" s="898"/>
      <c r="AJ790" s="898"/>
      <c r="AK790" s="897"/>
      <c r="AL790" s="897"/>
      <c r="AM790" s="897"/>
      <c r="AN790" s="897"/>
      <c r="AO790" s="897"/>
      <c r="AP790" s="897"/>
      <c r="AQ790" s="897"/>
      <c r="AR790" s="897"/>
    </row>
    <row r="791" spans="1:44" s="930" customFormat="1">
      <c r="A791" s="892"/>
      <c r="B791" s="899"/>
      <c r="C791" s="900"/>
      <c r="D791" s="894"/>
      <c r="E791" s="895"/>
      <c r="F791" s="896"/>
      <c r="G791" s="897"/>
      <c r="H791" s="897"/>
      <c r="I791" s="897"/>
      <c r="J791" s="897"/>
      <c r="K791" s="897"/>
      <c r="L791" s="898"/>
      <c r="M791" s="898"/>
      <c r="N791" s="898"/>
      <c r="O791" s="898"/>
      <c r="P791" s="898"/>
      <c r="Q791" s="898"/>
      <c r="R791" s="898"/>
      <c r="S791" s="898"/>
      <c r="T791" s="898"/>
      <c r="U791" s="898"/>
      <c r="V791" s="898"/>
      <c r="W791" s="898"/>
      <c r="X791" s="898"/>
      <c r="Y791" s="898"/>
      <c r="Z791" s="898"/>
      <c r="AA791" s="898"/>
      <c r="AB791" s="898"/>
      <c r="AC791" s="898"/>
      <c r="AD791" s="898"/>
      <c r="AE791" s="898"/>
      <c r="AF791" s="898"/>
      <c r="AG791" s="898"/>
      <c r="AH791" s="898"/>
      <c r="AI791" s="898"/>
      <c r="AJ791" s="898"/>
      <c r="AK791" s="897"/>
      <c r="AL791" s="897"/>
      <c r="AM791" s="897"/>
      <c r="AN791" s="897"/>
      <c r="AO791" s="897"/>
      <c r="AP791" s="897"/>
      <c r="AQ791" s="897"/>
      <c r="AR791" s="897"/>
    </row>
    <row r="792" spans="1:44" s="930" customFormat="1">
      <c r="A792" s="892"/>
      <c r="B792" s="899"/>
      <c r="C792" s="900"/>
      <c r="D792" s="894"/>
      <c r="E792" s="895"/>
      <c r="F792" s="896"/>
      <c r="G792" s="897"/>
      <c r="H792" s="897"/>
      <c r="I792" s="897"/>
      <c r="J792" s="897"/>
      <c r="K792" s="897"/>
      <c r="L792" s="898"/>
      <c r="M792" s="898"/>
      <c r="N792" s="898"/>
      <c r="O792" s="898"/>
      <c r="P792" s="898"/>
      <c r="Q792" s="898"/>
      <c r="R792" s="898"/>
      <c r="S792" s="898"/>
      <c r="T792" s="898"/>
      <c r="U792" s="898"/>
      <c r="V792" s="898"/>
      <c r="W792" s="898"/>
      <c r="X792" s="898"/>
      <c r="Y792" s="898"/>
      <c r="Z792" s="898"/>
      <c r="AA792" s="898"/>
      <c r="AB792" s="898"/>
      <c r="AC792" s="898"/>
      <c r="AD792" s="898"/>
      <c r="AE792" s="898"/>
      <c r="AF792" s="898"/>
      <c r="AG792" s="898"/>
      <c r="AH792" s="898"/>
      <c r="AI792" s="898"/>
      <c r="AJ792" s="898"/>
      <c r="AK792" s="897"/>
      <c r="AL792" s="897"/>
      <c r="AM792" s="897"/>
      <c r="AN792" s="897"/>
      <c r="AO792" s="897"/>
      <c r="AP792" s="897"/>
      <c r="AQ792" s="897"/>
      <c r="AR792" s="897"/>
    </row>
    <row r="793" spans="1:44" s="930" customFormat="1">
      <c r="A793" s="892"/>
      <c r="B793" s="899"/>
      <c r="C793" s="900"/>
      <c r="D793" s="894"/>
      <c r="E793" s="895"/>
      <c r="F793" s="896"/>
      <c r="G793" s="897"/>
      <c r="H793" s="897"/>
      <c r="I793" s="897"/>
      <c r="J793" s="897"/>
      <c r="K793" s="897"/>
      <c r="L793" s="898"/>
      <c r="M793" s="898"/>
      <c r="N793" s="898"/>
      <c r="O793" s="898"/>
      <c r="P793" s="898"/>
      <c r="Q793" s="898"/>
      <c r="R793" s="898"/>
      <c r="S793" s="898"/>
      <c r="T793" s="898"/>
      <c r="U793" s="898"/>
      <c r="V793" s="898"/>
      <c r="W793" s="898"/>
      <c r="X793" s="898"/>
      <c r="Y793" s="898"/>
      <c r="Z793" s="898"/>
      <c r="AA793" s="898"/>
      <c r="AB793" s="898"/>
      <c r="AC793" s="898"/>
      <c r="AD793" s="898"/>
      <c r="AE793" s="898"/>
      <c r="AF793" s="898"/>
      <c r="AG793" s="898"/>
      <c r="AH793" s="898"/>
      <c r="AI793" s="898"/>
      <c r="AJ793" s="898"/>
      <c r="AK793" s="897"/>
      <c r="AL793" s="897"/>
      <c r="AM793" s="897"/>
      <c r="AN793" s="897"/>
      <c r="AO793" s="897"/>
      <c r="AP793" s="897"/>
      <c r="AQ793" s="897"/>
      <c r="AR793" s="897"/>
    </row>
    <row r="794" spans="1:44" s="930" customFormat="1">
      <c r="A794" s="892"/>
      <c r="B794" s="899"/>
      <c r="C794" s="900"/>
      <c r="D794" s="894"/>
      <c r="E794" s="895"/>
      <c r="F794" s="896"/>
      <c r="G794" s="897"/>
      <c r="H794" s="897"/>
      <c r="I794" s="897"/>
      <c r="J794" s="897"/>
      <c r="K794" s="897"/>
      <c r="L794" s="898"/>
      <c r="M794" s="898"/>
      <c r="N794" s="898"/>
      <c r="O794" s="898"/>
      <c r="P794" s="898"/>
      <c r="Q794" s="898"/>
      <c r="R794" s="898"/>
      <c r="S794" s="898"/>
      <c r="T794" s="898"/>
      <c r="U794" s="898"/>
      <c r="V794" s="898"/>
      <c r="W794" s="898"/>
      <c r="X794" s="898"/>
      <c r="Y794" s="898"/>
      <c r="Z794" s="898"/>
      <c r="AA794" s="898"/>
      <c r="AB794" s="898"/>
      <c r="AC794" s="898"/>
      <c r="AD794" s="898"/>
      <c r="AE794" s="898"/>
      <c r="AF794" s="898"/>
      <c r="AG794" s="898"/>
      <c r="AH794" s="898"/>
      <c r="AI794" s="898"/>
      <c r="AJ794" s="898"/>
      <c r="AK794" s="897"/>
      <c r="AL794" s="897"/>
      <c r="AM794" s="897"/>
      <c r="AN794" s="897"/>
      <c r="AO794" s="897"/>
      <c r="AP794" s="897"/>
      <c r="AQ794" s="897"/>
      <c r="AR794" s="897"/>
    </row>
    <row r="795" spans="1:44" s="930" customFormat="1">
      <c r="A795" s="892"/>
      <c r="B795" s="899"/>
      <c r="C795" s="900"/>
      <c r="D795" s="894"/>
      <c r="E795" s="895"/>
      <c r="F795" s="896"/>
      <c r="G795" s="897"/>
      <c r="H795" s="897"/>
      <c r="I795" s="897"/>
      <c r="J795" s="897"/>
      <c r="K795" s="897"/>
      <c r="L795" s="898"/>
      <c r="M795" s="898"/>
      <c r="N795" s="898"/>
      <c r="O795" s="898"/>
      <c r="P795" s="898"/>
      <c r="Q795" s="898"/>
      <c r="R795" s="898"/>
      <c r="S795" s="898"/>
      <c r="T795" s="898"/>
      <c r="U795" s="898"/>
      <c r="V795" s="898"/>
      <c r="W795" s="898"/>
      <c r="X795" s="898"/>
      <c r="Y795" s="898"/>
      <c r="Z795" s="898"/>
      <c r="AA795" s="898"/>
      <c r="AB795" s="898"/>
      <c r="AC795" s="898"/>
      <c r="AD795" s="898"/>
      <c r="AE795" s="898"/>
      <c r="AF795" s="898"/>
      <c r="AG795" s="898"/>
      <c r="AH795" s="898"/>
      <c r="AI795" s="898"/>
      <c r="AJ795" s="898"/>
      <c r="AK795" s="897"/>
      <c r="AL795" s="897"/>
      <c r="AM795" s="897"/>
      <c r="AN795" s="897"/>
      <c r="AO795" s="897"/>
      <c r="AP795" s="897"/>
      <c r="AQ795" s="897"/>
      <c r="AR795" s="897"/>
    </row>
    <row r="796" spans="1:44" s="930" customFormat="1">
      <c r="A796" s="892"/>
      <c r="B796" s="899"/>
      <c r="C796" s="900"/>
      <c r="D796" s="894"/>
      <c r="E796" s="895"/>
      <c r="F796" s="896"/>
      <c r="G796" s="897"/>
      <c r="H796" s="897"/>
      <c r="I796" s="897"/>
      <c r="J796" s="897"/>
      <c r="K796" s="897"/>
      <c r="L796" s="898"/>
      <c r="M796" s="898"/>
      <c r="N796" s="898"/>
      <c r="O796" s="898"/>
      <c r="P796" s="898"/>
      <c r="Q796" s="898"/>
      <c r="R796" s="898"/>
      <c r="S796" s="898"/>
      <c r="T796" s="898"/>
      <c r="U796" s="898"/>
      <c r="V796" s="898"/>
      <c r="W796" s="898"/>
      <c r="X796" s="898"/>
      <c r="Y796" s="898"/>
      <c r="Z796" s="898"/>
      <c r="AA796" s="898"/>
      <c r="AB796" s="898"/>
      <c r="AC796" s="898"/>
      <c r="AD796" s="898"/>
      <c r="AE796" s="898"/>
      <c r="AF796" s="898"/>
      <c r="AG796" s="898"/>
      <c r="AH796" s="898"/>
      <c r="AI796" s="898"/>
      <c r="AJ796" s="898"/>
      <c r="AK796" s="897"/>
      <c r="AL796" s="897"/>
      <c r="AM796" s="897"/>
      <c r="AN796" s="897"/>
      <c r="AO796" s="897"/>
      <c r="AP796" s="897"/>
      <c r="AQ796" s="897"/>
      <c r="AR796" s="897"/>
    </row>
    <row r="797" spans="1:44" s="930" customFormat="1">
      <c r="A797" s="892"/>
      <c r="B797" s="899"/>
      <c r="C797" s="900"/>
      <c r="D797" s="894"/>
      <c r="E797" s="895"/>
      <c r="F797" s="896"/>
      <c r="G797" s="897"/>
      <c r="H797" s="897"/>
      <c r="I797" s="897"/>
      <c r="J797" s="897"/>
      <c r="K797" s="897"/>
      <c r="L797" s="898"/>
      <c r="M797" s="898"/>
      <c r="N797" s="898"/>
      <c r="O797" s="898"/>
      <c r="P797" s="898"/>
      <c r="Q797" s="898"/>
      <c r="R797" s="898"/>
      <c r="S797" s="898"/>
      <c r="T797" s="898"/>
      <c r="U797" s="898"/>
      <c r="V797" s="898"/>
      <c r="W797" s="898"/>
      <c r="X797" s="898"/>
      <c r="Y797" s="898"/>
      <c r="Z797" s="898"/>
      <c r="AA797" s="898"/>
      <c r="AB797" s="898"/>
      <c r="AC797" s="898"/>
      <c r="AD797" s="898"/>
      <c r="AE797" s="898"/>
      <c r="AF797" s="898"/>
      <c r="AG797" s="898"/>
      <c r="AH797" s="898"/>
      <c r="AI797" s="898"/>
      <c r="AJ797" s="898"/>
      <c r="AK797" s="897"/>
      <c r="AL797" s="897"/>
      <c r="AM797" s="897"/>
      <c r="AN797" s="897"/>
      <c r="AO797" s="897"/>
      <c r="AP797" s="897"/>
      <c r="AQ797" s="897"/>
      <c r="AR797" s="897"/>
    </row>
    <row r="798" spans="1:44" s="930" customFormat="1">
      <c r="A798" s="892"/>
      <c r="B798" s="899"/>
      <c r="C798" s="900"/>
      <c r="D798" s="894"/>
      <c r="E798" s="895"/>
      <c r="F798" s="896"/>
      <c r="G798" s="897"/>
      <c r="H798" s="897"/>
      <c r="I798" s="897"/>
      <c r="J798" s="897"/>
      <c r="K798" s="897"/>
      <c r="L798" s="898"/>
      <c r="M798" s="898"/>
      <c r="N798" s="898"/>
      <c r="O798" s="898"/>
      <c r="P798" s="898"/>
      <c r="Q798" s="898"/>
      <c r="R798" s="898"/>
      <c r="S798" s="898"/>
      <c r="T798" s="898"/>
      <c r="U798" s="898"/>
      <c r="V798" s="898"/>
      <c r="W798" s="898"/>
      <c r="X798" s="898"/>
      <c r="Y798" s="898"/>
      <c r="Z798" s="898"/>
      <c r="AA798" s="898"/>
      <c r="AB798" s="898"/>
      <c r="AC798" s="898"/>
      <c r="AD798" s="898"/>
      <c r="AE798" s="898"/>
      <c r="AF798" s="898"/>
      <c r="AG798" s="898"/>
      <c r="AH798" s="898"/>
      <c r="AI798" s="898"/>
      <c r="AJ798" s="898"/>
      <c r="AK798" s="897"/>
      <c r="AL798" s="897"/>
      <c r="AM798" s="897"/>
      <c r="AN798" s="897"/>
      <c r="AO798" s="897"/>
      <c r="AP798" s="897"/>
      <c r="AQ798" s="897"/>
      <c r="AR798" s="897"/>
    </row>
    <row r="799" spans="1:44" s="930" customFormat="1">
      <c r="A799" s="892"/>
      <c r="B799" s="899"/>
      <c r="C799" s="900"/>
      <c r="D799" s="894"/>
      <c r="E799" s="895"/>
      <c r="F799" s="896"/>
      <c r="G799" s="897"/>
      <c r="H799" s="897"/>
      <c r="I799" s="897"/>
      <c r="J799" s="897"/>
      <c r="K799" s="897"/>
      <c r="L799" s="898"/>
      <c r="M799" s="898"/>
      <c r="N799" s="898"/>
      <c r="O799" s="898"/>
      <c r="P799" s="898"/>
      <c r="Q799" s="898"/>
      <c r="R799" s="898"/>
      <c r="S799" s="898"/>
      <c r="T799" s="898"/>
      <c r="U799" s="898"/>
      <c r="V799" s="898"/>
      <c r="W799" s="898"/>
      <c r="X799" s="898"/>
      <c r="Y799" s="898"/>
      <c r="Z799" s="898"/>
      <c r="AA799" s="898"/>
      <c r="AB799" s="898"/>
      <c r="AC799" s="898"/>
      <c r="AD799" s="898"/>
      <c r="AE799" s="898"/>
      <c r="AF799" s="898"/>
      <c r="AG799" s="898"/>
      <c r="AH799" s="898"/>
      <c r="AI799" s="898"/>
      <c r="AJ799" s="898"/>
      <c r="AK799" s="897"/>
      <c r="AL799" s="897"/>
      <c r="AM799" s="897"/>
      <c r="AN799" s="897"/>
      <c r="AO799" s="897"/>
      <c r="AP799" s="897"/>
      <c r="AQ799" s="897"/>
      <c r="AR799" s="897"/>
    </row>
    <row r="800" spans="1:44" s="930" customFormat="1">
      <c r="A800" s="892"/>
      <c r="B800" s="899"/>
      <c r="C800" s="900"/>
      <c r="D800" s="894"/>
      <c r="E800" s="895"/>
      <c r="F800" s="896"/>
      <c r="G800" s="897"/>
      <c r="H800" s="897"/>
      <c r="I800" s="897"/>
      <c r="J800" s="897"/>
      <c r="K800" s="897"/>
      <c r="L800" s="898"/>
      <c r="M800" s="898"/>
      <c r="N800" s="898"/>
      <c r="O800" s="898"/>
      <c r="P800" s="898"/>
      <c r="Q800" s="898"/>
      <c r="R800" s="898"/>
      <c r="S800" s="898"/>
      <c r="T800" s="898"/>
      <c r="U800" s="898"/>
      <c r="V800" s="898"/>
      <c r="W800" s="898"/>
      <c r="X800" s="898"/>
      <c r="Y800" s="898"/>
      <c r="Z800" s="898"/>
      <c r="AA800" s="898"/>
      <c r="AB800" s="898"/>
      <c r="AC800" s="898"/>
      <c r="AD800" s="898"/>
      <c r="AE800" s="898"/>
      <c r="AF800" s="898"/>
      <c r="AG800" s="898"/>
      <c r="AH800" s="898"/>
      <c r="AI800" s="898"/>
      <c r="AJ800" s="898"/>
      <c r="AK800" s="897"/>
      <c r="AL800" s="897"/>
      <c r="AM800" s="897"/>
      <c r="AN800" s="897"/>
      <c r="AO800" s="897"/>
      <c r="AP800" s="897"/>
      <c r="AQ800" s="897"/>
      <c r="AR800" s="897"/>
    </row>
    <row r="801" spans="1:44" s="930" customFormat="1">
      <c r="A801" s="892"/>
      <c r="B801" s="899"/>
      <c r="C801" s="900"/>
      <c r="D801" s="894"/>
      <c r="E801" s="895"/>
      <c r="F801" s="896"/>
      <c r="G801" s="897"/>
      <c r="H801" s="897"/>
      <c r="I801" s="897"/>
      <c r="J801" s="897"/>
      <c r="K801" s="897"/>
      <c r="L801" s="898"/>
      <c r="M801" s="898"/>
      <c r="N801" s="898"/>
      <c r="O801" s="898"/>
      <c r="P801" s="898"/>
      <c r="Q801" s="898"/>
      <c r="R801" s="898"/>
      <c r="S801" s="898"/>
      <c r="T801" s="898"/>
      <c r="U801" s="898"/>
      <c r="V801" s="898"/>
      <c r="W801" s="898"/>
      <c r="X801" s="898"/>
      <c r="Y801" s="898"/>
      <c r="Z801" s="898"/>
      <c r="AA801" s="898"/>
      <c r="AB801" s="898"/>
      <c r="AC801" s="898"/>
      <c r="AD801" s="898"/>
      <c r="AE801" s="898"/>
      <c r="AF801" s="898"/>
      <c r="AG801" s="898"/>
      <c r="AH801" s="898"/>
      <c r="AI801" s="898"/>
      <c r="AJ801" s="898"/>
      <c r="AK801" s="897"/>
      <c r="AL801" s="897"/>
      <c r="AM801" s="897"/>
      <c r="AN801" s="897"/>
      <c r="AO801" s="897"/>
      <c r="AP801" s="897"/>
      <c r="AQ801" s="897"/>
      <c r="AR801" s="897"/>
    </row>
    <row r="802" spans="1:44" s="930" customFormat="1">
      <c r="A802" s="892"/>
      <c r="B802" s="899"/>
      <c r="C802" s="900"/>
      <c r="D802" s="894"/>
      <c r="E802" s="895"/>
      <c r="F802" s="896"/>
      <c r="G802" s="897"/>
      <c r="H802" s="897"/>
      <c r="I802" s="897"/>
      <c r="J802" s="897"/>
      <c r="K802" s="897"/>
      <c r="L802" s="898"/>
      <c r="M802" s="898"/>
      <c r="N802" s="898"/>
      <c r="O802" s="898"/>
      <c r="P802" s="898"/>
      <c r="Q802" s="898"/>
      <c r="R802" s="898"/>
      <c r="S802" s="898"/>
      <c r="T802" s="898"/>
      <c r="U802" s="898"/>
      <c r="V802" s="898"/>
      <c r="W802" s="898"/>
      <c r="X802" s="898"/>
      <c r="Y802" s="898"/>
      <c r="Z802" s="898"/>
      <c r="AA802" s="898"/>
      <c r="AB802" s="898"/>
      <c r="AC802" s="898"/>
      <c r="AD802" s="898"/>
      <c r="AE802" s="898"/>
      <c r="AF802" s="898"/>
      <c r="AG802" s="898"/>
      <c r="AH802" s="898"/>
      <c r="AI802" s="898"/>
      <c r="AJ802" s="898"/>
      <c r="AK802" s="897"/>
      <c r="AL802" s="897"/>
      <c r="AM802" s="897"/>
      <c r="AN802" s="897"/>
      <c r="AO802" s="897"/>
      <c r="AP802" s="897"/>
      <c r="AQ802" s="897"/>
      <c r="AR802" s="897"/>
    </row>
    <row r="803" spans="1:44" s="930" customFormat="1">
      <c r="A803" s="892"/>
      <c r="B803" s="899"/>
      <c r="C803" s="900"/>
      <c r="D803" s="894"/>
      <c r="E803" s="895"/>
      <c r="F803" s="896"/>
      <c r="G803" s="897"/>
      <c r="H803" s="897"/>
      <c r="I803" s="897"/>
      <c r="J803" s="897"/>
      <c r="K803" s="897"/>
      <c r="L803" s="898"/>
      <c r="M803" s="898"/>
      <c r="N803" s="898"/>
      <c r="O803" s="898"/>
      <c r="P803" s="898"/>
      <c r="Q803" s="898"/>
      <c r="R803" s="898"/>
      <c r="S803" s="898"/>
      <c r="T803" s="898"/>
      <c r="U803" s="898"/>
      <c r="V803" s="898"/>
      <c r="W803" s="898"/>
      <c r="X803" s="898"/>
      <c r="Y803" s="898"/>
      <c r="Z803" s="898"/>
      <c r="AA803" s="898"/>
      <c r="AB803" s="898"/>
      <c r="AC803" s="898"/>
      <c r="AD803" s="898"/>
      <c r="AE803" s="898"/>
      <c r="AF803" s="898"/>
      <c r="AG803" s="898"/>
      <c r="AH803" s="898"/>
      <c r="AI803" s="898"/>
      <c r="AJ803" s="898"/>
      <c r="AK803" s="897"/>
      <c r="AL803" s="897"/>
      <c r="AM803" s="897"/>
      <c r="AN803" s="897"/>
      <c r="AO803" s="897"/>
      <c r="AP803" s="897"/>
      <c r="AQ803" s="897"/>
      <c r="AR803" s="897"/>
    </row>
    <row r="804" spans="1:44" s="930" customFormat="1">
      <c r="A804" s="892"/>
      <c r="B804" s="899"/>
      <c r="C804" s="900"/>
      <c r="D804" s="894"/>
      <c r="E804" s="895"/>
      <c r="F804" s="896"/>
      <c r="G804" s="897"/>
      <c r="H804" s="897"/>
      <c r="I804" s="897"/>
      <c r="J804" s="897"/>
      <c r="K804" s="897"/>
      <c r="L804" s="898"/>
      <c r="M804" s="898"/>
      <c r="N804" s="898"/>
      <c r="O804" s="898"/>
      <c r="P804" s="898"/>
      <c r="Q804" s="898"/>
      <c r="R804" s="898"/>
      <c r="S804" s="898"/>
      <c r="T804" s="898"/>
      <c r="U804" s="898"/>
      <c r="V804" s="898"/>
      <c r="W804" s="898"/>
      <c r="X804" s="898"/>
      <c r="Y804" s="898"/>
      <c r="Z804" s="898"/>
      <c r="AA804" s="898"/>
      <c r="AB804" s="898"/>
      <c r="AC804" s="898"/>
      <c r="AD804" s="898"/>
      <c r="AE804" s="898"/>
      <c r="AF804" s="898"/>
      <c r="AG804" s="898"/>
      <c r="AH804" s="898"/>
      <c r="AI804" s="898"/>
      <c r="AJ804" s="898"/>
      <c r="AK804" s="897"/>
      <c r="AL804" s="897"/>
      <c r="AM804" s="897"/>
      <c r="AN804" s="897"/>
      <c r="AO804" s="897"/>
      <c r="AP804" s="897"/>
      <c r="AQ804" s="897"/>
      <c r="AR804" s="897"/>
    </row>
    <row r="805" spans="1:44" s="930" customFormat="1">
      <c r="A805" s="892"/>
      <c r="B805" s="899"/>
      <c r="C805" s="900"/>
      <c r="D805" s="894"/>
      <c r="E805" s="895"/>
      <c r="F805" s="896"/>
      <c r="G805" s="897"/>
      <c r="H805" s="897"/>
      <c r="I805" s="897"/>
      <c r="J805" s="897"/>
      <c r="K805" s="897"/>
      <c r="L805" s="898"/>
      <c r="M805" s="898"/>
      <c r="N805" s="898"/>
      <c r="O805" s="898"/>
      <c r="P805" s="898"/>
      <c r="Q805" s="898"/>
      <c r="R805" s="898"/>
      <c r="S805" s="898"/>
      <c r="T805" s="898"/>
      <c r="U805" s="898"/>
      <c r="V805" s="898"/>
      <c r="W805" s="898"/>
      <c r="X805" s="898"/>
      <c r="Y805" s="898"/>
      <c r="Z805" s="898"/>
      <c r="AA805" s="898"/>
      <c r="AB805" s="898"/>
      <c r="AC805" s="898"/>
      <c r="AD805" s="898"/>
      <c r="AE805" s="898"/>
      <c r="AF805" s="898"/>
      <c r="AG805" s="898"/>
      <c r="AH805" s="898"/>
      <c r="AI805" s="898"/>
      <c r="AJ805" s="898"/>
      <c r="AK805" s="897"/>
      <c r="AL805" s="897"/>
      <c r="AM805" s="897"/>
      <c r="AN805" s="897"/>
      <c r="AO805" s="897"/>
      <c r="AP805" s="897"/>
      <c r="AQ805" s="897"/>
      <c r="AR805" s="897"/>
    </row>
    <row r="806" spans="1:44" s="930" customFormat="1">
      <c r="A806" s="892"/>
      <c r="B806" s="899"/>
      <c r="C806" s="900"/>
      <c r="D806" s="894"/>
      <c r="E806" s="895"/>
      <c r="F806" s="896"/>
      <c r="G806" s="897"/>
      <c r="H806" s="897"/>
      <c r="I806" s="897"/>
      <c r="J806" s="897"/>
      <c r="K806" s="897"/>
      <c r="L806" s="898"/>
      <c r="M806" s="898"/>
      <c r="N806" s="898"/>
      <c r="O806" s="898"/>
      <c r="P806" s="898"/>
      <c r="Q806" s="898"/>
      <c r="R806" s="898"/>
      <c r="S806" s="898"/>
      <c r="T806" s="898"/>
      <c r="U806" s="898"/>
      <c r="V806" s="898"/>
      <c r="W806" s="898"/>
      <c r="X806" s="898"/>
      <c r="Y806" s="898"/>
      <c r="Z806" s="898"/>
      <c r="AA806" s="898"/>
      <c r="AB806" s="898"/>
      <c r="AC806" s="898"/>
      <c r="AD806" s="898"/>
      <c r="AE806" s="898"/>
      <c r="AF806" s="898"/>
      <c r="AG806" s="898"/>
      <c r="AH806" s="898"/>
      <c r="AI806" s="898"/>
      <c r="AJ806" s="898"/>
      <c r="AK806" s="897"/>
      <c r="AL806" s="897"/>
      <c r="AM806" s="897"/>
      <c r="AN806" s="897"/>
      <c r="AO806" s="897"/>
      <c r="AP806" s="897"/>
      <c r="AQ806" s="897"/>
      <c r="AR806" s="897"/>
    </row>
    <row r="807" spans="1:44" s="930" customFormat="1">
      <c r="A807" s="892"/>
      <c r="B807" s="899"/>
      <c r="C807" s="900"/>
      <c r="D807" s="894"/>
      <c r="E807" s="895"/>
      <c r="F807" s="896"/>
      <c r="G807" s="897"/>
      <c r="H807" s="897"/>
      <c r="I807" s="897"/>
      <c r="J807" s="897"/>
      <c r="K807" s="897"/>
      <c r="L807" s="898"/>
      <c r="M807" s="898"/>
      <c r="N807" s="898"/>
      <c r="O807" s="898"/>
      <c r="P807" s="898"/>
      <c r="Q807" s="898"/>
      <c r="R807" s="898"/>
      <c r="S807" s="898"/>
      <c r="T807" s="898"/>
      <c r="U807" s="898"/>
      <c r="V807" s="898"/>
      <c r="W807" s="898"/>
      <c r="X807" s="898"/>
      <c r="Y807" s="898"/>
      <c r="Z807" s="898"/>
      <c r="AA807" s="898"/>
      <c r="AB807" s="898"/>
      <c r="AC807" s="898"/>
      <c r="AD807" s="898"/>
      <c r="AE807" s="898"/>
      <c r="AF807" s="898"/>
      <c r="AG807" s="898"/>
      <c r="AH807" s="898"/>
      <c r="AI807" s="898"/>
      <c r="AJ807" s="898"/>
      <c r="AK807" s="897"/>
      <c r="AL807" s="897"/>
      <c r="AM807" s="897"/>
      <c r="AN807" s="897"/>
      <c r="AO807" s="897"/>
      <c r="AP807" s="897"/>
      <c r="AQ807" s="897"/>
      <c r="AR807" s="897"/>
    </row>
    <row r="808" spans="1:44" s="930" customFormat="1">
      <c r="A808" s="892"/>
      <c r="B808" s="899"/>
      <c r="C808" s="900"/>
      <c r="D808" s="894"/>
      <c r="E808" s="895"/>
      <c r="F808" s="896"/>
      <c r="G808" s="897"/>
      <c r="H808" s="897"/>
      <c r="I808" s="897"/>
      <c r="J808" s="897"/>
      <c r="K808" s="897"/>
      <c r="L808" s="898"/>
      <c r="M808" s="898"/>
      <c r="N808" s="898"/>
      <c r="O808" s="898"/>
      <c r="P808" s="898"/>
      <c r="Q808" s="898"/>
      <c r="R808" s="898"/>
      <c r="S808" s="898"/>
      <c r="T808" s="898"/>
      <c r="U808" s="898"/>
      <c r="V808" s="898"/>
      <c r="W808" s="898"/>
      <c r="X808" s="898"/>
      <c r="Y808" s="898"/>
      <c r="Z808" s="898"/>
      <c r="AA808" s="898"/>
      <c r="AB808" s="898"/>
      <c r="AC808" s="898"/>
      <c r="AD808" s="898"/>
      <c r="AE808" s="898"/>
      <c r="AF808" s="898"/>
      <c r="AG808" s="898"/>
      <c r="AH808" s="898"/>
      <c r="AI808" s="898"/>
      <c r="AJ808" s="898"/>
      <c r="AK808" s="897"/>
      <c r="AL808" s="897"/>
      <c r="AM808" s="897"/>
      <c r="AN808" s="897"/>
      <c r="AO808" s="897"/>
      <c r="AP808" s="897"/>
      <c r="AQ808" s="897"/>
      <c r="AR808" s="897"/>
    </row>
    <row r="809" spans="1:44" s="930" customFormat="1">
      <c r="A809" s="892"/>
      <c r="B809" s="899"/>
      <c r="C809" s="900"/>
      <c r="D809" s="894"/>
      <c r="E809" s="895"/>
      <c r="F809" s="896"/>
      <c r="G809" s="897"/>
      <c r="H809" s="897"/>
      <c r="I809" s="897"/>
      <c r="J809" s="897"/>
      <c r="K809" s="897"/>
      <c r="L809" s="898"/>
      <c r="M809" s="898"/>
      <c r="N809" s="898"/>
      <c r="O809" s="898"/>
      <c r="P809" s="898"/>
      <c r="Q809" s="898"/>
      <c r="R809" s="898"/>
      <c r="S809" s="898"/>
      <c r="T809" s="898"/>
      <c r="U809" s="898"/>
      <c r="V809" s="898"/>
      <c r="W809" s="898"/>
      <c r="X809" s="898"/>
      <c r="Y809" s="898"/>
      <c r="Z809" s="898"/>
      <c r="AA809" s="898"/>
      <c r="AB809" s="898"/>
      <c r="AC809" s="898"/>
      <c r="AD809" s="898"/>
      <c r="AE809" s="898"/>
      <c r="AF809" s="898"/>
      <c r="AG809" s="898"/>
      <c r="AH809" s="898"/>
      <c r="AI809" s="898"/>
      <c r="AJ809" s="898"/>
      <c r="AK809" s="897"/>
      <c r="AL809" s="897"/>
      <c r="AM809" s="897"/>
      <c r="AN809" s="897"/>
      <c r="AO809" s="897"/>
      <c r="AP809" s="897"/>
      <c r="AQ809" s="897"/>
      <c r="AR809" s="897"/>
    </row>
    <row r="810" spans="1:44" s="930" customFormat="1">
      <c r="A810" s="892"/>
      <c r="B810" s="899"/>
      <c r="C810" s="900"/>
      <c r="D810" s="894"/>
      <c r="E810" s="895"/>
      <c r="F810" s="896"/>
      <c r="G810" s="897"/>
      <c r="H810" s="897"/>
      <c r="I810" s="897"/>
      <c r="J810" s="897"/>
      <c r="K810" s="897"/>
      <c r="L810" s="898"/>
      <c r="M810" s="898"/>
      <c r="N810" s="898"/>
      <c r="O810" s="898"/>
      <c r="P810" s="898"/>
      <c r="Q810" s="898"/>
      <c r="R810" s="898"/>
      <c r="S810" s="898"/>
      <c r="T810" s="898"/>
      <c r="U810" s="898"/>
      <c r="V810" s="898"/>
      <c r="W810" s="898"/>
      <c r="X810" s="898"/>
      <c r="Y810" s="898"/>
      <c r="Z810" s="898"/>
      <c r="AA810" s="898"/>
      <c r="AB810" s="898"/>
      <c r="AC810" s="898"/>
      <c r="AD810" s="898"/>
      <c r="AE810" s="898"/>
      <c r="AF810" s="898"/>
      <c r="AG810" s="898"/>
      <c r="AH810" s="898"/>
      <c r="AI810" s="898"/>
      <c r="AJ810" s="898"/>
      <c r="AK810" s="897"/>
      <c r="AL810" s="897"/>
      <c r="AM810" s="897"/>
      <c r="AN810" s="897"/>
      <c r="AO810" s="897"/>
      <c r="AP810" s="897"/>
      <c r="AQ810" s="897"/>
      <c r="AR810" s="897"/>
    </row>
    <row r="811" spans="1:44" s="930" customFormat="1">
      <c r="A811" s="892"/>
      <c r="B811" s="899"/>
      <c r="C811" s="900"/>
      <c r="D811" s="894"/>
      <c r="E811" s="895"/>
      <c r="F811" s="896"/>
      <c r="G811" s="897"/>
      <c r="H811" s="897"/>
      <c r="I811" s="897"/>
      <c r="J811" s="897"/>
      <c r="K811" s="897"/>
      <c r="L811" s="898"/>
      <c r="M811" s="898"/>
      <c r="N811" s="898"/>
      <c r="O811" s="898"/>
      <c r="P811" s="898"/>
      <c r="Q811" s="898"/>
      <c r="R811" s="898"/>
      <c r="S811" s="898"/>
      <c r="T811" s="898"/>
      <c r="U811" s="898"/>
      <c r="V811" s="898"/>
      <c r="W811" s="898"/>
      <c r="X811" s="898"/>
      <c r="Y811" s="898"/>
      <c r="Z811" s="898"/>
      <c r="AA811" s="898"/>
      <c r="AB811" s="898"/>
      <c r="AC811" s="898"/>
      <c r="AD811" s="898"/>
      <c r="AE811" s="898"/>
      <c r="AF811" s="898"/>
      <c r="AG811" s="898"/>
      <c r="AH811" s="898"/>
      <c r="AI811" s="898"/>
      <c r="AJ811" s="898"/>
      <c r="AK811" s="897"/>
      <c r="AL811" s="897"/>
      <c r="AM811" s="897"/>
      <c r="AN811" s="897"/>
      <c r="AO811" s="897"/>
      <c r="AP811" s="897"/>
      <c r="AQ811" s="897"/>
      <c r="AR811" s="897"/>
    </row>
    <row r="812" spans="1:44" s="930" customFormat="1">
      <c r="A812" s="892"/>
      <c r="B812" s="899"/>
      <c r="C812" s="900"/>
      <c r="D812" s="894"/>
      <c r="E812" s="895"/>
      <c r="F812" s="896"/>
      <c r="G812" s="897"/>
      <c r="H812" s="897"/>
      <c r="I812" s="897"/>
      <c r="J812" s="897"/>
      <c r="K812" s="897"/>
      <c r="L812" s="898"/>
      <c r="M812" s="898"/>
      <c r="N812" s="898"/>
      <c r="O812" s="898"/>
      <c r="P812" s="898"/>
      <c r="Q812" s="898"/>
      <c r="R812" s="898"/>
      <c r="S812" s="898"/>
      <c r="T812" s="898"/>
      <c r="U812" s="898"/>
      <c r="V812" s="898"/>
      <c r="W812" s="898"/>
      <c r="X812" s="898"/>
      <c r="Y812" s="898"/>
      <c r="Z812" s="898"/>
      <c r="AA812" s="898"/>
      <c r="AB812" s="898"/>
      <c r="AC812" s="898"/>
      <c r="AD812" s="898"/>
      <c r="AE812" s="898"/>
      <c r="AF812" s="898"/>
      <c r="AG812" s="898"/>
      <c r="AH812" s="898"/>
      <c r="AI812" s="898"/>
      <c r="AJ812" s="898"/>
      <c r="AK812" s="897"/>
      <c r="AL812" s="897"/>
      <c r="AM812" s="897"/>
      <c r="AN812" s="897"/>
      <c r="AO812" s="897"/>
      <c r="AP812" s="897"/>
      <c r="AQ812" s="897"/>
      <c r="AR812" s="897"/>
    </row>
    <row r="813" spans="1:44" s="930" customFormat="1">
      <c r="A813" s="892"/>
      <c r="B813" s="899"/>
      <c r="C813" s="900"/>
      <c r="D813" s="894"/>
      <c r="E813" s="895"/>
      <c r="F813" s="896"/>
      <c r="G813" s="897"/>
      <c r="H813" s="897"/>
      <c r="I813" s="897"/>
      <c r="J813" s="897"/>
      <c r="K813" s="897"/>
      <c r="L813" s="898"/>
      <c r="M813" s="898"/>
      <c r="N813" s="898"/>
      <c r="O813" s="898"/>
      <c r="P813" s="898"/>
      <c r="Q813" s="898"/>
      <c r="R813" s="898"/>
      <c r="S813" s="898"/>
      <c r="T813" s="898"/>
      <c r="U813" s="898"/>
      <c r="V813" s="898"/>
      <c r="W813" s="898"/>
      <c r="X813" s="898"/>
      <c r="Y813" s="898"/>
      <c r="Z813" s="898"/>
      <c r="AA813" s="898"/>
      <c r="AB813" s="898"/>
      <c r="AC813" s="898"/>
      <c r="AD813" s="898"/>
      <c r="AE813" s="898"/>
      <c r="AF813" s="898"/>
      <c r="AG813" s="898"/>
      <c r="AH813" s="898"/>
      <c r="AI813" s="898"/>
      <c r="AJ813" s="898"/>
      <c r="AK813" s="897"/>
      <c r="AL813" s="897"/>
      <c r="AM813" s="897"/>
      <c r="AN813" s="897"/>
      <c r="AO813" s="897"/>
      <c r="AP813" s="897"/>
      <c r="AQ813" s="897"/>
      <c r="AR813" s="897"/>
    </row>
    <row r="814" spans="1:44" s="930" customFormat="1">
      <c r="A814" s="892"/>
      <c r="B814" s="899"/>
      <c r="C814" s="900"/>
      <c r="D814" s="894"/>
      <c r="E814" s="895"/>
      <c r="F814" s="896"/>
      <c r="G814" s="897"/>
      <c r="H814" s="897"/>
      <c r="I814" s="897"/>
      <c r="J814" s="897"/>
      <c r="K814" s="897"/>
      <c r="L814" s="898"/>
      <c r="M814" s="898"/>
      <c r="N814" s="898"/>
      <c r="O814" s="898"/>
      <c r="P814" s="898"/>
      <c r="Q814" s="898"/>
      <c r="R814" s="898"/>
      <c r="S814" s="898"/>
      <c r="T814" s="898"/>
      <c r="U814" s="898"/>
      <c r="V814" s="898"/>
      <c r="W814" s="898"/>
      <c r="X814" s="898"/>
      <c r="Y814" s="898"/>
      <c r="Z814" s="898"/>
      <c r="AA814" s="898"/>
      <c r="AB814" s="898"/>
      <c r="AC814" s="898"/>
      <c r="AD814" s="898"/>
      <c r="AE814" s="898"/>
      <c r="AF814" s="898"/>
      <c r="AG814" s="898"/>
      <c r="AH814" s="898"/>
      <c r="AI814" s="898"/>
      <c r="AJ814" s="898"/>
      <c r="AK814" s="897"/>
      <c r="AL814" s="897"/>
      <c r="AM814" s="897"/>
      <c r="AN814" s="897"/>
      <c r="AO814" s="897"/>
      <c r="AP814" s="897"/>
      <c r="AQ814" s="897"/>
      <c r="AR814" s="897"/>
    </row>
    <row r="815" spans="1:44" s="930" customFormat="1">
      <c r="A815" s="892"/>
      <c r="B815" s="899"/>
      <c r="C815" s="900"/>
      <c r="D815" s="894"/>
      <c r="E815" s="895"/>
      <c r="F815" s="896"/>
      <c r="G815" s="897"/>
      <c r="H815" s="897"/>
      <c r="I815" s="897"/>
      <c r="J815" s="897"/>
      <c r="K815" s="897"/>
      <c r="L815" s="898"/>
      <c r="M815" s="898"/>
      <c r="N815" s="898"/>
      <c r="O815" s="898"/>
      <c r="P815" s="898"/>
      <c r="Q815" s="898"/>
      <c r="R815" s="898"/>
      <c r="S815" s="898"/>
      <c r="T815" s="898"/>
      <c r="U815" s="898"/>
      <c r="V815" s="898"/>
      <c r="W815" s="898"/>
      <c r="X815" s="898"/>
      <c r="Y815" s="898"/>
      <c r="Z815" s="898"/>
      <c r="AA815" s="898"/>
      <c r="AB815" s="898"/>
      <c r="AC815" s="898"/>
      <c r="AD815" s="898"/>
      <c r="AE815" s="898"/>
      <c r="AF815" s="898"/>
      <c r="AG815" s="898"/>
      <c r="AH815" s="898"/>
      <c r="AI815" s="898"/>
      <c r="AJ815" s="898"/>
      <c r="AK815" s="897"/>
      <c r="AL815" s="897"/>
      <c r="AM815" s="897"/>
      <c r="AN815" s="897"/>
      <c r="AO815" s="897"/>
      <c r="AP815" s="897"/>
      <c r="AQ815" s="897"/>
      <c r="AR815" s="897"/>
    </row>
    <row r="816" spans="1:44" s="930" customFormat="1">
      <c r="A816" s="892"/>
      <c r="B816" s="899"/>
      <c r="C816" s="900"/>
      <c r="D816" s="894"/>
      <c r="E816" s="895"/>
      <c r="F816" s="896"/>
      <c r="G816" s="897"/>
      <c r="H816" s="897"/>
      <c r="I816" s="897"/>
      <c r="J816" s="897"/>
      <c r="K816" s="897"/>
      <c r="L816" s="898"/>
      <c r="M816" s="898"/>
      <c r="N816" s="898"/>
      <c r="O816" s="898"/>
      <c r="P816" s="898"/>
      <c r="Q816" s="898"/>
      <c r="R816" s="898"/>
      <c r="S816" s="898"/>
      <c r="T816" s="898"/>
      <c r="U816" s="898"/>
      <c r="V816" s="898"/>
      <c r="W816" s="898"/>
      <c r="X816" s="898"/>
      <c r="Y816" s="898"/>
      <c r="Z816" s="898"/>
      <c r="AA816" s="898"/>
      <c r="AB816" s="898"/>
      <c r="AC816" s="898"/>
      <c r="AD816" s="898"/>
      <c r="AE816" s="898"/>
      <c r="AF816" s="898"/>
      <c r="AG816" s="898"/>
      <c r="AH816" s="898"/>
      <c r="AI816" s="898"/>
      <c r="AJ816" s="898"/>
      <c r="AK816" s="897"/>
      <c r="AL816" s="897"/>
      <c r="AM816" s="897"/>
      <c r="AN816" s="897"/>
      <c r="AO816" s="897"/>
      <c r="AP816" s="897"/>
      <c r="AQ816" s="897"/>
      <c r="AR816" s="897"/>
    </row>
    <row r="817" spans="1:44" s="930" customFormat="1">
      <c r="A817" s="892"/>
      <c r="B817" s="899"/>
      <c r="C817" s="900"/>
      <c r="D817" s="894"/>
      <c r="E817" s="895"/>
      <c r="F817" s="896"/>
      <c r="G817" s="897"/>
      <c r="H817" s="897"/>
      <c r="I817" s="897"/>
      <c r="J817" s="897"/>
      <c r="K817" s="897"/>
      <c r="L817" s="898"/>
      <c r="M817" s="898"/>
      <c r="N817" s="898"/>
      <c r="O817" s="898"/>
      <c r="P817" s="898"/>
      <c r="Q817" s="898"/>
      <c r="R817" s="898"/>
      <c r="S817" s="898"/>
      <c r="T817" s="898"/>
      <c r="U817" s="898"/>
      <c r="V817" s="898"/>
      <c r="W817" s="898"/>
      <c r="X817" s="898"/>
      <c r="Y817" s="898"/>
      <c r="Z817" s="898"/>
      <c r="AA817" s="898"/>
      <c r="AB817" s="898"/>
      <c r="AC817" s="898"/>
      <c r="AD817" s="898"/>
      <c r="AE817" s="898"/>
      <c r="AF817" s="898"/>
      <c r="AG817" s="898"/>
      <c r="AH817" s="898"/>
      <c r="AI817" s="898"/>
      <c r="AJ817" s="898"/>
      <c r="AK817" s="897"/>
      <c r="AL817" s="897"/>
      <c r="AM817" s="897"/>
      <c r="AN817" s="897"/>
      <c r="AO817" s="897"/>
      <c r="AP817" s="897"/>
      <c r="AQ817" s="897"/>
      <c r="AR817" s="897"/>
    </row>
    <row r="818" spans="1:44" s="930" customFormat="1">
      <c r="A818" s="892"/>
      <c r="B818" s="899"/>
      <c r="C818" s="900"/>
      <c r="D818" s="894"/>
      <c r="E818" s="895"/>
      <c r="F818" s="896"/>
      <c r="G818" s="897"/>
      <c r="H818" s="897"/>
      <c r="I818" s="897"/>
      <c r="J818" s="897"/>
      <c r="K818" s="897"/>
      <c r="L818" s="898"/>
      <c r="M818" s="898"/>
      <c r="N818" s="898"/>
      <c r="O818" s="898"/>
      <c r="P818" s="898"/>
      <c r="Q818" s="898"/>
      <c r="R818" s="898"/>
      <c r="S818" s="898"/>
      <c r="T818" s="898"/>
      <c r="U818" s="898"/>
      <c r="V818" s="898"/>
      <c r="W818" s="898"/>
      <c r="X818" s="898"/>
      <c r="Y818" s="898"/>
      <c r="Z818" s="898"/>
      <c r="AA818" s="898"/>
      <c r="AB818" s="898"/>
      <c r="AC818" s="898"/>
      <c r="AD818" s="898"/>
      <c r="AE818" s="898"/>
      <c r="AF818" s="898"/>
      <c r="AG818" s="898"/>
      <c r="AH818" s="898"/>
      <c r="AI818" s="898"/>
      <c r="AJ818" s="898"/>
      <c r="AK818" s="897"/>
      <c r="AL818" s="897"/>
      <c r="AM818" s="897"/>
      <c r="AN818" s="897"/>
      <c r="AO818" s="897"/>
      <c r="AP818" s="897"/>
      <c r="AQ818" s="897"/>
      <c r="AR818" s="897"/>
    </row>
    <row r="819" spans="1:44" s="930" customFormat="1">
      <c r="A819" s="892"/>
      <c r="B819" s="899"/>
      <c r="C819" s="900"/>
      <c r="D819" s="894"/>
      <c r="E819" s="895"/>
      <c r="F819" s="896"/>
      <c r="G819" s="897"/>
      <c r="H819" s="897"/>
      <c r="I819" s="897"/>
      <c r="J819" s="897"/>
      <c r="K819" s="897"/>
      <c r="L819" s="898"/>
      <c r="M819" s="898"/>
      <c r="N819" s="898"/>
      <c r="O819" s="898"/>
      <c r="P819" s="898"/>
      <c r="Q819" s="898"/>
      <c r="R819" s="898"/>
      <c r="S819" s="898"/>
      <c r="T819" s="898"/>
      <c r="U819" s="898"/>
      <c r="V819" s="898"/>
      <c r="W819" s="898"/>
      <c r="X819" s="898"/>
      <c r="Y819" s="898"/>
      <c r="Z819" s="898"/>
      <c r="AA819" s="898"/>
      <c r="AB819" s="898"/>
      <c r="AC819" s="898"/>
      <c r="AD819" s="898"/>
      <c r="AE819" s="898"/>
      <c r="AF819" s="898"/>
      <c r="AG819" s="898"/>
      <c r="AH819" s="898"/>
      <c r="AI819" s="898"/>
      <c r="AJ819" s="898"/>
      <c r="AK819" s="897"/>
      <c r="AL819" s="897"/>
      <c r="AM819" s="897"/>
      <c r="AN819" s="897"/>
      <c r="AO819" s="897"/>
      <c r="AP819" s="897"/>
      <c r="AQ819" s="897"/>
      <c r="AR819" s="897"/>
    </row>
    <row r="820" spans="1:44" s="930" customFormat="1">
      <c r="A820" s="892"/>
      <c r="B820" s="899"/>
      <c r="C820" s="900"/>
      <c r="D820" s="894"/>
      <c r="E820" s="895"/>
      <c r="F820" s="896"/>
      <c r="G820" s="897"/>
      <c r="H820" s="897"/>
      <c r="I820" s="897"/>
      <c r="J820" s="897"/>
      <c r="K820" s="897"/>
      <c r="L820" s="898"/>
      <c r="M820" s="898"/>
      <c r="N820" s="898"/>
      <c r="O820" s="898"/>
      <c r="P820" s="898"/>
      <c r="Q820" s="898"/>
      <c r="R820" s="898"/>
      <c r="S820" s="898"/>
      <c r="T820" s="898"/>
      <c r="U820" s="898"/>
      <c r="V820" s="898"/>
      <c r="W820" s="898"/>
      <c r="X820" s="898"/>
      <c r="Y820" s="898"/>
      <c r="Z820" s="898"/>
      <c r="AA820" s="898"/>
      <c r="AB820" s="898"/>
      <c r="AC820" s="898"/>
      <c r="AD820" s="898"/>
      <c r="AE820" s="898"/>
      <c r="AF820" s="898"/>
      <c r="AG820" s="898"/>
      <c r="AH820" s="898"/>
      <c r="AI820" s="898"/>
      <c r="AJ820" s="898"/>
      <c r="AK820" s="897"/>
      <c r="AL820" s="897"/>
      <c r="AM820" s="897"/>
      <c r="AN820" s="897"/>
      <c r="AO820" s="897"/>
      <c r="AP820" s="897"/>
      <c r="AQ820" s="897"/>
      <c r="AR820" s="897"/>
    </row>
    <row r="821" spans="1:44" s="930" customFormat="1">
      <c r="A821" s="892"/>
      <c r="B821" s="899"/>
      <c r="C821" s="900"/>
      <c r="D821" s="894"/>
      <c r="E821" s="895"/>
      <c r="F821" s="896"/>
      <c r="G821" s="897"/>
      <c r="H821" s="897"/>
      <c r="I821" s="897"/>
      <c r="J821" s="897"/>
      <c r="K821" s="897"/>
      <c r="L821" s="898"/>
      <c r="M821" s="898"/>
      <c r="N821" s="898"/>
      <c r="O821" s="898"/>
      <c r="P821" s="898"/>
      <c r="Q821" s="898"/>
      <c r="R821" s="898"/>
      <c r="S821" s="898"/>
      <c r="T821" s="898"/>
      <c r="U821" s="898"/>
      <c r="V821" s="898"/>
      <c r="W821" s="898"/>
      <c r="X821" s="898"/>
      <c r="Y821" s="898"/>
      <c r="Z821" s="898"/>
      <c r="AA821" s="898"/>
      <c r="AB821" s="898"/>
      <c r="AC821" s="898"/>
      <c r="AD821" s="898"/>
      <c r="AE821" s="898"/>
      <c r="AF821" s="898"/>
      <c r="AG821" s="898"/>
      <c r="AH821" s="898"/>
      <c r="AI821" s="898"/>
      <c r="AJ821" s="898"/>
      <c r="AK821" s="897"/>
      <c r="AL821" s="897"/>
      <c r="AM821" s="897"/>
      <c r="AN821" s="897"/>
      <c r="AO821" s="897"/>
      <c r="AP821" s="897"/>
      <c r="AQ821" s="897"/>
      <c r="AR821" s="897"/>
    </row>
    <row r="822" spans="1:44" s="930" customFormat="1">
      <c r="A822" s="892"/>
      <c r="B822" s="899"/>
      <c r="C822" s="900"/>
      <c r="D822" s="894"/>
      <c r="E822" s="895"/>
      <c r="F822" s="896"/>
      <c r="G822" s="897"/>
      <c r="H822" s="897"/>
      <c r="I822" s="897"/>
      <c r="J822" s="897"/>
      <c r="K822" s="897"/>
      <c r="L822" s="898"/>
      <c r="M822" s="898"/>
      <c r="N822" s="898"/>
      <c r="O822" s="898"/>
      <c r="P822" s="898"/>
      <c r="Q822" s="898"/>
      <c r="R822" s="898"/>
      <c r="S822" s="898"/>
      <c r="T822" s="898"/>
      <c r="U822" s="898"/>
      <c r="V822" s="898"/>
      <c r="W822" s="898"/>
      <c r="X822" s="898"/>
      <c r="Y822" s="898"/>
      <c r="Z822" s="898"/>
      <c r="AA822" s="898"/>
      <c r="AB822" s="898"/>
      <c r="AC822" s="898"/>
      <c r="AD822" s="898"/>
      <c r="AE822" s="898"/>
      <c r="AF822" s="898"/>
      <c r="AG822" s="898"/>
      <c r="AH822" s="898"/>
      <c r="AI822" s="898"/>
      <c r="AJ822" s="898"/>
      <c r="AK822" s="897"/>
      <c r="AL822" s="897"/>
      <c r="AM822" s="897"/>
      <c r="AN822" s="897"/>
      <c r="AO822" s="897"/>
      <c r="AP822" s="897"/>
      <c r="AQ822" s="897"/>
      <c r="AR822" s="897"/>
    </row>
    <row r="823" spans="1:44" s="930" customFormat="1">
      <c r="A823" s="892"/>
      <c r="B823" s="899"/>
      <c r="C823" s="900"/>
      <c r="D823" s="894"/>
      <c r="E823" s="895"/>
      <c r="F823" s="896"/>
      <c r="G823" s="897"/>
      <c r="H823" s="897"/>
      <c r="I823" s="897"/>
      <c r="J823" s="897"/>
      <c r="K823" s="897"/>
      <c r="L823" s="898"/>
      <c r="M823" s="898"/>
      <c r="N823" s="898"/>
      <c r="O823" s="898"/>
      <c r="P823" s="898"/>
      <c r="Q823" s="898"/>
      <c r="R823" s="898"/>
      <c r="S823" s="898"/>
      <c r="T823" s="898"/>
      <c r="U823" s="898"/>
      <c r="V823" s="898"/>
      <c r="W823" s="898"/>
      <c r="X823" s="898"/>
      <c r="Y823" s="898"/>
      <c r="Z823" s="898"/>
      <c r="AA823" s="898"/>
      <c r="AB823" s="898"/>
      <c r="AC823" s="898"/>
      <c r="AD823" s="898"/>
      <c r="AE823" s="898"/>
      <c r="AF823" s="898"/>
      <c r="AG823" s="898"/>
      <c r="AH823" s="898"/>
      <c r="AI823" s="898"/>
      <c r="AJ823" s="898"/>
      <c r="AK823" s="897"/>
      <c r="AL823" s="897"/>
      <c r="AM823" s="897"/>
      <c r="AN823" s="897"/>
      <c r="AO823" s="897"/>
      <c r="AP823" s="897"/>
      <c r="AQ823" s="897"/>
      <c r="AR823" s="897"/>
    </row>
    <row r="824" spans="1:44" s="930" customFormat="1">
      <c r="A824" s="892"/>
      <c r="B824" s="899"/>
      <c r="C824" s="900"/>
      <c r="D824" s="894"/>
      <c r="E824" s="895"/>
      <c r="F824" s="896"/>
      <c r="G824" s="897"/>
      <c r="H824" s="897"/>
      <c r="I824" s="897"/>
      <c r="J824" s="897"/>
      <c r="K824" s="897"/>
      <c r="L824" s="898"/>
      <c r="M824" s="898"/>
      <c r="N824" s="898"/>
      <c r="O824" s="898"/>
      <c r="P824" s="898"/>
      <c r="Q824" s="898"/>
      <c r="R824" s="898"/>
      <c r="S824" s="898"/>
      <c r="T824" s="898"/>
      <c r="U824" s="898"/>
      <c r="V824" s="898"/>
      <c r="W824" s="898"/>
      <c r="X824" s="898"/>
      <c r="Y824" s="898"/>
      <c r="Z824" s="898"/>
      <c r="AA824" s="898"/>
      <c r="AB824" s="898"/>
      <c r="AC824" s="898"/>
      <c r="AD824" s="898"/>
      <c r="AE824" s="898"/>
      <c r="AF824" s="898"/>
      <c r="AG824" s="898"/>
      <c r="AH824" s="898"/>
      <c r="AI824" s="898"/>
      <c r="AJ824" s="898"/>
      <c r="AK824" s="897"/>
      <c r="AL824" s="897"/>
      <c r="AM824" s="897"/>
      <c r="AN824" s="897"/>
      <c r="AO824" s="897"/>
      <c r="AP824" s="897"/>
      <c r="AQ824" s="897"/>
      <c r="AR824" s="897"/>
    </row>
    <row r="825" spans="1:44" s="930" customFormat="1">
      <c r="A825" s="892"/>
      <c r="B825" s="899"/>
      <c r="C825" s="900"/>
      <c r="D825" s="894"/>
      <c r="E825" s="895"/>
      <c r="F825" s="896"/>
      <c r="G825" s="897"/>
      <c r="H825" s="897"/>
      <c r="I825" s="897"/>
      <c r="J825" s="897"/>
      <c r="K825" s="897"/>
      <c r="L825" s="898"/>
      <c r="M825" s="898"/>
      <c r="N825" s="898"/>
      <c r="O825" s="898"/>
      <c r="P825" s="898"/>
      <c r="Q825" s="898"/>
      <c r="R825" s="898"/>
      <c r="S825" s="898"/>
      <c r="T825" s="898"/>
      <c r="U825" s="898"/>
      <c r="V825" s="898"/>
      <c r="W825" s="898"/>
      <c r="X825" s="898"/>
      <c r="Y825" s="898"/>
      <c r="Z825" s="898"/>
      <c r="AA825" s="898"/>
      <c r="AB825" s="898"/>
      <c r="AC825" s="898"/>
      <c r="AD825" s="898"/>
      <c r="AE825" s="898"/>
      <c r="AF825" s="898"/>
      <c r="AG825" s="898"/>
      <c r="AH825" s="898"/>
      <c r="AI825" s="898"/>
      <c r="AJ825" s="898"/>
      <c r="AK825" s="897"/>
      <c r="AL825" s="897"/>
      <c r="AM825" s="897"/>
      <c r="AN825" s="897"/>
      <c r="AO825" s="897"/>
      <c r="AP825" s="897"/>
      <c r="AQ825" s="897"/>
      <c r="AR825" s="897"/>
    </row>
    <row r="826" spans="1:44" s="930" customFormat="1">
      <c r="A826" s="892"/>
      <c r="B826" s="899"/>
      <c r="C826" s="900"/>
      <c r="D826" s="894"/>
      <c r="E826" s="895"/>
      <c r="F826" s="896"/>
      <c r="G826" s="897"/>
      <c r="H826" s="897"/>
      <c r="I826" s="897"/>
      <c r="J826" s="897"/>
      <c r="K826" s="897"/>
      <c r="L826" s="898"/>
      <c r="M826" s="898"/>
      <c r="N826" s="898"/>
      <c r="O826" s="898"/>
      <c r="P826" s="898"/>
      <c r="Q826" s="898"/>
      <c r="R826" s="898"/>
      <c r="S826" s="898"/>
      <c r="T826" s="898"/>
      <c r="U826" s="898"/>
      <c r="V826" s="898"/>
      <c r="W826" s="898"/>
      <c r="X826" s="898"/>
      <c r="Y826" s="898"/>
      <c r="Z826" s="898"/>
      <c r="AA826" s="898"/>
      <c r="AB826" s="898"/>
      <c r="AC826" s="898"/>
      <c r="AD826" s="898"/>
      <c r="AE826" s="898"/>
      <c r="AF826" s="898"/>
      <c r="AG826" s="898"/>
      <c r="AH826" s="898"/>
      <c r="AI826" s="898"/>
      <c r="AJ826" s="898"/>
      <c r="AK826" s="897"/>
      <c r="AL826" s="897"/>
      <c r="AM826" s="897"/>
      <c r="AN826" s="897"/>
      <c r="AO826" s="897"/>
      <c r="AP826" s="897"/>
      <c r="AQ826" s="897"/>
      <c r="AR826" s="897"/>
    </row>
    <row r="827" spans="1:44" s="930" customFormat="1">
      <c r="A827" s="892"/>
      <c r="B827" s="899"/>
      <c r="C827" s="900"/>
      <c r="D827" s="894"/>
      <c r="E827" s="895"/>
      <c r="F827" s="896"/>
      <c r="G827" s="897"/>
      <c r="H827" s="897"/>
      <c r="I827" s="897"/>
      <c r="J827" s="897"/>
      <c r="K827" s="897"/>
      <c r="L827" s="898"/>
      <c r="M827" s="898"/>
      <c r="N827" s="898"/>
      <c r="O827" s="898"/>
      <c r="P827" s="898"/>
      <c r="Q827" s="898"/>
      <c r="R827" s="898"/>
      <c r="S827" s="898"/>
      <c r="T827" s="898"/>
      <c r="U827" s="898"/>
      <c r="V827" s="898"/>
      <c r="W827" s="898"/>
      <c r="X827" s="898"/>
      <c r="Y827" s="898"/>
      <c r="Z827" s="898"/>
      <c r="AA827" s="898"/>
      <c r="AB827" s="898"/>
      <c r="AC827" s="898"/>
      <c r="AD827" s="898"/>
      <c r="AE827" s="898"/>
      <c r="AF827" s="898"/>
      <c r="AG827" s="898"/>
      <c r="AH827" s="898"/>
      <c r="AI827" s="898"/>
      <c r="AJ827" s="898"/>
      <c r="AK827" s="897"/>
      <c r="AL827" s="897"/>
      <c r="AM827" s="897"/>
      <c r="AN827" s="897"/>
      <c r="AO827" s="897"/>
      <c r="AP827" s="897"/>
      <c r="AQ827" s="897"/>
      <c r="AR827" s="897"/>
    </row>
    <row r="828" spans="1:44" s="930" customFormat="1">
      <c r="A828" s="892"/>
      <c r="B828" s="899"/>
      <c r="C828" s="900"/>
      <c r="D828" s="894"/>
      <c r="E828" s="895"/>
      <c r="F828" s="896"/>
      <c r="G828" s="897"/>
      <c r="H828" s="897"/>
      <c r="I828" s="897"/>
      <c r="J828" s="897"/>
      <c r="K828" s="897"/>
      <c r="L828" s="898"/>
      <c r="M828" s="898"/>
      <c r="N828" s="898"/>
      <c r="O828" s="898"/>
      <c r="P828" s="898"/>
      <c r="Q828" s="898"/>
      <c r="R828" s="898"/>
      <c r="S828" s="898"/>
      <c r="T828" s="898"/>
      <c r="U828" s="898"/>
      <c r="V828" s="898"/>
      <c r="W828" s="898"/>
      <c r="X828" s="898"/>
      <c r="Y828" s="898"/>
      <c r="Z828" s="898"/>
      <c r="AA828" s="898"/>
      <c r="AB828" s="898"/>
      <c r="AC828" s="898"/>
      <c r="AD828" s="898"/>
      <c r="AE828" s="898"/>
      <c r="AF828" s="898"/>
      <c r="AG828" s="898"/>
      <c r="AH828" s="898"/>
      <c r="AI828" s="898"/>
      <c r="AJ828" s="898"/>
      <c r="AK828" s="897"/>
      <c r="AL828" s="897"/>
      <c r="AM828" s="897"/>
      <c r="AN828" s="897"/>
      <c r="AO828" s="897"/>
      <c r="AP828" s="897"/>
      <c r="AQ828" s="897"/>
      <c r="AR828" s="897"/>
    </row>
    <row r="829" spans="1:44" s="930" customFormat="1">
      <c r="A829" s="892"/>
      <c r="B829" s="899"/>
      <c r="C829" s="900"/>
      <c r="D829" s="894"/>
      <c r="E829" s="895"/>
      <c r="F829" s="896"/>
      <c r="G829" s="897"/>
      <c r="H829" s="897"/>
      <c r="I829" s="897"/>
      <c r="J829" s="897"/>
      <c r="K829" s="897"/>
      <c r="L829" s="898"/>
      <c r="M829" s="898"/>
      <c r="N829" s="898"/>
      <c r="O829" s="898"/>
      <c r="P829" s="898"/>
      <c r="Q829" s="898"/>
      <c r="R829" s="898"/>
      <c r="S829" s="898"/>
      <c r="T829" s="898"/>
      <c r="U829" s="898"/>
      <c r="V829" s="898"/>
      <c r="W829" s="898"/>
      <c r="X829" s="898"/>
      <c r="Y829" s="898"/>
      <c r="Z829" s="898"/>
      <c r="AA829" s="898"/>
      <c r="AB829" s="898"/>
      <c r="AC829" s="898"/>
      <c r="AD829" s="898"/>
      <c r="AE829" s="898"/>
      <c r="AF829" s="898"/>
      <c r="AG829" s="898"/>
      <c r="AH829" s="898"/>
      <c r="AI829" s="898"/>
      <c r="AJ829" s="898"/>
      <c r="AK829" s="897"/>
      <c r="AL829" s="897"/>
      <c r="AM829" s="897"/>
      <c r="AN829" s="897"/>
      <c r="AO829" s="897"/>
      <c r="AP829" s="897"/>
      <c r="AQ829" s="897"/>
      <c r="AR829" s="897"/>
    </row>
    <row r="830" spans="1:44" s="930" customFormat="1">
      <c r="A830" s="892"/>
      <c r="B830" s="899"/>
      <c r="C830" s="900"/>
      <c r="D830" s="894"/>
      <c r="E830" s="895"/>
      <c r="F830" s="896"/>
      <c r="G830" s="897"/>
      <c r="H830" s="897"/>
      <c r="I830" s="897"/>
      <c r="J830" s="897"/>
      <c r="K830" s="897"/>
      <c r="L830" s="898"/>
      <c r="M830" s="898"/>
      <c r="N830" s="898"/>
      <c r="O830" s="898"/>
      <c r="P830" s="898"/>
      <c r="Q830" s="898"/>
      <c r="R830" s="898"/>
      <c r="S830" s="898"/>
      <c r="T830" s="898"/>
      <c r="U830" s="898"/>
      <c r="V830" s="898"/>
      <c r="W830" s="898"/>
      <c r="X830" s="898"/>
      <c r="Y830" s="898"/>
      <c r="Z830" s="898"/>
      <c r="AA830" s="898"/>
      <c r="AB830" s="898"/>
      <c r="AC830" s="898"/>
      <c r="AD830" s="898"/>
      <c r="AE830" s="898"/>
      <c r="AF830" s="898"/>
      <c r="AG830" s="898"/>
      <c r="AH830" s="898"/>
      <c r="AI830" s="898"/>
      <c r="AJ830" s="898"/>
      <c r="AK830" s="897"/>
      <c r="AL830" s="897"/>
      <c r="AM830" s="897"/>
      <c r="AN830" s="897"/>
      <c r="AO830" s="897"/>
      <c r="AP830" s="897"/>
      <c r="AQ830" s="897"/>
      <c r="AR830" s="897"/>
    </row>
    <row r="831" spans="1:44" s="930" customFormat="1">
      <c r="A831" s="892"/>
      <c r="B831" s="899"/>
      <c r="C831" s="900"/>
      <c r="D831" s="894"/>
      <c r="E831" s="895"/>
      <c r="F831" s="896"/>
      <c r="G831" s="897"/>
      <c r="H831" s="897"/>
      <c r="I831" s="897"/>
      <c r="J831" s="897"/>
      <c r="K831" s="897"/>
      <c r="L831" s="898"/>
      <c r="M831" s="898"/>
      <c r="N831" s="898"/>
      <c r="O831" s="898"/>
      <c r="P831" s="898"/>
      <c r="Q831" s="898"/>
      <c r="R831" s="898"/>
      <c r="S831" s="898"/>
      <c r="T831" s="898"/>
      <c r="U831" s="898"/>
      <c r="V831" s="898"/>
      <c r="W831" s="898"/>
      <c r="X831" s="898"/>
      <c r="Y831" s="898"/>
      <c r="Z831" s="898"/>
      <c r="AA831" s="898"/>
      <c r="AB831" s="898"/>
      <c r="AC831" s="898"/>
      <c r="AD831" s="898"/>
      <c r="AE831" s="898"/>
      <c r="AF831" s="898"/>
      <c r="AG831" s="898"/>
      <c r="AH831" s="898"/>
      <c r="AI831" s="898"/>
      <c r="AJ831" s="898"/>
      <c r="AK831" s="897"/>
      <c r="AL831" s="897"/>
      <c r="AM831" s="897"/>
      <c r="AN831" s="897"/>
      <c r="AO831" s="897"/>
      <c r="AP831" s="897"/>
      <c r="AQ831" s="897"/>
      <c r="AR831" s="897"/>
    </row>
    <row r="832" spans="1:44" s="930" customFormat="1">
      <c r="A832" s="892"/>
      <c r="B832" s="899"/>
      <c r="C832" s="900"/>
      <c r="D832" s="894"/>
      <c r="E832" s="895"/>
      <c r="F832" s="896"/>
      <c r="G832" s="897"/>
      <c r="H832" s="897"/>
      <c r="I832" s="897"/>
      <c r="J832" s="897"/>
      <c r="K832" s="897"/>
      <c r="L832" s="898"/>
      <c r="M832" s="898"/>
      <c r="N832" s="898"/>
      <c r="O832" s="898"/>
      <c r="P832" s="898"/>
      <c r="Q832" s="898"/>
      <c r="R832" s="898"/>
      <c r="S832" s="898"/>
      <c r="T832" s="898"/>
      <c r="U832" s="898"/>
      <c r="V832" s="898"/>
      <c r="W832" s="898"/>
      <c r="X832" s="898"/>
      <c r="Y832" s="898"/>
      <c r="Z832" s="898"/>
      <c r="AA832" s="898"/>
      <c r="AB832" s="898"/>
      <c r="AC832" s="898"/>
      <c r="AD832" s="898"/>
      <c r="AE832" s="898"/>
      <c r="AF832" s="898"/>
      <c r="AG832" s="898"/>
      <c r="AH832" s="898"/>
      <c r="AI832" s="898"/>
      <c r="AJ832" s="898"/>
      <c r="AK832" s="897"/>
      <c r="AL832" s="897"/>
      <c r="AM832" s="897"/>
      <c r="AN832" s="897"/>
      <c r="AO832" s="897"/>
      <c r="AP832" s="897"/>
      <c r="AQ832" s="897"/>
      <c r="AR832" s="897"/>
    </row>
    <row r="833" spans="1:44" s="930" customFormat="1">
      <c r="A833" s="892"/>
      <c r="B833" s="899"/>
      <c r="C833" s="900"/>
      <c r="D833" s="894"/>
      <c r="E833" s="895"/>
      <c r="F833" s="896"/>
      <c r="G833" s="897"/>
      <c r="H833" s="897"/>
      <c r="I833" s="897"/>
      <c r="J833" s="897"/>
      <c r="K833" s="897"/>
      <c r="L833" s="898"/>
      <c r="M833" s="898"/>
      <c r="N833" s="898"/>
      <c r="O833" s="898"/>
      <c r="P833" s="898"/>
      <c r="Q833" s="898"/>
      <c r="R833" s="898"/>
      <c r="S833" s="898"/>
      <c r="T833" s="898"/>
      <c r="U833" s="898"/>
      <c r="V833" s="898"/>
      <c r="W833" s="898"/>
      <c r="X833" s="898"/>
      <c r="Y833" s="898"/>
      <c r="Z833" s="898"/>
      <c r="AA833" s="898"/>
      <c r="AB833" s="898"/>
      <c r="AC833" s="898"/>
      <c r="AD833" s="898"/>
      <c r="AE833" s="898"/>
      <c r="AF833" s="898"/>
      <c r="AG833" s="898"/>
      <c r="AH833" s="898"/>
      <c r="AI833" s="898"/>
      <c r="AJ833" s="898"/>
      <c r="AK833" s="897"/>
      <c r="AL833" s="897"/>
      <c r="AM833" s="897"/>
      <c r="AN833" s="897"/>
      <c r="AO833" s="897"/>
      <c r="AP833" s="897"/>
      <c r="AQ833" s="897"/>
      <c r="AR833" s="897"/>
    </row>
    <row r="834" spans="1:44" s="930" customFormat="1">
      <c r="A834" s="892"/>
      <c r="B834" s="899"/>
      <c r="C834" s="900"/>
      <c r="D834" s="894"/>
      <c r="E834" s="895"/>
      <c r="F834" s="896"/>
      <c r="G834" s="897"/>
      <c r="H834" s="897"/>
      <c r="I834" s="897"/>
      <c r="J834" s="897"/>
      <c r="K834" s="897"/>
      <c r="L834" s="898"/>
      <c r="M834" s="898"/>
      <c r="N834" s="898"/>
      <c r="O834" s="898"/>
      <c r="P834" s="898"/>
      <c r="Q834" s="898"/>
      <c r="R834" s="898"/>
      <c r="S834" s="898"/>
      <c r="T834" s="898"/>
      <c r="U834" s="898"/>
      <c r="V834" s="898"/>
      <c r="W834" s="898"/>
      <c r="X834" s="898"/>
      <c r="Y834" s="898"/>
      <c r="Z834" s="898"/>
      <c r="AA834" s="898"/>
      <c r="AB834" s="898"/>
      <c r="AC834" s="898"/>
      <c r="AD834" s="898"/>
      <c r="AE834" s="898"/>
      <c r="AF834" s="898"/>
      <c r="AG834" s="898"/>
      <c r="AH834" s="898"/>
      <c r="AI834" s="898"/>
      <c r="AJ834" s="898"/>
      <c r="AK834" s="897"/>
      <c r="AL834" s="897"/>
      <c r="AM834" s="897"/>
      <c r="AN834" s="897"/>
      <c r="AO834" s="897"/>
      <c r="AP834" s="897"/>
      <c r="AQ834" s="897"/>
      <c r="AR834" s="897"/>
    </row>
    <row r="835" spans="1:44" s="930" customFormat="1">
      <c r="A835" s="892"/>
      <c r="B835" s="899"/>
      <c r="C835" s="900"/>
      <c r="D835" s="894"/>
      <c r="E835" s="895"/>
      <c r="F835" s="896"/>
      <c r="G835" s="897"/>
      <c r="H835" s="897"/>
      <c r="I835" s="897"/>
      <c r="J835" s="897"/>
      <c r="K835" s="897"/>
      <c r="L835" s="898"/>
      <c r="M835" s="898"/>
      <c r="N835" s="898"/>
      <c r="O835" s="898"/>
      <c r="P835" s="898"/>
      <c r="Q835" s="898"/>
      <c r="R835" s="898"/>
      <c r="S835" s="898"/>
      <c r="T835" s="898"/>
      <c r="U835" s="898"/>
      <c r="V835" s="898"/>
      <c r="W835" s="898"/>
      <c r="X835" s="898"/>
      <c r="Y835" s="898"/>
      <c r="Z835" s="898"/>
      <c r="AA835" s="898"/>
      <c r="AB835" s="898"/>
      <c r="AC835" s="898"/>
      <c r="AD835" s="898"/>
      <c r="AE835" s="898"/>
      <c r="AF835" s="898"/>
      <c r="AG835" s="898"/>
      <c r="AH835" s="898"/>
      <c r="AI835" s="898"/>
      <c r="AJ835" s="898"/>
      <c r="AK835" s="897"/>
      <c r="AL835" s="897"/>
      <c r="AM835" s="897"/>
      <c r="AN835" s="897"/>
      <c r="AO835" s="897"/>
      <c r="AP835" s="897"/>
      <c r="AQ835" s="897"/>
      <c r="AR835" s="897"/>
    </row>
    <row r="836" spans="1:44" s="930" customFormat="1">
      <c r="A836" s="892"/>
      <c r="B836" s="899"/>
      <c r="C836" s="900"/>
      <c r="D836" s="894"/>
      <c r="E836" s="895"/>
      <c r="F836" s="896"/>
      <c r="G836" s="897"/>
      <c r="H836" s="897"/>
      <c r="I836" s="897"/>
      <c r="J836" s="897"/>
      <c r="K836" s="897"/>
      <c r="L836" s="898"/>
      <c r="M836" s="898"/>
      <c r="N836" s="898"/>
      <c r="O836" s="898"/>
      <c r="P836" s="898"/>
      <c r="Q836" s="898"/>
      <c r="R836" s="898"/>
      <c r="S836" s="898"/>
      <c r="T836" s="898"/>
      <c r="U836" s="898"/>
      <c r="V836" s="898"/>
      <c r="W836" s="898"/>
      <c r="X836" s="898"/>
      <c r="Y836" s="898"/>
      <c r="Z836" s="898"/>
      <c r="AA836" s="898"/>
      <c r="AB836" s="898"/>
      <c r="AC836" s="898"/>
      <c r="AD836" s="898"/>
      <c r="AE836" s="898"/>
      <c r="AF836" s="898"/>
      <c r="AG836" s="898"/>
      <c r="AH836" s="898"/>
      <c r="AI836" s="898"/>
      <c r="AJ836" s="898"/>
      <c r="AK836" s="897"/>
      <c r="AL836" s="897"/>
      <c r="AM836" s="897"/>
      <c r="AN836" s="897"/>
      <c r="AO836" s="897"/>
      <c r="AP836" s="897"/>
      <c r="AQ836" s="897"/>
      <c r="AR836" s="897"/>
    </row>
    <row r="837" spans="1:44" s="930" customFormat="1">
      <c r="A837" s="892"/>
      <c r="B837" s="899"/>
      <c r="C837" s="900"/>
      <c r="D837" s="894"/>
      <c r="E837" s="895"/>
      <c r="F837" s="896"/>
      <c r="G837" s="897"/>
      <c r="H837" s="897"/>
      <c r="I837" s="897"/>
      <c r="J837" s="897"/>
      <c r="K837" s="897"/>
      <c r="L837" s="898"/>
      <c r="M837" s="898"/>
      <c r="N837" s="898"/>
      <c r="O837" s="898"/>
      <c r="P837" s="898"/>
      <c r="Q837" s="898"/>
      <c r="R837" s="898"/>
      <c r="S837" s="898"/>
      <c r="T837" s="898"/>
      <c r="U837" s="898"/>
      <c r="V837" s="898"/>
      <c r="W837" s="898"/>
      <c r="X837" s="898"/>
      <c r="Y837" s="898"/>
      <c r="Z837" s="898"/>
      <c r="AA837" s="898"/>
      <c r="AB837" s="898"/>
      <c r="AC837" s="898"/>
      <c r="AD837" s="898"/>
      <c r="AE837" s="898"/>
      <c r="AF837" s="898"/>
      <c r="AG837" s="898"/>
      <c r="AH837" s="898"/>
      <c r="AI837" s="898"/>
      <c r="AJ837" s="898"/>
      <c r="AK837" s="897"/>
      <c r="AL837" s="897"/>
      <c r="AM837" s="897"/>
      <c r="AN837" s="897"/>
      <c r="AO837" s="897"/>
      <c r="AP837" s="897"/>
      <c r="AQ837" s="897"/>
      <c r="AR837" s="897"/>
    </row>
    <row r="838" spans="1:44" s="930" customFormat="1">
      <c r="A838" s="892"/>
      <c r="B838" s="899"/>
      <c r="C838" s="900"/>
      <c r="D838" s="894"/>
      <c r="E838" s="895"/>
      <c r="F838" s="896"/>
      <c r="G838" s="897"/>
      <c r="H838" s="897"/>
      <c r="I838" s="897"/>
      <c r="J838" s="897"/>
      <c r="K838" s="897"/>
      <c r="L838" s="898"/>
      <c r="M838" s="898"/>
      <c r="N838" s="898"/>
      <c r="O838" s="898"/>
      <c r="P838" s="898"/>
      <c r="Q838" s="898"/>
      <c r="R838" s="898"/>
      <c r="S838" s="898"/>
      <c r="T838" s="898"/>
      <c r="U838" s="898"/>
      <c r="V838" s="898"/>
      <c r="W838" s="898"/>
      <c r="X838" s="898"/>
      <c r="Y838" s="898"/>
      <c r="Z838" s="898"/>
      <c r="AA838" s="898"/>
      <c r="AB838" s="898"/>
      <c r="AC838" s="898"/>
      <c r="AD838" s="898"/>
      <c r="AE838" s="898"/>
      <c r="AF838" s="898"/>
      <c r="AG838" s="898"/>
      <c r="AH838" s="898"/>
      <c r="AI838" s="898"/>
      <c r="AJ838" s="898"/>
      <c r="AK838" s="897"/>
      <c r="AL838" s="897"/>
      <c r="AM838" s="897"/>
      <c r="AN838" s="897"/>
      <c r="AO838" s="897"/>
      <c r="AP838" s="897"/>
      <c r="AQ838" s="897"/>
      <c r="AR838" s="897"/>
    </row>
    <row r="839" spans="1:44" s="930" customFormat="1">
      <c r="A839" s="892"/>
      <c r="B839" s="899"/>
      <c r="C839" s="900"/>
      <c r="D839" s="894"/>
      <c r="E839" s="895"/>
      <c r="F839" s="896"/>
      <c r="G839" s="897"/>
      <c r="H839" s="897"/>
      <c r="I839" s="897"/>
      <c r="J839" s="897"/>
      <c r="K839" s="897"/>
      <c r="L839" s="898"/>
      <c r="M839" s="898"/>
      <c r="N839" s="898"/>
      <c r="O839" s="898"/>
      <c r="P839" s="898"/>
      <c r="Q839" s="898"/>
      <c r="R839" s="898"/>
      <c r="S839" s="898"/>
      <c r="T839" s="898"/>
      <c r="U839" s="898"/>
      <c r="V839" s="898"/>
      <c r="W839" s="898"/>
      <c r="X839" s="898"/>
      <c r="Y839" s="898"/>
      <c r="Z839" s="898"/>
      <c r="AA839" s="898"/>
      <c r="AB839" s="898"/>
      <c r="AC839" s="898"/>
      <c r="AD839" s="898"/>
      <c r="AE839" s="898"/>
      <c r="AF839" s="898"/>
      <c r="AG839" s="898"/>
      <c r="AH839" s="898"/>
      <c r="AI839" s="898"/>
      <c r="AJ839" s="898"/>
      <c r="AK839" s="897"/>
      <c r="AL839" s="897"/>
      <c r="AM839" s="897"/>
      <c r="AN839" s="897"/>
      <c r="AO839" s="897"/>
      <c r="AP839" s="897"/>
      <c r="AQ839" s="897"/>
      <c r="AR839" s="897"/>
    </row>
    <row r="840" spans="1:44" s="930" customFormat="1">
      <c r="A840" s="892"/>
      <c r="B840" s="899"/>
      <c r="C840" s="900"/>
      <c r="D840" s="894"/>
      <c r="E840" s="895"/>
      <c r="F840" s="896"/>
      <c r="G840" s="897"/>
      <c r="H840" s="897"/>
      <c r="I840" s="897"/>
      <c r="J840" s="897"/>
      <c r="K840" s="897"/>
      <c r="L840" s="898"/>
      <c r="M840" s="898"/>
      <c r="N840" s="898"/>
      <c r="O840" s="898"/>
      <c r="P840" s="898"/>
      <c r="Q840" s="898"/>
      <c r="R840" s="898"/>
      <c r="S840" s="898"/>
      <c r="T840" s="898"/>
      <c r="U840" s="898"/>
      <c r="V840" s="898"/>
      <c r="W840" s="898"/>
      <c r="X840" s="898"/>
      <c r="Y840" s="898"/>
      <c r="Z840" s="898"/>
      <c r="AA840" s="898"/>
      <c r="AB840" s="898"/>
      <c r="AC840" s="898"/>
      <c r="AD840" s="898"/>
      <c r="AE840" s="898"/>
      <c r="AF840" s="898"/>
      <c r="AG840" s="898"/>
      <c r="AH840" s="898"/>
      <c r="AI840" s="898"/>
      <c r="AJ840" s="898"/>
      <c r="AK840" s="897"/>
      <c r="AL840" s="897"/>
      <c r="AM840" s="897"/>
      <c r="AN840" s="897"/>
      <c r="AO840" s="897"/>
      <c r="AP840" s="897"/>
      <c r="AQ840" s="897"/>
      <c r="AR840" s="897"/>
    </row>
    <row r="841" spans="1:44" s="930" customFormat="1">
      <c r="A841" s="892"/>
      <c r="B841" s="899"/>
      <c r="C841" s="900"/>
      <c r="D841" s="894"/>
      <c r="E841" s="895"/>
      <c r="F841" s="896"/>
      <c r="G841" s="897"/>
      <c r="H841" s="897"/>
      <c r="I841" s="897"/>
      <c r="J841" s="897"/>
      <c r="K841" s="897"/>
      <c r="L841" s="898"/>
      <c r="M841" s="898"/>
      <c r="N841" s="898"/>
      <c r="O841" s="898"/>
      <c r="P841" s="898"/>
      <c r="Q841" s="898"/>
      <c r="R841" s="898"/>
      <c r="S841" s="898"/>
      <c r="T841" s="898"/>
      <c r="U841" s="898"/>
      <c r="V841" s="898"/>
      <c r="W841" s="898"/>
      <c r="X841" s="898"/>
      <c r="Y841" s="898"/>
      <c r="Z841" s="898"/>
      <c r="AA841" s="898"/>
      <c r="AB841" s="898"/>
      <c r="AC841" s="898"/>
      <c r="AD841" s="898"/>
      <c r="AE841" s="898"/>
      <c r="AF841" s="898"/>
      <c r="AG841" s="898"/>
      <c r="AH841" s="898"/>
      <c r="AI841" s="898"/>
      <c r="AJ841" s="898"/>
      <c r="AK841" s="897"/>
      <c r="AL841" s="897"/>
      <c r="AM841" s="897"/>
      <c r="AN841" s="897"/>
      <c r="AO841" s="897"/>
      <c r="AP841" s="897"/>
      <c r="AQ841" s="897"/>
      <c r="AR841" s="897"/>
    </row>
    <row r="842" spans="1:44" s="930" customFormat="1">
      <c r="A842" s="892"/>
      <c r="B842" s="899"/>
      <c r="C842" s="900"/>
      <c r="D842" s="894"/>
      <c r="E842" s="895"/>
      <c r="F842" s="896"/>
      <c r="G842" s="897"/>
      <c r="H842" s="897"/>
      <c r="I842" s="897"/>
      <c r="J842" s="897"/>
      <c r="K842" s="897"/>
      <c r="L842" s="898"/>
      <c r="M842" s="898"/>
      <c r="N842" s="898"/>
      <c r="O842" s="898"/>
      <c r="P842" s="898"/>
      <c r="Q842" s="898"/>
      <c r="R842" s="898"/>
      <c r="S842" s="898"/>
      <c r="T842" s="898"/>
      <c r="U842" s="898"/>
      <c r="V842" s="898"/>
      <c r="W842" s="898"/>
      <c r="X842" s="898"/>
      <c r="Y842" s="898"/>
      <c r="Z842" s="898"/>
      <c r="AA842" s="898"/>
      <c r="AB842" s="898"/>
      <c r="AC842" s="898"/>
      <c r="AD842" s="898"/>
      <c r="AE842" s="898"/>
      <c r="AF842" s="898"/>
      <c r="AG842" s="898"/>
      <c r="AH842" s="898"/>
      <c r="AI842" s="898"/>
      <c r="AJ842" s="898"/>
      <c r="AK842" s="897"/>
      <c r="AL842" s="897"/>
      <c r="AM842" s="897"/>
      <c r="AN842" s="897"/>
      <c r="AO842" s="897"/>
      <c r="AP842" s="897"/>
      <c r="AQ842" s="897"/>
      <c r="AR842" s="897"/>
    </row>
    <row r="843" spans="1:44" s="930" customFormat="1">
      <c r="A843" s="892"/>
      <c r="B843" s="899"/>
      <c r="C843" s="900"/>
      <c r="D843" s="894"/>
      <c r="E843" s="895"/>
      <c r="F843" s="896"/>
      <c r="G843" s="897"/>
      <c r="H843" s="897"/>
      <c r="I843" s="897"/>
      <c r="J843" s="897"/>
      <c r="K843" s="897"/>
      <c r="L843" s="898"/>
      <c r="M843" s="898"/>
      <c r="N843" s="898"/>
      <c r="O843" s="898"/>
      <c r="P843" s="898"/>
      <c r="Q843" s="898"/>
      <c r="R843" s="898"/>
      <c r="S843" s="898"/>
      <c r="T843" s="898"/>
      <c r="U843" s="898"/>
      <c r="V843" s="898"/>
      <c r="W843" s="898"/>
      <c r="X843" s="898"/>
      <c r="Y843" s="898"/>
      <c r="Z843" s="898"/>
      <c r="AA843" s="898"/>
      <c r="AB843" s="898"/>
      <c r="AC843" s="898"/>
      <c r="AD843" s="898"/>
      <c r="AE843" s="898"/>
      <c r="AF843" s="898"/>
      <c r="AG843" s="898"/>
      <c r="AH843" s="898"/>
      <c r="AI843" s="898"/>
      <c r="AJ843" s="898"/>
      <c r="AK843" s="897"/>
      <c r="AL843" s="897"/>
      <c r="AM843" s="897"/>
      <c r="AN843" s="897"/>
      <c r="AO843" s="897"/>
      <c r="AP843" s="897"/>
      <c r="AQ843" s="897"/>
      <c r="AR843" s="897"/>
    </row>
    <row r="844" spans="1:44" s="930" customFormat="1">
      <c r="A844" s="892"/>
      <c r="B844" s="899"/>
      <c r="C844" s="900"/>
      <c r="D844" s="894"/>
      <c r="E844" s="895"/>
      <c r="F844" s="896"/>
      <c r="G844" s="897"/>
      <c r="H844" s="897"/>
      <c r="I844" s="897"/>
      <c r="J844" s="897"/>
      <c r="K844" s="897"/>
      <c r="L844" s="898"/>
      <c r="M844" s="898"/>
      <c r="N844" s="898"/>
      <c r="O844" s="898"/>
      <c r="P844" s="898"/>
      <c r="Q844" s="898"/>
      <c r="R844" s="898"/>
      <c r="S844" s="898"/>
      <c r="T844" s="898"/>
      <c r="U844" s="898"/>
      <c r="V844" s="898"/>
      <c r="W844" s="898"/>
      <c r="X844" s="898"/>
      <c r="Y844" s="898"/>
      <c r="Z844" s="898"/>
      <c r="AA844" s="898"/>
      <c r="AB844" s="898"/>
      <c r="AC844" s="898"/>
      <c r="AD844" s="898"/>
      <c r="AE844" s="898"/>
      <c r="AF844" s="898"/>
      <c r="AG844" s="898"/>
      <c r="AH844" s="898"/>
      <c r="AI844" s="898"/>
      <c r="AJ844" s="898"/>
      <c r="AK844" s="897"/>
      <c r="AL844" s="897"/>
      <c r="AM844" s="897"/>
      <c r="AN844" s="897"/>
      <c r="AO844" s="897"/>
      <c r="AP844" s="897"/>
      <c r="AQ844" s="897"/>
      <c r="AR844" s="897"/>
    </row>
    <row r="845" spans="1:44" s="930" customFormat="1">
      <c r="A845" s="892"/>
      <c r="B845" s="899"/>
      <c r="C845" s="900"/>
      <c r="D845" s="894"/>
      <c r="E845" s="895"/>
      <c r="F845" s="896"/>
      <c r="G845" s="897"/>
      <c r="H845" s="897"/>
      <c r="I845" s="897"/>
      <c r="J845" s="897"/>
      <c r="K845" s="897"/>
      <c r="L845" s="898"/>
      <c r="M845" s="898"/>
      <c r="N845" s="898"/>
      <c r="O845" s="898"/>
      <c r="P845" s="898"/>
      <c r="Q845" s="898"/>
      <c r="R845" s="898"/>
      <c r="S845" s="898"/>
      <c r="T845" s="898"/>
      <c r="U845" s="898"/>
      <c r="V845" s="898"/>
      <c r="W845" s="898"/>
      <c r="X845" s="898"/>
      <c r="Y845" s="898"/>
      <c r="Z845" s="898"/>
      <c r="AA845" s="898"/>
      <c r="AB845" s="898"/>
      <c r="AC845" s="898"/>
      <c r="AD845" s="898"/>
      <c r="AE845" s="898"/>
      <c r="AF845" s="898"/>
      <c r="AG845" s="898"/>
      <c r="AH845" s="898"/>
      <c r="AI845" s="898"/>
      <c r="AJ845" s="898"/>
      <c r="AK845" s="897"/>
      <c r="AL845" s="897"/>
      <c r="AM845" s="897"/>
      <c r="AN845" s="897"/>
      <c r="AO845" s="897"/>
      <c r="AP845" s="897"/>
      <c r="AQ845" s="897"/>
      <c r="AR845" s="897"/>
    </row>
    <row r="846" spans="1:44" s="930" customFormat="1">
      <c r="A846" s="892"/>
      <c r="B846" s="899"/>
      <c r="C846" s="900"/>
      <c r="D846" s="894"/>
      <c r="E846" s="895"/>
      <c r="F846" s="896"/>
      <c r="G846" s="897"/>
      <c r="H846" s="897"/>
      <c r="I846" s="897"/>
      <c r="J846" s="897"/>
      <c r="K846" s="897"/>
      <c r="L846" s="898"/>
      <c r="M846" s="898"/>
      <c r="N846" s="898"/>
      <c r="O846" s="898"/>
      <c r="P846" s="898"/>
      <c r="Q846" s="898"/>
      <c r="R846" s="898"/>
      <c r="S846" s="898"/>
      <c r="T846" s="898"/>
      <c r="U846" s="898"/>
      <c r="V846" s="898"/>
      <c r="W846" s="898"/>
      <c r="X846" s="898"/>
      <c r="Y846" s="898"/>
      <c r="Z846" s="898"/>
      <c r="AA846" s="898"/>
      <c r="AB846" s="898"/>
      <c r="AC846" s="898"/>
      <c r="AD846" s="898"/>
      <c r="AE846" s="898"/>
      <c r="AF846" s="898"/>
      <c r="AG846" s="898"/>
      <c r="AH846" s="898"/>
      <c r="AI846" s="898"/>
      <c r="AJ846" s="898"/>
      <c r="AK846" s="897"/>
      <c r="AL846" s="897"/>
      <c r="AM846" s="897"/>
      <c r="AN846" s="897"/>
      <c r="AO846" s="897"/>
      <c r="AP846" s="897"/>
      <c r="AQ846" s="897"/>
      <c r="AR846" s="897"/>
    </row>
    <row r="847" spans="1:44" s="930" customFormat="1">
      <c r="A847" s="892"/>
      <c r="B847" s="899"/>
      <c r="C847" s="900"/>
      <c r="D847" s="894"/>
      <c r="E847" s="895"/>
      <c r="F847" s="896"/>
      <c r="G847" s="897"/>
      <c r="H847" s="897"/>
      <c r="I847" s="897"/>
      <c r="J847" s="897"/>
      <c r="K847" s="897"/>
      <c r="L847" s="898"/>
      <c r="M847" s="898"/>
      <c r="N847" s="898"/>
      <c r="O847" s="898"/>
      <c r="P847" s="898"/>
      <c r="Q847" s="898"/>
      <c r="R847" s="898"/>
      <c r="S847" s="898"/>
      <c r="T847" s="898"/>
      <c r="U847" s="898"/>
      <c r="V847" s="898"/>
      <c r="W847" s="898"/>
      <c r="X847" s="898"/>
      <c r="Y847" s="898"/>
      <c r="Z847" s="898"/>
      <c r="AA847" s="898"/>
      <c r="AB847" s="898"/>
      <c r="AC847" s="898"/>
      <c r="AD847" s="898"/>
      <c r="AE847" s="898"/>
      <c r="AF847" s="898"/>
      <c r="AG847" s="898"/>
      <c r="AH847" s="898"/>
      <c r="AI847" s="898"/>
      <c r="AJ847" s="898"/>
      <c r="AK847" s="897"/>
      <c r="AL847" s="897"/>
      <c r="AM847" s="897"/>
      <c r="AN847" s="897"/>
      <c r="AO847" s="897"/>
      <c r="AP847" s="897"/>
      <c r="AQ847" s="897"/>
      <c r="AR847" s="897"/>
    </row>
    <row r="848" spans="1:44" s="930" customFormat="1">
      <c r="A848" s="892"/>
      <c r="B848" s="899"/>
      <c r="C848" s="900"/>
      <c r="D848" s="894"/>
      <c r="E848" s="895"/>
      <c r="F848" s="896"/>
      <c r="G848" s="897"/>
      <c r="H848" s="897"/>
      <c r="I848" s="897"/>
      <c r="J848" s="897"/>
      <c r="K848" s="897"/>
      <c r="L848" s="898"/>
      <c r="M848" s="898"/>
      <c r="N848" s="898"/>
      <c r="O848" s="898"/>
      <c r="P848" s="898"/>
      <c r="Q848" s="898"/>
      <c r="R848" s="898"/>
      <c r="S848" s="898"/>
      <c r="T848" s="898"/>
      <c r="U848" s="898"/>
      <c r="V848" s="898"/>
      <c r="W848" s="898"/>
      <c r="X848" s="898"/>
      <c r="Y848" s="898"/>
      <c r="Z848" s="898"/>
      <c r="AA848" s="898"/>
      <c r="AB848" s="898"/>
      <c r="AC848" s="898"/>
      <c r="AD848" s="898"/>
      <c r="AE848" s="898"/>
      <c r="AF848" s="898"/>
      <c r="AG848" s="898"/>
      <c r="AH848" s="898"/>
      <c r="AI848" s="898"/>
      <c r="AJ848" s="898"/>
      <c r="AK848" s="897"/>
      <c r="AL848" s="897"/>
      <c r="AM848" s="897"/>
      <c r="AN848" s="897"/>
      <c r="AO848" s="897"/>
      <c r="AP848" s="897"/>
      <c r="AQ848" s="897"/>
      <c r="AR848" s="897"/>
    </row>
    <row r="849" spans="1:44" s="930" customFormat="1">
      <c r="A849" s="892"/>
      <c r="B849" s="899"/>
      <c r="C849" s="900"/>
      <c r="D849" s="894"/>
      <c r="E849" s="895"/>
      <c r="F849" s="896"/>
      <c r="G849" s="897"/>
      <c r="H849" s="897"/>
      <c r="I849" s="897"/>
      <c r="J849" s="897"/>
      <c r="K849" s="897"/>
      <c r="L849" s="898"/>
      <c r="M849" s="898"/>
      <c r="N849" s="898"/>
      <c r="O849" s="898"/>
      <c r="P849" s="898"/>
      <c r="Q849" s="898"/>
      <c r="R849" s="898"/>
      <c r="S849" s="898"/>
      <c r="T849" s="898"/>
      <c r="U849" s="898"/>
      <c r="V849" s="898"/>
      <c r="W849" s="898"/>
      <c r="X849" s="898"/>
      <c r="Y849" s="898"/>
      <c r="Z849" s="898"/>
      <c r="AA849" s="898"/>
      <c r="AB849" s="898"/>
      <c r="AC849" s="898"/>
      <c r="AD849" s="898"/>
      <c r="AE849" s="898"/>
      <c r="AF849" s="898"/>
      <c r="AG849" s="898"/>
      <c r="AH849" s="898"/>
      <c r="AI849" s="898"/>
      <c r="AJ849" s="898"/>
      <c r="AK849" s="897"/>
      <c r="AL849" s="897"/>
      <c r="AM849" s="897"/>
      <c r="AN849" s="897"/>
      <c r="AO849" s="897"/>
      <c r="AP849" s="897"/>
      <c r="AQ849" s="897"/>
      <c r="AR849" s="897"/>
    </row>
    <row r="850" spans="1:44" s="930" customFormat="1">
      <c r="A850" s="892"/>
      <c r="B850" s="899"/>
      <c r="C850" s="900"/>
      <c r="D850" s="894"/>
      <c r="E850" s="895"/>
      <c r="F850" s="896"/>
      <c r="G850" s="897"/>
      <c r="H850" s="897"/>
      <c r="I850" s="897"/>
      <c r="J850" s="897"/>
      <c r="K850" s="897"/>
      <c r="L850" s="898"/>
      <c r="M850" s="898"/>
      <c r="N850" s="898"/>
      <c r="O850" s="898"/>
      <c r="P850" s="898"/>
      <c r="Q850" s="898"/>
      <c r="R850" s="898"/>
      <c r="S850" s="898"/>
      <c r="T850" s="898"/>
      <c r="U850" s="898"/>
      <c r="V850" s="898"/>
      <c r="W850" s="898"/>
      <c r="X850" s="898"/>
      <c r="Y850" s="898"/>
      <c r="Z850" s="898"/>
      <c r="AA850" s="898"/>
      <c r="AB850" s="898"/>
      <c r="AC850" s="898"/>
      <c r="AD850" s="898"/>
      <c r="AE850" s="898"/>
      <c r="AF850" s="898"/>
      <c r="AG850" s="898"/>
      <c r="AH850" s="898"/>
      <c r="AI850" s="898"/>
      <c r="AJ850" s="898"/>
      <c r="AK850" s="897"/>
      <c r="AL850" s="897"/>
      <c r="AM850" s="897"/>
      <c r="AN850" s="897"/>
      <c r="AO850" s="897"/>
      <c r="AP850" s="897"/>
      <c r="AQ850" s="897"/>
      <c r="AR850" s="897"/>
    </row>
    <row r="851" spans="1:44" s="930" customFormat="1">
      <c r="A851" s="892"/>
      <c r="B851" s="899"/>
      <c r="C851" s="900"/>
      <c r="D851" s="894"/>
      <c r="E851" s="895"/>
      <c r="F851" s="896"/>
      <c r="G851" s="897"/>
      <c r="H851" s="897"/>
      <c r="I851" s="897"/>
      <c r="J851" s="897"/>
      <c r="K851" s="897"/>
      <c r="L851" s="898"/>
      <c r="M851" s="898"/>
      <c r="N851" s="898"/>
      <c r="O851" s="898"/>
      <c r="P851" s="898"/>
      <c r="Q851" s="898"/>
      <c r="R851" s="898"/>
      <c r="S851" s="898"/>
      <c r="T851" s="898"/>
      <c r="U851" s="898"/>
      <c r="V851" s="898"/>
      <c r="W851" s="898"/>
      <c r="X851" s="898"/>
      <c r="Y851" s="898"/>
      <c r="Z851" s="898"/>
      <c r="AA851" s="898"/>
      <c r="AB851" s="898"/>
      <c r="AC851" s="898"/>
      <c r="AD851" s="898"/>
      <c r="AE851" s="898"/>
      <c r="AF851" s="898"/>
      <c r="AG851" s="898"/>
      <c r="AH851" s="898"/>
      <c r="AI851" s="898"/>
      <c r="AJ851" s="898"/>
      <c r="AK851" s="897"/>
      <c r="AL851" s="897"/>
      <c r="AM851" s="897"/>
      <c r="AN851" s="897"/>
      <c r="AO851" s="897"/>
      <c r="AP851" s="897"/>
      <c r="AQ851" s="897"/>
      <c r="AR851" s="897"/>
    </row>
    <row r="852" spans="1:44" s="930" customFormat="1">
      <c r="A852" s="892"/>
      <c r="B852" s="899"/>
      <c r="C852" s="900"/>
      <c r="D852" s="894"/>
      <c r="E852" s="895"/>
      <c r="F852" s="896"/>
      <c r="G852" s="897"/>
      <c r="H852" s="897"/>
      <c r="I852" s="897"/>
      <c r="J852" s="897"/>
      <c r="K852" s="897"/>
      <c r="L852" s="898"/>
      <c r="M852" s="898"/>
      <c r="N852" s="898"/>
      <c r="O852" s="898"/>
      <c r="P852" s="898"/>
      <c r="Q852" s="898"/>
      <c r="R852" s="898"/>
      <c r="S852" s="898"/>
      <c r="T852" s="898"/>
      <c r="U852" s="898"/>
      <c r="V852" s="898"/>
      <c r="W852" s="898"/>
      <c r="X852" s="898"/>
      <c r="Y852" s="898"/>
      <c r="Z852" s="898"/>
      <c r="AA852" s="898"/>
      <c r="AB852" s="898"/>
      <c r="AC852" s="898"/>
      <c r="AD852" s="898"/>
      <c r="AE852" s="898"/>
      <c r="AF852" s="898"/>
      <c r="AG852" s="898"/>
      <c r="AH852" s="898"/>
      <c r="AI852" s="898"/>
      <c r="AJ852" s="898"/>
      <c r="AK852" s="897"/>
      <c r="AL852" s="897"/>
      <c r="AM852" s="897"/>
      <c r="AN852" s="897"/>
      <c r="AO852" s="897"/>
      <c r="AP852" s="897"/>
      <c r="AQ852" s="897"/>
      <c r="AR852" s="897"/>
    </row>
    <row r="853" spans="1:44" s="930" customFormat="1">
      <c r="A853" s="892"/>
      <c r="B853" s="899"/>
      <c r="C853" s="900"/>
      <c r="D853" s="894"/>
      <c r="E853" s="895"/>
      <c r="F853" s="896"/>
      <c r="G853" s="897"/>
      <c r="H853" s="897"/>
      <c r="I853" s="897"/>
      <c r="J853" s="897"/>
      <c r="K853" s="897"/>
      <c r="L853" s="898"/>
      <c r="M853" s="898"/>
      <c r="N853" s="898"/>
      <c r="O853" s="898"/>
      <c r="P853" s="898"/>
      <c r="Q853" s="898"/>
      <c r="R853" s="898"/>
      <c r="S853" s="898"/>
      <c r="T853" s="898"/>
      <c r="U853" s="898"/>
      <c r="V853" s="898"/>
      <c r="W853" s="898"/>
      <c r="X853" s="898"/>
      <c r="Y853" s="898"/>
      <c r="Z853" s="898"/>
      <c r="AA853" s="898"/>
      <c r="AB853" s="898"/>
      <c r="AC853" s="898"/>
      <c r="AD853" s="898"/>
      <c r="AE853" s="898"/>
      <c r="AF853" s="898"/>
      <c r="AG853" s="898"/>
      <c r="AH853" s="898"/>
      <c r="AI853" s="898"/>
      <c r="AJ853" s="898"/>
      <c r="AK853" s="897"/>
      <c r="AL853" s="897"/>
      <c r="AM853" s="897"/>
      <c r="AN853" s="897"/>
      <c r="AO853" s="897"/>
      <c r="AP853" s="897"/>
      <c r="AQ853" s="897"/>
      <c r="AR853" s="897"/>
    </row>
    <row r="854" spans="1:44" s="930" customFormat="1">
      <c r="A854" s="892"/>
      <c r="B854" s="899"/>
      <c r="C854" s="900"/>
      <c r="D854" s="894"/>
      <c r="E854" s="895"/>
      <c r="F854" s="896"/>
      <c r="G854" s="897"/>
      <c r="H854" s="897"/>
      <c r="I854" s="897"/>
      <c r="J854" s="897"/>
      <c r="K854" s="897"/>
      <c r="L854" s="898"/>
      <c r="M854" s="898"/>
      <c r="N854" s="898"/>
      <c r="O854" s="898"/>
      <c r="P854" s="898"/>
      <c r="Q854" s="898"/>
      <c r="R854" s="898"/>
      <c r="S854" s="898"/>
      <c r="T854" s="898"/>
      <c r="U854" s="898"/>
      <c r="V854" s="898"/>
      <c r="W854" s="898"/>
      <c r="X854" s="898"/>
      <c r="Y854" s="898"/>
      <c r="Z854" s="898"/>
      <c r="AA854" s="898"/>
      <c r="AB854" s="898"/>
      <c r="AC854" s="898"/>
      <c r="AD854" s="898"/>
      <c r="AE854" s="898"/>
      <c r="AF854" s="898"/>
      <c r="AG854" s="898"/>
      <c r="AH854" s="898"/>
      <c r="AI854" s="898"/>
      <c r="AJ854" s="898"/>
      <c r="AK854" s="897"/>
      <c r="AL854" s="897"/>
      <c r="AM854" s="897"/>
      <c r="AN854" s="897"/>
      <c r="AO854" s="897"/>
      <c r="AP854" s="897"/>
      <c r="AQ854" s="897"/>
      <c r="AR854" s="897"/>
    </row>
    <row r="855" spans="1:44" s="930" customFormat="1">
      <c r="A855" s="892"/>
      <c r="B855" s="899"/>
      <c r="C855" s="900"/>
      <c r="D855" s="894"/>
      <c r="E855" s="895"/>
      <c r="F855" s="896"/>
      <c r="G855" s="897"/>
      <c r="H855" s="897"/>
      <c r="I855" s="897"/>
      <c r="J855" s="897"/>
      <c r="K855" s="897"/>
      <c r="L855" s="898"/>
      <c r="M855" s="898"/>
      <c r="N855" s="898"/>
      <c r="O855" s="898"/>
      <c r="P855" s="898"/>
      <c r="Q855" s="898"/>
      <c r="R855" s="898"/>
      <c r="S855" s="898"/>
      <c r="T855" s="898"/>
      <c r="U855" s="898"/>
      <c r="V855" s="898"/>
      <c r="W855" s="898"/>
      <c r="X855" s="898"/>
      <c r="Y855" s="898"/>
      <c r="Z855" s="898"/>
      <c r="AA855" s="898"/>
      <c r="AB855" s="898"/>
      <c r="AC855" s="898"/>
      <c r="AD855" s="898"/>
      <c r="AE855" s="898"/>
      <c r="AF855" s="898"/>
      <c r="AG855" s="898"/>
      <c r="AH855" s="898"/>
      <c r="AI855" s="898"/>
      <c r="AJ855" s="898"/>
      <c r="AK855" s="897"/>
      <c r="AL855" s="897"/>
      <c r="AM855" s="897"/>
      <c r="AN855" s="897"/>
      <c r="AO855" s="897"/>
      <c r="AP855" s="897"/>
      <c r="AQ855" s="897"/>
      <c r="AR855" s="897"/>
    </row>
    <row r="856" spans="1:44" s="930" customFormat="1">
      <c r="A856" s="892"/>
      <c r="B856" s="899"/>
      <c r="C856" s="900"/>
      <c r="D856" s="894"/>
      <c r="E856" s="895"/>
      <c r="F856" s="896"/>
      <c r="G856" s="897"/>
      <c r="H856" s="897"/>
      <c r="I856" s="897"/>
      <c r="J856" s="897"/>
      <c r="K856" s="897"/>
      <c r="L856" s="898"/>
      <c r="M856" s="898"/>
      <c r="N856" s="898"/>
      <c r="O856" s="898"/>
      <c r="P856" s="898"/>
      <c r="Q856" s="898"/>
      <c r="R856" s="898"/>
      <c r="S856" s="898"/>
      <c r="T856" s="898"/>
      <c r="U856" s="898"/>
      <c r="V856" s="898"/>
      <c r="W856" s="898"/>
      <c r="X856" s="898"/>
      <c r="Y856" s="898"/>
      <c r="Z856" s="898"/>
      <c r="AA856" s="898"/>
      <c r="AB856" s="898"/>
      <c r="AC856" s="898"/>
      <c r="AD856" s="898"/>
      <c r="AE856" s="898"/>
      <c r="AF856" s="898"/>
      <c r="AG856" s="898"/>
      <c r="AH856" s="898"/>
      <c r="AI856" s="898"/>
      <c r="AJ856" s="898"/>
      <c r="AK856" s="897"/>
      <c r="AL856" s="897"/>
      <c r="AM856" s="897"/>
      <c r="AN856" s="897"/>
      <c r="AO856" s="897"/>
      <c r="AP856" s="897"/>
      <c r="AQ856" s="897"/>
      <c r="AR856" s="897"/>
    </row>
    <row r="857" spans="1:44" s="930" customFormat="1">
      <c r="A857" s="892"/>
      <c r="B857" s="899"/>
      <c r="C857" s="900"/>
      <c r="D857" s="894"/>
      <c r="E857" s="895"/>
      <c r="F857" s="896"/>
      <c r="G857" s="897"/>
      <c r="H857" s="897"/>
      <c r="I857" s="897"/>
      <c r="J857" s="897"/>
      <c r="K857" s="897"/>
      <c r="L857" s="898"/>
      <c r="M857" s="898"/>
      <c r="N857" s="898"/>
      <c r="O857" s="898"/>
      <c r="P857" s="898"/>
      <c r="Q857" s="898"/>
      <c r="R857" s="898"/>
      <c r="S857" s="898"/>
      <c r="T857" s="898"/>
      <c r="U857" s="898"/>
      <c r="V857" s="898"/>
      <c r="W857" s="898"/>
      <c r="X857" s="898"/>
      <c r="Y857" s="898"/>
      <c r="Z857" s="898"/>
      <c r="AA857" s="898"/>
      <c r="AB857" s="898"/>
      <c r="AC857" s="898"/>
      <c r="AD857" s="898"/>
      <c r="AE857" s="898"/>
      <c r="AF857" s="898"/>
      <c r="AG857" s="898"/>
      <c r="AH857" s="898"/>
      <c r="AI857" s="898"/>
      <c r="AJ857" s="898"/>
      <c r="AK857" s="897"/>
      <c r="AL857" s="897"/>
      <c r="AM857" s="897"/>
      <c r="AN857" s="897"/>
      <c r="AO857" s="897"/>
      <c r="AP857" s="897"/>
      <c r="AQ857" s="897"/>
      <c r="AR857" s="897"/>
    </row>
    <row r="858" spans="1:44" s="930" customFormat="1">
      <c r="A858" s="892"/>
      <c r="B858" s="899"/>
      <c r="C858" s="900"/>
      <c r="D858" s="894"/>
      <c r="E858" s="895"/>
      <c r="F858" s="896"/>
      <c r="G858" s="897"/>
      <c r="H858" s="897"/>
      <c r="I858" s="897"/>
      <c r="J858" s="897"/>
      <c r="K858" s="897"/>
      <c r="L858" s="898"/>
      <c r="M858" s="898"/>
      <c r="N858" s="898"/>
      <c r="O858" s="898"/>
      <c r="P858" s="898"/>
      <c r="Q858" s="898"/>
      <c r="R858" s="898"/>
      <c r="S858" s="898"/>
      <c r="T858" s="898"/>
      <c r="U858" s="898"/>
      <c r="V858" s="898"/>
      <c r="W858" s="898"/>
      <c r="X858" s="898"/>
      <c r="Y858" s="898"/>
      <c r="Z858" s="898"/>
      <c r="AA858" s="898"/>
      <c r="AB858" s="898"/>
      <c r="AC858" s="898"/>
      <c r="AD858" s="898"/>
      <c r="AE858" s="898"/>
      <c r="AF858" s="898"/>
      <c r="AG858" s="898"/>
      <c r="AH858" s="898"/>
      <c r="AI858" s="898"/>
      <c r="AJ858" s="898"/>
      <c r="AK858" s="897"/>
      <c r="AL858" s="897"/>
      <c r="AM858" s="897"/>
      <c r="AN858" s="897"/>
      <c r="AO858" s="897"/>
      <c r="AP858" s="897"/>
      <c r="AQ858" s="897"/>
      <c r="AR858" s="897"/>
    </row>
    <row r="859" spans="1:44" s="930" customFormat="1">
      <c r="A859" s="892"/>
      <c r="B859" s="899"/>
      <c r="C859" s="900"/>
      <c r="D859" s="894"/>
      <c r="E859" s="895"/>
      <c r="F859" s="896"/>
      <c r="G859" s="897"/>
      <c r="H859" s="897"/>
      <c r="I859" s="897"/>
      <c r="J859" s="897"/>
      <c r="K859" s="897"/>
      <c r="L859" s="898"/>
      <c r="M859" s="898"/>
      <c r="N859" s="898"/>
      <c r="O859" s="898"/>
      <c r="P859" s="898"/>
      <c r="Q859" s="898"/>
      <c r="R859" s="898"/>
      <c r="S859" s="898"/>
      <c r="T859" s="898"/>
      <c r="U859" s="898"/>
      <c r="V859" s="898"/>
      <c r="W859" s="898"/>
      <c r="X859" s="898"/>
      <c r="Y859" s="898"/>
      <c r="Z859" s="898"/>
      <c r="AA859" s="898"/>
      <c r="AB859" s="898"/>
      <c r="AC859" s="898"/>
      <c r="AD859" s="898"/>
      <c r="AE859" s="898"/>
      <c r="AF859" s="898"/>
      <c r="AG859" s="898"/>
      <c r="AH859" s="898"/>
      <c r="AI859" s="898"/>
      <c r="AJ859" s="898"/>
      <c r="AK859" s="897"/>
      <c r="AL859" s="897"/>
      <c r="AM859" s="897"/>
      <c r="AN859" s="897"/>
      <c r="AO859" s="897"/>
      <c r="AP859" s="897"/>
      <c r="AQ859" s="897"/>
      <c r="AR859" s="897"/>
    </row>
    <row r="860" spans="1:44" s="930" customFormat="1">
      <c r="A860" s="892"/>
      <c r="B860" s="899"/>
      <c r="C860" s="900"/>
      <c r="D860" s="894"/>
      <c r="E860" s="895"/>
      <c r="F860" s="896"/>
      <c r="G860" s="897"/>
      <c r="H860" s="897"/>
      <c r="I860" s="897"/>
      <c r="J860" s="897"/>
      <c r="K860" s="897"/>
      <c r="L860" s="898"/>
      <c r="M860" s="898"/>
      <c r="N860" s="898"/>
      <c r="O860" s="898"/>
      <c r="P860" s="898"/>
      <c r="Q860" s="898"/>
      <c r="R860" s="898"/>
      <c r="S860" s="898"/>
      <c r="T860" s="898"/>
      <c r="U860" s="898"/>
      <c r="V860" s="898"/>
      <c r="W860" s="898"/>
      <c r="X860" s="898"/>
      <c r="Y860" s="898"/>
      <c r="Z860" s="898"/>
      <c r="AA860" s="898"/>
      <c r="AB860" s="898"/>
      <c r="AC860" s="898"/>
      <c r="AD860" s="898"/>
      <c r="AE860" s="898"/>
      <c r="AF860" s="898"/>
      <c r="AG860" s="898"/>
      <c r="AH860" s="898"/>
      <c r="AI860" s="898"/>
      <c r="AJ860" s="898"/>
      <c r="AK860" s="897"/>
      <c r="AL860" s="897"/>
      <c r="AM860" s="897"/>
      <c r="AN860" s="897"/>
      <c r="AO860" s="897"/>
      <c r="AP860" s="897"/>
      <c r="AQ860" s="897"/>
      <c r="AR860" s="897"/>
    </row>
    <row r="861" spans="1:44" s="930" customFormat="1">
      <c r="A861" s="892"/>
      <c r="B861" s="899"/>
      <c r="C861" s="900"/>
      <c r="D861" s="894"/>
      <c r="E861" s="895"/>
      <c r="F861" s="896"/>
      <c r="G861" s="897"/>
      <c r="H861" s="897"/>
      <c r="I861" s="897"/>
      <c r="J861" s="897"/>
      <c r="K861" s="897"/>
      <c r="L861" s="898"/>
      <c r="M861" s="898"/>
      <c r="N861" s="898"/>
      <c r="O861" s="898"/>
      <c r="P861" s="898"/>
      <c r="Q861" s="898"/>
      <c r="R861" s="898"/>
      <c r="S861" s="898"/>
      <c r="T861" s="898"/>
      <c r="U861" s="898"/>
      <c r="V861" s="898"/>
      <c r="W861" s="898"/>
      <c r="X861" s="898"/>
      <c r="Y861" s="898"/>
      <c r="Z861" s="898"/>
      <c r="AA861" s="898"/>
      <c r="AB861" s="898"/>
      <c r="AC861" s="898"/>
      <c r="AD861" s="898"/>
      <c r="AE861" s="898"/>
      <c r="AF861" s="898"/>
      <c r="AG861" s="898"/>
      <c r="AH861" s="898"/>
      <c r="AI861" s="898"/>
      <c r="AJ861" s="898"/>
      <c r="AK861" s="897"/>
      <c r="AL861" s="897"/>
      <c r="AM861" s="897"/>
      <c r="AN861" s="897"/>
      <c r="AO861" s="897"/>
      <c r="AP861" s="897"/>
      <c r="AQ861" s="897"/>
      <c r="AR861" s="897"/>
    </row>
    <row r="862" spans="1:44" s="930" customFormat="1">
      <c r="A862" s="892"/>
      <c r="B862" s="899"/>
      <c r="C862" s="900"/>
      <c r="D862" s="894"/>
      <c r="E862" s="895"/>
      <c r="F862" s="896"/>
      <c r="G862" s="897"/>
      <c r="H862" s="897"/>
      <c r="I862" s="897"/>
      <c r="J862" s="897"/>
      <c r="K862" s="897"/>
      <c r="L862" s="898"/>
      <c r="M862" s="898"/>
      <c r="N862" s="898"/>
      <c r="O862" s="898"/>
      <c r="P862" s="898"/>
      <c r="Q862" s="898"/>
      <c r="R862" s="898"/>
      <c r="S862" s="898"/>
      <c r="T862" s="898"/>
      <c r="U862" s="898"/>
      <c r="V862" s="898"/>
      <c r="W862" s="898"/>
      <c r="X862" s="898"/>
      <c r="Y862" s="898"/>
      <c r="Z862" s="898"/>
      <c r="AA862" s="898"/>
      <c r="AB862" s="898"/>
      <c r="AC862" s="898"/>
      <c r="AD862" s="898"/>
      <c r="AE862" s="898"/>
      <c r="AF862" s="898"/>
      <c r="AG862" s="898"/>
      <c r="AH862" s="898"/>
      <c r="AI862" s="898"/>
      <c r="AJ862" s="898"/>
      <c r="AK862" s="897"/>
      <c r="AL862" s="897"/>
      <c r="AM862" s="897"/>
      <c r="AN862" s="897"/>
      <c r="AO862" s="897"/>
      <c r="AP862" s="897"/>
      <c r="AQ862" s="897"/>
      <c r="AR862" s="897"/>
    </row>
    <row r="863" spans="1:44" s="930" customFormat="1">
      <c r="A863" s="892"/>
      <c r="B863" s="899"/>
      <c r="C863" s="900"/>
      <c r="D863" s="894"/>
      <c r="E863" s="895"/>
      <c r="F863" s="896"/>
      <c r="G863" s="897"/>
      <c r="H863" s="897"/>
      <c r="I863" s="897"/>
      <c r="J863" s="897"/>
      <c r="K863" s="897"/>
      <c r="L863" s="898"/>
      <c r="M863" s="898"/>
      <c r="N863" s="898"/>
      <c r="O863" s="898"/>
      <c r="P863" s="898"/>
      <c r="Q863" s="898"/>
      <c r="R863" s="898"/>
      <c r="S863" s="898"/>
      <c r="T863" s="898"/>
      <c r="U863" s="898"/>
      <c r="V863" s="898"/>
      <c r="W863" s="898"/>
      <c r="X863" s="898"/>
      <c r="Y863" s="898"/>
      <c r="Z863" s="898"/>
      <c r="AA863" s="898"/>
      <c r="AB863" s="898"/>
      <c r="AC863" s="898"/>
      <c r="AD863" s="898"/>
      <c r="AE863" s="898"/>
      <c r="AF863" s="898"/>
      <c r="AG863" s="898"/>
      <c r="AH863" s="898"/>
      <c r="AI863" s="898"/>
      <c r="AJ863" s="898"/>
      <c r="AK863" s="897"/>
      <c r="AL863" s="897"/>
      <c r="AM863" s="897"/>
      <c r="AN863" s="897"/>
      <c r="AO863" s="897"/>
      <c r="AP863" s="897"/>
      <c r="AQ863" s="897"/>
      <c r="AR863" s="897"/>
    </row>
    <row r="864" spans="1:44" s="930" customFormat="1">
      <c r="A864" s="892"/>
      <c r="B864" s="899"/>
      <c r="C864" s="900"/>
      <c r="D864" s="894"/>
      <c r="E864" s="895"/>
      <c r="F864" s="896"/>
      <c r="G864" s="897"/>
      <c r="H864" s="897"/>
      <c r="I864" s="897"/>
      <c r="J864" s="897"/>
      <c r="K864" s="897"/>
      <c r="L864" s="898"/>
      <c r="M864" s="898"/>
      <c r="N864" s="898"/>
      <c r="O864" s="898"/>
      <c r="P864" s="898"/>
      <c r="Q864" s="898"/>
      <c r="R864" s="898"/>
      <c r="S864" s="898"/>
      <c r="T864" s="898"/>
      <c r="U864" s="898"/>
      <c r="V864" s="898"/>
      <c r="W864" s="898"/>
      <c r="X864" s="898"/>
      <c r="Y864" s="898"/>
      <c r="Z864" s="898"/>
      <c r="AA864" s="898"/>
      <c r="AB864" s="898"/>
      <c r="AC864" s="898"/>
      <c r="AD864" s="898"/>
      <c r="AE864" s="898"/>
      <c r="AF864" s="898"/>
      <c r="AG864" s="898"/>
      <c r="AH864" s="898"/>
      <c r="AI864" s="898"/>
      <c r="AJ864" s="898"/>
      <c r="AK864" s="897"/>
      <c r="AL864" s="897"/>
      <c r="AM864" s="897"/>
      <c r="AN864" s="897"/>
      <c r="AO864" s="897"/>
      <c r="AP864" s="897"/>
      <c r="AQ864" s="897"/>
      <c r="AR864" s="897"/>
    </row>
    <row r="865" spans="1:44" s="930" customFormat="1">
      <c r="A865" s="892"/>
      <c r="B865" s="899"/>
      <c r="C865" s="900"/>
      <c r="D865" s="894"/>
      <c r="E865" s="895"/>
      <c r="F865" s="896"/>
      <c r="G865" s="897"/>
      <c r="H865" s="897"/>
      <c r="I865" s="897"/>
      <c r="J865" s="897"/>
      <c r="K865" s="897"/>
      <c r="L865" s="898"/>
      <c r="M865" s="898"/>
      <c r="N865" s="898"/>
      <c r="O865" s="898"/>
      <c r="P865" s="898"/>
      <c r="Q865" s="898"/>
      <c r="R865" s="898"/>
      <c r="S865" s="898"/>
      <c r="T865" s="898"/>
      <c r="U865" s="898"/>
      <c r="V865" s="898"/>
      <c r="W865" s="898"/>
      <c r="X865" s="898"/>
      <c r="Y865" s="898"/>
      <c r="Z865" s="898"/>
      <c r="AA865" s="898"/>
      <c r="AB865" s="898"/>
      <c r="AC865" s="898"/>
      <c r="AD865" s="898"/>
      <c r="AE865" s="898"/>
      <c r="AF865" s="898"/>
      <c r="AG865" s="898"/>
      <c r="AH865" s="898"/>
      <c r="AI865" s="898"/>
      <c r="AJ865" s="898"/>
      <c r="AK865" s="897"/>
      <c r="AL865" s="897"/>
      <c r="AM865" s="897"/>
      <c r="AN865" s="897"/>
      <c r="AO865" s="897"/>
      <c r="AP865" s="897"/>
      <c r="AQ865" s="897"/>
      <c r="AR865" s="897"/>
    </row>
    <row r="866" spans="1:44" s="930" customFormat="1">
      <c r="A866" s="892"/>
      <c r="B866" s="899"/>
      <c r="C866" s="900"/>
      <c r="D866" s="894"/>
      <c r="E866" s="895"/>
      <c r="F866" s="896"/>
      <c r="G866" s="897"/>
      <c r="H866" s="897"/>
      <c r="I866" s="897"/>
      <c r="J866" s="897"/>
      <c r="K866" s="897"/>
      <c r="L866" s="898"/>
      <c r="M866" s="898"/>
      <c r="N866" s="898"/>
      <c r="O866" s="898"/>
      <c r="P866" s="898"/>
      <c r="Q866" s="898"/>
      <c r="R866" s="898"/>
      <c r="S866" s="898"/>
      <c r="T866" s="898"/>
      <c r="U866" s="898"/>
      <c r="V866" s="898"/>
      <c r="W866" s="898"/>
      <c r="X866" s="898"/>
      <c r="Y866" s="898"/>
      <c r="Z866" s="898"/>
      <c r="AA866" s="898"/>
      <c r="AB866" s="898"/>
      <c r="AC866" s="898"/>
      <c r="AD866" s="898"/>
      <c r="AE866" s="898"/>
      <c r="AF866" s="898"/>
      <c r="AG866" s="898"/>
      <c r="AH866" s="898"/>
      <c r="AI866" s="898"/>
      <c r="AJ866" s="898"/>
      <c r="AK866" s="897"/>
      <c r="AL866" s="897"/>
      <c r="AM866" s="897"/>
      <c r="AN866" s="897"/>
      <c r="AO866" s="897"/>
      <c r="AP866" s="897"/>
      <c r="AQ866" s="897"/>
      <c r="AR866" s="897"/>
    </row>
    <row r="867" spans="1:44" s="930" customFormat="1">
      <c r="A867" s="892"/>
      <c r="B867" s="899"/>
      <c r="C867" s="900"/>
      <c r="D867" s="894"/>
      <c r="E867" s="895"/>
      <c r="F867" s="896"/>
      <c r="G867" s="897"/>
      <c r="H867" s="897"/>
      <c r="I867" s="897"/>
      <c r="J867" s="897"/>
      <c r="K867" s="897"/>
      <c r="L867" s="898"/>
      <c r="M867" s="898"/>
      <c r="N867" s="898"/>
      <c r="O867" s="898"/>
      <c r="P867" s="898"/>
      <c r="Q867" s="898"/>
      <c r="R867" s="898"/>
      <c r="S867" s="898"/>
      <c r="T867" s="898"/>
      <c r="U867" s="898"/>
      <c r="V867" s="898"/>
      <c r="W867" s="898"/>
      <c r="X867" s="898"/>
      <c r="Y867" s="898"/>
      <c r="Z867" s="898"/>
      <c r="AA867" s="898"/>
      <c r="AB867" s="898"/>
      <c r="AC867" s="898"/>
      <c r="AD867" s="898"/>
      <c r="AE867" s="898"/>
      <c r="AF867" s="898"/>
      <c r="AG867" s="898"/>
      <c r="AH867" s="898"/>
      <c r="AI867" s="898"/>
      <c r="AJ867" s="898"/>
      <c r="AK867" s="897"/>
      <c r="AL867" s="897"/>
      <c r="AM867" s="897"/>
      <c r="AN867" s="897"/>
      <c r="AO867" s="897"/>
      <c r="AP867" s="897"/>
      <c r="AQ867" s="897"/>
      <c r="AR867" s="897"/>
    </row>
    <row r="868" spans="1:44" s="930" customFormat="1">
      <c r="A868" s="892"/>
      <c r="B868" s="899"/>
      <c r="C868" s="900"/>
      <c r="D868" s="894"/>
      <c r="E868" s="895"/>
      <c r="F868" s="896"/>
      <c r="G868" s="897"/>
      <c r="H868" s="897"/>
      <c r="I868" s="897"/>
      <c r="J868" s="897"/>
      <c r="K868" s="897"/>
      <c r="L868" s="898"/>
      <c r="M868" s="898"/>
      <c r="N868" s="898"/>
      <c r="O868" s="898"/>
      <c r="P868" s="898"/>
      <c r="Q868" s="898"/>
      <c r="R868" s="898"/>
      <c r="S868" s="898"/>
      <c r="T868" s="898"/>
      <c r="U868" s="898"/>
      <c r="V868" s="898"/>
      <c r="W868" s="898"/>
      <c r="X868" s="898"/>
      <c r="Y868" s="898"/>
      <c r="Z868" s="898"/>
      <c r="AA868" s="898"/>
      <c r="AB868" s="898"/>
      <c r="AC868" s="898"/>
      <c r="AD868" s="898"/>
      <c r="AE868" s="898"/>
      <c r="AF868" s="898"/>
      <c r="AG868" s="898"/>
      <c r="AH868" s="898"/>
      <c r="AI868" s="898"/>
      <c r="AJ868" s="898"/>
      <c r="AK868" s="897"/>
      <c r="AL868" s="897"/>
      <c r="AM868" s="897"/>
      <c r="AN868" s="897"/>
      <c r="AO868" s="897"/>
      <c r="AP868" s="897"/>
      <c r="AQ868" s="897"/>
      <c r="AR868" s="897"/>
    </row>
    <row r="869" spans="1:44" s="930" customFormat="1">
      <c r="A869" s="892"/>
      <c r="B869" s="899"/>
      <c r="C869" s="900"/>
      <c r="D869" s="894"/>
      <c r="E869" s="895"/>
      <c r="F869" s="896"/>
      <c r="G869" s="897"/>
      <c r="H869" s="897"/>
      <c r="I869" s="897"/>
      <c r="J869" s="897"/>
      <c r="K869" s="897"/>
      <c r="L869" s="898"/>
      <c r="M869" s="898"/>
      <c r="N869" s="898"/>
      <c r="O869" s="898"/>
      <c r="P869" s="898"/>
      <c r="Q869" s="898"/>
      <c r="R869" s="898"/>
      <c r="S869" s="898"/>
      <c r="T869" s="898"/>
      <c r="U869" s="898"/>
      <c r="V869" s="898"/>
      <c r="W869" s="898"/>
      <c r="X869" s="898"/>
      <c r="Y869" s="898"/>
      <c r="Z869" s="898"/>
      <c r="AA869" s="898"/>
      <c r="AB869" s="898"/>
      <c r="AC869" s="898"/>
      <c r="AD869" s="898"/>
      <c r="AE869" s="898"/>
      <c r="AF869" s="898"/>
      <c r="AG869" s="898"/>
      <c r="AH869" s="898"/>
      <c r="AI869" s="898"/>
      <c r="AJ869" s="898"/>
      <c r="AK869" s="897"/>
      <c r="AL869" s="897"/>
      <c r="AM869" s="897"/>
      <c r="AN869" s="897"/>
      <c r="AO869" s="897"/>
      <c r="AP869" s="897"/>
      <c r="AQ869" s="897"/>
      <c r="AR869" s="897"/>
    </row>
    <row r="870" spans="1:44" s="930" customFormat="1">
      <c r="A870" s="892"/>
      <c r="B870" s="899"/>
      <c r="C870" s="900"/>
      <c r="D870" s="894"/>
      <c r="E870" s="895"/>
      <c r="F870" s="896"/>
      <c r="G870" s="897"/>
      <c r="H870" s="897"/>
      <c r="I870" s="897"/>
      <c r="J870" s="897"/>
      <c r="K870" s="897"/>
      <c r="L870" s="898"/>
      <c r="M870" s="898"/>
      <c r="N870" s="898"/>
      <c r="O870" s="898"/>
      <c r="P870" s="898"/>
      <c r="Q870" s="898"/>
      <c r="R870" s="898"/>
      <c r="S870" s="898"/>
      <c r="T870" s="898"/>
      <c r="U870" s="898"/>
      <c r="V870" s="898"/>
      <c r="W870" s="898"/>
      <c r="X870" s="898"/>
      <c r="Y870" s="898"/>
      <c r="Z870" s="898"/>
      <c r="AA870" s="898"/>
      <c r="AB870" s="898"/>
      <c r="AC870" s="898"/>
      <c r="AD870" s="898"/>
      <c r="AE870" s="898"/>
      <c r="AF870" s="898"/>
      <c r="AG870" s="898"/>
      <c r="AH870" s="898"/>
      <c r="AI870" s="898"/>
      <c r="AJ870" s="898"/>
      <c r="AK870" s="897"/>
      <c r="AL870" s="897"/>
      <c r="AM870" s="897"/>
      <c r="AN870" s="897"/>
      <c r="AO870" s="897"/>
      <c r="AP870" s="897"/>
      <c r="AQ870" s="897"/>
      <c r="AR870" s="897"/>
    </row>
    <row r="871" spans="1:44" s="930" customFormat="1">
      <c r="A871" s="892"/>
      <c r="B871" s="899"/>
      <c r="C871" s="900"/>
      <c r="D871" s="894"/>
      <c r="E871" s="895"/>
      <c r="F871" s="896"/>
      <c r="G871" s="897"/>
      <c r="H871" s="897"/>
      <c r="I871" s="897"/>
      <c r="J871" s="897"/>
      <c r="K871" s="897"/>
      <c r="L871" s="898"/>
      <c r="M871" s="898"/>
      <c r="N871" s="898"/>
      <c r="O871" s="898"/>
      <c r="P871" s="898"/>
      <c r="Q871" s="898"/>
      <c r="R871" s="898"/>
      <c r="S871" s="898"/>
      <c r="T871" s="898"/>
      <c r="U871" s="898"/>
      <c r="V871" s="898"/>
      <c r="W871" s="898"/>
      <c r="X871" s="898"/>
      <c r="Y871" s="898"/>
      <c r="Z871" s="898"/>
      <c r="AA871" s="898"/>
      <c r="AB871" s="898"/>
      <c r="AC871" s="898"/>
      <c r="AD871" s="898"/>
      <c r="AE871" s="898"/>
      <c r="AF871" s="898"/>
      <c r="AG871" s="898"/>
      <c r="AH871" s="898"/>
      <c r="AI871" s="898"/>
      <c r="AJ871" s="898"/>
      <c r="AK871" s="897"/>
      <c r="AL871" s="897"/>
      <c r="AM871" s="897"/>
      <c r="AN871" s="897"/>
      <c r="AO871" s="897"/>
      <c r="AP871" s="897"/>
      <c r="AQ871" s="897"/>
      <c r="AR871" s="897"/>
    </row>
    <row r="872" spans="1:44" s="930" customFormat="1">
      <c r="A872" s="892"/>
      <c r="B872" s="899"/>
      <c r="C872" s="900"/>
      <c r="D872" s="894"/>
      <c r="E872" s="895"/>
      <c r="F872" s="896"/>
      <c r="G872" s="897"/>
      <c r="H872" s="897"/>
      <c r="I872" s="897"/>
      <c r="J872" s="897"/>
      <c r="K872" s="897"/>
      <c r="L872" s="898"/>
      <c r="M872" s="898"/>
      <c r="N872" s="898"/>
      <c r="O872" s="898"/>
      <c r="P872" s="898"/>
      <c r="Q872" s="898"/>
      <c r="R872" s="898"/>
      <c r="S872" s="898"/>
      <c r="T872" s="898"/>
      <c r="U872" s="898"/>
      <c r="V872" s="898"/>
      <c r="W872" s="898"/>
      <c r="X872" s="898"/>
      <c r="Y872" s="898"/>
      <c r="Z872" s="898"/>
      <c r="AA872" s="898"/>
      <c r="AB872" s="898"/>
      <c r="AC872" s="898"/>
      <c r="AD872" s="898"/>
      <c r="AE872" s="898"/>
      <c r="AF872" s="898"/>
      <c r="AG872" s="898"/>
      <c r="AH872" s="898"/>
      <c r="AI872" s="898"/>
      <c r="AJ872" s="898"/>
      <c r="AK872" s="897"/>
      <c r="AL872" s="897"/>
      <c r="AM872" s="897"/>
      <c r="AN872" s="897"/>
      <c r="AO872" s="897"/>
      <c r="AP872" s="897"/>
      <c r="AQ872" s="897"/>
      <c r="AR872" s="897"/>
    </row>
    <row r="873" spans="1:44" s="930" customFormat="1">
      <c r="A873" s="892"/>
      <c r="B873" s="899"/>
      <c r="C873" s="900"/>
      <c r="D873" s="894"/>
      <c r="E873" s="895"/>
      <c r="F873" s="896"/>
      <c r="G873" s="897"/>
      <c r="H873" s="897"/>
      <c r="I873" s="897"/>
      <c r="J873" s="897"/>
      <c r="K873" s="897"/>
      <c r="L873" s="898"/>
      <c r="M873" s="898"/>
      <c r="N873" s="898"/>
      <c r="O873" s="898"/>
      <c r="P873" s="898"/>
      <c r="Q873" s="898"/>
      <c r="R873" s="898"/>
      <c r="S873" s="898"/>
      <c r="T873" s="898"/>
      <c r="U873" s="898"/>
      <c r="V873" s="898"/>
      <c r="W873" s="898"/>
      <c r="X873" s="898"/>
      <c r="Y873" s="898"/>
      <c r="Z873" s="898"/>
      <c r="AA873" s="898"/>
      <c r="AB873" s="898"/>
      <c r="AC873" s="898"/>
      <c r="AD873" s="898"/>
      <c r="AE873" s="898"/>
      <c r="AF873" s="898"/>
      <c r="AG873" s="898"/>
      <c r="AH873" s="898"/>
      <c r="AI873" s="898"/>
      <c r="AJ873" s="898"/>
      <c r="AK873" s="897"/>
      <c r="AL873" s="897"/>
      <c r="AM873" s="897"/>
      <c r="AN873" s="897"/>
      <c r="AO873" s="897"/>
      <c r="AP873" s="897"/>
      <c r="AQ873" s="897"/>
      <c r="AR873" s="897"/>
    </row>
    <row r="874" spans="1:44" s="930" customFormat="1">
      <c r="A874" s="892"/>
      <c r="B874" s="899"/>
      <c r="C874" s="900"/>
      <c r="D874" s="894"/>
      <c r="E874" s="895"/>
      <c r="F874" s="896"/>
      <c r="G874" s="897"/>
      <c r="H874" s="897"/>
      <c r="I874" s="897"/>
      <c r="J874" s="897"/>
      <c r="K874" s="897"/>
      <c r="L874" s="898"/>
      <c r="M874" s="898"/>
      <c r="N874" s="898"/>
      <c r="O874" s="898"/>
      <c r="P874" s="898"/>
      <c r="Q874" s="898"/>
      <c r="R874" s="898"/>
      <c r="S874" s="898"/>
      <c r="T874" s="898"/>
      <c r="U874" s="898"/>
      <c r="V874" s="898"/>
      <c r="W874" s="898"/>
      <c r="X874" s="898"/>
      <c r="Y874" s="898"/>
      <c r="Z874" s="898"/>
      <c r="AA874" s="898"/>
      <c r="AB874" s="898"/>
      <c r="AC874" s="898"/>
      <c r="AD874" s="898"/>
      <c r="AE874" s="898"/>
      <c r="AF874" s="898"/>
      <c r="AG874" s="898"/>
      <c r="AH874" s="898"/>
      <c r="AI874" s="898"/>
      <c r="AJ874" s="898"/>
      <c r="AK874" s="897"/>
      <c r="AL874" s="897"/>
      <c r="AM874" s="897"/>
      <c r="AN874" s="897"/>
      <c r="AO874" s="897"/>
      <c r="AP874" s="897"/>
      <c r="AQ874" s="897"/>
      <c r="AR874" s="897"/>
    </row>
    <row r="875" spans="1:44" s="930" customFormat="1">
      <c r="A875" s="892"/>
      <c r="B875" s="899"/>
      <c r="C875" s="900"/>
      <c r="D875" s="894"/>
      <c r="E875" s="895"/>
      <c r="F875" s="896"/>
      <c r="G875" s="897"/>
      <c r="H875" s="897"/>
      <c r="I875" s="897"/>
      <c r="J875" s="897"/>
      <c r="K875" s="897"/>
      <c r="L875" s="898"/>
      <c r="M875" s="898"/>
      <c r="N875" s="898"/>
      <c r="O875" s="898"/>
      <c r="P875" s="898"/>
      <c r="Q875" s="898"/>
      <c r="R875" s="898"/>
      <c r="S875" s="898"/>
      <c r="T875" s="898"/>
      <c r="U875" s="898"/>
      <c r="V875" s="898"/>
      <c r="W875" s="898"/>
      <c r="X875" s="898"/>
      <c r="Y875" s="898"/>
      <c r="Z875" s="898"/>
      <c r="AA875" s="898"/>
      <c r="AB875" s="898"/>
      <c r="AC875" s="898"/>
      <c r="AD875" s="898"/>
      <c r="AE875" s="898"/>
      <c r="AF875" s="898"/>
      <c r="AG875" s="898"/>
      <c r="AH875" s="898"/>
      <c r="AI875" s="898"/>
      <c r="AJ875" s="898"/>
      <c r="AK875" s="897"/>
      <c r="AL875" s="897"/>
      <c r="AM875" s="897"/>
      <c r="AN875" s="897"/>
      <c r="AO875" s="897"/>
      <c r="AP875" s="897"/>
      <c r="AQ875" s="897"/>
      <c r="AR875" s="897"/>
    </row>
    <row r="876" spans="1:44" s="930" customFormat="1">
      <c r="A876" s="892"/>
      <c r="B876" s="899"/>
      <c r="C876" s="900"/>
      <c r="D876" s="894"/>
      <c r="E876" s="895"/>
      <c r="F876" s="896"/>
      <c r="G876" s="897"/>
      <c r="H876" s="897"/>
      <c r="I876" s="897"/>
      <c r="J876" s="897"/>
      <c r="K876" s="897"/>
      <c r="L876" s="898"/>
      <c r="M876" s="898"/>
      <c r="N876" s="898"/>
      <c r="O876" s="898"/>
      <c r="P876" s="898"/>
      <c r="Q876" s="898"/>
      <c r="R876" s="898"/>
      <c r="S876" s="898"/>
      <c r="T876" s="898"/>
      <c r="U876" s="898"/>
      <c r="V876" s="898"/>
      <c r="W876" s="898"/>
      <c r="X876" s="898"/>
      <c r="Y876" s="898"/>
      <c r="Z876" s="898"/>
      <c r="AA876" s="898"/>
      <c r="AB876" s="898"/>
      <c r="AC876" s="898"/>
      <c r="AD876" s="898"/>
      <c r="AE876" s="898"/>
      <c r="AF876" s="898"/>
      <c r="AG876" s="898"/>
      <c r="AH876" s="898"/>
      <c r="AI876" s="898"/>
      <c r="AJ876" s="898"/>
      <c r="AK876" s="897"/>
      <c r="AL876" s="897"/>
      <c r="AM876" s="897"/>
      <c r="AN876" s="897"/>
      <c r="AO876" s="897"/>
      <c r="AP876" s="897"/>
      <c r="AQ876" s="897"/>
      <c r="AR876" s="897"/>
    </row>
    <row r="877" spans="1:44" s="930" customFormat="1">
      <c r="A877" s="892"/>
      <c r="B877" s="899"/>
      <c r="C877" s="900"/>
      <c r="D877" s="894"/>
      <c r="E877" s="895"/>
      <c r="F877" s="896"/>
      <c r="G877" s="897"/>
      <c r="H877" s="897"/>
      <c r="I877" s="897"/>
      <c r="J877" s="897"/>
      <c r="K877" s="897"/>
      <c r="L877" s="898"/>
      <c r="M877" s="898"/>
      <c r="N877" s="898"/>
      <c r="O877" s="898"/>
      <c r="P877" s="898"/>
      <c r="Q877" s="898"/>
      <c r="R877" s="898"/>
      <c r="S877" s="898"/>
      <c r="T877" s="898"/>
      <c r="U877" s="898"/>
      <c r="V877" s="898"/>
      <c r="W877" s="898"/>
      <c r="X877" s="898"/>
      <c r="Y877" s="898"/>
      <c r="Z877" s="898"/>
      <c r="AA877" s="898"/>
      <c r="AB877" s="898"/>
      <c r="AC877" s="898"/>
      <c r="AD877" s="898"/>
      <c r="AE877" s="898"/>
      <c r="AF877" s="898"/>
      <c r="AG877" s="898"/>
      <c r="AH877" s="898"/>
      <c r="AI877" s="898"/>
      <c r="AJ877" s="898"/>
      <c r="AK877" s="897"/>
      <c r="AL877" s="897"/>
      <c r="AM877" s="897"/>
      <c r="AN877" s="897"/>
      <c r="AO877" s="897"/>
      <c r="AP877" s="897"/>
      <c r="AQ877" s="897"/>
      <c r="AR877" s="897"/>
    </row>
    <row r="878" spans="1:44" s="930" customFormat="1">
      <c r="A878" s="892"/>
      <c r="B878" s="899"/>
      <c r="C878" s="900"/>
      <c r="D878" s="894"/>
      <c r="E878" s="895"/>
      <c r="F878" s="896"/>
      <c r="G878" s="897"/>
      <c r="H878" s="897"/>
      <c r="I878" s="897"/>
      <c r="J878" s="897"/>
      <c r="K878" s="897"/>
      <c r="L878" s="898"/>
      <c r="M878" s="898"/>
      <c r="N878" s="898"/>
      <c r="O878" s="898"/>
      <c r="P878" s="898"/>
      <c r="Q878" s="898"/>
      <c r="R878" s="898"/>
      <c r="S878" s="898"/>
      <c r="T878" s="898"/>
      <c r="U878" s="898"/>
      <c r="V878" s="898"/>
      <c r="W878" s="898"/>
      <c r="X878" s="898"/>
      <c r="Y878" s="898"/>
      <c r="Z878" s="898"/>
      <c r="AA878" s="898"/>
      <c r="AB878" s="898"/>
      <c r="AC878" s="898"/>
      <c r="AD878" s="898"/>
      <c r="AE878" s="898"/>
      <c r="AF878" s="898"/>
      <c r="AG878" s="898"/>
      <c r="AH878" s="898"/>
      <c r="AI878" s="898"/>
      <c r="AJ878" s="898"/>
      <c r="AK878" s="897"/>
      <c r="AL878" s="897"/>
      <c r="AM878" s="897"/>
      <c r="AN878" s="897"/>
      <c r="AO878" s="897"/>
      <c r="AP878" s="897"/>
      <c r="AQ878" s="897"/>
      <c r="AR878" s="897"/>
    </row>
    <row r="879" spans="1:44" s="930" customFormat="1">
      <c r="A879" s="892"/>
      <c r="B879" s="899"/>
      <c r="C879" s="900"/>
      <c r="D879" s="894"/>
      <c r="E879" s="895"/>
      <c r="F879" s="896"/>
      <c r="G879" s="897"/>
      <c r="H879" s="897"/>
      <c r="I879" s="897"/>
      <c r="J879" s="897"/>
      <c r="K879" s="897"/>
      <c r="L879" s="898"/>
      <c r="M879" s="898"/>
      <c r="N879" s="898"/>
      <c r="O879" s="898"/>
      <c r="P879" s="898"/>
      <c r="Q879" s="898"/>
      <c r="R879" s="898"/>
      <c r="S879" s="898"/>
      <c r="T879" s="898"/>
      <c r="U879" s="898"/>
      <c r="V879" s="898"/>
      <c r="W879" s="898"/>
      <c r="X879" s="898"/>
      <c r="Y879" s="898"/>
      <c r="Z879" s="898"/>
      <c r="AA879" s="898"/>
      <c r="AB879" s="898"/>
      <c r="AC879" s="898"/>
      <c r="AD879" s="898"/>
      <c r="AE879" s="898"/>
      <c r="AF879" s="898"/>
      <c r="AG879" s="898"/>
      <c r="AH879" s="898"/>
      <c r="AI879" s="898"/>
      <c r="AJ879" s="898"/>
      <c r="AK879" s="897"/>
      <c r="AL879" s="897"/>
      <c r="AM879" s="897"/>
      <c r="AN879" s="897"/>
      <c r="AO879" s="897"/>
      <c r="AP879" s="897"/>
      <c r="AQ879" s="897"/>
      <c r="AR879" s="897"/>
    </row>
    <row r="880" spans="1:44" s="930" customFormat="1">
      <c r="A880" s="892"/>
      <c r="B880" s="899"/>
      <c r="C880" s="900"/>
      <c r="D880" s="894"/>
      <c r="E880" s="895"/>
      <c r="F880" s="896"/>
      <c r="G880" s="897"/>
      <c r="H880" s="897"/>
      <c r="I880" s="897"/>
      <c r="J880" s="897"/>
      <c r="K880" s="897"/>
      <c r="L880" s="898"/>
      <c r="M880" s="898"/>
      <c r="N880" s="898"/>
      <c r="O880" s="898"/>
      <c r="P880" s="898"/>
      <c r="Q880" s="898"/>
      <c r="R880" s="898"/>
      <c r="S880" s="898"/>
      <c r="T880" s="898"/>
      <c r="U880" s="898"/>
      <c r="V880" s="898"/>
      <c r="W880" s="898"/>
      <c r="X880" s="898"/>
      <c r="Y880" s="898"/>
      <c r="Z880" s="898"/>
      <c r="AA880" s="898"/>
      <c r="AB880" s="898"/>
      <c r="AC880" s="898"/>
      <c r="AD880" s="898"/>
      <c r="AE880" s="898"/>
      <c r="AF880" s="898"/>
      <c r="AG880" s="898"/>
      <c r="AH880" s="898"/>
      <c r="AI880" s="898"/>
      <c r="AJ880" s="898"/>
      <c r="AK880" s="897"/>
      <c r="AL880" s="897"/>
      <c r="AM880" s="897"/>
      <c r="AN880" s="897"/>
      <c r="AO880" s="897"/>
      <c r="AP880" s="897"/>
      <c r="AQ880" s="897"/>
      <c r="AR880" s="897"/>
    </row>
    <row r="881" spans="1:44" s="930" customFormat="1">
      <c r="A881" s="892"/>
      <c r="B881" s="899"/>
      <c r="C881" s="900"/>
      <c r="D881" s="894"/>
      <c r="E881" s="895"/>
      <c r="F881" s="896"/>
      <c r="G881" s="897"/>
      <c r="H881" s="897"/>
      <c r="I881" s="897"/>
      <c r="J881" s="897"/>
      <c r="K881" s="897"/>
      <c r="L881" s="898"/>
      <c r="M881" s="898"/>
      <c r="N881" s="898"/>
      <c r="O881" s="898"/>
      <c r="P881" s="898"/>
      <c r="Q881" s="898"/>
      <c r="R881" s="898"/>
      <c r="S881" s="898"/>
      <c r="T881" s="898"/>
      <c r="U881" s="898"/>
      <c r="V881" s="898"/>
      <c r="W881" s="898"/>
      <c r="X881" s="898"/>
      <c r="Y881" s="898"/>
      <c r="Z881" s="898"/>
      <c r="AA881" s="898"/>
      <c r="AB881" s="898"/>
      <c r="AC881" s="898"/>
      <c r="AD881" s="898"/>
      <c r="AE881" s="898"/>
      <c r="AF881" s="898"/>
      <c r="AG881" s="898"/>
      <c r="AH881" s="898"/>
      <c r="AI881" s="898"/>
      <c r="AJ881" s="898"/>
      <c r="AK881" s="897"/>
      <c r="AL881" s="897"/>
      <c r="AM881" s="897"/>
      <c r="AN881" s="897"/>
      <c r="AO881" s="897"/>
      <c r="AP881" s="897"/>
      <c r="AQ881" s="897"/>
      <c r="AR881" s="897"/>
    </row>
    <row r="882" spans="1:44" s="930" customFormat="1">
      <c r="A882" s="892"/>
      <c r="B882" s="899"/>
      <c r="C882" s="900"/>
      <c r="D882" s="894"/>
      <c r="E882" s="895"/>
      <c r="F882" s="896"/>
      <c r="G882" s="897"/>
      <c r="H882" s="897"/>
      <c r="I882" s="897"/>
      <c r="J882" s="897"/>
      <c r="K882" s="897"/>
      <c r="L882" s="898"/>
      <c r="M882" s="898"/>
      <c r="N882" s="898"/>
      <c r="O882" s="898"/>
      <c r="P882" s="898"/>
      <c r="Q882" s="898"/>
      <c r="R882" s="898"/>
      <c r="S882" s="898"/>
      <c r="T882" s="898"/>
      <c r="U882" s="898"/>
      <c r="V882" s="898"/>
      <c r="W882" s="898"/>
      <c r="X882" s="898"/>
      <c r="Y882" s="898"/>
      <c r="Z882" s="898"/>
      <c r="AA882" s="898"/>
      <c r="AB882" s="898"/>
      <c r="AC882" s="898"/>
      <c r="AD882" s="898"/>
      <c r="AE882" s="898"/>
      <c r="AF882" s="898"/>
      <c r="AG882" s="898"/>
      <c r="AH882" s="898"/>
      <c r="AI882" s="898"/>
      <c r="AJ882" s="898"/>
      <c r="AK882" s="897"/>
      <c r="AL882" s="897"/>
      <c r="AM882" s="897"/>
      <c r="AN882" s="897"/>
      <c r="AO882" s="897"/>
      <c r="AP882" s="897"/>
      <c r="AQ882" s="897"/>
      <c r="AR882" s="897"/>
    </row>
    <row r="883" spans="1:44" s="930" customFormat="1">
      <c r="A883" s="892"/>
      <c r="B883" s="899"/>
      <c r="C883" s="900"/>
      <c r="D883" s="894"/>
      <c r="E883" s="895"/>
      <c r="F883" s="896"/>
      <c r="G883" s="897"/>
      <c r="H883" s="897"/>
      <c r="I883" s="897"/>
      <c r="J883" s="897"/>
      <c r="K883" s="897"/>
      <c r="L883" s="898"/>
      <c r="M883" s="898"/>
      <c r="N883" s="898"/>
      <c r="O883" s="898"/>
      <c r="P883" s="898"/>
      <c r="Q883" s="898"/>
      <c r="R883" s="898"/>
      <c r="S883" s="898"/>
      <c r="T883" s="898"/>
      <c r="U883" s="898"/>
      <c r="V883" s="898"/>
      <c r="W883" s="898"/>
      <c r="X883" s="898"/>
      <c r="Y883" s="898"/>
      <c r="Z883" s="898"/>
      <c r="AA883" s="898"/>
      <c r="AB883" s="898"/>
      <c r="AC883" s="898"/>
      <c r="AD883" s="898"/>
      <c r="AE883" s="898"/>
      <c r="AF883" s="898"/>
      <c r="AG883" s="898"/>
      <c r="AH883" s="898"/>
      <c r="AI883" s="898"/>
      <c r="AJ883" s="898"/>
      <c r="AK883" s="897"/>
      <c r="AL883" s="897"/>
      <c r="AM883" s="897"/>
      <c r="AN883" s="897"/>
      <c r="AO883" s="897"/>
      <c r="AP883" s="897"/>
      <c r="AQ883" s="897"/>
      <c r="AR883" s="897"/>
    </row>
    <row r="884" spans="1:44" s="930" customFormat="1">
      <c r="A884" s="892"/>
      <c r="B884" s="899"/>
      <c r="C884" s="900"/>
      <c r="D884" s="894"/>
      <c r="E884" s="895"/>
      <c r="F884" s="896"/>
      <c r="G884" s="897"/>
      <c r="H884" s="897"/>
      <c r="I884" s="897"/>
      <c r="J884" s="897"/>
      <c r="K884" s="897"/>
      <c r="L884" s="898"/>
      <c r="M884" s="898"/>
      <c r="N884" s="898"/>
      <c r="O884" s="898"/>
      <c r="P884" s="898"/>
      <c r="Q884" s="898"/>
      <c r="R884" s="898"/>
      <c r="S884" s="898"/>
      <c r="T884" s="898"/>
      <c r="U884" s="898"/>
      <c r="V884" s="898"/>
      <c r="W884" s="898"/>
      <c r="X884" s="898"/>
      <c r="Y884" s="898"/>
      <c r="Z884" s="898"/>
      <c r="AA884" s="898"/>
      <c r="AB884" s="898"/>
      <c r="AC884" s="898"/>
      <c r="AD884" s="898"/>
      <c r="AE884" s="898"/>
      <c r="AF884" s="898"/>
      <c r="AG884" s="898"/>
      <c r="AH884" s="898"/>
      <c r="AI884" s="898"/>
      <c r="AJ884" s="898"/>
      <c r="AK884" s="897"/>
      <c r="AL884" s="897"/>
      <c r="AM884" s="897"/>
      <c r="AN884" s="897"/>
      <c r="AO884" s="897"/>
      <c r="AP884" s="897"/>
      <c r="AQ884" s="897"/>
      <c r="AR884" s="897"/>
    </row>
    <row r="885" spans="1:44" s="930" customFormat="1">
      <c r="A885" s="892"/>
      <c r="B885" s="899"/>
      <c r="C885" s="900"/>
      <c r="D885" s="894"/>
      <c r="E885" s="895"/>
      <c r="F885" s="896"/>
      <c r="G885" s="897"/>
      <c r="H885" s="897"/>
      <c r="I885" s="897"/>
      <c r="J885" s="897"/>
      <c r="K885" s="897"/>
      <c r="L885" s="898"/>
      <c r="M885" s="898"/>
      <c r="N885" s="898"/>
      <c r="O885" s="898"/>
      <c r="P885" s="898"/>
      <c r="Q885" s="898"/>
      <c r="R885" s="898"/>
      <c r="S885" s="898"/>
      <c r="T885" s="898"/>
      <c r="U885" s="898"/>
      <c r="V885" s="898"/>
      <c r="W885" s="898"/>
      <c r="X885" s="898"/>
      <c r="Y885" s="898"/>
      <c r="Z885" s="898"/>
      <c r="AA885" s="898"/>
      <c r="AB885" s="898"/>
      <c r="AC885" s="898"/>
      <c r="AD885" s="898"/>
      <c r="AE885" s="898"/>
      <c r="AF885" s="898"/>
      <c r="AG885" s="898"/>
      <c r="AH885" s="898"/>
      <c r="AI885" s="898"/>
      <c r="AJ885" s="898"/>
      <c r="AK885" s="897"/>
      <c r="AL885" s="897"/>
      <c r="AM885" s="897"/>
      <c r="AN885" s="897"/>
      <c r="AO885" s="897"/>
      <c r="AP885" s="897"/>
      <c r="AQ885" s="897"/>
      <c r="AR885" s="897"/>
    </row>
    <row r="886" spans="1:44" s="930" customFormat="1">
      <c r="A886" s="892"/>
      <c r="B886" s="899"/>
      <c r="C886" s="900"/>
      <c r="D886" s="894"/>
      <c r="E886" s="895"/>
      <c r="F886" s="896"/>
      <c r="G886" s="897"/>
      <c r="H886" s="897"/>
      <c r="I886" s="897"/>
      <c r="J886" s="897"/>
      <c r="K886" s="897"/>
      <c r="L886" s="898"/>
      <c r="M886" s="898"/>
      <c r="N886" s="898"/>
      <c r="O886" s="898"/>
      <c r="P886" s="898"/>
      <c r="Q886" s="898"/>
      <c r="R886" s="898"/>
      <c r="S886" s="898"/>
      <c r="T886" s="898"/>
      <c r="U886" s="898"/>
      <c r="V886" s="898"/>
      <c r="W886" s="898"/>
      <c r="X886" s="898"/>
      <c r="Y886" s="898"/>
      <c r="Z886" s="898"/>
      <c r="AA886" s="898"/>
      <c r="AB886" s="898"/>
      <c r="AC886" s="898"/>
      <c r="AD886" s="898"/>
      <c r="AE886" s="898"/>
      <c r="AF886" s="898"/>
      <c r="AG886" s="898"/>
      <c r="AH886" s="898"/>
      <c r="AI886" s="898"/>
      <c r="AJ886" s="898"/>
      <c r="AK886" s="897"/>
      <c r="AL886" s="897"/>
      <c r="AM886" s="897"/>
      <c r="AN886" s="897"/>
      <c r="AO886" s="897"/>
      <c r="AP886" s="897"/>
      <c r="AQ886" s="897"/>
      <c r="AR886" s="897"/>
    </row>
    <row r="887" spans="1:44" s="930" customFormat="1">
      <c r="A887" s="892"/>
      <c r="B887" s="899"/>
      <c r="C887" s="900"/>
      <c r="D887" s="894"/>
      <c r="E887" s="895"/>
      <c r="F887" s="896"/>
      <c r="G887" s="897"/>
      <c r="H887" s="897"/>
      <c r="I887" s="897"/>
      <c r="J887" s="897"/>
      <c r="K887" s="897"/>
      <c r="L887" s="898"/>
      <c r="M887" s="898"/>
      <c r="N887" s="898"/>
      <c r="O887" s="898"/>
      <c r="P887" s="898"/>
      <c r="Q887" s="898"/>
      <c r="R887" s="898"/>
      <c r="S887" s="898"/>
      <c r="T887" s="898"/>
      <c r="U887" s="898"/>
      <c r="V887" s="898"/>
      <c r="W887" s="898"/>
      <c r="X887" s="898"/>
      <c r="Y887" s="898"/>
      <c r="Z887" s="898"/>
      <c r="AA887" s="898"/>
      <c r="AB887" s="898"/>
      <c r="AC887" s="898"/>
      <c r="AD887" s="898"/>
      <c r="AE887" s="898"/>
      <c r="AF887" s="898"/>
      <c r="AG887" s="898"/>
      <c r="AH887" s="898"/>
      <c r="AI887" s="898"/>
      <c r="AJ887" s="898"/>
      <c r="AK887" s="897"/>
      <c r="AL887" s="897"/>
      <c r="AM887" s="897"/>
      <c r="AN887" s="897"/>
      <c r="AO887" s="897"/>
      <c r="AP887" s="897"/>
      <c r="AQ887" s="897"/>
      <c r="AR887" s="897"/>
    </row>
    <row r="888" spans="1:44" s="930" customFormat="1">
      <c r="A888" s="892"/>
      <c r="B888" s="899"/>
      <c r="C888" s="900"/>
      <c r="D888" s="894"/>
      <c r="E888" s="895"/>
      <c r="F888" s="896"/>
      <c r="G888" s="897"/>
      <c r="H888" s="897"/>
      <c r="I888" s="897"/>
      <c r="J888" s="897"/>
      <c r="K888" s="897"/>
      <c r="L888" s="898"/>
      <c r="M888" s="898"/>
      <c r="N888" s="898"/>
      <c r="O888" s="898"/>
      <c r="P888" s="898"/>
      <c r="Q888" s="898"/>
      <c r="R888" s="898"/>
      <c r="S888" s="898"/>
      <c r="T888" s="898"/>
      <c r="U888" s="898"/>
      <c r="V888" s="898"/>
      <c r="W888" s="898"/>
      <c r="X888" s="898"/>
      <c r="Y888" s="898"/>
      <c r="Z888" s="898"/>
      <c r="AA888" s="898"/>
      <c r="AB888" s="898"/>
      <c r="AC888" s="898"/>
      <c r="AD888" s="898"/>
      <c r="AE888" s="898"/>
      <c r="AF888" s="898"/>
      <c r="AG888" s="898"/>
      <c r="AH888" s="898"/>
      <c r="AI888" s="898"/>
      <c r="AJ888" s="898"/>
      <c r="AK888" s="897"/>
      <c r="AL888" s="897"/>
      <c r="AM888" s="897"/>
      <c r="AN888" s="897"/>
      <c r="AO888" s="897"/>
      <c r="AP888" s="897"/>
      <c r="AQ888" s="897"/>
      <c r="AR888" s="897"/>
    </row>
    <row r="889" spans="1:44" s="930" customFormat="1">
      <c r="A889" s="892"/>
      <c r="B889" s="899"/>
      <c r="C889" s="900"/>
      <c r="D889" s="894"/>
      <c r="E889" s="895"/>
      <c r="F889" s="896"/>
      <c r="G889" s="897"/>
      <c r="H889" s="897"/>
      <c r="I889" s="897"/>
      <c r="J889" s="897"/>
      <c r="K889" s="897"/>
      <c r="L889" s="898"/>
      <c r="M889" s="898"/>
      <c r="N889" s="898"/>
      <c r="O889" s="898"/>
      <c r="P889" s="898"/>
      <c r="Q889" s="898"/>
      <c r="R889" s="898"/>
      <c r="S889" s="898"/>
      <c r="T889" s="898"/>
      <c r="U889" s="898"/>
      <c r="V889" s="898"/>
      <c r="W889" s="898"/>
      <c r="X889" s="898"/>
      <c r="Y889" s="898"/>
      <c r="Z889" s="898"/>
      <c r="AA889" s="898"/>
      <c r="AB889" s="898"/>
      <c r="AC889" s="898"/>
      <c r="AD889" s="898"/>
      <c r="AE889" s="898"/>
      <c r="AF889" s="898"/>
      <c r="AG889" s="898"/>
      <c r="AH889" s="898"/>
      <c r="AI889" s="898"/>
      <c r="AJ889" s="898"/>
      <c r="AK889" s="897"/>
      <c r="AL889" s="897"/>
      <c r="AM889" s="897"/>
      <c r="AN889" s="897"/>
      <c r="AO889" s="897"/>
      <c r="AP889" s="897"/>
      <c r="AQ889" s="897"/>
      <c r="AR889" s="897"/>
    </row>
    <row r="890" spans="1:44" s="930" customFormat="1">
      <c r="A890" s="892"/>
      <c r="B890" s="899"/>
      <c r="C890" s="900"/>
      <c r="D890" s="894"/>
      <c r="E890" s="895"/>
      <c r="F890" s="896"/>
      <c r="G890" s="897"/>
      <c r="H890" s="897"/>
      <c r="I890" s="897"/>
      <c r="J890" s="897"/>
      <c r="K890" s="897"/>
      <c r="L890" s="898"/>
      <c r="M890" s="898"/>
      <c r="N890" s="898"/>
      <c r="O890" s="898"/>
      <c r="P890" s="898"/>
      <c r="Q890" s="898"/>
      <c r="R890" s="898"/>
      <c r="S890" s="898"/>
      <c r="T890" s="898"/>
      <c r="U890" s="898"/>
      <c r="V890" s="898"/>
      <c r="W890" s="898"/>
      <c r="X890" s="898"/>
      <c r="Y890" s="898"/>
      <c r="Z890" s="898"/>
      <c r="AA890" s="898"/>
      <c r="AB890" s="898"/>
      <c r="AC890" s="898"/>
      <c r="AD890" s="898"/>
      <c r="AE890" s="898"/>
      <c r="AF890" s="898"/>
      <c r="AG890" s="898"/>
      <c r="AH890" s="898"/>
      <c r="AI890" s="898"/>
      <c r="AJ890" s="898"/>
      <c r="AK890" s="897"/>
      <c r="AL890" s="897"/>
      <c r="AM890" s="897"/>
      <c r="AN890" s="897"/>
      <c r="AO890" s="897"/>
      <c r="AP890" s="897"/>
      <c r="AQ890" s="897"/>
      <c r="AR890" s="897"/>
    </row>
    <row r="891" spans="1:44" s="930" customFormat="1">
      <c r="A891" s="892"/>
      <c r="B891" s="899"/>
      <c r="C891" s="900"/>
      <c r="D891" s="894"/>
      <c r="E891" s="895"/>
      <c r="F891" s="896"/>
      <c r="G891" s="897"/>
      <c r="H891" s="897"/>
      <c r="I891" s="897"/>
      <c r="J891" s="897"/>
      <c r="K891" s="897"/>
      <c r="L891" s="898"/>
      <c r="M891" s="898"/>
      <c r="N891" s="898"/>
      <c r="O891" s="898"/>
      <c r="P891" s="898"/>
      <c r="Q891" s="898"/>
      <c r="R891" s="898"/>
      <c r="S891" s="898"/>
      <c r="T891" s="898"/>
      <c r="U891" s="898"/>
      <c r="V891" s="898"/>
      <c r="W891" s="898"/>
      <c r="X891" s="898"/>
      <c r="Y891" s="898"/>
      <c r="Z891" s="898"/>
      <c r="AA891" s="898"/>
      <c r="AB891" s="898"/>
      <c r="AC891" s="898"/>
      <c r="AD891" s="898"/>
      <c r="AE891" s="898"/>
      <c r="AF891" s="898"/>
      <c r="AG891" s="898"/>
      <c r="AH891" s="898"/>
      <c r="AI891" s="898"/>
      <c r="AJ891" s="898"/>
      <c r="AK891" s="897"/>
      <c r="AL891" s="897"/>
      <c r="AM891" s="897"/>
      <c r="AN891" s="897"/>
      <c r="AO891" s="897"/>
      <c r="AP891" s="897"/>
      <c r="AQ891" s="897"/>
      <c r="AR891" s="897"/>
    </row>
    <row r="892" spans="1:44" s="930" customFormat="1">
      <c r="A892" s="892"/>
      <c r="B892" s="899"/>
      <c r="C892" s="900"/>
      <c r="D892" s="894"/>
      <c r="E892" s="895"/>
      <c r="F892" s="896"/>
      <c r="G892" s="897"/>
      <c r="H892" s="897"/>
      <c r="I892" s="897"/>
      <c r="J892" s="897"/>
      <c r="K892" s="897"/>
      <c r="L892" s="898"/>
      <c r="M892" s="898"/>
      <c r="N892" s="898"/>
      <c r="O892" s="898"/>
      <c r="P892" s="898"/>
      <c r="Q892" s="898"/>
      <c r="R892" s="898"/>
      <c r="S892" s="898"/>
      <c r="T892" s="898"/>
      <c r="U892" s="898"/>
      <c r="V892" s="898"/>
      <c r="W892" s="898"/>
      <c r="X892" s="898"/>
      <c r="Y892" s="898"/>
      <c r="Z892" s="898"/>
      <c r="AA892" s="898"/>
      <c r="AB892" s="898"/>
      <c r="AC892" s="898"/>
      <c r="AD892" s="898"/>
      <c r="AE892" s="898"/>
      <c r="AF892" s="898"/>
      <c r="AG892" s="898"/>
      <c r="AH892" s="898"/>
      <c r="AI892" s="898"/>
      <c r="AJ892" s="898"/>
      <c r="AK892" s="897"/>
      <c r="AL892" s="897"/>
      <c r="AM892" s="897"/>
      <c r="AN892" s="897"/>
      <c r="AO892" s="897"/>
      <c r="AP892" s="897"/>
      <c r="AQ892" s="897"/>
      <c r="AR892" s="897"/>
    </row>
    <row r="893" spans="1:44" s="930" customFormat="1">
      <c r="A893" s="892"/>
      <c r="B893" s="899"/>
      <c r="C893" s="900"/>
      <c r="D893" s="894"/>
      <c r="E893" s="895"/>
      <c r="F893" s="896"/>
      <c r="G893" s="897"/>
      <c r="H893" s="897"/>
      <c r="I893" s="897"/>
      <c r="J893" s="897"/>
      <c r="K893" s="897"/>
      <c r="L893" s="898"/>
      <c r="M893" s="898"/>
      <c r="N893" s="898"/>
      <c r="O893" s="898"/>
      <c r="P893" s="898"/>
      <c r="Q893" s="898"/>
      <c r="R893" s="898"/>
      <c r="S893" s="898"/>
      <c r="T893" s="898"/>
      <c r="U893" s="898"/>
      <c r="V893" s="898"/>
      <c r="W893" s="898"/>
      <c r="X893" s="898"/>
      <c r="Y893" s="898"/>
      <c r="Z893" s="898"/>
      <c r="AA893" s="898"/>
      <c r="AB893" s="898"/>
      <c r="AC893" s="898"/>
      <c r="AD893" s="898"/>
      <c r="AE893" s="898"/>
      <c r="AF893" s="898"/>
      <c r="AG893" s="898"/>
      <c r="AH893" s="898"/>
      <c r="AI893" s="898"/>
      <c r="AJ893" s="898"/>
      <c r="AK893" s="897"/>
      <c r="AL893" s="897"/>
      <c r="AM893" s="897"/>
      <c r="AN893" s="897"/>
      <c r="AO893" s="897"/>
      <c r="AP893" s="897"/>
      <c r="AQ893" s="897"/>
      <c r="AR893" s="897"/>
    </row>
    <row r="894" spans="1:44" s="930" customFormat="1">
      <c r="A894" s="892"/>
      <c r="B894" s="899"/>
      <c r="C894" s="900"/>
      <c r="D894" s="894"/>
      <c r="E894" s="895"/>
      <c r="F894" s="896"/>
      <c r="G894" s="897"/>
      <c r="H894" s="897"/>
      <c r="I894" s="897"/>
      <c r="J894" s="897"/>
      <c r="K894" s="897"/>
      <c r="L894" s="898"/>
      <c r="M894" s="898"/>
      <c r="N894" s="898"/>
      <c r="O894" s="898"/>
      <c r="P894" s="898"/>
      <c r="Q894" s="898"/>
      <c r="R894" s="898"/>
      <c r="S894" s="898"/>
      <c r="T894" s="898"/>
      <c r="U894" s="898"/>
      <c r="V894" s="898"/>
      <c r="W894" s="898"/>
      <c r="X894" s="898"/>
      <c r="Y894" s="898"/>
      <c r="Z894" s="898"/>
      <c r="AA894" s="898"/>
      <c r="AB894" s="898"/>
      <c r="AC894" s="898"/>
      <c r="AD894" s="898"/>
      <c r="AE894" s="898"/>
      <c r="AF894" s="898"/>
      <c r="AG894" s="898"/>
      <c r="AH894" s="898"/>
      <c r="AI894" s="898"/>
      <c r="AJ894" s="898"/>
      <c r="AK894" s="897"/>
      <c r="AL894" s="897"/>
      <c r="AM894" s="897"/>
      <c r="AN894" s="897"/>
      <c r="AO894" s="897"/>
      <c r="AP894" s="897"/>
      <c r="AQ894" s="897"/>
      <c r="AR894" s="897"/>
    </row>
    <row r="895" spans="1:44" s="930" customFormat="1">
      <c r="A895" s="892"/>
      <c r="B895" s="899"/>
      <c r="C895" s="900"/>
      <c r="D895" s="894"/>
      <c r="E895" s="895"/>
      <c r="F895" s="896"/>
      <c r="G895" s="897"/>
      <c r="H895" s="897"/>
      <c r="I895" s="897"/>
      <c r="J895" s="897"/>
      <c r="K895" s="897"/>
      <c r="L895" s="898"/>
      <c r="M895" s="898"/>
      <c r="N895" s="898"/>
      <c r="O895" s="898"/>
      <c r="P895" s="898"/>
      <c r="Q895" s="898"/>
      <c r="R895" s="898"/>
      <c r="S895" s="898"/>
      <c r="T895" s="898"/>
      <c r="U895" s="898"/>
      <c r="V895" s="898"/>
      <c r="W895" s="898"/>
      <c r="X895" s="898"/>
      <c r="Y895" s="898"/>
      <c r="Z895" s="898"/>
      <c r="AA895" s="898"/>
      <c r="AB895" s="898"/>
      <c r="AC895" s="898"/>
      <c r="AD895" s="898"/>
      <c r="AE895" s="898"/>
      <c r="AF895" s="898"/>
      <c r="AG895" s="898"/>
      <c r="AH895" s="898"/>
      <c r="AI895" s="898"/>
      <c r="AJ895" s="898"/>
      <c r="AK895" s="897"/>
      <c r="AL895" s="897"/>
      <c r="AM895" s="897"/>
      <c r="AN895" s="897"/>
      <c r="AO895" s="897"/>
      <c r="AP895" s="897"/>
      <c r="AQ895" s="897"/>
      <c r="AR895" s="897"/>
    </row>
    <row r="896" spans="1:44" s="930" customFormat="1">
      <c r="A896" s="892"/>
      <c r="B896" s="899"/>
      <c r="C896" s="900"/>
      <c r="D896" s="894"/>
      <c r="E896" s="895"/>
      <c r="F896" s="896"/>
      <c r="G896" s="897"/>
      <c r="H896" s="897"/>
      <c r="I896" s="897"/>
      <c r="J896" s="897"/>
      <c r="K896" s="897"/>
      <c r="L896" s="898"/>
      <c r="M896" s="898"/>
      <c r="N896" s="898"/>
      <c r="O896" s="898"/>
      <c r="P896" s="898"/>
      <c r="Q896" s="898"/>
      <c r="R896" s="898"/>
      <c r="S896" s="898"/>
      <c r="T896" s="898"/>
      <c r="U896" s="898"/>
      <c r="V896" s="898"/>
      <c r="W896" s="898"/>
      <c r="X896" s="898"/>
      <c r="Y896" s="898"/>
      <c r="Z896" s="898"/>
      <c r="AA896" s="898"/>
      <c r="AB896" s="898"/>
      <c r="AC896" s="898"/>
      <c r="AD896" s="898"/>
      <c r="AE896" s="898"/>
      <c r="AF896" s="898"/>
      <c r="AG896" s="898"/>
      <c r="AH896" s="898"/>
      <c r="AI896" s="898"/>
      <c r="AJ896" s="898"/>
      <c r="AK896" s="897"/>
      <c r="AL896" s="897"/>
      <c r="AM896" s="897"/>
      <c r="AN896" s="897"/>
      <c r="AO896" s="897"/>
      <c r="AP896" s="897"/>
      <c r="AQ896" s="897"/>
      <c r="AR896" s="897"/>
    </row>
    <row r="897" spans="1:44" s="930" customFormat="1">
      <c r="A897" s="892"/>
      <c r="B897" s="899"/>
      <c r="C897" s="900"/>
      <c r="D897" s="894"/>
      <c r="E897" s="895"/>
      <c r="F897" s="896"/>
      <c r="G897" s="897"/>
      <c r="H897" s="897"/>
      <c r="I897" s="897"/>
      <c r="J897" s="897"/>
      <c r="K897" s="897"/>
      <c r="L897" s="898"/>
      <c r="M897" s="898"/>
      <c r="N897" s="898"/>
      <c r="O897" s="898"/>
      <c r="P897" s="898"/>
      <c r="Q897" s="898"/>
      <c r="R897" s="898"/>
      <c r="S897" s="898"/>
      <c r="T897" s="898"/>
      <c r="U897" s="898"/>
      <c r="V897" s="898"/>
      <c r="W897" s="898"/>
      <c r="X897" s="898"/>
      <c r="Y897" s="898"/>
      <c r="Z897" s="898"/>
      <c r="AA897" s="898"/>
      <c r="AB897" s="898"/>
      <c r="AC897" s="898"/>
      <c r="AD897" s="898"/>
      <c r="AE897" s="898"/>
      <c r="AF897" s="898"/>
      <c r="AG897" s="898"/>
      <c r="AH897" s="898"/>
      <c r="AI897" s="898"/>
      <c r="AJ897" s="898"/>
      <c r="AK897" s="897"/>
      <c r="AL897" s="897"/>
      <c r="AM897" s="897"/>
      <c r="AN897" s="897"/>
      <c r="AO897" s="897"/>
      <c r="AP897" s="897"/>
      <c r="AQ897" s="897"/>
      <c r="AR897" s="897"/>
    </row>
    <row r="898" spans="1:44" s="930" customFormat="1">
      <c r="A898" s="892"/>
      <c r="B898" s="899"/>
      <c r="C898" s="900"/>
      <c r="D898" s="894"/>
      <c r="E898" s="895"/>
      <c r="F898" s="896"/>
      <c r="G898" s="897"/>
      <c r="H898" s="897"/>
      <c r="I898" s="897"/>
      <c r="J898" s="897"/>
      <c r="K898" s="897"/>
      <c r="L898" s="898"/>
      <c r="M898" s="898"/>
      <c r="N898" s="898"/>
      <c r="O898" s="898"/>
      <c r="P898" s="898"/>
      <c r="Q898" s="898"/>
      <c r="R898" s="898"/>
      <c r="S898" s="898"/>
      <c r="T898" s="898"/>
      <c r="U898" s="898"/>
      <c r="V898" s="898"/>
      <c r="W898" s="898"/>
      <c r="X898" s="898"/>
      <c r="Y898" s="898"/>
      <c r="Z898" s="898"/>
      <c r="AA898" s="898"/>
      <c r="AB898" s="898"/>
      <c r="AC898" s="898"/>
      <c r="AD898" s="898"/>
      <c r="AE898" s="898"/>
      <c r="AF898" s="898"/>
      <c r="AG898" s="898"/>
      <c r="AH898" s="898"/>
      <c r="AI898" s="898"/>
      <c r="AJ898" s="898"/>
      <c r="AK898" s="897"/>
      <c r="AL898" s="897"/>
      <c r="AM898" s="897"/>
      <c r="AN898" s="897"/>
      <c r="AO898" s="897"/>
      <c r="AP898" s="897"/>
      <c r="AQ898" s="897"/>
      <c r="AR898" s="897"/>
    </row>
    <row r="899" spans="1:44" s="930" customFormat="1">
      <c r="A899" s="892"/>
      <c r="B899" s="899"/>
      <c r="C899" s="900"/>
      <c r="D899" s="894"/>
      <c r="E899" s="895"/>
      <c r="F899" s="896"/>
      <c r="G899" s="897"/>
      <c r="H899" s="897"/>
      <c r="I899" s="897"/>
      <c r="J899" s="897"/>
      <c r="K899" s="897"/>
      <c r="L899" s="898"/>
      <c r="M899" s="898"/>
      <c r="N899" s="898"/>
      <c r="O899" s="898"/>
      <c r="P899" s="898"/>
      <c r="Q899" s="898"/>
      <c r="R899" s="898"/>
      <c r="S899" s="898"/>
      <c r="T899" s="898"/>
      <c r="U899" s="898"/>
      <c r="V899" s="898"/>
      <c r="W899" s="898"/>
      <c r="X899" s="898"/>
      <c r="Y899" s="898"/>
      <c r="Z899" s="898"/>
      <c r="AA899" s="898"/>
      <c r="AB899" s="898"/>
      <c r="AC899" s="898"/>
      <c r="AD899" s="898"/>
      <c r="AE899" s="898"/>
      <c r="AF899" s="898"/>
      <c r="AG899" s="898"/>
      <c r="AH899" s="898"/>
      <c r="AI899" s="898"/>
      <c r="AJ899" s="898"/>
      <c r="AK899" s="897"/>
      <c r="AL899" s="897"/>
      <c r="AM899" s="897"/>
      <c r="AN899" s="897"/>
      <c r="AO899" s="897"/>
      <c r="AP899" s="897"/>
      <c r="AQ899" s="897"/>
      <c r="AR899" s="897"/>
    </row>
    <row r="900" spans="1:44" s="930" customFormat="1">
      <c r="A900" s="892"/>
      <c r="B900" s="899"/>
      <c r="C900" s="900"/>
      <c r="D900" s="894"/>
      <c r="E900" s="895"/>
      <c r="F900" s="896"/>
      <c r="G900" s="897"/>
      <c r="H900" s="897"/>
      <c r="I900" s="897"/>
      <c r="J900" s="897"/>
      <c r="K900" s="897"/>
      <c r="L900" s="898"/>
      <c r="M900" s="898"/>
      <c r="N900" s="898"/>
      <c r="O900" s="898"/>
      <c r="P900" s="898"/>
      <c r="Q900" s="898"/>
      <c r="R900" s="898"/>
      <c r="S900" s="898"/>
      <c r="T900" s="898"/>
      <c r="U900" s="898"/>
      <c r="V900" s="898"/>
      <c r="W900" s="898"/>
      <c r="X900" s="898"/>
      <c r="Y900" s="898"/>
      <c r="Z900" s="898"/>
      <c r="AA900" s="898"/>
      <c r="AB900" s="898"/>
      <c r="AC900" s="898"/>
      <c r="AD900" s="898"/>
      <c r="AE900" s="898"/>
      <c r="AF900" s="898"/>
      <c r="AG900" s="898"/>
      <c r="AH900" s="898"/>
      <c r="AI900" s="898"/>
      <c r="AJ900" s="898"/>
      <c r="AK900" s="897"/>
      <c r="AL900" s="897"/>
      <c r="AM900" s="897"/>
      <c r="AN900" s="897"/>
      <c r="AO900" s="897"/>
      <c r="AP900" s="897"/>
      <c r="AQ900" s="897"/>
      <c r="AR900" s="897"/>
    </row>
    <row r="901" spans="1:44" s="930" customFormat="1">
      <c r="A901" s="892"/>
      <c r="B901" s="899"/>
      <c r="C901" s="900"/>
      <c r="D901" s="894"/>
      <c r="E901" s="895"/>
      <c r="F901" s="896"/>
      <c r="G901" s="897"/>
      <c r="H901" s="897"/>
      <c r="I901" s="897"/>
      <c r="J901" s="897"/>
      <c r="K901" s="897"/>
      <c r="L901" s="898"/>
      <c r="M901" s="898"/>
      <c r="N901" s="898"/>
      <c r="O901" s="898"/>
      <c r="P901" s="898"/>
      <c r="Q901" s="898"/>
      <c r="R901" s="898"/>
      <c r="S901" s="898"/>
      <c r="T901" s="898"/>
      <c r="U901" s="898"/>
      <c r="V901" s="898"/>
      <c r="W901" s="898"/>
      <c r="X901" s="898"/>
      <c r="Y901" s="898"/>
      <c r="Z901" s="898"/>
      <c r="AA901" s="898"/>
      <c r="AB901" s="898"/>
      <c r="AC901" s="898"/>
      <c r="AD901" s="898"/>
      <c r="AE901" s="898"/>
      <c r="AF901" s="898"/>
      <c r="AG901" s="898"/>
      <c r="AH901" s="898"/>
      <c r="AI901" s="898"/>
      <c r="AJ901" s="898"/>
      <c r="AK901" s="897"/>
      <c r="AL901" s="897"/>
      <c r="AM901" s="897"/>
      <c r="AN901" s="897"/>
      <c r="AO901" s="897"/>
      <c r="AP901" s="897"/>
      <c r="AQ901" s="897"/>
      <c r="AR901" s="897"/>
    </row>
    <row r="902" spans="1:44" s="930" customFormat="1">
      <c r="A902" s="892"/>
      <c r="B902" s="899"/>
      <c r="C902" s="900"/>
      <c r="D902" s="894"/>
      <c r="E902" s="895"/>
      <c r="F902" s="896"/>
      <c r="G902" s="897"/>
      <c r="H902" s="897"/>
      <c r="I902" s="897"/>
      <c r="J902" s="897"/>
      <c r="K902" s="897"/>
      <c r="L902" s="898"/>
      <c r="M902" s="898"/>
      <c r="N902" s="898"/>
      <c r="O902" s="898"/>
      <c r="P902" s="898"/>
      <c r="Q902" s="898"/>
      <c r="R902" s="898"/>
      <c r="S902" s="898"/>
      <c r="T902" s="898"/>
      <c r="U902" s="898"/>
      <c r="V902" s="898"/>
      <c r="W902" s="898"/>
      <c r="X902" s="898"/>
      <c r="Y902" s="898"/>
      <c r="Z902" s="898"/>
      <c r="AA902" s="898"/>
      <c r="AB902" s="898"/>
      <c r="AC902" s="898"/>
      <c r="AD902" s="898"/>
      <c r="AE902" s="898"/>
      <c r="AF902" s="898"/>
      <c r="AG902" s="898"/>
      <c r="AH902" s="898"/>
      <c r="AI902" s="898"/>
      <c r="AJ902" s="898"/>
      <c r="AK902" s="897"/>
      <c r="AL902" s="897"/>
      <c r="AM902" s="897"/>
      <c r="AN902" s="897"/>
      <c r="AO902" s="897"/>
      <c r="AP902" s="897"/>
      <c r="AQ902" s="897"/>
      <c r="AR902" s="897"/>
    </row>
    <row r="903" spans="1:44" s="930" customFormat="1">
      <c r="A903" s="892"/>
      <c r="B903" s="899"/>
      <c r="C903" s="900"/>
      <c r="D903" s="894"/>
      <c r="E903" s="895"/>
      <c r="F903" s="896"/>
      <c r="G903" s="897"/>
      <c r="H903" s="897"/>
      <c r="I903" s="897"/>
      <c r="J903" s="897"/>
      <c r="K903" s="897"/>
      <c r="L903" s="898"/>
      <c r="M903" s="898"/>
      <c r="N903" s="898"/>
      <c r="O903" s="898"/>
      <c r="P903" s="898"/>
      <c r="Q903" s="898"/>
      <c r="R903" s="898"/>
      <c r="S903" s="898"/>
      <c r="T903" s="898"/>
      <c r="U903" s="898"/>
      <c r="V903" s="898"/>
      <c r="W903" s="898"/>
      <c r="X903" s="898"/>
      <c r="Y903" s="898"/>
      <c r="Z903" s="898"/>
      <c r="AA903" s="898"/>
      <c r="AB903" s="898"/>
      <c r="AC903" s="898"/>
      <c r="AD903" s="898"/>
      <c r="AE903" s="898"/>
      <c r="AF903" s="898"/>
      <c r="AG903" s="898"/>
      <c r="AH903" s="898"/>
      <c r="AI903" s="898"/>
      <c r="AJ903" s="898"/>
      <c r="AK903" s="897"/>
      <c r="AL903" s="897"/>
      <c r="AM903" s="897"/>
      <c r="AN903" s="897"/>
      <c r="AO903" s="897"/>
      <c r="AP903" s="897"/>
      <c r="AQ903" s="897"/>
      <c r="AR903" s="897"/>
    </row>
    <row r="904" spans="1:44" s="930" customFormat="1">
      <c r="A904" s="892"/>
      <c r="B904" s="899"/>
      <c r="C904" s="900"/>
      <c r="D904" s="894"/>
      <c r="E904" s="895"/>
      <c r="F904" s="896"/>
      <c r="G904" s="897"/>
      <c r="H904" s="897"/>
      <c r="I904" s="897"/>
      <c r="J904" s="897"/>
      <c r="K904" s="897"/>
      <c r="L904" s="898"/>
      <c r="M904" s="898"/>
      <c r="N904" s="898"/>
      <c r="O904" s="898"/>
      <c r="P904" s="898"/>
      <c r="Q904" s="898"/>
      <c r="R904" s="898"/>
      <c r="S904" s="898"/>
      <c r="T904" s="898"/>
      <c r="U904" s="898"/>
      <c r="V904" s="898"/>
      <c r="W904" s="898"/>
      <c r="X904" s="898"/>
      <c r="Y904" s="898"/>
      <c r="Z904" s="898"/>
      <c r="AA904" s="898"/>
      <c r="AB904" s="898"/>
      <c r="AC904" s="898"/>
      <c r="AD904" s="898"/>
      <c r="AE904" s="898"/>
      <c r="AF904" s="898"/>
      <c r="AG904" s="898"/>
      <c r="AH904" s="898"/>
      <c r="AI904" s="898"/>
      <c r="AJ904" s="898"/>
      <c r="AK904" s="897"/>
      <c r="AL904" s="897"/>
      <c r="AM904" s="897"/>
      <c r="AN904" s="897"/>
      <c r="AO904" s="897"/>
      <c r="AP904" s="897"/>
      <c r="AQ904" s="897"/>
      <c r="AR904" s="897"/>
    </row>
    <row r="905" spans="1:44" s="930" customFormat="1">
      <c r="A905" s="892"/>
      <c r="B905" s="899"/>
      <c r="C905" s="900"/>
      <c r="D905" s="894"/>
      <c r="E905" s="895"/>
      <c r="F905" s="896"/>
      <c r="G905" s="897"/>
      <c r="H905" s="897"/>
      <c r="I905" s="897"/>
      <c r="J905" s="897"/>
      <c r="K905" s="897"/>
      <c r="L905" s="898"/>
      <c r="M905" s="898"/>
      <c r="N905" s="898"/>
      <c r="O905" s="898"/>
      <c r="P905" s="898"/>
      <c r="Q905" s="898"/>
      <c r="R905" s="898"/>
      <c r="S905" s="898"/>
      <c r="T905" s="898"/>
      <c r="U905" s="898"/>
      <c r="V905" s="898"/>
      <c r="W905" s="898"/>
      <c r="X905" s="898"/>
      <c r="Y905" s="898"/>
      <c r="Z905" s="898"/>
      <c r="AA905" s="898"/>
      <c r="AB905" s="898"/>
      <c r="AC905" s="898"/>
      <c r="AD905" s="898"/>
      <c r="AE905" s="898"/>
      <c r="AF905" s="898"/>
      <c r="AG905" s="898"/>
      <c r="AH905" s="898"/>
      <c r="AI905" s="898"/>
      <c r="AJ905" s="898"/>
      <c r="AK905" s="897"/>
      <c r="AL905" s="897"/>
      <c r="AM905" s="897"/>
      <c r="AN905" s="897"/>
      <c r="AO905" s="897"/>
      <c r="AP905" s="897"/>
      <c r="AQ905" s="897"/>
      <c r="AR905" s="897"/>
    </row>
    <row r="906" spans="1:44" s="930" customFormat="1">
      <c r="A906" s="892"/>
      <c r="B906" s="899"/>
      <c r="C906" s="900"/>
      <c r="D906" s="894"/>
      <c r="E906" s="895"/>
      <c r="F906" s="896"/>
      <c r="G906" s="897"/>
      <c r="H906" s="897"/>
      <c r="I906" s="897"/>
      <c r="J906" s="897"/>
      <c r="K906" s="897"/>
      <c r="L906" s="898"/>
      <c r="M906" s="898"/>
      <c r="N906" s="898"/>
      <c r="O906" s="898"/>
      <c r="P906" s="898"/>
      <c r="Q906" s="898"/>
      <c r="R906" s="898"/>
      <c r="S906" s="898"/>
      <c r="T906" s="898"/>
      <c r="U906" s="898"/>
      <c r="V906" s="898"/>
      <c r="W906" s="898"/>
      <c r="X906" s="898"/>
      <c r="Y906" s="898"/>
      <c r="Z906" s="898"/>
      <c r="AA906" s="898"/>
      <c r="AB906" s="898"/>
      <c r="AC906" s="898"/>
      <c r="AD906" s="898"/>
      <c r="AE906" s="898"/>
      <c r="AF906" s="898"/>
      <c r="AG906" s="898"/>
      <c r="AH906" s="898"/>
      <c r="AI906" s="898"/>
      <c r="AJ906" s="898"/>
      <c r="AK906" s="897"/>
      <c r="AL906" s="897"/>
      <c r="AM906" s="897"/>
      <c r="AN906" s="897"/>
      <c r="AO906" s="897"/>
      <c r="AP906" s="897"/>
      <c r="AQ906" s="897"/>
      <c r="AR906" s="897"/>
    </row>
    <row r="907" spans="1:44" s="930" customFormat="1">
      <c r="A907" s="892"/>
      <c r="B907" s="899"/>
      <c r="C907" s="900"/>
      <c r="D907" s="894"/>
      <c r="E907" s="895"/>
      <c r="F907" s="896"/>
      <c r="G907" s="897"/>
      <c r="H907" s="897"/>
      <c r="I907" s="897"/>
      <c r="J907" s="897"/>
      <c r="K907" s="897"/>
      <c r="L907" s="898"/>
      <c r="M907" s="898"/>
      <c r="N907" s="898"/>
      <c r="O907" s="898"/>
      <c r="P907" s="898"/>
      <c r="Q907" s="898"/>
      <c r="R907" s="898"/>
      <c r="S907" s="898"/>
      <c r="T907" s="898"/>
      <c r="U907" s="898"/>
      <c r="V907" s="898"/>
      <c r="W907" s="898"/>
      <c r="X907" s="898"/>
      <c r="Y907" s="898"/>
      <c r="Z907" s="898"/>
      <c r="AA907" s="898"/>
      <c r="AB907" s="898"/>
      <c r="AC907" s="898"/>
      <c r="AD907" s="898"/>
      <c r="AE907" s="898"/>
      <c r="AF907" s="898"/>
      <c r="AG907" s="898"/>
      <c r="AH907" s="898"/>
      <c r="AI907" s="898"/>
      <c r="AJ907" s="898"/>
      <c r="AK907" s="897"/>
      <c r="AL907" s="897"/>
      <c r="AM907" s="897"/>
      <c r="AN907" s="897"/>
      <c r="AO907" s="897"/>
      <c r="AP907" s="897"/>
      <c r="AQ907" s="897"/>
      <c r="AR907" s="897"/>
    </row>
    <row r="908" spans="1:44" s="930" customFormat="1">
      <c r="A908" s="892"/>
      <c r="B908" s="899"/>
      <c r="C908" s="900"/>
      <c r="D908" s="894"/>
      <c r="E908" s="895"/>
      <c r="F908" s="896"/>
      <c r="G908" s="897"/>
      <c r="H908" s="897"/>
      <c r="I908" s="897"/>
      <c r="J908" s="897"/>
      <c r="K908" s="897"/>
      <c r="L908" s="898"/>
      <c r="M908" s="898"/>
      <c r="N908" s="898"/>
      <c r="O908" s="898"/>
      <c r="P908" s="898"/>
      <c r="Q908" s="898"/>
      <c r="R908" s="898"/>
      <c r="S908" s="898"/>
      <c r="T908" s="898"/>
      <c r="U908" s="898"/>
      <c r="V908" s="898"/>
      <c r="W908" s="898"/>
      <c r="X908" s="898"/>
      <c r="Y908" s="898"/>
      <c r="Z908" s="898"/>
      <c r="AA908" s="898"/>
      <c r="AB908" s="898"/>
      <c r="AC908" s="898"/>
      <c r="AD908" s="898"/>
      <c r="AE908" s="898"/>
      <c r="AF908" s="898"/>
      <c r="AG908" s="898"/>
      <c r="AH908" s="898"/>
      <c r="AI908" s="898"/>
      <c r="AJ908" s="898"/>
      <c r="AK908" s="897"/>
      <c r="AL908" s="897"/>
      <c r="AM908" s="897"/>
      <c r="AN908" s="897"/>
      <c r="AO908" s="897"/>
      <c r="AP908" s="897"/>
      <c r="AQ908" s="897"/>
      <c r="AR908" s="897"/>
    </row>
    <row r="909" spans="1:44" s="930" customFormat="1">
      <c r="A909" s="892"/>
      <c r="B909" s="899"/>
      <c r="C909" s="900"/>
      <c r="D909" s="894"/>
      <c r="E909" s="895"/>
      <c r="F909" s="896"/>
      <c r="G909" s="897"/>
      <c r="H909" s="897"/>
      <c r="I909" s="897"/>
      <c r="J909" s="897"/>
      <c r="K909" s="897"/>
      <c r="L909" s="898"/>
      <c r="M909" s="898"/>
      <c r="N909" s="898"/>
      <c r="O909" s="898"/>
      <c r="P909" s="898"/>
      <c r="Q909" s="898"/>
      <c r="R909" s="898"/>
      <c r="S909" s="898"/>
      <c r="T909" s="898"/>
      <c r="U909" s="898"/>
      <c r="V909" s="898"/>
      <c r="W909" s="898"/>
      <c r="X909" s="898"/>
      <c r="Y909" s="898"/>
      <c r="Z909" s="898"/>
      <c r="AA909" s="898"/>
      <c r="AB909" s="898"/>
      <c r="AC909" s="898"/>
      <c r="AD909" s="898"/>
      <c r="AE909" s="898"/>
      <c r="AF909" s="898"/>
      <c r="AG909" s="898"/>
      <c r="AH909" s="898"/>
      <c r="AI909" s="898"/>
      <c r="AJ909" s="898"/>
      <c r="AK909" s="897"/>
      <c r="AL909" s="897"/>
      <c r="AM909" s="897"/>
      <c r="AN909" s="897"/>
      <c r="AO909" s="897"/>
      <c r="AP909" s="897"/>
      <c r="AQ909" s="897"/>
      <c r="AR909" s="897"/>
    </row>
    <row r="910" spans="1:44" s="930" customFormat="1">
      <c r="A910" s="892"/>
      <c r="B910" s="899"/>
      <c r="C910" s="900"/>
      <c r="D910" s="894"/>
      <c r="E910" s="895"/>
      <c r="F910" s="896"/>
      <c r="G910" s="897"/>
      <c r="H910" s="897"/>
      <c r="I910" s="897"/>
      <c r="J910" s="897"/>
      <c r="K910" s="897"/>
      <c r="L910" s="898"/>
      <c r="M910" s="898"/>
      <c r="N910" s="898"/>
      <c r="O910" s="898"/>
      <c r="P910" s="898"/>
      <c r="Q910" s="898"/>
      <c r="R910" s="898"/>
      <c r="S910" s="898"/>
      <c r="T910" s="898"/>
      <c r="U910" s="898"/>
      <c r="V910" s="898"/>
      <c r="W910" s="898"/>
      <c r="X910" s="898"/>
      <c r="Y910" s="898"/>
      <c r="Z910" s="898"/>
      <c r="AA910" s="898"/>
      <c r="AB910" s="898"/>
      <c r="AC910" s="898"/>
      <c r="AD910" s="898"/>
      <c r="AE910" s="898"/>
      <c r="AF910" s="898"/>
      <c r="AG910" s="898"/>
      <c r="AH910" s="898"/>
      <c r="AI910" s="898"/>
      <c r="AJ910" s="898"/>
      <c r="AK910" s="897"/>
      <c r="AL910" s="897"/>
      <c r="AM910" s="897"/>
      <c r="AN910" s="897"/>
      <c r="AO910" s="897"/>
      <c r="AP910" s="897"/>
      <c r="AQ910" s="897"/>
      <c r="AR910" s="897"/>
    </row>
    <row r="911" spans="1:44" s="930" customFormat="1">
      <c r="A911" s="892"/>
      <c r="B911" s="899"/>
      <c r="C911" s="900"/>
      <c r="D911" s="894"/>
      <c r="E911" s="895"/>
      <c r="F911" s="896"/>
      <c r="G911" s="897"/>
      <c r="H911" s="897"/>
      <c r="I911" s="897"/>
      <c r="J911" s="897"/>
      <c r="K911" s="897"/>
      <c r="L911" s="898"/>
      <c r="M911" s="898"/>
      <c r="N911" s="898"/>
      <c r="O911" s="898"/>
      <c r="P911" s="898"/>
      <c r="Q911" s="898"/>
      <c r="R911" s="898"/>
      <c r="S911" s="898"/>
      <c r="T911" s="898"/>
      <c r="U911" s="898"/>
      <c r="V911" s="898"/>
      <c r="W911" s="898"/>
      <c r="X911" s="898"/>
      <c r="Y911" s="898"/>
      <c r="Z911" s="898"/>
      <c r="AA911" s="898"/>
      <c r="AB911" s="898"/>
      <c r="AC911" s="898"/>
      <c r="AD911" s="898"/>
      <c r="AE911" s="898"/>
      <c r="AF911" s="898"/>
      <c r="AG911" s="898"/>
      <c r="AH911" s="898"/>
      <c r="AI911" s="898"/>
      <c r="AJ911" s="898"/>
      <c r="AK911" s="897"/>
      <c r="AL911" s="897"/>
      <c r="AM911" s="897"/>
      <c r="AN911" s="897"/>
      <c r="AO911" s="897"/>
      <c r="AP911" s="897"/>
      <c r="AQ911" s="897"/>
      <c r="AR911" s="897"/>
    </row>
    <row r="912" spans="1:44" s="930" customFormat="1">
      <c r="A912" s="892"/>
      <c r="B912" s="899"/>
      <c r="C912" s="900"/>
      <c r="D912" s="894"/>
      <c r="E912" s="895"/>
      <c r="F912" s="896"/>
      <c r="G912" s="897"/>
      <c r="H912" s="897"/>
      <c r="I912" s="897"/>
      <c r="J912" s="897"/>
      <c r="K912" s="897"/>
      <c r="L912" s="898"/>
      <c r="M912" s="898"/>
      <c r="N912" s="898"/>
      <c r="O912" s="898"/>
      <c r="P912" s="898"/>
      <c r="Q912" s="898"/>
      <c r="R912" s="898"/>
      <c r="S912" s="898"/>
      <c r="T912" s="898"/>
      <c r="U912" s="898"/>
      <c r="V912" s="898"/>
      <c r="W912" s="898"/>
      <c r="X912" s="898"/>
      <c r="Y912" s="898"/>
      <c r="Z912" s="898"/>
      <c r="AA912" s="898"/>
      <c r="AB912" s="898"/>
      <c r="AC912" s="898"/>
      <c r="AD912" s="898"/>
      <c r="AE912" s="898"/>
      <c r="AF912" s="898"/>
      <c r="AG912" s="898"/>
      <c r="AH912" s="898"/>
      <c r="AI912" s="898"/>
      <c r="AJ912" s="898"/>
      <c r="AK912" s="897"/>
      <c r="AL912" s="897"/>
      <c r="AM912" s="897"/>
      <c r="AN912" s="897"/>
      <c r="AO912" s="897"/>
      <c r="AP912" s="897"/>
      <c r="AQ912" s="897"/>
      <c r="AR912" s="897"/>
    </row>
    <row r="913" spans="1:44" s="930" customFormat="1">
      <c r="A913" s="892"/>
      <c r="B913" s="899"/>
      <c r="C913" s="900"/>
      <c r="D913" s="894"/>
      <c r="E913" s="895"/>
      <c r="F913" s="896"/>
      <c r="G913" s="897"/>
      <c r="H913" s="897"/>
      <c r="I913" s="897"/>
      <c r="J913" s="897"/>
      <c r="K913" s="897"/>
      <c r="L913" s="898"/>
      <c r="M913" s="898"/>
      <c r="N913" s="898"/>
      <c r="O913" s="898"/>
      <c r="P913" s="898"/>
      <c r="Q913" s="898"/>
      <c r="R913" s="898"/>
      <c r="S913" s="898"/>
      <c r="T913" s="898"/>
      <c r="U913" s="898"/>
      <c r="V913" s="898"/>
      <c r="W913" s="898"/>
      <c r="X913" s="898"/>
      <c r="Y913" s="898"/>
      <c r="Z913" s="898"/>
      <c r="AA913" s="898"/>
      <c r="AB913" s="898"/>
      <c r="AC913" s="898"/>
      <c r="AD913" s="898"/>
      <c r="AE913" s="898"/>
      <c r="AF913" s="898"/>
      <c r="AG913" s="898"/>
      <c r="AH913" s="898"/>
      <c r="AI913" s="898"/>
      <c r="AJ913" s="898"/>
      <c r="AK913" s="897"/>
      <c r="AL913" s="897"/>
      <c r="AM913" s="897"/>
      <c r="AN913" s="897"/>
      <c r="AO913" s="897"/>
      <c r="AP913" s="897"/>
      <c r="AQ913" s="897"/>
      <c r="AR913" s="897"/>
    </row>
    <row r="914" spans="1:44" s="930" customFormat="1">
      <c r="A914" s="892"/>
      <c r="B914" s="899"/>
      <c r="C914" s="900"/>
      <c r="D914" s="894"/>
      <c r="E914" s="895"/>
      <c r="F914" s="896"/>
      <c r="G914" s="897"/>
      <c r="H914" s="897"/>
      <c r="I914" s="897"/>
      <c r="J914" s="897"/>
      <c r="K914" s="897"/>
      <c r="L914" s="898"/>
      <c r="M914" s="898"/>
      <c r="N914" s="898"/>
      <c r="O914" s="898"/>
      <c r="P914" s="898"/>
      <c r="Q914" s="898"/>
      <c r="R914" s="898"/>
      <c r="S914" s="898"/>
      <c r="T914" s="898"/>
      <c r="U914" s="898"/>
      <c r="V914" s="898"/>
      <c r="W914" s="898"/>
      <c r="X914" s="898"/>
      <c r="Y914" s="898"/>
      <c r="Z914" s="898"/>
      <c r="AA914" s="898"/>
      <c r="AB914" s="898"/>
      <c r="AC914" s="898"/>
      <c r="AD914" s="898"/>
      <c r="AE914" s="898"/>
      <c r="AF914" s="898"/>
      <c r="AG914" s="898"/>
      <c r="AH914" s="898"/>
      <c r="AI914" s="898"/>
      <c r="AJ914" s="898"/>
      <c r="AK914" s="897"/>
      <c r="AL914" s="897"/>
      <c r="AM914" s="897"/>
      <c r="AN914" s="897"/>
      <c r="AO914" s="897"/>
      <c r="AP914" s="897"/>
      <c r="AQ914" s="897"/>
      <c r="AR914" s="897"/>
    </row>
    <row r="915" spans="1:44" s="930" customFormat="1">
      <c r="A915" s="892"/>
      <c r="B915" s="899"/>
      <c r="C915" s="900"/>
      <c r="D915" s="894"/>
      <c r="E915" s="895"/>
      <c r="F915" s="896"/>
      <c r="G915" s="897"/>
      <c r="H915" s="897"/>
      <c r="I915" s="897"/>
      <c r="J915" s="897"/>
      <c r="K915" s="897"/>
      <c r="L915" s="898"/>
      <c r="M915" s="898"/>
      <c r="N915" s="898"/>
      <c r="O915" s="898"/>
      <c r="P915" s="898"/>
      <c r="Q915" s="898"/>
      <c r="R915" s="898"/>
      <c r="S915" s="898"/>
      <c r="T915" s="898"/>
      <c r="U915" s="898"/>
      <c r="V915" s="898"/>
      <c r="W915" s="898"/>
      <c r="X915" s="898"/>
      <c r="Y915" s="898"/>
      <c r="Z915" s="898"/>
      <c r="AA915" s="898"/>
      <c r="AB915" s="898"/>
      <c r="AC915" s="898"/>
      <c r="AD915" s="898"/>
      <c r="AE915" s="898"/>
      <c r="AF915" s="898"/>
      <c r="AG915" s="898"/>
      <c r="AH915" s="898"/>
      <c r="AI915" s="898"/>
      <c r="AJ915" s="898"/>
      <c r="AK915" s="897"/>
      <c r="AL915" s="897"/>
      <c r="AM915" s="897"/>
      <c r="AN915" s="897"/>
      <c r="AO915" s="897"/>
      <c r="AP915" s="897"/>
      <c r="AQ915" s="897"/>
      <c r="AR915" s="897"/>
    </row>
    <row r="916" spans="1:44" s="930" customFormat="1">
      <c r="A916" s="892"/>
      <c r="B916" s="899"/>
      <c r="C916" s="900"/>
      <c r="D916" s="894"/>
      <c r="E916" s="895"/>
      <c r="F916" s="896"/>
      <c r="G916" s="897"/>
      <c r="H916" s="897"/>
      <c r="I916" s="897"/>
      <c r="J916" s="897"/>
      <c r="K916" s="897"/>
      <c r="L916" s="898"/>
      <c r="M916" s="898"/>
      <c r="N916" s="898"/>
      <c r="O916" s="898"/>
      <c r="P916" s="898"/>
      <c r="Q916" s="898"/>
      <c r="R916" s="898"/>
      <c r="S916" s="898"/>
      <c r="T916" s="898"/>
      <c r="U916" s="898"/>
      <c r="V916" s="898"/>
      <c r="W916" s="898"/>
      <c r="X916" s="898"/>
      <c r="Y916" s="898"/>
      <c r="Z916" s="898"/>
      <c r="AA916" s="898"/>
      <c r="AB916" s="898"/>
      <c r="AC916" s="898"/>
      <c r="AD916" s="898"/>
      <c r="AE916" s="898"/>
      <c r="AF916" s="898"/>
      <c r="AG916" s="898"/>
      <c r="AH916" s="898"/>
      <c r="AI916" s="898"/>
      <c r="AJ916" s="898"/>
      <c r="AK916" s="897"/>
      <c r="AL916" s="897"/>
      <c r="AM916" s="897"/>
      <c r="AN916" s="897"/>
      <c r="AO916" s="897"/>
      <c r="AP916" s="897"/>
      <c r="AQ916" s="897"/>
      <c r="AR916" s="897"/>
    </row>
    <row r="917" spans="1:44" s="930" customFormat="1">
      <c r="A917" s="892"/>
      <c r="B917" s="899"/>
      <c r="C917" s="900"/>
      <c r="D917" s="894"/>
      <c r="E917" s="895"/>
      <c r="F917" s="896"/>
      <c r="G917" s="897"/>
      <c r="H917" s="897"/>
      <c r="I917" s="897"/>
      <c r="J917" s="897"/>
      <c r="K917" s="897"/>
      <c r="L917" s="898"/>
      <c r="M917" s="898"/>
      <c r="N917" s="898"/>
      <c r="O917" s="898"/>
      <c r="P917" s="898"/>
      <c r="Q917" s="898"/>
      <c r="R917" s="898"/>
      <c r="S917" s="898"/>
      <c r="T917" s="898"/>
      <c r="U917" s="898"/>
      <c r="V917" s="898"/>
      <c r="W917" s="898"/>
      <c r="X917" s="898"/>
      <c r="Y917" s="898"/>
      <c r="Z917" s="898"/>
      <c r="AA917" s="898"/>
      <c r="AB917" s="898"/>
      <c r="AC917" s="898"/>
      <c r="AD917" s="898"/>
      <c r="AE917" s="898"/>
      <c r="AF917" s="898"/>
      <c r="AG917" s="898"/>
      <c r="AH917" s="898"/>
      <c r="AI917" s="898"/>
      <c r="AJ917" s="898"/>
      <c r="AK917" s="897"/>
      <c r="AL917" s="897"/>
      <c r="AM917" s="897"/>
      <c r="AN917" s="897"/>
      <c r="AO917" s="897"/>
      <c r="AP917" s="897"/>
      <c r="AQ917" s="897"/>
      <c r="AR917" s="897"/>
    </row>
    <row r="918" spans="1:44" s="930" customFormat="1">
      <c r="A918" s="892"/>
      <c r="B918" s="899"/>
      <c r="C918" s="900"/>
      <c r="D918" s="894"/>
      <c r="E918" s="895"/>
      <c r="F918" s="896"/>
      <c r="G918" s="897"/>
      <c r="H918" s="897"/>
      <c r="I918" s="897"/>
      <c r="J918" s="897"/>
      <c r="K918" s="897"/>
      <c r="L918" s="898"/>
      <c r="M918" s="898"/>
      <c r="N918" s="898"/>
      <c r="O918" s="898"/>
      <c r="P918" s="898"/>
      <c r="Q918" s="898"/>
      <c r="R918" s="898"/>
      <c r="S918" s="898"/>
      <c r="T918" s="898"/>
      <c r="U918" s="898"/>
      <c r="V918" s="898"/>
      <c r="W918" s="898"/>
      <c r="X918" s="898"/>
      <c r="Y918" s="898"/>
      <c r="Z918" s="898"/>
      <c r="AA918" s="898"/>
      <c r="AB918" s="898"/>
      <c r="AC918" s="898"/>
      <c r="AD918" s="898"/>
      <c r="AE918" s="898"/>
      <c r="AF918" s="898"/>
      <c r="AG918" s="898"/>
      <c r="AH918" s="898"/>
      <c r="AI918" s="898"/>
      <c r="AJ918" s="898"/>
      <c r="AK918" s="897"/>
      <c r="AL918" s="897"/>
      <c r="AM918" s="897"/>
      <c r="AN918" s="897"/>
      <c r="AO918" s="897"/>
      <c r="AP918" s="897"/>
      <c r="AQ918" s="897"/>
      <c r="AR918" s="897"/>
    </row>
    <row r="919" spans="1:44" s="930" customFormat="1">
      <c r="A919" s="892"/>
      <c r="B919" s="899"/>
      <c r="C919" s="900"/>
      <c r="D919" s="894"/>
      <c r="E919" s="895"/>
      <c r="F919" s="896"/>
      <c r="G919" s="897"/>
      <c r="H919" s="897"/>
      <c r="I919" s="897"/>
      <c r="J919" s="897"/>
      <c r="K919" s="897"/>
      <c r="L919" s="898"/>
      <c r="M919" s="898"/>
      <c r="N919" s="898"/>
      <c r="O919" s="898"/>
      <c r="P919" s="898"/>
      <c r="Q919" s="898"/>
      <c r="R919" s="898"/>
      <c r="S919" s="898"/>
      <c r="T919" s="898"/>
      <c r="U919" s="898"/>
      <c r="V919" s="898"/>
      <c r="W919" s="898"/>
      <c r="X919" s="898"/>
      <c r="Y919" s="898"/>
      <c r="Z919" s="898"/>
      <c r="AA919" s="898"/>
      <c r="AB919" s="898"/>
      <c r="AC919" s="898"/>
      <c r="AD919" s="898"/>
      <c r="AE919" s="898"/>
      <c r="AF919" s="898"/>
      <c r="AG919" s="898"/>
      <c r="AH919" s="898"/>
      <c r="AI919" s="898"/>
      <c r="AJ919" s="898"/>
      <c r="AK919" s="897"/>
      <c r="AL919" s="897"/>
      <c r="AM919" s="897"/>
      <c r="AN919" s="897"/>
      <c r="AO919" s="897"/>
      <c r="AP919" s="897"/>
      <c r="AQ919" s="897"/>
      <c r="AR919" s="897"/>
    </row>
    <row r="920" spans="1:44" s="930" customFormat="1">
      <c r="A920" s="892"/>
      <c r="B920" s="899"/>
      <c r="C920" s="900"/>
      <c r="D920" s="894"/>
      <c r="E920" s="895"/>
      <c r="F920" s="896"/>
      <c r="G920" s="897"/>
      <c r="H920" s="897"/>
      <c r="I920" s="897"/>
      <c r="J920" s="897"/>
      <c r="K920" s="897"/>
      <c r="L920" s="898"/>
      <c r="M920" s="898"/>
      <c r="N920" s="898"/>
      <c r="O920" s="898"/>
      <c r="P920" s="898"/>
      <c r="Q920" s="898"/>
      <c r="R920" s="898"/>
      <c r="S920" s="898"/>
      <c r="T920" s="898"/>
      <c r="U920" s="898"/>
      <c r="V920" s="898"/>
      <c r="W920" s="898"/>
      <c r="X920" s="898"/>
      <c r="Y920" s="898"/>
      <c r="Z920" s="898"/>
      <c r="AA920" s="898"/>
      <c r="AB920" s="898"/>
      <c r="AC920" s="898"/>
      <c r="AD920" s="898"/>
      <c r="AE920" s="898"/>
      <c r="AF920" s="898"/>
      <c r="AG920" s="898"/>
      <c r="AH920" s="898"/>
      <c r="AI920" s="898"/>
      <c r="AJ920" s="898"/>
      <c r="AK920" s="897"/>
      <c r="AL920" s="897"/>
      <c r="AM920" s="897"/>
      <c r="AN920" s="897"/>
      <c r="AO920" s="897"/>
      <c r="AP920" s="897"/>
      <c r="AQ920" s="897"/>
      <c r="AR920" s="897"/>
    </row>
    <row r="921" spans="1:44" s="930" customFormat="1">
      <c r="A921" s="892"/>
      <c r="B921" s="899"/>
      <c r="C921" s="900"/>
      <c r="D921" s="894"/>
      <c r="E921" s="895"/>
      <c r="F921" s="896"/>
      <c r="G921" s="897"/>
      <c r="H921" s="897"/>
      <c r="I921" s="897"/>
      <c r="J921" s="897"/>
      <c r="K921" s="897"/>
      <c r="L921" s="898"/>
      <c r="M921" s="898"/>
      <c r="N921" s="898"/>
      <c r="O921" s="898"/>
      <c r="P921" s="898"/>
      <c r="Q921" s="898"/>
      <c r="R921" s="898"/>
      <c r="S921" s="898"/>
      <c r="T921" s="898"/>
      <c r="U921" s="898"/>
      <c r="V921" s="898"/>
      <c r="W921" s="898"/>
      <c r="X921" s="898"/>
      <c r="Y921" s="898"/>
      <c r="Z921" s="898"/>
      <c r="AA921" s="898"/>
      <c r="AB921" s="898"/>
      <c r="AC921" s="898"/>
      <c r="AD921" s="898"/>
      <c r="AE921" s="898"/>
      <c r="AF921" s="898"/>
      <c r="AG921" s="898"/>
      <c r="AH921" s="898"/>
      <c r="AI921" s="898"/>
      <c r="AJ921" s="898"/>
      <c r="AK921" s="897"/>
      <c r="AL921" s="897"/>
      <c r="AM921" s="897"/>
      <c r="AN921" s="897"/>
      <c r="AO921" s="897"/>
      <c r="AP921" s="897"/>
      <c r="AQ921" s="897"/>
      <c r="AR921" s="897"/>
    </row>
    <row r="922" spans="1:44" s="930" customFormat="1">
      <c r="A922" s="892"/>
      <c r="B922" s="899"/>
      <c r="C922" s="900"/>
      <c r="D922" s="894"/>
      <c r="E922" s="895"/>
      <c r="F922" s="896"/>
      <c r="G922" s="897"/>
      <c r="H922" s="897"/>
      <c r="I922" s="897"/>
      <c r="J922" s="897"/>
      <c r="K922" s="897"/>
      <c r="L922" s="898"/>
      <c r="M922" s="898"/>
      <c r="N922" s="898"/>
      <c r="O922" s="898"/>
      <c r="P922" s="898"/>
      <c r="Q922" s="898"/>
      <c r="R922" s="898"/>
      <c r="S922" s="898"/>
      <c r="T922" s="898"/>
      <c r="U922" s="898"/>
      <c r="V922" s="898"/>
      <c r="W922" s="898"/>
      <c r="X922" s="898"/>
      <c r="Y922" s="898"/>
      <c r="Z922" s="898"/>
      <c r="AA922" s="898"/>
      <c r="AB922" s="898"/>
      <c r="AC922" s="898"/>
      <c r="AD922" s="898"/>
      <c r="AE922" s="898"/>
      <c r="AF922" s="898"/>
      <c r="AG922" s="898"/>
      <c r="AH922" s="898"/>
      <c r="AI922" s="898"/>
      <c r="AJ922" s="898"/>
      <c r="AK922" s="897"/>
      <c r="AL922" s="897"/>
      <c r="AM922" s="897"/>
      <c r="AN922" s="897"/>
      <c r="AO922" s="897"/>
      <c r="AP922" s="897"/>
      <c r="AQ922" s="897"/>
      <c r="AR922" s="897"/>
    </row>
    <row r="923" spans="1:44" s="930" customFormat="1">
      <c r="A923" s="892"/>
      <c r="B923" s="899"/>
      <c r="C923" s="900"/>
      <c r="D923" s="894"/>
      <c r="E923" s="895"/>
      <c r="F923" s="896"/>
      <c r="G923" s="897"/>
      <c r="H923" s="897"/>
      <c r="I923" s="897"/>
      <c r="J923" s="897"/>
      <c r="K923" s="897"/>
      <c r="L923" s="898"/>
      <c r="M923" s="898"/>
      <c r="N923" s="898"/>
      <c r="O923" s="898"/>
      <c r="P923" s="898"/>
      <c r="Q923" s="898"/>
      <c r="R923" s="898"/>
      <c r="S923" s="898"/>
      <c r="T923" s="898"/>
      <c r="U923" s="898"/>
      <c r="V923" s="898"/>
      <c r="W923" s="898"/>
      <c r="X923" s="898"/>
      <c r="Y923" s="898"/>
      <c r="Z923" s="898"/>
      <c r="AA923" s="898"/>
      <c r="AB923" s="898"/>
      <c r="AC923" s="898"/>
      <c r="AD923" s="898"/>
      <c r="AE923" s="898"/>
      <c r="AF923" s="898"/>
      <c r="AG923" s="898"/>
      <c r="AH923" s="898"/>
      <c r="AI923" s="898"/>
      <c r="AJ923" s="898"/>
      <c r="AK923" s="897"/>
      <c r="AL923" s="897"/>
      <c r="AM923" s="897"/>
      <c r="AN923" s="897"/>
      <c r="AO923" s="897"/>
      <c r="AP923" s="897"/>
      <c r="AQ923" s="897"/>
      <c r="AR923" s="897"/>
    </row>
    <row r="924" spans="1:44" s="930" customFormat="1">
      <c r="A924" s="892"/>
      <c r="B924" s="899"/>
      <c r="C924" s="900"/>
      <c r="D924" s="894"/>
      <c r="E924" s="895"/>
      <c r="F924" s="896"/>
      <c r="G924" s="897"/>
      <c r="H924" s="897"/>
      <c r="I924" s="897"/>
      <c r="J924" s="897"/>
      <c r="K924" s="897"/>
      <c r="L924" s="898"/>
      <c r="M924" s="898"/>
      <c r="N924" s="898"/>
      <c r="O924" s="898"/>
      <c r="P924" s="898"/>
      <c r="Q924" s="898"/>
      <c r="R924" s="898"/>
      <c r="S924" s="898"/>
      <c r="T924" s="898"/>
      <c r="U924" s="898"/>
      <c r="V924" s="898"/>
      <c r="W924" s="898"/>
      <c r="X924" s="898"/>
      <c r="Y924" s="898"/>
      <c r="Z924" s="898"/>
      <c r="AA924" s="898"/>
      <c r="AB924" s="898"/>
      <c r="AC924" s="898"/>
      <c r="AD924" s="898"/>
      <c r="AE924" s="898"/>
      <c r="AF924" s="898"/>
      <c r="AG924" s="898"/>
      <c r="AH924" s="898"/>
      <c r="AI924" s="898"/>
      <c r="AJ924" s="898"/>
      <c r="AK924" s="897"/>
      <c r="AL924" s="897"/>
      <c r="AM924" s="897"/>
      <c r="AN924" s="897"/>
      <c r="AO924" s="897"/>
      <c r="AP924" s="897"/>
      <c r="AQ924" s="897"/>
      <c r="AR924" s="897"/>
    </row>
    <row r="925" spans="1:44" s="930" customFormat="1">
      <c r="A925" s="892"/>
      <c r="B925" s="899"/>
      <c r="C925" s="900"/>
      <c r="D925" s="894"/>
      <c r="E925" s="895"/>
      <c r="F925" s="896"/>
      <c r="G925" s="897"/>
      <c r="H925" s="897"/>
      <c r="I925" s="897"/>
      <c r="J925" s="897"/>
      <c r="K925" s="897"/>
      <c r="L925" s="898"/>
      <c r="M925" s="898"/>
      <c r="N925" s="898"/>
      <c r="O925" s="898"/>
      <c r="P925" s="898"/>
      <c r="Q925" s="898"/>
      <c r="R925" s="898"/>
      <c r="S925" s="898"/>
      <c r="T925" s="898"/>
      <c r="U925" s="898"/>
      <c r="V925" s="898"/>
      <c r="W925" s="898"/>
      <c r="X925" s="898"/>
      <c r="Y925" s="898"/>
      <c r="Z925" s="898"/>
      <c r="AA925" s="898"/>
      <c r="AB925" s="898"/>
      <c r="AC925" s="898"/>
      <c r="AD925" s="898"/>
      <c r="AE925" s="898"/>
      <c r="AF925" s="898"/>
      <c r="AG925" s="898"/>
      <c r="AH925" s="898"/>
      <c r="AI925" s="898"/>
      <c r="AJ925" s="898"/>
      <c r="AK925" s="897"/>
      <c r="AL925" s="897"/>
      <c r="AM925" s="897"/>
      <c r="AN925" s="897"/>
      <c r="AO925" s="897"/>
      <c r="AP925" s="897"/>
      <c r="AQ925" s="897"/>
      <c r="AR925" s="897"/>
    </row>
    <row r="926" spans="1:44" s="930" customFormat="1">
      <c r="A926" s="892"/>
      <c r="B926" s="899"/>
      <c r="C926" s="900"/>
      <c r="D926" s="894"/>
      <c r="E926" s="895"/>
      <c r="F926" s="896"/>
      <c r="G926" s="897"/>
      <c r="H926" s="897"/>
      <c r="I926" s="897"/>
      <c r="J926" s="897"/>
      <c r="K926" s="897"/>
      <c r="L926" s="898"/>
      <c r="M926" s="898"/>
      <c r="N926" s="898"/>
      <c r="O926" s="898"/>
      <c r="P926" s="898"/>
      <c r="Q926" s="898"/>
      <c r="R926" s="898"/>
      <c r="S926" s="898"/>
      <c r="T926" s="898"/>
      <c r="U926" s="898"/>
      <c r="V926" s="898"/>
      <c r="W926" s="898"/>
      <c r="X926" s="898"/>
      <c r="Y926" s="898"/>
      <c r="Z926" s="898"/>
      <c r="AA926" s="898"/>
      <c r="AB926" s="898"/>
      <c r="AC926" s="898"/>
      <c r="AD926" s="898"/>
      <c r="AE926" s="898"/>
      <c r="AF926" s="898"/>
      <c r="AG926" s="898"/>
      <c r="AH926" s="898"/>
      <c r="AI926" s="898"/>
      <c r="AJ926" s="898"/>
      <c r="AK926" s="897"/>
      <c r="AL926" s="897"/>
      <c r="AM926" s="897"/>
      <c r="AN926" s="897"/>
      <c r="AO926" s="897"/>
      <c r="AP926" s="897"/>
      <c r="AQ926" s="897"/>
      <c r="AR926" s="897"/>
    </row>
    <row r="927" spans="1:44" s="930" customFormat="1">
      <c r="A927" s="892"/>
      <c r="B927" s="899"/>
      <c r="C927" s="900"/>
      <c r="D927" s="894"/>
      <c r="E927" s="895"/>
      <c r="F927" s="896"/>
      <c r="G927" s="897"/>
      <c r="H927" s="897"/>
      <c r="I927" s="897"/>
      <c r="J927" s="897"/>
      <c r="K927" s="897"/>
      <c r="L927" s="898"/>
      <c r="M927" s="898"/>
      <c r="N927" s="898"/>
      <c r="O927" s="898"/>
      <c r="P927" s="898"/>
      <c r="Q927" s="898"/>
      <c r="R927" s="898"/>
      <c r="S927" s="898"/>
      <c r="T927" s="898"/>
      <c r="U927" s="898"/>
      <c r="V927" s="898"/>
      <c r="W927" s="898"/>
      <c r="X927" s="898"/>
      <c r="Y927" s="898"/>
      <c r="Z927" s="898"/>
      <c r="AA927" s="898"/>
      <c r="AB927" s="898"/>
      <c r="AC927" s="898"/>
      <c r="AD927" s="898"/>
      <c r="AE927" s="898"/>
      <c r="AF927" s="898"/>
      <c r="AG927" s="898"/>
      <c r="AH927" s="898"/>
      <c r="AI927" s="898"/>
      <c r="AJ927" s="898"/>
      <c r="AK927" s="897"/>
      <c r="AL927" s="897"/>
      <c r="AM927" s="897"/>
      <c r="AN927" s="897"/>
      <c r="AO927" s="897"/>
      <c r="AP927" s="897"/>
      <c r="AQ927" s="897"/>
      <c r="AR927" s="897"/>
    </row>
    <row r="928" spans="1:44" s="930" customFormat="1">
      <c r="A928" s="892"/>
      <c r="B928" s="899"/>
      <c r="C928" s="900"/>
      <c r="D928" s="894"/>
      <c r="E928" s="895"/>
      <c r="F928" s="896"/>
      <c r="G928" s="897"/>
      <c r="H928" s="897"/>
      <c r="I928" s="897"/>
      <c r="J928" s="897"/>
      <c r="K928" s="897"/>
      <c r="L928" s="898"/>
      <c r="M928" s="898"/>
      <c r="N928" s="898"/>
      <c r="O928" s="898"/>
      <c r="P928" s="898"/>
      <c r="Q928" s="898"/>
      <c r="R928" s="898"/>
      <c r="S928" s="898"/>
      <c r="T928" s="898"/>
      <c r="U928" s="898"/>
      <c r="V928" s="898"/>
      <c r="W928" s="898"/>
      <c r="X928" s="898"/>
      <c r="Y928" s="898"/>
      <c r="Z928" s="898"/>
      <c r="AA928" s="898"/>
      <c r="AB928" s="898"/>
      <c r="AC928" s="898"/>
      <c r="AD928" s="898"/>
      <c r="AE928" s="898"/>
      <c r="AF928" s="898"/>
      <c r="AG928" s="898"/>
      <c r="AH928" s="898"/>
      <c r="AI928" s="898"/>
      <c r="AJ928" s="898"/>
      <c r="AK928" s="897"/>
      <c r="AL928" s="897"/>
      <c r="AM928" s="897"/>
      <c r="AN928" s="897"/>
      <c r="AO928" s="897"/>
      <c r="AP928" s="897"/>
      <c r="AQ928" s="897"/>
      <c r="AR928" s="897"/>
    </row>
    <row r="929" spans="1:44" s="930" customFormat="1">
      <c r="A929" s="892"/>
      <c r="B929" s="899"/>
      <c r="C929" s="900"/>
      <c r="D929" s="894"/>
      <c r="E929" s="895"/>
      <c r="F929" s="896"/>
      <c r="G929" s="897"/>
      <c r="H929" s="897"/>
      <c r="I929" s="897"/>
      <c r="J929" s="897"/>
      <c r="K929" s="897"/>
      <c r="L929" s="898"/>
      <c r="M929" s="898"/>
      <c r="N929" s="898"/>
      <c r="O929" s="898"/>
      <c r="P929" s="898"/>
      <c r="Q929" s="898"/>
      <c r="R929" s="898"/>
      <c r="S929" s="898"/>
      <c r="T929" s="898"/>
      <c r="U929" s="898"/>
      <c r="V929" s="898"/>
      <c r="W929" s="898"/>
      <c r="X929" s="898"/>
      <c r="Y929" s="898"/>
      <c r="Z929" s="898"/>
      <c r="AA929" s="898"/>
      <c r="AB929" s="898"/>
      <c r="AC929" s="898"/>
      <c r="AD929" s="898"/>
      <c r="AE929" s="898"/>
      <c r="AF929" s="898"/>
      <c r="AG929" s="898"/>
      <c r="AH929" s="898"/>
      <c r="AI929" s="898"/>
      <c r="AJ929" s="898"/>
      <c r="AK929" s="897"/>
      <c r="AL929" s="897"/>
      <c r="AM929" s="897"/>
      <c r="AN929" s="897"/>
      <c r="AO929" s="897"/>
      <c r="AP929" s="897"/>
      <c r="AQ929" s="897"/>
      <c r="AR929" s="897"/>
    </row>
    <row r="930" spans="1:44" s="930" customFormat="1">
      <c r="A930" s="892"/>
      <c r="B930" s="899"/>
      <c r="C930" s="900"/>
      <c r="D930" s="894"/>
      <c r="E930" s="895"/>
      <c r="F930" s="896"/>
      <c r="G930" s="897"/>
      <c r="H930" s="897"/>
      <c r="I930" s="897"/>
      <c r="J930" s="897"/>
      <c r="K930" s="897"/>
      <c r="L930" s="898"/>
      <c r="M930" s="898"/>
      <c r="N930" s="898"/>
      <c r="O930" s="898"/>
      <c r="P930" s="898"/>
      <c r="Q930" s="898"/>
      <c r="R930" s="898"/>
      <c r="S930" s="898"/>
      <c r="T930" s="898"/>
      <c r="U930" s="898"/>
      <c r="V930" s="898"/>
      <c r="W930" s="898"/>
      <c r="X930" s="898"/>
      <c r="Y930" s="898"/>
      <c r="Z930" s="898"/>
      <c r="AA930" s="898"/>
      <c r="AB930" s="898"/>
      <c r="AC930" s="898"/>
      <c r="AD930" s="898"/>
      <c r="AE930" s="898"/>
      <c r="AF930" s="898"/>
      <c r="AG930" s="898"/>
      <c r="AH930" s="898"/>
      <c r="AI930" s="898"/>
      <c r="AJ930" s="898"/>
      <c r="AK930" s="897"/>
      <c r="AL930" s="897"/>
      <c r="AM930" s="897"/>
      <c r="AN930" s="897"/>
      <c r="AO930" s="897"/>
      <c r="AP930" s="897"/>
      <c r="AQ930" s="897"/>
      <c r="AR930" s="897"/>
    </row>
    <row r="931" spans="1:44" s="930" customFormat="1">
      <c r="A931" s="892"/>
      <c r="B931" s="899"/>
      <c r="C931" s="900"/>
      <c r="D931" s="894"/>
      <c r="E931" s="895"/>
      <c r="F931" s="896"/>
      <c r="G931" s="897"/>
      <c r="H931" s="897"/>
      <c r="I931" s="897"/>
      <c r="J931" s="897"/>
      <c r="K931" s="897"/>
      <c r="L931" s="898"/>
      <c r="M931" s="898"/>
      <c r="N931" s="898"/>
      <c r="O931" s="898"/>
      <c r="P931" s="898"/>
      <c r="Q931" s="898"/>
      <c r="R931" s="898"/>
      <c r="S931" s="898"/>
      <c r="T931" s="898"/>
      <c r="U931" s="898"/>
      <c r="V931" s="898"/>
      <c r="W931" s="898"/>
      <c r="X931" s="898"/>
      <c r="Y931" s="898"/>
      <c r="Z931" s="898"/>
      <c r="AA931" s="898"/>
      <c r="AB931" s="898"/>
      <c r="AC931" s="898"/>
      <c r="AD931" s="898"/>
      <c r="AE931" s="898"/>
      <c r="AF931" s="898"/>
      <c r="AG931" s="898"/>
      <c r="AH931" s="898"/>
      <c r="AI931" s="898"/>
      <c r="AJ931" s="898"/>
      <c r="AK931" s="897"/>
      <c r="AL931" s="897"/>
      <c r="AM931" s="897"/>
      <c r="AN931" s="897"/>
      <c r="AO931" s="897"/>
      <c r="AP931" s="897"/>
      <c r="AQ931" s="897"/>
      <c r="AR931" s="897"/>
    </row>
    <row r="932" spans="1:44" s="930" customFormat="1">
      <c r="A932" s="892"/>
      <c r="B932" s="899"/>
      <c r="C932" s="900"/>
      <c r="D932" s="894"/>
      <c r="E932" s="895"/>
      <c r="F932" s="896"/>
      <c r="G932" s="897"/>
      <c r="H932" s="897"/>
      <c r="I932" s="897"/>
      <c r="J932" s="897"/>
      <c r="K932" s="897"/>
      <c r="L932" s="898"/>
      <c r="M932" s="898"/>
      <c r="N932" s="898"/>
      <c r="O932" s="898"/>
      <c r="P932" s="898"/>
      <c r="Q932" s="898"/>
      <c r="R932" s="898"/>
      <c r="S932" s="898"/>
      <c r="T932" s="898"/>
      <c r="U932" s="898"/>
      <c r="V932" s="898"/>
      <c r="W932" s="898"/>
      <c r="X932" s="898"/>
      <c r="Y932" s="898"/>
      <c r="Z932" s="898"/>
      <c r="AA932" s="898"/>
      <c r="AB932" s="898"/>
      <c r="AC932" s="898"/>
      <c r="AD932" s="898"/>
      <c r="AE932" s="898"/>
      <c r="AF932" s="898"/>
      <c r="AG932" s="898"/>
      <c r="AH932" s="898"/>
      <c r="AI932" s="898"/>
      <c r="AJ932" s="898"/>
      <c r="AK932" s="897"/>
      <c r="AL932" s="897"/>
      <c r="AM932" s="897"/>
      <c r="AN932" s="897"/>
      <c r="AO932" s="897"/>
      <c r="AP932" s="897"/>
      <c r="AQ932" s="897"/>
      <c r="AR932" s="897"/>
    </row>
    <row r="933" spans="1:44" s="930" customFormat="1">
      <c r="A933" s="892"/>
      <c r="B933" s="899"/>
      <c r="C933" s="900"/>
      <c r="D933" s="894"/>
      <c r="E933" s="895"/>
      <c r="F933" s="896"/>
      <c r="G933" s="897"/>
      <c r="H933" s="897"/>
      <c r="I933" s="897"/>
      <c r="J933" s="897"/>
      <c r="K933" s="897"/>
      <c r="L933" s="898"/>
      <c r="M933" s="898"/>
      <c r="N933" s="898"/>
      <c r="O933" s="898"/>
      <c r="P933" s="898"/>
      <c r="Q933" s="898"/>
      <c r="R933" s="898"/>
      <c r="S933" s="898"/>
      <c r="T933" s="898"/>
      <c r="U933" s="898"/>
      <c r="V933" s="898"/>
      <c r="W933" s="898"/>
      <c r="X933" s="898"/>
      <c r="Y933" s="898"/>
      <c r="Z933" s="898"/>
      <c r="AA933" s="898"/>
      <c r="AB933" s="898"/>
      <c r="AC933" s="898"/>
      <c r="AD933" s="898"/>
      <c r="AE933" s="898"/>
      <c r="AF933" s="898"/>
      <c r="AG933" s="898"/>
      <c r="AH933" s="898"/>
      <c r="AI933" s="898"/>
      <c r="AJ933" s="898"/>
      <c r="AK933" s="897"/>
      <c r="AL933" s="897"/>
      <c r="AM933" s="897"/>
      <c r="AN933" s="897"/>
      <c r="AO933" s="897"/>
      <c r="AP933" s="897"/>
      <c r="AQ933" s="897"/>
      <c r="AR933" s="897"/>
    </row>
    <row r="934" spans="1:44" s="930" customFormat="1">
      <c r="A934" s="892"/>
      <c r="B934" s="899"/>
      <c r="C934" s="900"/>
      <c r="D934" s="894"/>
      <c r="E934" s="895"/>
      <c r="F934" s="896"/>
      <c r="G934" s="897"/>
      <c r="H934" s="897"/>
      <c r="I934" s="897"/>
      <c r="J934" s="897"/>
      <c r="K934" s="897"/>
      <c r="L934" s="898"/>
      <c r="M934" s="898"/>
      <c r="N934" s="898"/>
      <c r="O934" s="898"/>
      <c r="P934" s="898"/>
      <c r="Q934" s="898"/>
      <c r="R934" s="898"/>
      <c r="S934" s="898"/>
      <c r="T934" s="898"/>
      <c r="U934" s="898"/>
      <c r="V934" s="898"/>
      <c r="W934" s="898"/>
      <c r="X934" s="898"/>
      <c r="Y934" s="898"/>
      <c r="Z934" s="898"/>
      <c r="AA934" s="898"/>
      <c r="AB934" s="898"/>
      <c r="AC934" s="898"/>
      <c r="AD934" s="898"/>
      <c r="AE934" s="898"/>
      <c r="AF934" s="898"/>
      <c r="AG934" s="898"/>
      <c r="AH934" s="898"/>
      <c r="AI934" s="898"/>
      <c r="AJ934" s="898"/>
      <c r="AK934" s="897"/>
      <c r="AL934" s="897"/>
      <c r="AM934" s="897"/>
      <c r="AN934" s="897"/>
      <c r="AO934" s="897"/>
      <c r="AP934" s="897"/>
      <c r="AQ934" s="897"/>
      <c r="AR934" s="897"/>
    </row>
    <row r="935" spans="1:44" s="930" customFormat="1">
      <c r="A935" s="892"/>
      <c r="B935" s="899"/>
      <c r="C935" s="900"/>
      <c r="D935" s="894"/>
      <c r="E935" s="895"/>
      <c r="F935" s="896"/>
      <c r="G935" s="897"/>
      <c r="H935" s="897"/>
      <c r="I935" s="897"/>
      <c r="J935" s="897"/>
      <c r="K935" s="897"/>
      <c r="L935" s="898"/>
      <c r="M935" s="898"/>
      <c r="N935" s="898"/>
      <c r="O935" s="898"/>
      <c r="P935" s="898"/>
      <c r="Q935" s="898"/>
      <c r="R935" s="898"/>
      <c r="S935" s="898"/>
      <c r="T935" s="898"/>
      <c r="U935" s="898"/>
      <c r="V935" s="898"/>
      <c r="W935" s="898"/>
      <c r="X935" s="898"/>
      <c r="Y935" s="898"/>
      <c r="Z935" s="898"/>
      <c r="AA935" s="898"/>
      <c r="AB935" s="898"/>
      <c r="AC935" s="898"/>
      <c r="AD935" s="898"/>
      <c r="AE935" s="898"/>
      <c r="AF935" s="898"/>
      <c r="AG935" s="898"/>
      <c r="AH935" s="898"/>
      <c r="AI935" s="898"/>
      <c r="AJ935" s="898"/>
      <c r="AK935" s="897"/>
      <c r="AL935" s="897"/>
      <c r="AM935" s="897"/>
      <c r="AN935" s="897"/>
      <c r="AO935" s="897"/>
      <c r="AP935" s="897"/>
      <c r="AQ935" s="897"/>
      <c r="AR935" s="897"/>
    </row>
    <row r="936" spans="1:44" s="930" customFormat="1">
      <c r="A936" s="892"/>
      <c r="B936" s="899"/>
      <c r="C936" s="900"/>
      <c r="D936" s="894"/>
      <c r="E936" s="895"/>
      <c r="F936" s="896"/>
      <c r="G936" s="897"/>
      <c r="H936" s="897"/>
      <c r="I936" s="897"/>
      <c r="J936" s="897"/>
      <c r="K936" s="897"/>
      <c r="L936" s="898"/>
      <c r="M936" s="898"/>
      <c r="N936" s="898"/>
      <c r="O936" s="898"/>
      <c r="P936" s="898"/>
      <c r="Q936" s="898"/>
      <c r="R936" s="898"/>
      <c r="S936" s="898"/>
      <c r="T936" s="898"/>
      <c r="U936" s="898"/>
      <c r="V936" s="898"/>
      <c r="W936" s="898"/>
      <c r="X936" s="898"/>
      <c r="Y936" s="898"/>
      <c r="Z936" s="898"/>
      <c r="AA936" s="898"/>
      <c r="AB936" s="898"/>
      <c r="AC936" s="898"/>
      <c r="AD936" s="898"/>
      <c r="AE936" s="898"/>
      <c r="AF936" s="898"/>
      <c r="AG936" s="898"/>
      <c r="AH936" s="898"/>
      <c r="AI936" s="898"/>
      <c r="AJ936" s="898"/>
      <c r="AK936" s="897"/>
      <c r="AL936" s="897"/>
      <c r="AM936" s="897"/>
      <c r="AN936" s="897"/>
      <c r="AO936" s="897"/>
      <c r="AP936" s="897"/>
      <c r="AQ936" s="897"/>
      <c r="AR936" s="897"/>
    </row>
    <row r="937" spans="1:44" s="930" customFormat="1">
      <c r="A937" s="892"/>
      <c r="B937" s="899"/>
      <c r="C937" s="900"/>
      <c r="D937" s="894"/>
      <c r="E937" s="895"/>
      <c r="F937" s="896"/>
      <c r="G937" s="897"/>
      <c r="H937" s="897"/>
      <c r="I937" s="897"/>
      <c r="J937" s="897"/>
      <c r="K937" s="897"/>
      <c r="L937" s="898"/>
      <c r="M937" s="898"/>
      <c r="N937" s="898"/>
      <c r="O937" s="898"/>
      <c r="P937" s="898"/>
      <c r="Q937" s="898"/>
      <c r="R937" s="898"/>
      <c r="S937" s="898"/>
      <c r="T937" s="898"/>
      <c r="U937" s="898"/>
      <c r="V937" s="898"/>
      <c r="W937" s="898"/>
      <c r="X937" s="898"/>
      <c r="Y937" s="898"/>
      <c r="Z937" s="898"/>
      <c r="AA937" s="898"/>
      <c r="AB937" s="898"/>
      <c r="AC937" s="898"/>
      <c r="AD937" s="898"/>
      <c r="AE937" s="898"/>
      <c r="AF937" s="898"/>
      <c r="AG937" s="898"/>
      <c r="AH937" s="898"/>
      <c r="AI937" s="898"/>
      <c r="AJ937" s="898"/>
      <c r="AK937" s="897"/>
      <c r="AL937" s="897"/>
      <c r="AM937" s="897"/>
      <c r="AN937" s="897"/>
      <c r="AO937" s="897"/>
      <c r="AP937" s="897"/>
      <c r="AQ937" s="897"/>
      <c r="AR937" s="897"/>
    </row>
    <row r="938" spans="1:44" s="930" customFormat="1">
      <c r="A938" s="892"/>
      <c r="B938" s="899"/>
      <c r="C938" s="900"/>
      <c r="D938" s="894"/>
      <c r="E938" s="895"/>
      <c r="F938" s="896"/>
      <c r="G938" s="897"/>
      <c r="H938" s="897"/>
      <c r="I938" s="897"/>
      <c r="J938" s="897"/>
      <c r="K938" s="897"/>
      <c r="L938" s="898"/>
      <c r="M938" s="898"/>
      <c r="N938" s="898"/>
      <c r="O938" s="898"/>
      <c r="P938" s="898"/>
      <c r="Q938" s="898"/>
      <c r="R938" s="898"/>
      <c r="S938" s="898"/>
      <c r="T938" s="898"/>
      <c r="U938" s="898"/>
      <c r="V938" s="898"/>
      <c r="W938" s="898"/>
      <c r="X938" s="898"/>
      <c r="Y938" s="898"/>
      <c r="Z938" s="898"/>
      <c r="AA938" s="898"/>
      <c r="AB938" s="898"/>
      <c r="AC938" s="898"/>
      <c r="AD938" s="898"/>
      <c r="AE938" s="898"/>
      <c r="AF938" s="898"/>
      <c r="AG938" s="898"/>
      <c r="AH938" s="898"/>
      <c r="AI938" s="898"/>
      <c r="AJ938" s="898"/>
      <c r="AK938" s="897"/>
      <c r="AL938" s="897"/>
      <c r="AM938" s="897"/>
      <c r="AN938" s="897"/>
      <c r="AO938" s="897"/>
      <c r="AP938" s="897"/>
      <c r="AQ938" s="897"/>
      <c r="AR938" s="897"/>
    </row>
    <row r="939" spans="1:44" s="930" customFormat="1">
      <c r="A939" s="892"/>
      <c r="B939" s="899"/>
      <c r="C939" s="900"/>
      <c r="D939" s="894"/>
      <c r="E939" s="895"/>
      <c r="F939" s="896"/>
      <c r="G939" s="897"/>
      <c r="H939" s="897"/>
      <c r="I939" s="897"/>
      <c r="J939" s="897"/>
      <c r="K939" s="897"/>
      <c r="L939" s="898"/>
      <c r="M939" s="898"/>
      <c r="N939" s="898"/>
      <c r="O939" s="898"/>
      <c r="P939" s="898"/>
      <c r="Q939" s="898"/>
      <c r="R939" s="898"/>
      <c r="S939" s="898"/>
      <c r="T939" s="898"/>
      <c r="U939" s="898"/>
      <c r="V939" s="898"/>
      <c r="W939" s="898"/>
      <c r="X939" s="898"/>
      <c r="Y939" s="898"/>
      <c r="Z939" s="898"/>
      <c r="AA939" s="898"/>
      <c r="AB939" s="898"/>
      <c r="AC939" s="898"/>
      <c r="AD939" s="898"/>
      <c r="AE939" s="898"/>
      <c r="AF939" s="898"/>
      <c r="AG939" s="898"/>
      <c r="AH939" s="898"/>
      <c r="AI939" s="898"/>
      <c r="AJ939" s="898"/>
      <c r="AK939" s="897"/>
      <c r="AL939" s="897"/>
      <c r="AM939" s="897"/>
      <c r="AN939" s="897"/>
      <c r="AO939" s="897"/>
      <c r="AP939" s="897"/>
      <c r="AQ939" s="897"/>
      <c r="AR939" s="897"/>
    </row>
    <row r="940" spans="1:44" s="930" customFormat="1">
      <c r="A940" s="892"/>
      <c r="B940" s="899"/>
      <c r="C940" s="900"/>
      <c r="D940" s="894"/>
      <c r="E940" s="895"/>
      <c r="F940" s="896"/>
      <c r="G940" s="897"/>
      <c r="H940" s="897"/>
      <c r="I940" s="897"/>
      <c r="J940" s="897"/>
      <c r="K940" s="897"/>
      <c r="L940" s="898"/>
      <c r="M940" s="898"/>
      <c r="N940" s="898"/>
      <c r="O940" s="898"/>
      <c r="P940" s="898"/>
      <c r="Q940" s="898"/>
      <c r="R940" s="898"/>
      <c r="S940" s="898"/>
      <c r="T940" s="898"/>
      <c r="U940" s="898"/>
      <c r="V940" s="898"/>
      <c r="W940" s="898"/>
      <c r="X940" s="898"/>
      <c r="Y940" s="898"/>
      <c r="Z940" s="898"/>
      <c r="AA940" s="898"/>
      <c r="AB940" s="898"/>
      <c r="AC940" s="898"/>
      <c r="AD940" s="898"/>
      <c r="AE940" s="898"/>
      <c r="AF940" s="898"/>
      <c r="AG940" s="898"/>
      <c r="AH940" s="898"/>
      <c r="AI940" s="898"/>
      <c r="AJ940" s="898"/>
      <c r="AK940" s="897"/>
      <c r="AL940" s="897"/>
      <c r="AM940" s="897"/>
      <c r="AN940" s="897"/>
      <c r="AO940" s="897"/>
      <c r="AP940" s="897"/>
      <c r="AQ940" s="897"/>
      <c r="AR940" s="897"/>
    </row>
    <row r="941" spans="1:44" s="930" customFormat="1">
      <c r="A941" s="892"/>
      <c r="B941" s="899"/>
      <c r="C941" s="900"/>
      <c r="D941" s="894"/>
      <c r="E941" s="895"/>
      <c r="F941" s="896"/>
      <c r="G941" s="897"/>
      <c r="H941" s="897"/>
      <c r="I941" s="897"/>
      <c r="J941" s="897"/>
      <c r="K941" s="897"/>
      <c r="L941" s="898"/>
      <c r="M941" s="898"/>
      <c r="N941" s="898"/>
      <c r="O941" s="898"/>
      <c r="P941" s="898"/>
      <c r="Q941" s="898"/>
      <c r="R941" s="898"/>
      <c r="S941" s="898"/>
      <c r="T941" s="898"/>
      <c r="U941" s="898"/>
      <c r="V941" s="898"/>
      <c r="W941" s="898"/>
      <c r="X941" s="898"/>
      <c r="Y941" s="898"/>
      <c r="Z941" s="898"/>
      <c r="AA941" s="898"/>
      <c r="AB941" s="898"/>
      <c r="AC941" s="898"/>
      <c r="AD941" s="898"/>
      <c r="AE941" s="898"/>
      <c r="AF941" s="898"/>
      <c r="AG941" s="898"/>
      <c r="AH941" s="898"/>
      <c r="AI941" s="898"/>
      <c r="AJ941" s="898"/>
      <c r="AK941" s="897"/>
      <c r="AL941" s="897"/>
      <c r="AM941" s="897"/>
      <c r="AN941" s="897"/>
      <c r="AO941" s="897"/>
      <c r="AP941" s="897"/>
      <c r="AQ941" s="897"/>
      <c r="AR941" s="897"/>
    </row>
    <row r="942" spans="1:44" s="930" customFormat="1">
      <c r="A942" s="892"/>
      <c r="B942" s="899"/>
      <c r="C942" s="900"/>
      <c r="D942" s="894"/>
      <c r="E942" s="895"/>
      <c r="F942" s="896"/>
      <c r="G942" s="897"/>
      <c r="H942" s="897"/>
      <c r="I942" s="897"/>
      <c r="J942" s="897"/>
      <c r="K942" s="897"/>
      <c r="L942" s="898"/>
      <c r="M942" s="898"/>
      <c r="N942" s="898"/>
      <c r="O942" s="898"/>
      <c r="P942" s="898"/>
      <c r="Q942" s="898"/>
      <c r="R942" s="898"/>
      <c r="S942" s="898"/>
      <c r="T942" s="898"/>
      <c r="U942" s="898"/>
      <c r="V942" s="898"/>
      <c r="W942" s="898"/>
      <c r="X942" s="898"/>
      <c r="Y942" s="898"/>
      <c r="Z942" s="898"/>
      <c r="AA942" s="898"/>
      <c r="AB942" s="898"/>
      <c r="AC942" s="898"/>
      <c r="AD942" s="898"/>
      <c r="AE942" s="898"/>
      <c r="AF942" s="898"/>
      <c r="AG942" s="898"/>
      <c r="AH942" s="898"/>
      <c r="AI942" s="898"/>
      <c r="AJ942" s="898"/>
      <c r="AK942" s="897"/>
      <c r="AL942" s="897"/>
      <c r="AM942" s="897"/>
      <c r="AN942" s="897"/>
      <c r="AO942" s="897"/>
      <c r="AP942" s="897"/>
      <c r="AQ942" s="897"/>
      <c r="AR942" s="897"/>
    </row>
    <row r="943" spans="1:44" s="930" customFormat="1">
      <c r="A943" s="892"/>
      <c r="B943" s="899"/>
      <c r="C943" s="900"/>
      <c r="D943" s="894"/>
      <c r="E943" s="895"/>
      <c r="F943" s="896"/>
      <c r="G943" s="897"/>
      <c r="H943" s="897"/>
      <c r="I943" s="897"/>
      <c r="J943" s="897"/>
      <c r="K943" s="897"/>
      <c r="L943" s="898"/>
      <c r="M943" s="898"/>
      <c r="N943" s="898"/>
      <c r="O943" s="898"/>
      <c r="P943" s="898"/>
      <c r="Q943" s="898"/>
      <c r="R943" s="898"/>
      <c r="S943" s="898"/>
      <c r="T943" s="898"/>
      <c r="U943" s="898"/>
      <c r="V943" s="898"/>
      <c r="W943" s="898"/>
      <c r="X943" s="898"/>
      <c r="Y943" s="898"/>
      <c r="Z943" s="898"/>
      <c r="AA943" s="898"/>
      <c r="AB943" s="898"/>
      <c r="AC943" s="898"/>
      <c r="AD943" s="898"/>
      <c r="AE943" s="898"/>
      <c r="AF943" s="898"/>
      <c r="AG943" s="898"/>
      <c r="AH943" s="898"/>
      <c r="AI943" s="898"/>
      <c r="AJ943" s="898"/>
      <c r="AK943" s="897"/>
      <c r="AL943" s="897"/>
      <c r="AM943" s="897"/>
      <c r="AN943" s="897"/>
      <c r="AO943" s="897"/>
      <c r="AP943" s="897"/>
      <c r="AQ943" s="897"/>
      <c r="AR943" s="897"/>
    </row>
    <row r="944" spans="1:44" s="930" customFormat="1">
      <c r="A944" s="892"/>
      <c r="B944" s="899"/>
      <c r="C944" s="900"/>
      <c r="D944" s="894"/>
      <c r="E944" s="895"/>
      <c r="F944" s="896"/>
      <c r="G944" s="897"/>
      <c r="H944" s="897"/>
      <c r="I944" s="897"/>
      <c r="J944" s="897"/>
      <c r="K944" s="897"/>
      <c r="L944" s="898"/>
      <c r="M944" s="898"/>
      <c r="N944" s="898"/>
      <c r="O944" s="898"/>
      <c r="P944" s="898"/>
      <c r="Q944" s="898"/>
      <c r="R944" s="898"/>
      <c r="S944" s="898"/>
      <c r="T944" s="898"/>
      <c r="U944" s="898"/>
      <c r="V944" s="898"/>
      <c r="W944" s="898"/>
      <c r="X944" s="898"/>
      <c r="Y944" s="898"/>
      <c r="Z944" s="898"/>
      <c r="AA944" s="898"/>
      <c r="AB944" s="898"/>
      <c r="AC944" s="898"/>
      <c r="AD944" s="898"/>
      <c r="AE944" s="898"/>
      <c r="AF944" s="898"/>
      <c r="AG944" s="898"/>
      <c r="AH944" s="898"/>
      <c r="AI944" s="898"/>
      <c r="AJ944" s="898"/>
      <c r="AK944" s="897"/>
      <c r="AL944" s="897"/>
      <c r="AM944" s="897"/>
      <c r="AN944" s="897"/>
      <c r="AO944" s="897"/>
      <c r="AP944" s="897"/>
      <c r="AQ944" s="897"/>
      <c r="AR944" s="897"/>
    </row>
    <row r="945" spans="1:44" s="930" customFormat="1">
      <c r="A945" s="892"/>
      <c r="B945" s="899"/>
      <c r="C945" s="900"/>
      <c r="D945" s="894"/>
      <c r="E945" s="895"/>
      <c r="F945" s="896"/>
      <c r="G945" s="897"/>
      <c r="H945" s="897"/>
      <c r="I945" s="897"/>
      <c r="J945" s="897"/>
      <c r="K945" s="897"/>
      <c r="L945" s="898"/>
      <c r="M945" s="898"/>
      <c r="N945" s="898"/>
      <c r="O945" s="898"/>
      <c r="P945" s="898"/>
      <c r="Q945" s="898"/>
      <c r="R945" s="898"/>
      <c r="S945" s="898"/>
      <c r="T945" s="898"/>
      <c r="U945" s="898"/>
      <c r="V945" s="898"/>
      <c r="W945" s="898"/>
      <c r="X945" s="898"/>
      <c r="Y945" s="898"/>
      <c r="Z945" s="898"/>
      <c r="AA945" s="898"/>
      <c r="AB945" s="898"/>
      <c r="AC945" s="898"/>
      <c r="AD945" s="898"/>
      <c r="AE945" s="898"/>
      <c r="AF945" s="898"/>
      <c r="AG945" s="898"/>
      <c r="AH945" s="898"/>
      <c r="AI945" s="898"/>
      <c r="AJ945" s="898"/>
      <c r="AK945" s="897"/>
      <c r="AL945" s="897"/>
      <c r="AM945" s="897"/>
      <c r="AN945" s="897"/>
      <c r="AO945" s="897"/>
      <c r="AP945" s="897"/>
      <c r="AQ945" s="897"/>
      <c r="AR945" s="897"/>
    </row>
    <row r="946" spans="1:44" s="930" customFormat="1">
      <c r="A946" s="892"/>
      <c r="B946" s="899"/>
      <c r="C946" s="900"/>
      <c r="D946" s="894"/>
      <c r="E946" s="895"/>
      <c r="F946" s="896"/>
      <c r="G946" s="897"/>
      <c r="H946" s="897"/>
      <c r="I946" s="897"/>
      <c r="J946" s="897"/>
      <c r="K946" s="897"/>
      <c r="L946" s="898"/>
      <c r="M946" s="898"/>
      <c r="N946" s="898"/>
      <c r="O946" s="898"/>
      <c r="P946" s="898"/>
      <c r="Q946" s="898"/>
      <c r="R946" s="898"/>
      <c r="S946" s="898"/>
      <c r="T946" s="898"/>
      <c r="U946" s="898"/>
      <c r="V946" s="898"/>
      <c r="W946" s="898"/>
      <c r="X946" s="898"/>
      <c r="Y946" s="898"/>
      <c r="Z946" s="898"/>
      <c r="AA946" s="898"/>
      <c r="AB946" s="898"/>
      <c r="AC946" s="898"/>
      <c r="AD946" s="898"/>
      <c r="AE946" s="898"/>
      <c r="AF946" s="898"/>
      <c r="AG946" s="898"/>
      <c r="AH946" s="898"/>
      <c r="AI946" s="898"/>
      <c r="AJ946" s="898"/>
      <c r="AK946" s="897"/>
      <c r="AL946" s="897"/>
      <c r="AM946" s="897"/>
      <c r="AN946" s="897"/>
      <c r="AO946" s="897"/>
      <c r="AP946" s="897"/>
      <c r="AQ946" s="897"/>
      <c r="AR946" s="897"/>
    </row>
    <row r="947" spans="1:44" s="930" customFormat="1">
      <c r="A947" s="892"/>
      <c r="B947" s="899"/>
      <c r="C947" s="900"/>
      <c r="D947" s="894"/>
      <c r="E947" s="895"/>
      <c r="F947" s="896"/>
      <c r="G947" s="897"/>
      <c r="H947" s="897"/>
      <c r="I947" s="897"/>
      <c r="J947" s="897"/>
      <c r="K947" s="897"/>
      <c r="L947" s="898"/>
      <c r="M947" s="898"/>
      <c r="N947" s="898"/>
      <c r="O947" s="898"/>
      <c r="P947" s="898"/>
      <c r="Q947" s="898"/>
      <c r="R947" s="898"/>
      <c r="S947" s="898"/>
      <c r="T947" s="898"/>
      <c r="U947" s="898"/>
      <c r="V947" s="898"/>
      <c r="W947" s="898"/>
      <c r="X947" s="898"/>
      <c r="Y947" s="898"/>
      <c r="Z947" s="898"/>
      <c r="AA947" s="898"/>
      <c r="AB947" s="898"/>
      <c r="AC947" s="898"/>
      <c r="AD947" s="898"/>
      <c r="AE947" s="898"/>
      <c r="AF947" s="898"/>
      <c r="AG947" s="898"/>
      <c r="AH947" s="898"/>
      <c r="AI947" s="898"/>
      <c r="AJ947" s="898"/>
      <c r="AK947" s="897"/>
      <c r="AL947" s="897"/>
      <c r="AM947" s="897"/>
      <c r="AN947" s="897"/>
      <c r="AO947" s="897"/>
      <c r="AP947" s="897"/>
      <c r="AQ947" s="897"/>
      <c r="AR947" s="897"/>
    </row>
    <row r="948" spans="1:44" s="930" customFormat="1">
      <c r="A948" s="892"/>
      <c r="B948" s="899"/>
      <c r="C948" s="900"/>
      <c r="D948" s="894"/>
      <c r="E948" s="895"/>
      <c r="F948" s="896"/>
      <c r="G948" s="897"/>
      <c r="H948" s="897"/>
      <c r="I948" s="897"/>
      <c r="J948" s="897"/>
      <c r="K948" s="897"/>
      <c r="L948" s="898"/>
      <c r="M948" s="898"/>
      <c r="N948" s="898"/>
      <c r="O948" s="898"/>
      <c r="P948" s="898"/>
      <c r="Q948" s="898"/>
      <c r="R948" s="898"/>
      <c r="S948" s="898"/>
      <c r="T948" s="898"/>
      <c r="U948" s="898"/>
      <c r="V948" s="898"/>
      <c r="W948" s="898"/>
      <c r="X948" s="898"/>
      <c r="Y948" s="898"/>
      <c r="Z948" s="898"/>
      <c r="AA948" s="898"/>
      <c r="AB948" s="898"/>
      <c r="AC948" s="898"/>
      <c r="AD948" s="898"/>
      <c r="AE948" s="898"/>
      <c r="AF948" s="898"/>
      <c r="AG948" s="898"/>
      <c r="AH948" s="898"/>
      <c r="AI948" s="898"/>
      <c r="AJ948" s="898"/>
      <c r="AK948" s="897"/>
      <c r="AL948" s="897"/>
      <c r="AM948" s="897"/>
      <c r="AN948" s="897"/>
      <c r="AO948" s="897"/>
      <c r="AP948" s="897"/>
      <c r="AQ948" s="897"/>
      <c r="AR948" s="897"/>
    </row>
    <row r="949" spans="1:44" s="930" customFormat="1">
      <c r="A949" s="892"/>
      <c r="B949" s="899"/>
      <c r="C949" s="900"/>
      <c r="D949" s="894"/>
      <c r="E949" s="895"/>
      <c r="F949" s="896"/>
      <c r="G949" s="897"/>
      <c r="H949" s="897"/>
      <c r="I949" s="897"/>
      <c r="J949" s="897"/>
      <c r="K949" s="897"/>
      <c r="L949" s="898"/>
      <c r="M949" s="898"/>
      <c r="N949" s="898"/>
      <c r="O949" s="898"/>
      <c r="P949" s="898"/>
      <c r="Q949" s="898"/>
      <c r="R949" s="898"/>
      <c r="S949" s="898"/>
      <c r="T949" s="898"/>
      <c r="U949" s="898"/>
      <c r="V949" s="898"/>
      <c r="W949" s="898"/>
      <c r="X949" s="898"/>
      <c r="Y949" s="898"/>
      <c r="Z949" s="898"/>
      <c r="AA949" s="898"/>
      <c r="AB949" s="898"/>
      <c r="AC949" s="898"/>
      <c r="AD949" s="898"/>
      <c r="AE949" s="898"/>
      <c r="AF949" s="898"/>
      <c r="AG949" s="898"/>
      <c r="AH949" s="898"/>
      <c r="AI949" s="898"/>
      <c r="AJ949" s="898"/>
      <c r="AK949" s="897"/>
      <c r="AL949" s="897"/>
      <c r="AM949" s="897"/>
      <c r="AN949" s="897"/>
      <c r="AO949" s="897"/>
      <c r="AP949" s="897"/>
      <c r="AQ949" s="897"/>
      <c r="AR949" s="897"/>
    </row>
    <row r="950" spans="1:44" s="930" customFormat="1">
      <c r="A950" s="892"/>
      <c r="B950" s="899"/>
      <c r="C950" s="900"/>
      <c r="D950" s="894"/>
      <c r="E950" s="895"/>
      <c r="F950" s="896"/>
      <c r="G950" s="897"/>
      <c r="H950" s="897"/>
      <c r="I950" s="897"/>
      <c r="J950" s="897"/>
      <c r="K950" s="897"/>
      <c r="L950" s="898"/>
      <c r="M950" s="898"/>
      <c r="N950" s="898"/>
      <c r="O950" s="898"/>
      <c r="P950" s="898"/>
      <c r="Q950" s="898"/>
      <c r="R950" s="898"/>
      <c r="S950" s="898"/>
      <c r="T950" s="898"/>
      <c r="U950" s="898"/>
      <c r="V950" s="898"/>
      <c r="W950" s="898"/>
      <c r="X950" s="898"/>
      <c r="Y950" s="898"/>
      <c r="Z950" s="898"/>
      <c r="AA950" s="898"/>
      <c r="AB950" s="898"/>
      <c r="AC950" s="898"/>
      <c r="AD950" s="898"/>
      <c r="AE950" s="898"/>
      <c r="AF950" s="898"/>
      <c r="AG950" s="898"/>
      <c r="AH950" s="898"/>
      <c r="AI950" s="898"/>
      <c r="AJ950" s="898"/>
      <c r="AK950" s="897"/>
      <c r="AL950" s="897"/>
      <c r="AM950" s="897"/>
      <c r="AN950" s="897"/>
      <c r="AO950" s="897"/>
      <c r="AP950" s="897"/>
      <c r="AQ950" s="897"/>
      <c r="AR950" s="897"/>
    </row>
    <row r="951" spans="1:44" s="930" customFormat="1">
      <c r="A951" s="892"/>
      <c r="B951" s="899"/>
      <c r="C951" s="900"/>
      <c r="D951" s="894"/>
      <c r="E951" s="895"/>
      <c r="F951" s="896"/>
      <c r="G951" s="897"/>
      <c r="H951" s="897"/>
      <c r="I951" s="897"/>
      <c r="J951" s="897"/>
      <c r="K951" s="897"/>
      <c r="L951" s="898"/>
      <c r="M951" s="898"/>
      <c r="N951" s="898"/>
      <c r="O951" s="898"/>
      <c r="P951" s="898"/>
      <c r="Q951" s="898"/>
      <c r="R951" s="898"/>
      <c r="S951" s="898"/>
      <c r="T951" s="898"/>
      <c r="U951" s="898"/>
      <c r="V951" s="898"/>
      <c r="W951" s="898"/>
      <c r="X951" s="898"/>
      <c r="Y951" s="898"/>
      <c r="Z951" s="898"/>
      <c r="AA951" s="898"/>
      <c r="AB951" s="898"/>
      <c r="AC951" s="898"/>
      <c r="AD951" s="898"/>
      <c r="AE951" s="898"/>
      <c r="AF951" s="898"/>
      <c r="AG951" s="898"/>
      <c r="AH951" s="898"/>
      <c r="AI951" s="898"/>
      <c r="AJ951" s="898"/>
      <c r="AK951" s="897"/>
      <c r="AL951" s="897"/>
      <c r="AM951" s="897"/>
      <c r="AN951" s="897"/>
      <c r="AO951" s="897"/>
      <c r="AP951" s="897"/>
      <c r="AQ951" s="897"/>
      <c r="AR951" s="897"/>
    </row>
    <row r="952" spans="1:44" s="930" customFormat="1">
      <c r="A952" s="892"/>
      <c r="B952" s="899"/>
      <c r="C952" s="900"/>
      <c r="D952" s="894"/>
      <c r="E952" s="895"/>
      <c r="F952" s="896"/>
      <c r="G952" s="897"/>
      <c r="H952" s="897"/>
      <c r="I952" s="897"/>
      <c r="J952" s="897"/>
      <c r="K952" s="897"/>
      <c r="L952" s="898"/>
      <c r="M952" s="898"/>
      <c r="N952" s="898"/>
      <c r="O952" s="898"/>
      <c r="P952" s="898"/>
      <c r="Q952" s="898"/>
      <c r="R952" s="898"/>
      <c r="S952" s="898"/>
      <c r="T952" s="898"/>
      <c r="U952" s="898"/>
      <c r="V952" s="898"/>
      <c r="W952" s="898"/>
      <c r="X952" s="898"/>
      <c r="Y952" s="898"/>
      <c r="Z952" s="898"/>
      <c r="AA952" s="898"/>
      <c r="AB952" s="898"/>
      <c r="AC952" s="898"/>
      <c r="AD952" s="898"/>
      <c r="AE952" s="898"/>
      <c r="AF952" s="898"/>
      <c r="AG952" s="898"/>
      <c r="AH952" s="898"/>
      <c r="AI952" s="898"/>
      <c r="AJ952" s="898"/>
      <c r="AK952" s="897"/>
      <c r="AL952" s="897"/>
      <c r="AM952" s="897"/>
      <c r="AN952" s="897"/>
      <c r="AO952" s="897"/>
      <c r="AP952" s="897"/>
      <c r="AQ952" s="897"/>
      <c r="AR952" s="897"/>
    </row>
    <row r="953" spans="1:44" s="930" customFormat="1">
      <c r="A953" s="892"/>
      <c r="B953" s="899"/>
      <c r="C953" s="900"/>
      <c r="D953" s="894"/>
      <c r="E953" s="895"/>
      <c r="F953" s="896"/>
      <c r="G953" s="897"/>
      <c r="H953" s="897"/>
      <c r="I953" s="897"/>
      <c r="J953" s="897"/>
      <c r="K953" s="897"/>
      <c r="L953" s="898"/>
      <c r="M953" s="898"/>
      <c r="N953" s="898"/>
      <c r="O953" s="898"/>
      <c r="P953" s="898"/>
      <c r="Q953" s="898"/>
      <c r="R953" s="898"/>
      <c r="S953" s="898"/>
      <c r="T953" s="898"/>
      <c r="U953" s="898"/>
      <c r="V953" s="898"/>
      <c r="W953" s="898"/>
      <c r="X953" s="898"/>
      <c r="Y953" s="898"/>
      <c r="Z953" s="898"/>
      <c r="AA953" s="898"/>
      <c r="AB953" s="898"/>
      <c r="AC953" s="898"/>
      <c r="AD953" s="898"/>
      <c r="AE953" s="898"/>
      <c r="AF953" s="898"/>
      <c r="AG953" s="898"/>
      <c r="AH953" s="898"/>
      <c r="AI953" s="898"/>
      <c r="AJ953" s="898"/>
      <c r="AK953" s="897"/>
      <c r="AL953" s="897"/>
      <c r="AM953" s="897"/>
      <c r="AN953" s="897"/>
      <c r="AO953" s="897"/>
      <c r="AP953" s="897"/>
      <c r="AQ953" s="897"/>
      <c r="AR953" s="897"/>
    </row>
    <row r="954" spans="1:44" s="930" customFormat="1">
      <c r="A954" s="892"/>
      <c r="B954" s="899"/>
      <c r="C954" s="900"/>
      <c r="D954" s="894"/>
      <c r="E954" s="895"/>
      <c r="F954" s="896"/>
      <c r="G954" s="897"/>
      <c r="H954" s="897"/>
      <c r="I954" s="897"/>
      <c r="J954" s="897"/>
      <c r="K954" s="897"/>
      <c r="L954" s="898"/>
      <c r="M954" s="898"/>
      <c r="N954" s="898"/>
      <c r="O954" s="898"/>
      <c r="P954" s="898"/>
      <c r="Q954" s="898"/>
      <c r="R954" s="898"/>
      <c r="S954" s="898"/>
      <c r="T954" s="898"/>
      <c r="U954" s="898"/>
      <c r="V954" s="898"/>
      <c r="W954" s="898"/>
      <c r="X954" s="898"/>
      <c r="Y954" s="898"/>
      <c r="Z954" s="898"/>
      <c r="AA954" s="898"/>
      <c r="AB954" s="898"/>
      <c r="AC954" s="898"/>
      <c r="AD954" s="898"/>
      <c r="AE954" s="898"/>
      <c r="AF954" s="898"/>
      <c r="AG954" s="898"/>
      <c r="AH954" s="898"/>
      <c r="AI954" s="898"/>
      <c r="AJ954" s="898"/>
      <c r="AK954" s="897"/>
      <c r="AL954" s="897"/>
      <c r="AM954" s="897"/>
      <c r="AN954" s="897"/>
      <c r="AO954" s="897"/>
      <c r="AP954" s="897"/>
      <c r="AQ954" s="897"/>
      <c r="AR954" s="897"/>
    </row>
    <row r="955" spans="1:44" s="930" customFormat="1">
      <c r="A955" s="892"/>
      <c r="B955" s="899"/>
      <c r="C955" s="900"/>
      <c r="D955" s="894"/>
      <c r="E955" s="895"/>
      <c r="F955" s="896"/>
      <c r="G955" s="897"/>
      <c r="H955" s="897"/>
      <c r="I955" s="897"/>
      <c r="J955" s="897"/>
      <c r="K955" s="897"/>
      <c r="L955" s="898"/>
      <c r="M955" s="898"/>
      <c r="N955" s="898"/>
      <c r="O955" s="898"/>
      <c r="P955" s="898"/>
      <c r="Q955" s="898"/>
      <c r="R955" s="898"/>
      <c r="S955" s="898"/>
      <c r="T955" s="898"/>
      <c r="U955" s="898"/>
      <c r="V955" s="898"/>
      <c r="W955" s="898"/>
      <c r="X955" s="898"/>
      <c r="Y955" s="898"/>
      <c r="Z955" s="898"/>
      <c r="AA955" s="898"/>
      <c r="AB955" s="898"/>
      <c r="AC955" s="898"/>
      <c r="AD955" s="898"/>
      <c r="AE955" s="898"/>
      <c r="AF955" s="898"/>
      <c r="AG955" s="898"/>
      <c r="AH955" s="898"/>
      <c r="AI955" s="898"/>
      <c r="AJ955" s="898"/>
      <c r="AK955" s="897"/>
      <c r="AL955" s="897"/>
      <c r="AM955" s="897"/>
      <c r="AN955" s="897"/>
      <c r="AO955" s="897"/>
      <c r="AP955" s="897"/>
      <c r="AQ955" s="897"/>
      <c r="AR955" s="897"/>
    </row>
    <row r="956" spans="1:44" s="930" customFormat="1">
      <c r="A956" s="892"/>
      <c r="B956" s="899"/>
      <c r="C956" s="900"/>
      <c r="D956" s="894"/>
      <c r="E956" s="895"/>
      <c r="F956" s="896"/>
      <c r="G956" s="897"/>
      <c r="H956" s="897"/>
      <c r="I956" s="897"/>
      <c r="J956" s="897"/>
      <c r="K956" s="897"/>
      <c r="L956" s="898"/>
      <c r="M956" s="898"/>
      <c r="N956" s="898"/>
      <c r="O956" s="898"/>
      <c r="P956" s="898"/>
      <c r="Q956" s="898"/>
      <c r="R956" s="898"/>
      <c r="S956" s="898"/>
      <c r="T956" s="898"/>
      <c r="U956" s="898"/>
      <c r="V956" s="898"/>
      <c r="W956" s="898"/>
      <c r="X956" s="898"/>
      <c r="Y956" s="898"/>
      <c r="Z956" s="898"/>
      <c r="AA956" s="898"/>
      <c r="AB956" s="898"/>
      <c r="AC956" s="898"/>
      <c r="AD956" s="898"/>
      <c r="AE956" s="898"/>
      <c r="AF956" s="898"/>
      <c r="AG956" s="898"/>
      <c r="AH956" s="898"/>
      <c r="AI956" s="898"/>
      <c r="AJ956" s="898"/>
      <c r="AK956" s="897"/>
      <c r="AL956" s="897"/>
      <c r="AM956" s="897"/>
      <c r="AN956" s="897"/>
      <c r="AO956" s="897"/>
      <c r="AP956" s="897"/>
      <c r="AQ956" s="897"/>
      <c r="AR956" s="897"/>
    </row>
    <row r="957" spans="1:44" s="930" customFormat="1">
      <c r="A957" s="892"/>
      <c r="B957" s="899"/>
      <c r="C957" s="900"/>
      <c r="D957" s="894"/>
      <c r="E957" s="895"/>
      <c r="F957" s="896"/>
      <c r="G957" s="897"/>
      <c r="H957" s="897"/>
      <c r="I957" s="897"/>
      <c r="J957" s="897"/>
      <c r="K957" s="897"/>
      <c r="L957" s="898"/>
      <c r="M957" s="898"/>
      <c r="N957" s="898"/>
      <c r="O957" s="898"/>
      <c r="P957" s="898"/>
      <c r="Q957" s="898"/>
      <c r="R957" s="898"/>
      <c r="S957" s="898"/>
      <c r="T957" s="898"/>
      <c r="U957" s="898"/>
      <c r="V957" s="898"/>
      <c r="W957" s="898"/>
      <c r="X957" s="898"/>
      <c r="Y957" s="898"/>
      <c r="Z957" s="898"/>
      <c r="AA957" s="898"/>
      <c r="AB957" s="898"/>
      <c r="AC957" s="898"/>
      <c r="AD957" s="898"/>
      <c r="AE957" s="898"/>
      <c r="AF957" s="898"/>
      <c r="AG957" s="898"/>
      <c r="AH957" s="898"/>
      <c r="AI957" s="898"/>
      <c r="AJ957" s="898"/>
      <c r="AK957" s="897"/>
      <c r="AL957" s="897"/>
      <c r="AM957" s="897"/>
      <c r="AN957" s="897"/>
      <c r="AO957" s="897"/>
      <c r="AP957" s="897"/>
      <c r="AQ957" s="897"/>
      <c r="AR957" s="897"/>
    </row>
    <row r="958" spans="1:44" s="930" customFormat="1">
      <c r="A958" s="892"/>
      <c r="B958" s="899"/>
      <c r="C958" s="900"/>
      <c r="D958" s="894"/>
      <c r="E958" s="895"/>
      <c r="F958" s="896"/>
      <c r="G958" s="897"/>
      <c r="H958" s="897"/>
      <c r="I958" s="897"/>
      <c r="J958" s="897"/>
      <c r="K958" s="897"/>
      <c r="L958" s="898"/>
      <c r="M958" s="898"/>
      <c r="N958" s="898"/>
      <c r="O958" s="898"/>
      <c r="P958" s="898"/>
      <c r="Q958" s="898"/>
      <c r="R958" s="898"/>
      <c r="S958" s="898"/>
      <c r="T958" s="898"/>
      <c r="U958" s="898"/>
      <c r="V958" s="898"/>
      <c r="W958" s="898"/>
      <c r="X958" s="898"/>
      <c r="Y958" s="898"/>
      <c r="Z958" s="898"/>
      <c r="AA958" s="898"/>
      <c r="AB958" s="898"/>
      <c r="AC958" s="898"/>
      <c r="AD958" s="898"/>
      <c r="AE958" s="898"/>
      <c r="AF958" s="898"/>
      <c r="AG958" s="898"/>
      <c r="AH958" s="898"/>
      <c r="AI958" s="898"/>
      <c r="AJ958" s="898"/>
      <c r="AK958" s="897"/>
      <c r="AL958" s="897"/>
      <c r="AM958" s="897"/>
      <c r="AN958" s="897"/>
      <c r="AO958" s="897"/>
      <c r="AP958" s="897"/>
      <c r="AQ958" s="897"/>
      <c r="AR958" s="897"/>
    </row>
    <row r="959" spans="1:44" s="930" customFormat="1">
      <c r="A959" s="892"/>
      <c r="B959" s="899"/>
      <c r="C959" s="900"/>
      <c r="D959" s="894"/>
      <c r="E959" s="895"/>
      <c r="F959" s="896"/>
      <c r="G959" s="897"/>
      <c r="H959" s="897"/>
      <c r="I959" s="897"/>
      <c r="J959" s="897"/>
      <c r="K959" s="897"/>
      <c r="L959" s="898"/>
      <c r="M959" s="898"/>
      <c r="N959" s="898"/>
      <c r="O959" s="898"/>
      <c r="P959" s="898"/>
      <c r="Q959" s="898"/>
      <c r="R959" s="898"/>
      <c r="S959" s="898"/>
      <c r="T959" s="898"/>
      <c r="U959" s="898"/>
      <c r="V959" s="898"/>
      <c r="W959" s="898"/>
      <c r="X959" s="898"/>
      <c r="Y959" s="898"/>
      <c r="Z959" s="898"/>
      <c r="AA959" s="898"/>
      <c r="AB959" s="898"/>
      <c r="AC959" s="898"/>
      <c r="AD959" s="898"/>
      <c r="AE959" s="898"/>
      <c r="AF959" s="898"/>
      <c r="AG959" s="898"/>
      <c r="AH959" s="898"/>
      <c r="AI959" s="898"/>
      <c r="AJ959" s="898"/>
      <c r="AK959" s="897"/>
      <c r="AL959" s="897"/>
      <c r="AM959" s="897"/>
      <c r="AN959" s="897"/>
      <c r="AO959" s="897"/>
      <c r="AP959" s="897"/>
      <c r="AQ959" s="897"/>
      <c r="AR959" s="897"/>
    </row>
    <row r="960" spans="1:44" s="930" customFormat="1">
      <c r="A960" s="892"/>
      <c r="B960" s="899"/>
      <c r="C960" s="900"/>
      <c r="D960" s="894"/>
      <c r="E960" s="895"/>
      <c r="F960" s="896"/>
      <c r="G960" s="897"/>
      <c r="H960" s="897"/>
      <c r="I960" s="897"/>
      <c r="J960" s="897"/>
      <c r="K960" s="897"/>
      <c r="L960" s="898"/>
      <c r="M960" s="898"/>
      <c r="N960" s="898"/>
      <c r="O960" s="898"/>
      <c r="P960" s="898"/>
      <c r="Q960" s="898"/>
      <c r="R960" s="898"/>
      <c r="S960" s="898"/>
      <c r="T960" s="898"/>
      <c r="U960" s="898"/>
      <c r="V960" s="898"/>
      <c r="W960" s="898"/>
      <c r="X960" s="898"/>
      <c r="Y960" s="898"/>
      <c r="Z960" s="898"/>
      <c r="AA960" s="898"/>
      <c r="AB960" s="898"/>
      <c r="AC960" s="898"/>
      <c r="AD960" s="898"/>
      <c r="AE960" s="898"/>
      <c r="AF960" s="898"/>
      <c r="AG960" s="898"/>
      <c r="AH960" s="898"/>
      <c r="AI960" s="898"/>
      <c r="AJ960" s="898"/>
      <c r="AK960" s="897"/>
      <c r="AL960" s="897"/>
      <c r="AM960" s="897"/>
      <c r="AN960" s="897"/>
      <c r="AO960" s="897"/>
      <c r="AP960" s="897"/>
      <c r="AQ960" s="897"/>
      <c r="AR960" s="897"/>
    </row>
    <row r="961" spans="1:44" s="930" customFormat="1">
      <c r="A961" s="892"/>
      <c r="B961" s="899"/>
      <c r="C961" s="900"/>
      <c r="D961" s="894"/>
      <c r="E961" s="895"/>
      <c r="F961" s="896"/>
      <c r="G961" s="897"/>
      <c r="H961" s="897"/>
      <c r="I961" s="897"/>
      <c r="J961" s="897"/>
      <c r="K961" s="897"/>
      <c r="L961" s="898"/>
      <c r="M961" s="898"/>
      <c r="N961" s="898"/>
      <c r="O961" s="898"/>
      <c r="P961" s="898"/>
      <c r="Q961" s="898"/>
      <c r="R961" s="898"/>
      <c r="S961" s="898"/>
      <c r="T961" s="898"/>
      <c r="U961" s="898"/>
      <c r="V961" s="898"/>
      <c r="W961" s="898"/>
      <c r="X961" s="898"/>
      <c r="Y961" s="898"/>
      <c r="Z961" s="898"/>
      <c r="AA961" s="898"/>
      <c r="AB961" s="898"/>
      <c r="AC961" s="898"/>
      <c r="AD961" s="898"/>
      <c r="AE961" s="898"/>
      <c r="AF961" s="898"/>
      <c r="AG961" s="898"/>
      <c r="AH961" s="898"/>
      <c r="AI961" s="898"/>
      <c r="AJ961" s="898"/>
      <c r="AK961" s="897"/>
      <c r="AL961" s="897"/>
      <c r="AM961" s="897"/>
      <c r="AN961" s="897"/>
      <c r="AO961" s="897"/>
      <c r="AP961" s="897"/>
      <c r="AQ961" s="897"/>
      <c r="AR961" s="897"/>
    </row>
    <row r="962" spans="1:44" s="930" customFormat="1">
      <c r="A962" s="892"/>
      <c r="B962" s="899"/>
      <c r="C962" s="900"/>
      <c r="D962" s="894"/>
      <c r="E962" s="895"/>
      <c r="F962" s="896"/>
      <c r="G962" s="897"/>
      <c r="H962" s="897"/>
      <c r="I962" s="897"/>
      <c r="J962" s="897"/>
      <c r="K962" s="897"/>
      <c r="L962" s="898"/>
      <c r="M962" s="898"/>
      <c r="N962" s="898"/>
      <c r="O962" s="898"/>
      <c r="P962" s="898"/>
      <c r="Q962" s="898"/>
      <c r="R962" s="898"/>
      <c r="S962" s="898"/>
      <c r="T962" s="898"/>
      <c r="U962" s="898"/>
      <c r="V962" s="898"/>
      <c r="W962" s="898"/>
      <c r="X962" s="898"/>
      <c r="Y962" s="898"/>
      <c r="Z962" s="898"/>
      <c r="AA962" s="898"/>
      <c r="AB962" s="898"/>
      <c r="AC962" s="898"/>
      <c r="AD962" s="898"/>
      <c r="AE962" s="898"/>
      <c r="AF962" s="898"/>
      <c r="AG962" s="898"/>
      <c r="AH962" s="898"/>
      <c r="AI962" s="898"/>
      <c r="AJ962" s="898"/>
      <c r="AK962" s="897"/>
      <c r="AL962" s="897"/>
      <c r="AM962" s="897"/>
      <c r="AN962" s="897"/>
      <c r="AO962" s="897"/>
      <c r="AP962" s="897"/>
      <c r="AQ962" s="897"/>
      <c r="AR962" s="897"/>
    </row>
    <row r="963" spans="1:44" s="930" customFormat="1">
      <c r="A963" s="892"/>
      <c r="B963" s="899"/>
      <c r="C963" s="900"/>
      <c r="D963" s="894"/>
      <c r="E963" s="895"/>
      <c r="F963" s="896"/>
      <c r="G963" s="897"/>
      <c r="H963" s="897"/>
      <c r="I963" s="897"/>
      <c r="J963" s="897"/>
      <c r="K963" s="897"/>
      <c r="L963" s="898"/>
      <c r="M963" s="898"/>
      <c r="N963" s="898"/>
      <c r="O963" s="898"/>
      <c r="P963" s="898"/>
      <c r="Q963" s="898"/>
      <c r="R963" s="898"/>
      <c r="S963" s="898"/>
      <c r="T963" s="898"/>
      <c r="U963" s="898"/>
      <c r="V963" s="898"/>
      <c r="W963" s="898"/>
      <c r="X963" s="898"/>
      <c r="Y963" s="898"/>
      <c r="Z963" s="898"/>
      <c r="AA963" s="898"/>
      <c r="AB963" s="898"/>
      <c r="AC963" s="898"/>
      <c r="AD963" s="898"/>
      <c r="AE963" s="898"/>
      <c r="AF963" s="898"/>
      <c r="AG963" s="898"/>
      <c r="AH963" s="898"/>
      <c r="AI963" s="898"/>
      <c r="AJ963" s="898"/>
      <c r="AK963" s="897"/>
      <c r="AL963" s="897"/>
      <c r="AM963" s="897"/>
      <c r="AN963" s="897"/>
      <c r="AO963" s="897"/>
      <c r="AP963" s="897"/>
      <c r="AQ963" s="897"/>
      <c r="AR963" s="897"/>
    </row>
    <row r="964" spans="1:44" s="930" customFormat="1">
      <c r="A964" s="892"/>
      <c r="B964" s="899"/>
      <c r="C964" s="900"/>
      <c r="D964" s="894"/>
      <c r="E964" s="895"/>
      <c r="F964" s="896"/>
      <c r="G964" s="897"/>
      <c r="H964" s="897"/>
      <c r="I964" s="897"/>
      <c r="J964" s="897"/>
      <c r="K964" s="897"/>
      <c r="L964" s="898"/>
      <c r="M964" s="898"/>
      <c r="N964" s="898"/>
      <c r="O964" s="898"/>
      <c r="P964" s="898"/>
      <c r="Q964" s="898"/>
      <c r="R964" s="898"/>
      <c r="S964" s="898"/>
      <c r="T964" s="898"/>
      <c r="U964" s="898"/>
      <c r="V964" s="898"/>
      <c r="W964" s="898"/>
      <c r="X964" s="898"/>
      <c r="Y964" s="898"/>
      <c r="Z964" s="898"/>
      <c r="AA964" s="898"/>
      <c r="AB964" s="898"/>
      <c r="AC964" s="898"/>
      <c r="AD964" s="898"/>
      <c r="AE964" s="898"/>
      <c r="AF964" s="898"/>
      <c r="AG964" s="898"/>
      <c r="AH964" s="898"/>
      <c r="AI964" s="898"/>
      <c r="AJ964" s="898"/>
      <c r="AK964" s="897"/>
      <c r="AL964" s="897"/>
      <c r="AM964" s="897"/>
      <c r="AN964" s="897"/>
      <c r="AO964" s="897"/>
      <c r="AP964" s="897"/>
      <c r="AQ964" s="897"/>
      <c r="AR964" s="897"/>
    </row>
    <row r="965" spans="1:44" s="930" customFormat="1">
      <c r="A965" s="892"/>
      <c r="B965" s="899"/>
      <c r="C965" s="900"/>
      <c r="D965" s="894"/>
      <c r="E965" s="895"/>
      <c r="F965" s="896"/>
      <c r="G965" s="897"/>
      <c r="H965" s="897"/>
      <c r="I965" s="897"/>
      <c r="J965" s="897"/>
      <c r="K965" s="897"/>
      <c r="L965" s="898"/>
      <c r="M965" s="898"/>
      <c r="N965" s="898"/>
      <c r="O965" s="898"/>
      <c r="P965" s="898"/>
      <c r="Q965" s="898"/>
      <c r="R965" s="898"/>
      <c r="S965" s="898"/>
      <c r="T965" s="898"/>
      <c r="U965" s="898"/>
      <c r="V965" s="898"/>
      <c r="W965" s="898"/>
      <c r="X965" s="898"/>
      <c r="Y965" s="898"/>
      <c r="Z965" s="898"/>
      <c r="AA965" s="898"/>
      <c r="AB965" s="898"/>
      <c r="AC965" s="898"/>
      <c r="AD965" s="898"/>
      <c r="AE965" s="898"/>
      <c r="AF965" s="898"/>
      <c r="AG965" s="898"/>
      <c r="AH965" s="898"/>
      <c r="AI965" s="898"/>
      <c r="AJ965" s="898"/>
      <c r="AK965" s="897"/>
      <c r="AL965" s="897"/>
      <c r="AM965" s="897"/>
      <c r="AN965" s="897"/>
      <c r="AO965" s="897"/>
      <c r="AP965" s="897"/>
      <c r="AQ965" s="897"/>
      <c r="AR965" s="897"/>
    </row>
    <row r="966" spans="1:44" s="930" customFormat="1">
      <c r="A966" s="892"/>
      <c r="B966" s="899"/>
      <c r="C966" s="900"/>
      <c r="D966" s="894"/>
      <c r="E966" s="895"/>
      <c r="F966" s="896"/>
      <c r="G966" s="897"/>
      <c r="H966" s="897"/>
      <c r="I966" s="897"/>
      <c r="J966" s="897"/>
      <c r="K966" s="897"/>
      <c r="L966" s="898"/>
      <c r="M966" s="898"/>
      <c r="N966" s="898"/>
      <c r="O966" s="898"/>
      <c r="P966" s="898"/>
      <c r="Q966" s="898"/>
      <c r="R966" s="898"/>
      <c r="S966" s="898"/>
      <c r="T966" s="898"/>
      <c r="U966" s="898"/>
      <c r="V966" s="898"/>
      <c r="W966" s="898"/>
      <c r="X966" s="898"/>
      <c r="Y966" s="898"/>
      <c r="Z966" s="898"/>
      <c r="AA966" s="898"/>
      <c r="AB966" s="898"/>
      <c r="AC966" s="898"/>
      <c r="AD966" s="898"/>
      <c r="AE966" s="898"/>
      <c r="AF966" s="898"/>
      <c r="AG966" s="898"/>
      <c r="AH966" s="898"/>
      <c r="AI966" s="898"/>
      <c r="AJ966" s="898"/>
      <c r="AK966" s="897"/>
      <c r="AL966" s="897"/>
      <c r="AM966" s="897"/>
      <c r="AN966" s="897"/>
      <c r="AO966" s="897"/>
      <c r="AP966" s="897"/>
      <c r="AQ966" s="897"/>
      <c r="AR966" s="897"/>
    </row>
    <row r="967" spans="1:44" s="930" customFormat="1">
      <c r="A967" s="892"/>
      <c r="B967" s="899"/>
      <c r="C967" s="900"/>
      <c r="D967" s="894"/>
      <c r="E967" s="895"/>
      <c r="F967" s="896"/>
      <c r="G967" s="897"/>
      <c r="H967" s="897"/>
      <c r="I967" s="897"/>
      <c r="J967" s="897"/>
      <c r="K967" s="897"/>
      <c r="L967" s="898"/>
      <c r="M967" s="898"/>
      <c r="N967" s="898"/>
      <c r="O967" s="898"/>
      <c r="P967" s="898"/>
      <c r="Q967" s="898"/>
      <c r="R967" s="898"/>
      <c r="S967" s="898"/>
      <c r="T967" s="898"/>
      <c r="U967" s="898"/>
      <c r="V967" s="898"/>
      <c r="W967" s="898"/>
      <c r="X967" s="898"/>
      <c r="Y967" s="898"/>
      <c r="Z967" s="898"/>
      <c r="AA967" s="898"/>
      <c r="AB967" s="898"/>
      <c r="AC967" s="898"/>
      <c r="AD967" s="898"/>
      <c r="AE967" s="898"/>
      <c r="AF967" s="898"/>
      <c r="AG967" s="898"/>
      <c r="AH967" s="898"/>
      <c r="AI967" s="898"/>
      <c r="AJ967" s="898"/>
      <c r="AK967" s="897"/>
      <c r="AL967" s="897"/>
      <c r="AM967" s="897"/>
      <c r="AN967" s="897"/>
      <c r="AO967" s="897"/>
      <c r="AP967" s="897"/>
      <c r="AQ967" s="897"/>
      <c r="AR967" s="897"/>
    </row>
    <row r="968" spans="1:44" s="930" customFormat="1">
      <c r="A968" s="892"/>
      <c r="B968" s="899"/>
      <c r="C968" s="900"/>
      <c r="D968" s="894"/>
      <c r="E968" s="895"/>
      <c r="F968" s="896"/>
      <c r="G968" s="897"/>
      <c r="H968" s="897"/>
      <c r="I968" s="897"/>
      <c r="J968" s="897"/>
      <c r="K968" s="897"/>
      <c r="L968" s="898"/>
      <c r="M968" s="898"/>
      <c r="N968" s="898"/>
      <c r="O968" s="898"/>
      <c r="P968" s="898"/>
      <c r="Q968" s="898"/>
      <c r="R968" s="898"/>
      <c r="S968" s="898"/>
      <c r="T968" s="898"/>
      <c r="U968" s="898"/>
      <c r="V968" s="898"/>
      <c r="W968" s="898"/>
      <c r="X968" s="898"/>
      <c r="Y968" s="898"/>
      <c r="Z968" s="898"/>
      <c r="AA968" s="898"/>
      <c r="AB968" s="898"/>
      <c r="AC968" s="898"/>
      <c r="AD968" s="898"/>
      <c r="AE968" s="898"/>
      <c r="AF968" s="898"/>
      <c r="AG968" s="898"/>
      <c r="AH968" s="898"/>
      <c r="AI968" s="898"/>
      <c r="AJ968" s="898"/>
      <c r="AK968" s="897"/>
      <c r="AL968" s="897"/>
      <c r="AM968" s="897"/>
      <c r="AN968" s="897"/>
      <c r="AO968" s="897"/>
      <c r="AP968" s="897"/>
      <c r="AQ968" s="897"/>
      <c r="AR968" s="897"/>
    </row>
    <row r="969" spans="1:44" s="930" customFormat="1">
      <c r="A969" s="892"/>
      <c r="B969" s="899"/>
      <c r="C969" s="900"/>
      <c r="D969" s="894"/>
      <c r="E969" s="895"/>
      <c r="F969" s="896"/>
      <c r="G969" s="897"/>
      <c r="H969" s="897"/>
      <c r="I969" s="897"/>
      <c r="J969" s="897"/>
      <c r="K969" s="897"/>
      <c r="L969" s="898"/>
      <c r="M969" s="898"/>
      <c r="N969" s="898"/>
      <c r="O969" s="898"/>
      <c r="P969" s="898"/>
      <c r="Q969" s="898"/>
      <c r="R969" s="898"/>
      <c r="S969" s="898"/>
      <c r="T969" s="898"/>
      <c r="U969" s="898"/>
      <c r="V969" s="898"/>
      <c r="W969" s="898"/>
      <c r="X969" s="898"/>
      <c r="Y969" s="898"/>
      <c r="Z969" s="898"/>
      <c r="AA969" s="898"/>
      <c r="AB969" s="898"/>
      <c r="AC969" s="898"/>
      <c r="AD969" s="898"/>
      <c r="AE969" s="898"/>
      <c r="AF969" s="898"/>
      <c r="AG969" s="898"/>
      <c r="AH969" s="898"/>
      <c r="AI969" s="898"/>
      <c r="AJ969" s="898"/>
      <c r="AK969" s="897"/>
      <c r="AL969" s="897"/>
      <c r="AM969" s="897"/>
      <c r="AN969" s="897"/>
      <c r="AO969" s="897"/>
      <c r="AP969" s="897"/>
      <c r="AQ969" s="897"/>
      <c r="AR969" s="897"/>
    </row>
    <row r="970" spans="1:44" s="930" customFormat="1">
      <c r="A970" s="892"/>
      <c r="B970" s="899"/>
      <c r="C970" s="900"/>
      <c r="D970" s="894"/>
      <c r="E970" s="895"/>
      <c r="F970" s="896"/>
      <c r="G970" s="897"/>
      <c r="H970" s="897"/>
      <c r="I970" s="897"/>
      <c r="J970" s="897"/>
      <c r="K970" s="897"/>
      <c r="L970" s="898"/>
      <c r="M970" s="898"/>
      <c r="N970" s="898"/>
      <c r="O970" s="898"/>
      <c r="P970" s="898"/>
      <c r="Q970" s="898"/>
      <c r="R970" s="898"/>
      <c r="S970" s="898"/>
      <c r="T970" s="898"/>
      <c r="U970" s="898"/>
      <c r="V970" s="898"/>
      <c r="W970" s="898"/>
      <c r="X970" s="898"/>
      <c r="Y970" s="898"/>
      <c r="Z970" s="898"/>
      <c r="AA970" s="898"/>
      <c r="AB970" s="898"/>
      <c r="AC970" s="898"/>
      <c r="AD970" s="898"/>
      <c r="AE970" s="898"/>
      <c r="AF970" s="898"/>
      <c r="AG970" s="898"/>
      <c r="AH970" s="898"/>
      <c r="AI970" s="898"/>
      <c r="AJ970" s="898"/>
      <c r="AK970" s="897"/>
      <c r="AL970" s="897"/>
      <c r="AM970" s="897"/>
      <c r="AN970" s="897"/>
      <c r="AO970" s="897"/>
      <c r="AP970" s="897"/>
      <c r="AQ970" s="897"/>
      <c r="AR970" s="897"/>
    </row>
    <row r="971" spans="1:44" s="930" customFormat="1">
      <c r="A971" s="892"/>
      <c r="B971" s="899"/>
      <c r="C971" s="900"/>
      <c r="D971" s="894"/>
      <c r="E971" s="895"/>
      <c r="F971" s="896"/>
      <c r="G971" s="897"/>
      <c r="H971" s="897"/>
      <c r="I971" s="897"/>
      <c r="J971" s="897"/>
      <c r="K971" s="897"/>
      <c r="L971" s="898"/>
      <c r="M971" s="898"/>
      <c r="N971" s="898"/>
      <c r="O971" s="898"/>
      <c r="P971" s="898"/>
      <c r="Q971" s="898"/>
      <c r="R971" s="898"/>
      <c r="S971" s="898"/>
      <c r="T971" s="898"/>
      <c r="U971" s="898"/>
      <c r="V971" s="898"/>
      <c r="W971" s="898"/>
      <c r="X971" s="898"/>
      <c r="Y971" s="898"/>
      <c r="Z971" s="898"/>
      <c r="AA971" s="898"/>
      <c r="AB971" s="898"/>
      <c r="AC971" s="898"/>
      <c r="AD971" s="898"/>
      <c r="AE971" s="898"/>
      <c r="AF971" s="898"/>
      <c r="AG971" s="898"/>
      <c r="AH971" s="898"/>
      <c r="AI971" s="898"/>
      <c r="AJ971" s="898"/>
      <c r="AK971" s="897"/>
      <c r="AL971" s="897"/>
      <c r="AM971" s="897"/>
      <c r="AN971" s="897"/>
      <c r="AO971" s="897"/>
      <c r="AP971" s="897"/>
      <c r="AQ971" s="897"/>
      <c r="AR971" s="897"/>
    </row>
    <row r="972" spans="1:44" s="930" customFormat="1">
      <c r="A972" s="892"/>
      <c r="B972" s="899"/>
      <c r="C972" s="900"/>
      <c r="D972" s="894"/>
      <c r="E972" s="895"/>
      <c r="F972" s="896"/>
      <c r="G972" s="897"/>
      <c r="H972" s="897"/>
      <c r="I972" s="897"/>
      <c r="J972" s="897"/>
      <c r="K972" s="897"/>
      <c r="L972" s="898"/>
      <c r="M972" s="898"/>
      <c r="N972" s="898"/>
      <c r="O972" s="898"/>
      <c r="P972" s="898"/>
      <c r="Q972" s="898"/>
      <c r="R972" s="898"/>
      <c r="S972" s="898"/>
      <c r="T972" s="898"/>
      <c r="U972" s="898"/>
      <c r="V972" s="898"/>
      <c r="W972" s="898"/>
      <c r="X972" s="898"/>
      <c r="Y972" s="898"/>
      <c r="Z972" s="898"/>
      <c r="AA972" s="898"/>
      <c r="AB972" s="898"/>
      <c r="AC972" s="898"/>
      <c r="AD972" s="898"/>
      <c r="AE972" s="898"/>
      <c r="AF972" s="898"/>
      <c r="AG972" s="898"/>
      <c r="AH972" s="898"/>
      <c r="AI972" s="898"/>
      <c r="AJ972" s="898"/>
      <c r="AK972" s="897"/>
      <c r="AL972" s="897"/>
      <c r="AM972" s="897"/>
      <c r="AN972" s="897"/>
      <c r="AO972" s="897"/>
      <c r="AP972" s="897"/>
      <c r="AQ972" s="897"/>
      <c r="AR972" s="897"/>
    </row>
    <row r="973" spans="1:44" s="930" customFormat="1">
      <c r="A973" s="892"/>
      <c r="B973" s="899"/>
      <c r="C973" s="900"/>
      <c r="D973" s="894"/>
      <c r="E973" s="895"/>
      <c r="F973" s="896"/>
      <c r="G973" s="897"/>
      <c r="H973" s="897"/>
      <c r="I973" s="897"/>
      <c r="J973" s="897"/>
      <c r="K973" s="897"/>
      <c r="L973" s="898"/>
      <c r="M973" s="898"/>
      <c r="N973" s="898"/>
      <c r="O973" s="898"/>
      <c r="P973" s="898"/>
      <c r="Q973" s="898"/>
      <c r="R973" s="898"/>
      <c r="S973" s="898"/>
      <c r="T973" s="898"/>
      <c r="U973" s="898"/>
      <c r="V973" s="898"/>
      <c r="W973" s="898"/>
      <c r="X973" s="898"/>
      <c r="Y973" s="898"/>
      <c r="Z973" s="898"/>
      <c r="AA973" s="898"/>
      <c r="AB973" s="898"/>
      <c r="AC973" s="898"/>
      <c r="AD973" s="898"/>
      <c r="AE973" s="898"/>
      <c r="AF973" s="898"/>
      <c r="AG973" s="898"/>
      <c r="AH973" s="898"/>
      <c r="AI973" s="898"/>
      <c r="AJ973" s="898"/>
      <c r="AK973" s="897"/>
      <c r="AL973" s="897"/>
      <c r="AM973" s="897"/>
      <c r="AN973" s="897"/>
      <c r="AO973" s="897"/>
      <c r="AP973" s="897"/>
      <c r="AQ973" s="897"/>
      <c r="AR973" s="897"/>
    </row>
    <row r="974" spans="1:44" s="930" customFormat="1">
      <c r="A974" s="892"/>
      <c r="B974" s="899"/>
      <c r="C974" s="900"/>
      <c r="D974" s="894"/>
      <c r="E974" s="895"/>
      <c r="F974" s="896"/>
      <c r="G974" s="897"/>
      <c r="H974" s="897"/>
      <c r="I974" s="897"/>
      <c r="J974" s="897"/>
      <c r="K974" s="897"/>
      <c r="L974" s="898"/>
      <c r="M974" s="898"/>
      <c r="N974" s="898"/>
      <c r="O974" s="898"/>
      <c r="P974" s="898"/>
      <c r="Q974" s="898"/>
      <c r="R974" s="898"/>
      <c r="S974" s="898"/>
      <c r="T974" s="898"/>
      <c r="U974" s="898"/>
      <c r="V974" s="898"/>
      <c r="W974" s="898"/>
      <c r="X974" s="898"/>
      <c r="Y974" s="898"/>
      <c r="Z974" s="898"/>
      <c r="AA974" s="898"/>
      <c r="AB974" s="898"/>
      <c r="AC974" s="898"/>
      <c r="AD974" s="898"/>
      <c r="AE974" s="898"/>
      <c r="AF974" s="898"/>
      <c r="AG974" s="898"/>
      <c r="AH974" s="898"/>
      <c r="AI974" s="898"/>
      <c r="AJ974" s="898"/>
      <c r="AK974" s="897"/>
      <c r="AL974" s="897"/>
      <c r="AM974" s="897"/>
      <c r="AN974" s="897"/>
      <c r="AO974" s="897"/>
      <c r="AP974" s="897"/>
      <c r="AQ974" s="897"/>
      <c r="AR974" s="897"/>
    </row>
    <row r="975" spans="1:44" s="930" customFormat="1">
      <c r="A975" s="892"/>
      <c r="B975" s="899"/>
      <c r="C975" s="900"/>
      <c r="D975" s="894"/>
      <c r="E975" s="895"/>
      <c r="F975" s="896"/>
      <c r="G975" s="897"/>
      <c r="H975" s="897"/>
      <c r="I975" s="897"/>
      <c r="J975" s="897"/>
      <c r="K975" s="897"/>
      <c r="L975" s="898"/>
      <c r="M975" s="898"/>
      <c r="N975" s="898"/>
      <c r="O975" s="898"/>
      <c r="P975" s="898"/>
      <c r="Q975" s="898"/>
      <c r="R975" s="898"/>
      <c r="S975" s="898"/>
      <c r="T975" s="898"/>
      <c r="U975" s="898"/>
      <c r="V975" s="898"/>
      <c r="W975" s="898"/>
      <c r="X975" s="898"/>
      <c r="Y975" s="898"/>
      <c r="Z975" s="898"/>
      <c r="AA975" s="898"/>
      <c r="AB975" s="898"/>
      <c r="AC975" s="898"/>
      <c r="AD975" s="898"/>
      <c r="AE975" s="898"/>
      <c r="AF975" s="898"/>
      <c r="AG975" s="898"/>
      <c r="AH975" s="898"/>
      <c r="AI975" s="898"/>
      <c r="AJ975" s="898"/>
      <c r="AK975" s="897"/>
      <c r="AL975" s="897"/>
      <c r="AM975" s="897"/>
      <c r="AN975" s="897"/>
      <c r="AO975" s="897"/>
      <c r="AP975" s="897"/>
      <c r="AQ975" s="897"/>
      <c r="AR975" s="897"/>
    </row>
    <row r="976" spans="1:44" s="930" customFormat="1">
      <c r="A976" s="892"/>
      <c r="B976" s="899"/>
      <c r="C976" s="900"/>
      <c r="D976" s="894"/>
      <c r="E976" s="895"/>
      <c r="F976" s="896"/>
      <c r="G976" s="897"/>
      <c r="H976" s="897"/>
      <c r="I976" s="897"/>
      <c r="J976" s="897"/>
      <c r="K976" s="897"/>
      <c r="L976" s="898"/>
      <c r="M976" s="898"/>
      <c r="N976" s="898"/>
      <c r="O976" s="898"/>
      <c r="P976" s="898"/>
      <c r="Q976" s="898"/>
      <c r="R976" s="898"/>
      <c r="S976" s="898"/>
      <c r="T976" s="898"/>
      <c r="U976" s="898"/>
      <c r="V976" s="898"/>
      <c r="W976" s="898"/>
      <c r="X976" s="898"/>
      <c r="Y976" s="898"/>
      <c r="Z976" s="898"/>
      <c r="AA976" s="898"/>
      <c r="AB976" s="898"/>
      <c r="AC976" s="898"/>
      <c r="AD976" s="898"/>
      <c r="AE976" s="898"/>
      <c r="AF976" s="898"/>
      <c r="AG976" s="898"/>
      <c r="AH976" s="898"/>
      <c r="AI976" s="898"/>
      <c r="AJ976" s="898"/>
      <c r="AK976" s="897"/>
      <c r="AL976" s="897"/>
      <c r="AM976" s="897"/>
      <c r="AN976" s="897"/>
      <c r="AO976" s="897"/>
      <c r="AP976" s="897"/>
      <c r="AQ976" s="897"/>
      <c r="AR976" s="897"/>
    </row>
    <row r="977" spans="1:44" s="930" customFormat="1">
      <c r="A977" s="892"/>
      <c r="B977" s="899"/>
      <c r="C977" s="900"/>
      <c r="D977" s="894"/>
      <c r="E977" s="895"/>
      <c r="F977" s="896"/>
      <c r="G977" s="897"/>
      <c r="H977" s="897"/>
      <c r="I977" s="897"/>
      <c r="J977" s="897"/>
      <c r="K977" s="897"/>
      <c r="L977" s="898"/>
      <c r="M977" s="898"/>
      <c r="N977" s="898"/>
      <c r="O977" s="898"/>
      <c r="P977" s="898"/>
      <c r="Q977" s="898"/>
      <c r="R977" s="898"/>
      <c r="S977" s="898"/>
      <c r="T977" s="898"/>
      <c r="U977" s="898"/>
      <c r="V977" s="898"/>
      <c r="W977" s="898"/>
      <c r="X977" s="898"/>
      <c r="Y977" s="898"/>
      <c r="Z977" s="898"/>
      <c r="AA977" s="898"/>
      <c r="AB977" s="898"/>
      <c r="AC977" s="898"/>
      <c r="AD977" s="898"/>
      <c r="AE977" s="898"/>
      <c r="AF977" s="898"/>
      <c r="AG977" s="898"/>
      <c r="AH977" s="898"/>
      <c r="AI977" s="898"/>
      <c r="AJ977" s="898"/>
      <c r="AK977" s="897"/>
      <c r="AL977" s="897"/>
      <c r="AM977" s="897"/>
      <c r="AN977" s="897"/>
      <c r="AO977" s="897"/>
      <c r="AP977" s="897"/>
      <c r="AQ977" s="897"/>
      <c r="AR977" s="897"/>
    </row>
    <row r="978" spans="1:44" s="930" customFormat="1">
      <c r="A978" s="892"/>
      <c r="B978" s="899"/>
      <c r="C978" s="900"/>
      <c r="D978" s="894"/>
      <c r="E978" s="895"/>
      <c r="F978" s="896"/>
      <c r="G978" s="897"/>
      <c r="H978" s="897"/>
      <c r="I978" s="897"/>
      <c r="J978" s="897"/>
      <c r="K978" s="897"/>
      <c r="L978" s="898"/>
      <c r="M978" s="898"/>
      <c r="N978" s="898"/>
      <c r="O978" s="898"/>
      <c r="P978" s="898"/>
      <c r="Q978" s="898"/>
      <c r="R978" s="898"/>
      <c r="S978" s="898"/>
      <c r="T978" s="898"/>
      <c r="U978" s="898"/>
      <c r="V978" s="898"/>
      <c r="W978" s="898"/>
      <c r="X978" s="898"/>
      <c r="Y978" s="898"/>
      <c r="Z978" s="898"/>
      <c r="AA978" s="898"/>
      <c r="AB978" s="898"/>
      <c r="AC978" s="898"/>
      <c r="AD978" s="898"/>
      <c r="AE978" s="898"/>
      <c r="AF978" s="898"/>
      <c r="AG978" s="898"/>
      <c r="AH978" s="898"/>
      <c r="AI978" s="898"/>
      <c r="AJ978" s="898"/>
      <c r="AK978" s="897"/>
      <c r="AL978" s="897"/>
      <c r="AM978" s="897"/>
      <c r="AN978" s="897"/>
      <c r="AO978" s="897"/>
      <c r="AP978" s="897"/>
      <c r="AQ978" s="897"/>
      <c r="AR978" s="897"/>
    </row>
    <row r="979" spans="1:44" s="930" customFormat="1">
      <c r="A979" s="892"/>
      <c r="B979" s="899"/>
      <c r="C979" s="900"/>
      <c r="D979" s="894"/>
      <c r="E979" s="895"/>
      <c r="F979" s="896"/>
      <c r="G979" s="897"/>
      <c r="H979" s="897"/>
      <c r="I979" s="897"/>
      <c r="J979" s="897"/>
      <c r="K979" s="897"/>
      <c r="L979" s="898"/>
      <c r="M979" s="898"/>
      <c r="N979" s="898"/>
      <c r="O979" s="898"/>
      <c r="P979" s="898"/>
      <c r="Q979" s="898"/>
      <c r="R979" s="898"/>
      <c r="S979" s="898"/>
      <c r="T979" s="898"/>
      <c r="U979" s="898"/>
      <c r="V979" s="898"/>
      <c r="W979" s="898"/>
      <c r="X979" s="898"/>
      <c r="Y979" s="898"/>
      <c r="Z979" s="898"/>
      <c r="AA979" s="898"/>
      <c r="AB979" s="898"/>
      <c r="AC979" s="898"/>
      <c r="AD979" s="898"/>
      <c r="AE979" s="898"/>
      <c r="AF979" s="898"/>
      <c r="AG979" s="898"/>
      <c r="AH979" s="898"/>
      <c r="AI979" s="898"/>
      <c r="AJ979" s="898"/>
      <c r="AK979" s="897"/>
      <c r="AL979" s="897"/>
      <c r="AM979" s="897"/>
      <c r="AN979" s="897"/>
      <c r="AO979" s="897"/>
      <c r="AP979" s="897"/>
      <c r="AQ979" s="897"/>
      <c r="AR979" s="897"/>
    </row>
    <row r="980" spans="1:44" s="930" customFormat="1">
      <c r="A980" s="892"/>
      <c r="B980" s="899"/>
      <c r="C980" s="900"/>
      <c r="D980" s="894"/>
      <c r="E980" s="895"/>
      <c r="F980" s="896"/>
      <c r="G980" s="897"/>
      <c r="H980" s="897"/>
      <c r="I980" s="897"/>
      <c r="J980" s="897"/>
      <c r="K980" s="897"/>
      <c r="L980" s="898"/>
      <c r="M980" s="898"/>
      <c r="N980" s="898"/>
      <c r="O980" s="898"/>
      <c r="P980" s="898"/>
      <c r="Q980" s="898"/>
      <c r="R980" s="898"/>
      <c r="S980" s="898"/>
      <c r="T980" s="898"/>
      <c r="U980" s="898"/>
      <c r="V980" s="898"/>
      <c r="W980" s="898"/>
      <c r="X980" s="898"/>
      <c r="Y980" s="898"/>
      <c r="Z980" s="898"/>
      <c r="AA980" s="898"/>
      <c r="AB980" s="898"/>
      <c r="AC980" s="898"/>
      <c r="AD980" s="898"/>
      <c r="AE980" s="898"/>
      <c r="AF980" s="898"/>
      <c r="AG980" s="898"/>
      <c r="AH980" s="898"/>
      <c r="AI980" s="898"/>
      <c r="AJ980" s="898"/>
      <c r="AK980" s="897"/>
      <c r="AL980" s="897"/>
      <c r="AM980" s="897"/>
      <c r="AN980" s="897"/>
      <c r="AO980" s="897"/>
      <c r="AP980" s="897"/>
      <c r="AQ980" s="897"/>
      <c r="AR980" s="897"/>
    </row>
    <row r="981" spans="1:44" s="930" customFormat="1">
      <c r="A981" s="892"/>
      <c r="B981" s="899"/>
      <c r="C981" s="900"/>
      <c r="D981" s="894"/>
      <c r="E981" s="895"/>
      <c r="F981" s="896"/>
      <c r="G981" s="897"/>
      <c r="H981" s="897"/>
      <c r="I981" s="897"/>
      <c r="J981" s="897"/>
      <c r="K981" s="897"/>
      <c r="L981" s="898"/>
      <c r="M981" s="898"/>
      <c r="N981" s="898"/>
      <c r="O981" s="898"/>
      <c r="P981" s="898"/>
      <c r="Q981" s="898"/>
      <c r="R981" s="898"/>
      <c r="S981" s="898"/>
      <c r="T981" s="898"/>
      <c r="U981" s="898"/>
      <c r="V981" s="898"/>
      <c r="W981" s="898"/>
      <c r="X981" s="898"/>
      <c r="Y981" s="898"/>
      <c r="Z981" s="898"/>
      <c r="AA981" s="898"/>
      <c r="AB981" s="898"/>
      <c r="AC981" s="898"/>
      <c r="AD981" s="898"/>
      <c r="AE981" s="898"/>
      <c r="AF981" s="898"/>
      <c r="AG981" s="898"/>
      <c r="AH981" s="898"/>
      <c r="AI981" s="898"/>
      <c r="AJ981" s="898"/>
      <c r="AK981" s="897"/>
      <c r="AL981" s="897"/>
      <c r="AM981" s="897"/>
      <c r="AN981" s="897"/>
      <c r="AO981" s="897"/>
      <c r="AP981" s="897"/>
      <c r="AQ981" s="897"/>
      <c r="AR981" s="897"/>
    </row>
    <row r="982" spans="1:44" s="930" customFormat="1">
      <c r="A982" s="892"/>
      <c r="B982" s="899"/>
      <c r="C982" s="900"/>
      <c r="D982" s="894"/>
      <c r="E982" s="895"/>
      <c r="F982" s="896"/>
      <c r="G982" s="897"/>
      <c r="H982" s="897"/>
      <c r="I982" s="897"/>
      <c r="J982" s="897"/>
      <c r="K982" s="897"/>
      <c r="L982" s="898"/>
      <c r="M982" s="898"/>
      <c r="N982" s="898"/>
      <c r="O982" s="898"/>
      <c r="P982" s="898"/>
      <c r="Q982" s="898"/>
      <c r="R982" s="898"/>
      <c r="S982" s="898"/>
      <c r="T982" s="898"/>
      <c r="U982" s="898"/>
      <c r="V982" s="898"/>
      <c r="W982" s="898"/>
      <c r="X982" s="898"/>
      <c r="Y982" s="898"/>
      <c r="Z982" s="898"/>
      <c r="AA982" s="898"/>
      <c r="AB982" s="898"/>
      <c r="AC982" s="898"/>
      <c r="AD982" s="898"/>
      <c r="AE982" s="898"/>
      <c r="AF982" s="898"/>
      <c r="AG982" s="898"/>
      <c r="AH982" s="898"/>
      <c r="AI982" s="898"/>
      <c r="AJ982" s="898"/>
      <c r="AK982" s="897"/>
      <c r="AL982" s="897"/>
      <c r="AM982" s="897"/>
      <c r="AN982" s="897"/>
      <c r="AO982" s="897"/>
      <c r="AP982" s="897"/>
      <c r="AQ982" s="897"/>
      <c r="AR982" s="897"/>
    </row>
    <row r="983" spans="1:44" s="930" customFormat="1">
      <c r="A983" s="892"/>
      <c r="B983" s="899"/>
      <c r="C983" s="900"/>
      <c r="D983" s="894"/>
      <c r="E983" s="895"/>
      <c r="F983" s="896"/>
      <c r="G983" s="897"/>
      <c r="H983" s="897"/>
      <c r="I983" s="897"/>
      <c r="J983" s="897"/>
      <c r="K983" s="897"/>
      <c r="L983" s="898"/>
      <c r="M983" s="898"/>
      <c r="N983" s="898"/>
      <c r="O983" s="898"/>
      <c r="P983" s="898"/>
      <c r="Q983" s="898"/>
      <c r="R983" s="898"/>
      <c r="S983" s="898"/>
      <c r="T983" s="898"/>
      <c r="U983" s="898"/>
      <c r="V983" s="898"/>
      <c r="W983" s="898"/>
      <c r="X983" s="898"/>
      <c r="Y983" s="898"/>
      <c r="Z983" s="898"/>
      <c r="AA983" s="898"/>
      <c r="AB983" s="898"/>
      <c r="AC983" s="898"/>
      <c r="AD983" s="898"/>
      <c r="AE983" s="898"/>
      <c r="AF983" s="898"/>
      <c r="AG983" s="898"/>
      <c r="AH983" s="898"/>
      <c r="AI983" s="898"/>
      <c r="AJ983" s="898"/>
      <c r="AK983" s="897"/>
      <c r="AL983" s="897"/>
      <c r="AM983" s="897"/>
      <c r="AN983" s="897"/>
      <c r="AO983" s="897"/>
      <c r="AP983" s="897"/>
      <c r="AQ983" s="897"/>
      <c r="AR983" s="897"/>
    </row>
    <row r="984" spans="1:44" s="930" customFormat="1">
      <c r="A984" s="892"/>
      <c r="B984" s="899"/>
      <c r="C984" s="900"/>
      <c r="D984" s="894"/>
      <c r="E984" s="895"/>
      <c r="F984" s="896"/>
      <c r="G984" s="897"/>
      <c r="H984" s="897"/>
      <c r="I984" s="897"/>
      <c r="J984" s="897"/>
      <c r="K984" s="897"/>
      <c r="L984" s="898"/>
      <c r="M984" s="898"/>
      <c r="N984" s="898"/>
      <c r="O984" s="898"/>
      <c r="P984" s="898"/>
      <c r="Q984" s="898"/>
      <c r="R984" s="898"/>
      <c r="S984" s="898"/>
      <c r="T984" s="898"/>
      <c r="U984" s="898"/>
      <c r="V984" s="898"/>
      <c r="W984" s="898"/>
      <c r="X984" s="898"/>
      <c r="Y984" s="898"/>
      <c r="Z984" s="898"/>
      <c r="AA984" s="898"/>
      <c r="AB984" s="898"/>
      <c r="AC984" s="898"/>
      <c r="AD984" s="898"/>
      <c r="AE984" s="898"/>
      <c r="AF984" s="898"/>
      <c r="AG984" s="898"/>
      <c r="AH984" s="898"/>
      <c r="AI984" s="898"/>
      <c r="AJ984" s="898"/>
      <c r="AK984" s="897"/>
      <c r="AL984" s="897"/>
      <c r="AM984" s="897"/>
      <c r="AN984" s="897"/>
      <c r="AO984" s="897"/>
      <c r="AP984" s="897"/>
      <c r="AQ984" s="897"/>
      <c r="AR984" s="897"/>
    </row>
    <row r="985" spans="1:44" s="930" customFormat="1">
      <c r="A985" s="892"/>
      <c r="B985" s="899"/>
      <c r="C985" s="900"/>
      <c r="D985" s="894"/>
      <c r="E985" s="895"/>
      <c r="F985" s="896"/>
      <c r="G985" s="897"/>
      <c r="H985" s="897"/>
      <c r="I985" s="897"/>
      <c r="J985" s="897"/>
      <c r="K985" s="897"/>
      <c r="L985" s="898"/>
      <c r="M985" s="898"/>
      <c r="N985" s="898"/>
      <c r="O985" s="898"/>
      <c r="P985" s="898"/>
      <c r="Q985" s="898"/>
      <c r="R985" s="898"/>
      <c r="S985" s="898"/>
      <c r="T985" s="898"/>
      <c r="U985" s="898"/>
      <c r="V985" s="898"/>
      <c r="W985" s="898"/>
      <c r="X985" s="898"/>
      <c r="Y985" s="898"/>
      <c r="Z985" s="898"/>
      <c r="AA985" s="898"/>
      <c r="AB985" s="898"/>
      <c r="AC985" s="898"/>
      <c r="AD985" s="898"/>
      <c r="AE985" s="898"/>
      <c r="AF985" s="898"/>
      <c r="AG985" s="898"/>
      <c r="AH985" s="898"/>
      <c r="AI985" s="898"/>
      <c r="AJ985" s="898"/>
      <c r="AK985" s="897"/>
      <c r="AL985" s="897"/>
      <c r="AM985" s="897"/>
      <c r="AN985" s="897"/>
      <c r="AO985" s="897"/>
      <c r="AP985" s="897"/>
      <c r="AQ985" s="897"/>
      <c r="AR985" s="897"/>
    </row>
    <row r="986" spans="1:44" s="930" customFormat="1">
      <c r="A986" s="892"/>
      <c r="B986" s="899"/>
      <c r="C986" s="900"/>
      <c r="D986" s="894"/>
      <c r="E986" s="895"/>
      <c r="F986" s="896"/>
      <c r="G986" s="897"/>
      <c r="H986" s="897"/>
      <c r="I986" s="897"/>
      <c r="J986" s="897"/>
      <c r="K986" s="897"/>
      <c r="L986" s="898"/>
      <c r="M986" s="898"/>
      <c r="N986" s="898"/>
      <c r="O986" s="898"/>
      <c r="P986" s="898"/>
      <c r="Q986" s="898"/>
      <c r="R986" s="898"/>
      <c r="S986" s="898"/>
      <c r="T986" s="898"/>
      <c r="U986" s="898"/>
      <c r="V986" s="898"/>
      <c r="W986" s="898"/>
      <c r="X986" s="898"/>
      <c r="Y986" s="898"/>
      <c r="Z986" s="898"/>
      <c r="AA986" s="898"/>
      <c r="AB986" s="898"/>
      <c r="AC986" s="898"/>
      <c r="AD986" s="898"/>
      <c r="AE986" s="898"/>
      <c r="AF986" s="898"/>
      <c r="AG986" s="898"/>
      <c r="AH986" s="898"/>
      <c r="AI986" s="898"/>
      <c r="AJ986" s="898"/>
      <c r="AK986" s="897"/>
      <c r="AL986" s="897"/>
      <c r="AM986" s="897"/>
      <c r="AN986" s="897"/>
      <c r="AO986" s="897"/>
      <c r="AP986" s="897"/>
      <c r="AQ986" s="897"/>
      <c r="AR986" s="897"/>
    </row>
    <row r="987" spans="1:44" s="930" customFormat="1">
      <c r="A987" s="892"/>
      <c r="B987" s="899"/>
      <c r="C987" s="900"/>
      <c r="D987" s="894"/>
      <c r="E987" s="895"/>
      <c r="F987" s="896"/>
      <c r="G987" s="897"/>
      <c r="H987" s="897"/>
      <c r="I987" s="897"/>
      <c r="J987" s="897"/>
      <c r="K987" s="897"/>
      <c r="L987" s="898"/>
      <c r="M987" s="898"/>
      <c r="N987" s="898"/>
      <c r="O987" s="898"/>
      <c r="P987" s="898"/>
      <c r="Q987" s="898"/>
      <c r="R987" s="898"/>
      <c r="S987" s="898"/>
      <c r="T987" s="898"/>
      <c r="U987" s="898"/>
      <c r="V987" s="898"/>
      <c r="W987" s="898"/>
      <c r="X987" s="898"/>
      <c r="Y987" s="898"/>
      <c r="Z987" s="898"/>
      <c r="AA987" s="898"/>
      <c r="AB987" s="898"/>
      <c r="AC987" s="898"/>
      <c r="AD987" s="898"/>
      <c r="AE987" s="898"/>
      <c r="AF987" s="898"/>
      <c r="AG987" s="898"/>
      <c r="AH987" s="898"/>
      <c r="AI987" s="898"/>
      <c r="AJ987" s="898"/>
      <c r="AK987" s="897"/>
      <c r="AL987" s="897"/>
      <c r="AM987" s="897"/>
      <c r="AN987" s="897"/>
      <c r="AO987" s="897"/>
      <c r="AP987" s="897"/>
      <c r="AQ987" s="897"/>
      <c r="AR987" s="897"/>
    </row>
    <row r="988" spans="1:44" s="930" customFormat="1">
      <c r="A988" s="892"/>
      <c r="B988" s="899"/>
      <c r="C988" s="900"/>
      <c r="D988" s="894"/>
      <c r="E988" s="895"/>
      <c r="F988" s="896"/>
      <c r="G988" s="897"/>
      <c r="H988" s="897"/>
      <c r="I988" s="897"/>
      <c r="J988" s="897"/>
      <c r="K988" s="897"/>
      <c r="L988" s="898"/>
      <c r="M988" s="898"/>
      <c r="N988" s="898"/>
      <c r="O988" s="898"/>
      <c r="P988" s="898"/>
      <c r="Q988" s="898"/>
      <c r="R988" s="898"/>
      <c r="S988" s="898"/>
      <c r="T988" s="898"/>
      <c r="U988" s="898"/>
      <c r="V988" s="898"/>
      <c r="W988" s="898"/>
      <c r="X988" s="898"/>
      <c r="Y988" s="898"/>
      <c r="Z988" s="898"/>
      <c r="AA988" s="898"/>
      <c r="AB988" s="898"/>
      <c r="AC988" s="898"/>
      <c r="AD988" s="898"/>
      <c r="AE988" s="898"/>
      <c r="AF988" s="898"/>
      <c r="AG988" s="898"/>
      <c r="AH988" s="898"/>
      <c r="AI988" s="898"/>
      <c r="AJ988" s="898"/>
      <c r="AK988" s="897"/>
      <c r="AL988" s="897"/>
      <c r="AM988" s="897"/>
      <c r="AN988" s="897"/>
      <c r="AO988" s="897"/>
      <c r="AP988" s="897"/>
      <c r="AQ988" s="897"/>
      <c r="AR988" s="897"/>
    </row>
    <row r="989" spans="1:44" s="930" customFormat="1">
      <c r="A989" s="892"/>
      <c r="B989" s="899"/>
      <c r="C989" s="900"/>
      <c r="D989" s="894"/>
      <c r="E989" s="895"/>
      <c r="F989" s="896"/>
      <c r="G989" s="897"/>
      <c r="H989" s="897"/>
      <c r="I989" s="897"/>
      <c r="J989" s="897"/>
      <c r="K989" s="897"/>
      <c r="L989" s="898"/>
      <c r="M989" s="898"/>
      <c r="N989" s="898"/>
      <c r="O989" s="898"/>
      <c r="P989" s="898"/>
      <c r="Q989" s="898"/>
      <c r="R989" s="898"/>
      <c r="S989" s="898"/>
      <c r="T989" s="898"/>
      <c r="U989" s="898"/>
      <c r="V989" s="898"/>
      <c r="W989" s="898"/>
      <c r="X989" s="898"/>
      <c r="Y989" s="898"/>
      <c r="Z989" s="898"/>
      <c r="AA989" s="898"/>
      <c r="AB989" s="898"/>
      <c r="AC989" s="898"/>
      <c r="AD989" s="898"/>
      <c r="AE989" s="898"/>
      <c r="AF989" s="898"/>
      <c r="AG989" s="898"/>
      <c r="AH989" s="898"/>
      <c r="AI989" s="898"/>
      <c r="AJ989" s="898"/>
      <c r="AK989" s="897"/>
      <c r="AL989" s="897"/>
      <c r="AM989" s="897"/>
      <c r="AN989" s="897"/>
      <c r="AO989" s="897"/>
      <c r="AP989" s="897"/>
      <c r="AQ989" s="897"/>
      <c r="AR989" s="897"/>
    </row>
    <row r="990" spans="1:44" s="930" customFormat="1">
      <c r="A990" s="892"/>
      <c r="B990" s="899"/>
      <c r="C990" s="900"/>
      <c r="D990" s="894"/>
      <c r="E990" s="895"/>
      <c r="F990" s="896"/>
      <c r="G990" s="897"/>
      <c r="H990" s="897"/>
      <c r="I990" s="897"/>
      <c r="J990" s="897"/>
      <c r="K990" s="897"/>
      <c r="L990" s="898"/>
      <c r="M990" s="898"/>
      <c r="N990" s="898"/>
      <c r="O990" s="898"/>
      <c r="P990" s="898"/>
      <c r="Q990" s="898"/>
      <c r="R990" s="898"/>
      <c r="S990" s="898"/>
      <c r="T990" s="898"/>
      <c r="U990" s="898"/>
      <c r="V990" s="898"/>
      <c r="W990" s="898"/>
      <c r="X990" s="898"/>
      <c r="Y990" s="898"/>
      <c r="Z990" s="898"/>
      <c r="AA990" s="898"/>
      <c r="AB990" s="898"/>
      <c r="AC990" s="898"/>
      <c r="AD990" s="898"/>
      <c r="AE990" s="898"/>
      <c r="AF990" s="898"/>
      <c r="AG990" s="898"/>
      <c r="AH990" s="898"/>
      <c r="AI990" s="898"/>
      <c r="AJ990" s="898"/>
      <c r="AK990" s="897"/>
      <c r="AL990" s="897"/>
      <c r="AM990" s="897"/>
      <c r="AN990" s="897"/>
      <c r="AO990" s="897"/>
      <c r="AP990" s="897"/>
      <c r="AQ990" s="897"/>
      <c r="AR990" s="897"/>
    </row>
    <row r="991" spans="1:44" s="930" customFormat="1">
      <c r="A991" s="892"/>
      <c r="B991" s="899"/>
      <c r="C991" s="900"/>
      <c r="D991" s="894"/>
      <c r="E991" s="895"/>
      <c r="F991" s="896"/>
      <c r="G991" s="897"/>
      <c r="H991" s="897"/>
      <c r="I991" s="897"/>
      <c r="J991" s="897"/>
      <c r="K991" s="897"/>
      <c r="L991" s="898"/>
      <c r="M991" s="898"/>
      <c r="N991" s="898"/>
      <c r="O991" s="898"/>
      <c r="P991" s="898"/>
      <c r="Q991" s="898"/>
      <c r="R991" s="898"/>
      <c r="S991" s="898"/>
      <c r="T991" s="898"/>
      <c r="U991" s="898"/>
      <c r="V991" s="898"/>
      <c r="W991" s="898"/>
      <c r="X991" s="898"/>
      <c r="Y991" s="898"/>
      <c r="Z991" s="898"/>
      <c r="AA991" s="898"/>
      <c r="AB991" s="898"/>
      <c r="AC991" s="898"/>
      <c r="AD991" s="898"/>
      <c r="AE991" s="898"/>
      <c r="AF991" s="898"/>
      <c r="AG991" s="898"/>
      <c r="AH991" s="898"/>
      <c r="AI991" s="898"/>
      <c r="AJ991" s="898"/>
      <c r="AK991" s="897"/>
      <c r="AL991" s="897"/>
      <c r="AM991" s="897"/>
      <c r="AN991" s="897"/>
      <c r="AO991" s="897"/>
      <c r="AP991" s="897"/>
      <c r="AQ991" s="897"/>
      <c r="AR991" s="897"/>
    </row>
    <row r="992" spans="1:44" s="930" customFormat="1">
      <c r="A992" s="892"/>
      <c r="B992" s="899"/>
      <c r="C992" s="900"/>
      <c r="D992" s="894"/>
      <c r="E992" s="895"/>
      <c r="F992" s="896"/>
      <c r="G992" s="897"/>
      <c r="H992" s="897"/>
      <c r="I992" s="897"/>
      <c r="J992" s="897"/>
      <c r="K992" s="897"/>
      <c r="L992" s="898"/>
      <c r="M992" s="898"/>
      <c r="N992" s="898"/>
      <c r="O992" s="898"/>
      <c r="P992" s="898"/>
      <c r="Q992" s="898"/>
      <c r="R992" s="898"/>
      <c r="S992" s="898"/>
      <c r="T992" s="898"/>
      <c r="U992" s="898"/>
      <c r="V992" s="898"/>
      <c r="W992" s="898"/>
      <c r="X992" s="898"/>
      <c r="Y992" s="898"/>
      <c r="Z992" s="898"/>
      <c r="AA992" s="898"/>
      <c r="AB992" s="898"/>
      <c r="AC992" s="898"/>
      <c r="AD992" s="898"/>
      <c r="AE992" s="898"/>
      <c r="AF992" s="898"/>
      <c r="AG992" s="898"/>
      <c r="AH992" s="898"/>
      <c r="AI992" s="898"/>
      <c r="AJ992" s="898"/>
      <c r="AK992" s="897"/>
      <c r="AL992" s="897"/>
      <c r="AM992" s="897"/>
      <c r="AN992" s="897"/>
      <c r="AO992" s="897"/>
      <c r="AP992" s="897"/>
      <c r="AQ992" s="897"/>
      <c r="AR992" s="897"/>
    </row>
    <row r="993" spans="1:44" s="930" customFormat="1">
      <c r="A993" s="892"/>
      <c r="B993" s="899"/>
      <c r="C993" s="900"/>
      <c r="D993" s="894"/>
      <c r="E993" s="895"/>
      <c r="F993" s="896"/>
      <c r="G993" s="897"/>
      <c r="H993" s="897"/>
      <c r="I993" s="897"/>
      <c r="J993" s="897"/>
      <c r="K993" s="897"/>
      <c r="L993" s="898"/>
      <c r="M993" s="898"/>
      <c r="N993" s="898"/>
      <c r="O993" s="898"/>
      <c r="P993" s="898"/>
      <c r="Q993" s="898"/>
      <c r="R993" s="898"/>
      <c r="S993" s="898"/>
      <c r="T993" s="898"/>
      <c r="U993" s="898"/>
      <c r="V993" s="898"/>
      <c r="W993" s="898"/>
      <c r="X993" s="898"/>
      <c r="Y993" s="898"/>
      <c r="Z993" s="898"/>
      <c r="AA993" s="898"/>
      <c r="AB993" s="898"/>
      <c r="AC993" s="898"/>
      <c r="AD993" s="898"/>
      <c r="AE993" s="898"/>
      <c r="AF993" s="898"/>
      <c r="AG993" s="898"/>
      <c r="AH993" s="898"/>
      <c r="AI993" s="898"/>
      <c r="AJ993" s="898"/>
      <c r="AK993" s="897"/>
      <c r="AL993" s="897"/>
      <c r="AM993" s="897"/>
      <c r="AN993" s="897"/>
      <c r="AO993" s="897"/>
      <c r="AP993" s="897"/>
      <c r="AQ993" s="897"/>
      <c r="AR993" s="897"/>
    </row>
    <row r="994" spans="1:44" s="930" customFormat="1">
      <c r="A994" s="892"/>
      <c r="B994" s="899"/>
      <c r="C994" s="900"/>
      <c r="D994" s="894"/>
      <c r="E994" s="895"/>
      <c r="F994" s="896"/>
      <c r="G994" s="897"/>
      <c r="H994" s="897"/>
      <c r="I994" s="897"/>
      <c r="J994" s="897"/>
      <c r="K994" s="897"/>
      <c r="L994" s="898"/>
      <c r="M994" s="898"/>
      <c r="N994" s="898"/>
      <c r="O994" s="898"/>
      <c r="P994" s="898"/>
      <c r="Q994" s="898"/>
      <c r="R994" s="898"/>
      <c r="S994" s="898"/>
      <c r="T994" s="898"/>
      <c r="U994" s="898"/>
      <c r="V994" s="898"/>
      <c r="W994" s="898"/>
      <c r="X994" s="898"/>
      <c r="Y994" s="898"/>
      <c r="Z994" s="898"/>
      <c r="AA994" s="898"/>
      <c r="AB994" s="898"/>
      <c r="AC994" s="898"/>
      <c r="AD994" s="898"/>
      <c r="AE994" s="898"/>
      <c r="AF994" s="898"/>
      <c r="AG994" s="898"/>
      <c r="AH994" s="898"/>
      <c r="AI994" s="898"/>
      <c r="AJ994" s="898"/>
      <c r="AK994" s="897"/>
      <c r="AL994" s="897"/>
      <c r="AM994" s="897"/>
      <c r="AN994" s="897"/>
      <c r="AO994" s="897"/>
      <c r="AP994" s="897"/>
      <c r="AQ994" s="897"/>
      <c r="AR994" s="897"/>
    </row>
    <row r="995" spans="1:44" s="930" customFormat="1">
      <c r="A995" s="892"/>
      <c r="B995" s="899"/>
      <c r="C995" s="900"/>
      <c r="D995" s="894"/>
      <c r="E995" s="895"/>
      <c r="F995" s="896"/>
      <c r="G995" s="897"/>
      <c r="H995" s="897"/>
      <c r="I995" s="897"/>
      <c r="J995" s="897"/>
      <c r="K995" s="897"/>
      <c r="L995" s="898"/>
      <c r="M995" s="898"/>
      <c r="N995" s="898"/>
      <c r="O995" s="898"/>
      <c r="P995" s="898"/>
      <c r="Q995" s="898"/>
      <c r="R995" s="898"/>
      <c r="S995" s="898"/>
      <c r="T995" s="898"/>
      <c r="U995" s="898"/>
      <c r="V995" s="898"/>
      <c r="W995" s="898"/>
      <c r="X995" s="898"/>
      <c r="Y995" s="898"/>
      <c r="Z995" s="898"/>
      <c r="AA995" s="898"/>
      <c r="AB995" s="898"/>
      <c r="AC995" s="898"/>
      <c r="AD995" s="898"/>
      <c r="AE995" s="898"/>
      <c r="AF995" s="898"/>
      <c r="AG995" s="898"/>
      <c r="AH995" s="898"/>
      <c r="AI995" s="898"/>
      <c r="AJ995" s="898"/>
      <c r="AK995" s="897"/>
      <c r="AL995" s="897"/>
      <c r="AM995" s="897"/>
      <c r="AN995" s="897"/>
      <c r="AO995" s="897"/>
      <c r="AP995" s="897"/>
      <c r="AQ995" s="897"/>
      <c r="AR995" s="897"/>
    </row>
    <row r="996" spans="1:44" s="930" customFormat="1">
      <c r="A996" s="892"/>
      <c r="B996" s="899"/>
      <c r="C996" s="900"/>
      <c r="D996" s="894"/>
      <c r="E996" s="895"/>
      <c r="F996" s="896"/>
      <c r="G996" s="897"/>
      <c r="H996" s="897"/>
      <c r="I996" s="897"/>
      <c r="J996" s="897"/>
      <c r="K996" s="897"/>
      <c r="L996" s="898"/>
      <c r="M996" s="898"/>
      <c r="N996" s="898"/>
      <c r="O996" s="898"/>
      <c r="P996" s="898"/>
      <c r="Q996" s="898"/>
      <c r="R996" s="898"/>
      <c r="S996" s="898"/>
      <c r="T996" s="898"/>
      <c r="U996" s="898"/>
      <c r="V996" s="898"/>
      <c r="W996" s="898"/>
      <c r="X996" s="898"/>
      <c r="Y996" s="898"/>
      <c r="Z996" s="898"/>
      <c r="AA996" s="898"/>
      <c r="AB996" s="898"/>
      <c r="AC996" s="898"/>
      <c r="AD996" s="898"/>
      <c r="AE996" s="898"/>
      <c r="AF996" s="898"/>
      <c r="AG996" s="898"/>
      <c r="AH996" s="898"/>
      <c r="AI996" s="898"/>
      <c r="AJ996" s="898"/>
      <c r="AK996" s="897"/>
      <c r="AL996" s="897"/>
      <c r="AM996" s="897"/>
      <c r="AN996" s="897"/>
      <c r="AO996" s="897"/>
      <c r="AP996" s="897"/>
      <c r="AQ996" s="897"/>
      <c r="AR996" s="897"/>
    </row>
    <row r="997" spans="1:44" s="930" customFormat="1">
      <c r="A997" s="892"/>
      <c r="B997" s="899"/>
      <c r="C997" s="900"/>
      <c r="D997" s="894"/>
      <c r="E997" s="895"/>
      <c r="F997" s="896"/>
      <c r="G997" s="897"/>
      <c r="H997" s="897"/>
      <c r="I997" s="897"/>
      <c r="J997" s="897"/>
      <c r="K997" s="897"/>
      <c r="L997" s="898"/>
      <c r="M997" s="898"/>
      <c r="N997" s="898"/>
      <c r="O997" s="898"/>
      <c r="P997" s="898"/>
      <c r="Q997" s="898"/>
      <c r="R997" s="898"/>
      <c r="S997" s="898"/>
      <c r="T997" s="898"/>
      <c r="U997" s="898"/>
      <c r="V997" s="898"/>
      <c r="W997" s="898"/>
      <c r="X997" s="898"/>
      <c r="Y997" s="898"/>
      <c r="Z997" s="898"/>
      <c r="AA997" s="898"/>
      <c r="AB997" s="898"/>
      <c r="AC997" s="898"/>
      <c r="AD997" s="898"/>
      <c r="AE997" s="898"/>
      <c r="AF997" s="898"/>
      <c r="AG997" s="898"/>
      <c r="AH997" s="898"/>
      <c r="AI997" s="898"/>
      <c r="AJ997" s="898"/>
      <c r="AK997" s="897"/>
      <c r="AL997" s="897"/>
      <c r="AM997" s="897"/>
      <c r="AN997" s="897"/>
      <c r="AO997" s="897"/>
      <c r="AP997" s="897"/>
      <c r="AQ997" s="897"/>
      <c r="AR997" s="897"/>
    </row>
    <row r="998" spans="1:44" s="930" customFormat="1">
      <c r="A998" s="892"/>
      <c r="B998" s="899"/>
      <c r="C998" s="900"/>
      <c r="D998" s="894"/>
      <c r="E998" s="895"/>
      <c r="F998" s="896"/>
      <c r="G998" s="897"/>
      <c r="H998" s="897"/>
      <c r="I998" s="897"/>
      <c r="J998" s="897"/>
      <c r="K998" s="897"/>
      <c r="L998" s="898"/>
      <c r="M998" s="898"/>
      <c r="N998" s="898"/>
      <c r="O998" s="898"/>
      <c r="P998" s="898"/>
      <c r="Q998" s="898"/>
      <c r="R998" s="898"/>
      <c r="S998" s="898"/>
      <c r="T998" s="898"/>
      <c r="U998" s="898"/>
      <c r="V998" s="898"/>
      <c r="W998" s="898"/>
      <c r="X998" s="898"/>
      <c r="Y998" s="898"/>
      <c r="Z998" s="898"/>
      <c r="AA998" s="898"/>
      <c r="AB998" s="898"/>
      <c r="AC998" s="898"/>
      <c r="AD998" s="898"/>
      <c r="AE998" s="898"/>
      <c r="AF998" s="898"/>
      <c r="AG998" s="898"/>
      <c r="AH998" s="898"/>
      <c r="AI998" s="898"/>
      <c r="AJ998" s="898"/>
      <c r="AK998" s="897"/>
      <c r="AL998" s="897"/>
      <c r="AM998" s="897"/>
      <c r="AN998" s="897"/>
      <c r="AO998" s="897"/>
      <c r="AP998" s="897"/>
      <c r="AQ998" s="897"/>
      <c r="AR998" s="897"/>
    </row>
    <row r="999" spans="1:44" s="930" customFormat="1">
      <c r="A999" s="892"/>
      <c r="B999" s="899"/>
      <c r="C999" s="900"/>
      <c r="D999" s="894"/>
      <c r="E999" s="895"/>
      <c r="F999" s="896"/>
      <c r="G999" s="897"/>
      <c r="H999" s="897"/>
      <c r="I999" s="897"/>
      <c r="J999" s="897"/>
      <c r="K999" s="897"/>
      <c r="L999" s="898"/>
      <c r="M999" s="898"/>
      <c r="N999" s="898"/>
      <c r="O999" s="898"/>
      <c r="P999" s="898"/>
      <c r="Q999" s="898"/>
      <c r="R999" s="898"/>
      <c r="S999" s="898"/>
      <c r="T999" s="898"/>
      <c r="U999" s="898"/>
      <c r="V999" s="898"/>
      <c r="W999" s="898"/>
      <c r="X999" s="898"/>
      <c r="Y999" s="898"/>
      <c r="Z999" s="898"/>
      <c r="AA999" s="898"/>
      <c r="AB999" s="898"/>
      <c r="AC999" s="898"/>
      <c r="AD999" s="898"/>
      <c r="AE999" s="898"/>
      <c r="AF999" s="898"/>
      <c r="AG999" s="898"/>
      <c r="AH999" s="898"/>
      <c r="AI999" s="898"/>
      <c r="AJ999" s="898"/>
      <c r="AK999" s="897"/>
      <c r="AL999" s="897"/>
      <c r="AM999" s="897"/>
      <c r="AN999" s="897"/>
      <c r="AO999" s="897"/>
      <c r="AP999" s="897"/>
      <c r="AQ999" s="897"/>
      <c r="AR999" s="897"/>
    </row>
    <row r="1000" spans="1:44" s="930" customFormat="1">
      <c r="A1000" s="892"/>
      <c r="B1000" s="899"/>
      <c r="C1000" s="900"/>
      <c r="D1000" s="894"/>
      <c r="E1000" s="895"/>
      <c r="F1000" s="896"/>
      <c r="G1000" s="897"/>
      <c r="H1000" s="897"/>
      <c r="I1000" s="897"/>
      <c r="J1000" s="897"/>
      <c r="K1000" s="897"/>
      <c r="L1000" s="898"/>
      <c r="M1000" s="898"/>
      <c r="N1000" s="898"/>
      <c r="O1000" s="898"/>
      <c r="P1000" s="898"/>
      <c r="Q1000" s="898"/>
      <c r="R1000" s="898"/>
      <c r="S1000" s="898"/>
      <c r="T1000" s="898"/>
      <c r="U1000" s="898"/>
      <c r="V1000" s="898"/>
      <c r="W1000" s="898"/>
      <c r="X1000" s="898"/>
      <c r="Y1000" s="898"/>
      <c r="Z1000" s="898"/>
      <c r="AA1000" s="898"/>
      <c r="AB1000" s="898"/>
      <c r="AC1000" s="898"/>
      <c r="AD1000" s="898"/>
      <c r="AE1000" s="898"/>
      <c r="AF1000" s="898"/>
      <c r="AG1000" s="898"/>
      <c r="AH1000" s="898"/>
      <c r="AI1000" s="898"/>
      <c r="AJ1000" s="898"/>
      <c r="AK1000" s="897"/>
      <c r="AL1000" s="897"/>
      <c r="AM1000" s="897"/>
      <c r="AN1000" s="897"/>
      <c r="AO1000" s="897"/>
      <c r="AP1000" s="897"/>
      <c r="AQ1000" s="897"/>
      <c r="AR1000" s="897"/>
    </row>
    <row r="1001" spans="1:44" s="930" customFormat="1">
      <c r="A1001" s="892"/>
      <c r="B1001" s="899"/>
      <c r="C1001" s="900"/>
      <c r="D1001" s="894"/>
      <c r="E1001" s="895"/>
      <c r="F1001" s="896"/>
      <c r="G1001" s="897"/>
      <c r="H1001" s="897"/>
      <c r="I1001" s="897"/>
      <c r="J1001" s="897"/>
      <c r="K1001" s="897"/>
      <c r="L1001" s="898"/>
      <c r="M1001" s="898"/>
      <c r="N1001" s="898"/>
      <c r="O1001" s="898"/>
      <c r="P1001" s="898"/>
      <c r="Q1001" s="898"/>
      <c r="R1001" s="898"/>
      <c r="S1001" s="898"/>
      <c r="T1001" s="898"/>
      <c r="U1001" s="898"/>
      <c r="V1001" s="898"/>
      <c r="W1001" s="898"/>
      <c r="X1001" s="898"/>
      <c r="Y1001" s="898"/>
      <c r="Z1001" s="898"/>
      <c r="AA1001" s="898"/>
      <c r="AB1001" s="898"/>
      <c r="AC1001" s="898"/>
      <c r="AD1001" s="898"/>
      <c r="AE1001" s="898"/>
      <c r="AF1001" s="898"/>
      <c r="AG1001" s="898"/>
      <c r="AH1001" s="898"/>
      <c r="AI1001" s="898"/>
      <c r="AJ1001" s="898"/>
      <c r="AK1001" s="897"/>
      <c r="AL1001" s="897"/>
      <c r="AM1001" s="897"/>
      <c r="AN1001" s="897"/>
      <c r="AO1001" s="897"/>
      <c r="AP1001" s="897"/>
      <c r="AQ1001" s="897"/>
      <c r="AR1001" s="897"/>
    </row>
    <row r="1002" spans="1:44" s="930" customFormat="1">
      <c r="A1002" s="892"/>
      <c r="B1002" s="899"/>
      <c r="C1002" s="900"/>
      <c r="D1002" s="894"/>
      <c r="E1002" s="895"/>
      <c r="F1002" s="896"/>
      <c r="G1002" s="897"/>
      <c r="H1002" s="897"/>
      <c r="I1002" s="897"/>
      <c r="J1002" s="897"/>
      <c r="K1002" s="897"/>
      <c r="L1002" s="898"/>
      <c r="M1002" s="898"/>
      <c r="N1002" s="898"/>
      <c r="O1002" s="898"/>
      <c r="P1002" s="898"/>
      <c r="Q1002" s="898"/>
      <c r="R1002" s="898"/>
      <c r="S1002" s="898"/>
      <c r="T1002" s="898"/>
      <c r="U1002" s="898"/>
      <c r="V1002" s="898"/>
      <c r="W1002" s="898"/>
      <c r="X1002" s="898"/>
      <c r="Y1002" s="898"/>
      <c r="Z1002" s="898"/>
      <c r="AA1002" s="898"/>
      <c r="AB1002" s="898"/>
      <c r="AC1002" s="898"/>
      <c r="AD1002" s="898"/>
      <c r="AE1002" s="898"/>
      <c r="AF1002" s="898"/>
      <c r="AG1002" s="898"/>
      <c r="AH1002" s="898"/>
      <c r="AI1002" s="898"/>
      <c r="AJ1002" s="898"/>
      <c r="AK1002" s="897"/>
      <c r="AL1002" s="897"/>
      <c r="AM1002" s="897"/>
      <c r="AN1002" s="897"/>
      <c r="AO1002" s="897"/>
      <c r="AP1002" s="897"/>
      <c r="AQ1002" s="897"/>
      <c r="AR1002" s="897"/>
    </row>
    <row r="1003" spans="1:44" s="930" customFormat="1">
      <c r="A1003" s="892"/>
      <c r="B1003" s="899"/>
      <c r="C1003" s="900"/>
      <c r="D1003" s="894"/>
      <c r="E1003" s="895"/>
      <c r="F1003" s="896"/>
      <c r="G1003" s="897"/>
      <c r="H1003" s="897"/>
      <c r="I1003" s="897"/>
      <c r="J1003" s="897"/>
      <c r="K1003" s="897"/>
      <c r="L1003" s="898"/>
      <c r="M1003" s="898"/>
      <c r="N1003" s="898"/>
      <c r="O1003" s="898"/>
      <c r="P1003" s="898"/>
      <c r="Q1003" s="898"/>
      <c r="R1003" s="898"/>
      <c r="S1003" s="898"/>
      <c r="T1003" s="898"/>
      <c r="U1003" s="898"/>
      <c r="V1003" s="898"/>
      <c r="W1003" s="898"/>
      <c r="X1003" s="898"/>
      <c r="Y1003" s="898"/>
      <c r="Z1003" s="898"/>
      <c r="AA1003" s="898"/>
      <c r="AB1003" s="898"/>
      <c r="AC1003" s="898"/>
      <c r="AD1003" s="898"/>
      <c r="AE1003" s="898"/>
      <c r="AF1003" s="898"/>
      <c r="AG1003" s="898"/>
      <c r="AH1003" s="898"/>
      <c r="AI1003" s="898"/>
      <c r="AJ1003" s="898"/>
      <c r="AK1003" s="897"/>
      <c r="AL1003" s="897"/>
      <c r="AM1003" s="897"/>
      <c r="AN1003" s="897"/>
      <c r="AO1003" s="897"/>
      <c r="AP1003" s="897"/>
      <c r="AQ1003" s="897"/>
      <c r="AR1003" s="897"/>
    </row>
    <row r="1004" spans="1:44" s="930" customFormat="1">
      <c r="A1004" s="892"/>
      <c r="B1004" s="899"/>
      <c r="C1004" s="900"/>
      <c r="D1004" s="894"/>
      <c r="E1004" s="895"/>
      <c r="F1004" s="896"/>
      <c r="G1004" s="897"/>
      <c r="H1004" s="897"/>
      <c r="I1004" s="897"/>
      <c r="J1004" s="897"/>
      <c r="K1004" s="897"/>
      <c r="L1004" s="898"/>
      <c r="M1004" s="898"/>
      <c r="N1004" s="898"/>
      <c r="O1004" s="898"/>
      <c r="P1004" s="898"/>
      <c r="Q1004" s="898"/>
      <c r="R1004" s="898"/>
      <c r="S1004" s="898"/>
      <c r="T1004" s="898"/>
      <c r="U1004" s="898"/>
      <c r="V1004" s="898"/>
      <c r="W1004" s="898"/>
      <c r="X1004" s="898"/>
      <c r="Y1004" s="898"/>
      <c r="Z1004" s="898"/>
      <c r="AA1004" s="898"/>
      <c r="AB1004" s="898"/>
      <c r="AC1004" s="898"/>
      <c r="AD1004" s="898"/>
      <c r="AE1004" s="898"/>
      <c r="AF1004" s="898"/>
      <c r="AG1004" s="898"/>
      <c r="AH1004" s="898"/>
      <c r="AI1004" s="898"/>
      <c r="AJ1004" s="898"/>
      <c r="AK1004" s="897"/>
      <c r="AL1004" s="897"/>
      <c r="AM1004" s="897"/>
      <c r="AN1004" s="897"/>
      <c r="AO1004" s="897"/>
      <c r="AP1004" s="897"/>
      <c r="AQ1004" s="897"/>
      <c r="AR1004" s="897"/>
    </row>
    <row r="1005" spans="1:44" s="930" customFormat="1">
      <c r="A1005" s="892"/>
      <c r="B1005" s="899"/>
      <c r="C1005" s="900"/>
      <c r="D1005" s="894"/>
      <c r="E1005" s="895"/>
      <c r="F1005" s="896"/>
      <c r="G1005" s="897"/>
      <c r="H1005" s="897"/>
      <c r="I1005" s="897"/>
      <c r="J1005" s="897"/>
      <c r="K1005" s="897"/>
      <c r="L1005" s="898"/>
      <c r="M1005" s="898"/>
      <c r="N1005" s="898"/>
      <c r="O1005" s="898"/>
      <c r="P1005" s="898"/>
      <c r="Q1005" s="898"/>
      <c r="R1005" s="898"/>
      <c r="S1005" s="898"/>
      <c r="T1005" s="898"/>
      <c r="U1005" s="898"/>
      <c r="V1005" s="898"/>
      <c r="W1005" s="898"/>
      <c r="X1005" s="898"/>
      <c r="Y1005" s="898"/>
      <c r="Z1005" s="898"/>
      <c r="AA1005" s="898"/>
      <c r="AB1005" s="898"/>
      <c r="AC1005" s="898"/>
      <c r="AD1005" s="898"/>
      <c r="AE1005" s="898"/>
      <c r="AF1005" s="898"/>
      <c r="AG1005" s="898"/>
      <c r="AH1005" s="898"/>
      <c r="AI1005" s="898"/>
      <c r="AJ1005" s="898"/>
      <c r="AK1005" s="897"/>
      <c r="AL1005" s="897"/>
      <c r="AM1005" s="897"/>
      <c r="AN1005" s="897"/>
      <c r="AO1005" s="897"/>
      <c r="AP1005" s="897"/>
      <c r="AQ1005" s="897"/>
      <c r="AR1005" s="897"/>
    </row>
    <row r="1006" spans="1:44" s="930" customFormat="1">
      <c r="A1006" s="892"/>
      <c r="B1006" s="899"/>
      <c r="C1006" s="900"/>
      <c r="D1006" s="894"/>
      <c r="E1006" s="895"/>
      <c r="F1006" s="896"/>
      <c r="G1006" s="897"/>
      <c r="H1006" s="897"/>
      <c r="I1006" s="897"/>
      <c r="J1006" s="897"/>
      <c r="K1006" s="897"/>
      <c r="L1006" s="898"/>
      <c r="M1006" s="898"/>
      <c r="N1006" s="898"/>
      <c r="O1006" s="898"/>
      <c r="P1006" s="898"/>
      <c r="Q1006" s="898"/>
      <c r="R1006" s="898"/>
      <c r="S1006" s="898"/>
      <c r="T1006" s="898"/>
      <c r="U1006" s="898"/>
      <c r="V1006" s="898"/>
      <c r="W1006" s="898"/>
      <c r="X1006" s="898"/>
      <c r="Y1006" s="898"/>
      <c r="Z1006" s="898"/>
      <c r="AA1006" s="898"/>
      <c r="AB1006" s="898"/>
      <c r="AC1006" s="898"/>
      <c r="AD1006" s="898"/>
      <c r="AE1006" s="898"/>
      <c r="AF1006" s="898"/>
      <c r="AG1006" s="898"/>
      <c r="AH1006" s="898"/>
      <c r="AI1006" s="898"/>
      <c r="AJ1006" s="898"/>
      <c r="AK1006" s="897"/>
      <c r="AL1006" s="897"/>
      <c r="AM1006" s="897"/>
      <c r="AN1006" s="897"/>
      <c r="AO1006" s="897"/>
      <c r="AP1006" s="897"/>
      <c r="AQ1006" s="897"/>
      <c r="AR1006" s="897"/>
    </row>
    <row r="1007" spans="1:44" s="930" customFormat="1">
      <c r="A1007" s="892"/>
      <c r="B1007" s="899"/>
      <c r="C1007" s="900"/>
      <c r="D1007" s="894"/>
      <c r="E1007" s="895"/>
      <c r="F1007" s="896"/>
      <c r="G1007" s="897"/>
      <c r="H1007" s="897"/>
      <c r="I1007" s="897"/>
      <c r="J1007" s="897"/>
      <c r="K1007" s="897"/>
      <c r="L1007" s="898"/>
      <c r="M1007" s="898"/>
      <c r="N1007" s="898"/>
      <c r="O1007" s="898"/>
      <c r="P1007" s="898"/>
      <c r="Q1007" s="898"/>
      <c r="R1007" s="898"/>
      <c r="S1007" s="898"/>
      <c r="T1007" s="898"/>
      <c r="U1007" s="898"/>
      <c r="V1007" s="898"/>
      <c r="W1007" s="898"/>
      <c r="X1007" s="898"/>
      <c r="Y1007" s="898"/>
      <c r="Z1007" s="898"/>
      <c r="AA1007" s="898"/>
      <c r="AB1007" s="898"/>
      <c r="AC1007" s="898"/>
      <c r="AD1007" s="898"/>
      <c r="AE1007" s="898"/>
      <c r="AF1007" s="898"/>
      <c r="AG1007" s="898"/>
      <c r="AH1007" s="898"/>
      <c r="AI1007" s="898"/>
      <c r="AJ1007" s="898"/>
      <c r="AK1007" s="897"/>
      <c r="AL1007" s="897"/>
      <c r="AM1007" s="897"/>
      <c r="AN1007" s="897"/>
      <c r="AO1007" s="897"/>
      <c r="AP1007" s="897"/>
      <c r="AQ1007" s="897"/>
      <c r="AR1007" s="897"/>
    </row>
    <row r="1008" spans="1:44" s="930" customFormat="1">
      <c r="A1008" s="892"/>
      <c r="B1008" s="899"/>
      <c r="C1008" s="900"/>
      <c r="D1008" s="894"/>
      <c r="E1008" s="895"/>
      <c r="F1008" s="896"/>
      <c r="G1008" s="897"/>
      <c r="H1008" s="897"/>
      <c r="I1008" s="897"/>
      <c r="J1008" s="897"/>
      <c r="K1008" s="897"/>
      <c r="L1008" s="898"/>
      <c r="M1008" s="898"/>
      <c r="N1008" s="898"/>
      <c r="O1008" s="898"/>
      <c r="P1008" s="898"/>
      <c r="Q1008" s="898"/>
      <c r="R1008" s="898"/>
      <c r="S1008" s="898"/>
      <c r="T1008" s="898"/>
      <c r="U1008" s="898"/>
      <c r="V1008" s="898"/>
      <c r="W1008" s="898"/>
      <c r="X1008" s="898"/>
      <c r="Y1008" s="898"/>
      <c r="Z1008" s="898"/>
      <c r="AA1008" s="898"/>
      <c r="AB1008" s="898"/>
      <c r="AC1008" s="898"/>
      <c r="AD1008" s="898"/>
      <c r="AE1008" s="898"/>
      <c r="AF1008" s="898"/>
      <c r="AG1008" s="898"/>
      <c r="AH1008" s="898"/>
      <c r="AI1008" s="898"/>
      <c r="AJ1008" s="898"/>
      <c r="AK1008" s="897"/>
      <c r="AL1008" s="897"/>
      <c r="AM1008" s="897"/>
      <c r="AN1008" s="897"/>
      <c r="AO1008" s="897"/>
      <c r="AP1008" s="897"/>
      <c r="AQ1008" s="897"/>
      <c r="AR1008" s="897"/>
    </row>
    <row r="1009" spans="1:44" s="930" customFormat="1">
      <c r="A1009" s="892"/>
      <c r="B1009" s="899"/>
      <c r="C1009" s="900"/>
      <c r="D1009" s="894"/>
      <c r="E1009" s="895"/>
      <c r="F1009" s="896"/>
      <c r="G1009" s="897"/>
      <c r="H1009" s="897"/>
      <c r="I1009" s="897"/>
      <c r="J1009" s="897"/>
      <c r="K1009" s="897"/>
      <c r="L1009" s="898"/>
      <c r="M1009" s="898"/>
      <c r="N1009" s="898"/>
      <c r="O1009" s="898"/>
      <c r="P1009" s="898"/>
      <c r="Q1009" s="898"/>
      <c r="R1009" s="898"/>
      <c r="S1009" s="898"/>
      <c r="T1009" s="898"/>
      <c r="U1009" s="898"/>
      <c r="V1009" s="898"/>
      <c r="W1009" s="898"/>
      <c r="X1009" s="898"/>
      <c r="Y1009" s="898"/>
      <c r="Z1009" s="898"/>
      <c r="AA1009" s="898"/>
      <c r="AB1009" s="898"/>
      <c r="AC1009" s="898"/>
      <c r="AD1009" s="898"/>
      <c r="AE1009" s="898"/>
      <c r="AF1009" s="898"/>
      <c r="AG1009" s="898"/>
      <c r="AH1009" s="898"/>
      <c r="AI1009" s="898"/>
      <c r="AJ1009" s="898"/>
      <c r="AK1009" s="897"/>
      <c r="AL1009" s="897"/>
      <c r="AM1009" s="897"/>
      <c r="AN1009" s="897"/>
      <c r="AO1009" s="897"/>
      <c r="AP1009" s="897"/>
      <c r="AQ1009" s="897"/>
      <c r="AR1009" s="897"/>
    </row>
    <row r="1010" spans="1:44" s="930" customFormat="1">
      <c r="A1010" s="892"/>
      <c r="B1010" s="899"/>
      <c r="C1010" s="900"/>
      <c r="D1010" s="894"/>
      <c r="E1010" s="895"/>
      <c r="F1010" s="896"/>
      <c r="G1010" s="897"/>
      <c r="H1010" s="897"/>
      <c r="I1010" s="897"/>
      <c r="J1010" s="897"/>
      <c r="K1010" s="897"/>
      <c r="L1010" s="898"/>
      <c r="M1010" s="898"/>
      <c r="N1010" s="898"/>
      <c r="O1010" s="898"/>
      <c r="P1010" s="898"/>
      <c r="Q1010" s="898"/>
      <c r="R1010" s="898"/>
      <c r="S1010" s="898"/>
      <c r="T1010" s="898"/>
      <c r="U1010" s="898"/>
      <c r="V1010" s="898"/>
      <c r="W1010" s="898"/>
      <c r="X1010" s="898"/>
      <c r="Y1010" s="898"/>
      <c r="Z1010" s="898"/>
      <c r="AA1010" s="898"/>
      <c r="AB1010" s="898"/>
      <c r="AC1010" s="898"/>
      <c r="AD1010" s="898"/>
      <c r="AE1010" s="898"/>
      <c r="AF1010" s="898"/>
      <c r="AG1010" s="898"/>
      <c r="AH1010" s="898"/>
      <c r="AI1010" s="898"/>
      <c r="AJ1010" s="898"/>
      <c r="AK1010" s="897"/>
      <c r="AL1010" s="897"/>
      <c r="AM1010" s="897"/>
      <c r="AN1010" s="897"/>
      <c r="AO1010" s="897"/>
      <c r="AP1010" s="897"/>
      <c r="AQ1010" s="897"/>
      <c r="AR1010" s="897"/>
    </row>
    <row r="1011" spans="1:44" s="930" customFormat="1">
      <c r="A1011" s="892"/>
      <c r="B1011" s="899"/>
      <c r="C1011" s="900"/>
      <c r="D1011" s="894"/>
      <c r="E1011" s="895"/>
      <c r="F1011" s="896"/>
      <c r="G1011" s="897"/>
      <c r="H1011" s="897"/>
      <c r="I1011" s="897"/>
      <c r="J1011" s="897"/>
      <c r="K1011" s="897"/>
      <c r="L1011" s="898"/>
      <c r="M1011" s="898"/>
      <c r="N1011" s="898"/>
      <c r="O1011" s="898"/>
      <c r="P1011" s="898"/>
      <c r="Q1011" s="898"/>
      <c r="R1011" s="898"/>
      <c r="S1011" s="898"/>
      <c r="T1011" s="898"/>
      <c r="U1011" s="898"/>
      <c r="V1011" s="898"/>
      <c r="W1011" s="898"/>
      <c r="X1011" s="898"/>
      <c r="Y1011" s="898"/>
      <c r="Z1011" s="898"/>
      <c r="AA1011" s="898"/>
      <c r="AB1011" s="898"/>
      <c r="AC1011" s="898"/>
      <c r="AD1011" s="898"/>
      <c r="AE1011" s="898"/>
      <c r="AF1011" s="898"/>
      <c r="AG1011" s="898"/>
      <c r="AH1011" s="898"/>
      <c r="AI1011" s="898"/>
      <c r="AJ1011" s="898"/>
      <c r="AK1011" s="897"/>
      <c r="AL1011" s="897"/>
      <c r="AM1011" s="897"/>
      <c r="AN1011" s="897"/>
      <c r="AO1011" s="897"/>
      <c r="AP1011" s="897"/>
      <c r="AQ1011" s="897"/>
      <c r="AR1011" s="897"/>
    </row>
    <row r="1012" spans="1:44" s="930" customFormat="1">
      <c r="A1012" s="892"/>
      <c r="B1012" s="899"/>
      <c r="C1012" s="900"/>
      <c r="D1012" s="894"/>
      <c r="E1012" s="895"/>
      <c r="F1012" s="896"/>
      <c r="G1012" s="897"/>
      <c r="H1012" s="897"/>
      <c r="I1012" s="897"/>
      <c r="J1012" s="897"/>
      <c r="K1012" s="897"/>
      <c r="L1012" s="898"/>
      <c r="M1012" s="898"/>
      <c r="N1012" s="898"/>
      <c r="O1012" s="898"/>
      <c r="P1012" s="898"/>
      <c r="Q1012" s="898"/>
      <c r="R1012" s="898"/>
      <c r="S1012" s="898"/>
      <c r="T1012" s="898"/>
      <c r="U1012" s="898"/>
      <c r="V1012" s="898"/>
      <c r="W1012" s="898"/>
      <c r="X1012" s="898"/>
      <c r="Y1012" s="898"/>
      <c r="Z1012" s="898"/>
      <c r="AA1012" s="898"/>
      <c r="AB1012" s="898"/>
      <c r="AC1012" s="898"/>
      <c r="AD1012" s="898"/>
      <c r="AE1012" s="898"/>
      <c r="AF1012" s="898"/>
      <c r="AG1012" s="898"/>
      <c r="AH1012" s="898"/>
      <c r="AI1012" s="898"/>
      <c r="AJ1012" s="898"/>
      <c r="AK1012" s="897"/>
      <c r="AL1012" s="897"/>
      <c r="AM1012" s="897"/>
      <c r="AN1012" s="897"/>
      <c r="AO1012" s="897"/>
      <c r="AP1012" s="897"/>
      <c r="AQ1012" s="897"/>
      <c r="AR1012" s="897"/>
    </row>
    <row r="1013" spans="1:44" s="930" customFormat="1">
      <c r="A1013" s="892"/>
      <c r="B1013" s="899"/>
      <c r="C1013" s="900"/>
      <c r="D1013" s="894"/>
      <c r="E1013" s="895"/>
      <c r="F1013" s="896"/>
      <c r="G1013" s="897"/>
      <c r="H1013" s="897"/>
      <c r="I1013" s="897"/>
      <c r="J1013" s="897"/>
      <c r="K1013" s="897"/>
      <c r="L1013" s="898"/>
      <c r="M1013" s="898"/>
      <c r="N1013" s="898"/>
      <c r="O1013" s="898"/>
      <c r="P1013" s="898"/>
      <c r="Q1013" s="898"/>
      <c r="R1013" s="898"/>
      <c r="S1013" s="898"/>
      <c r="T1013" s="898"/>
      <c r="U1013" s="898"/>
      <c r="V1013" s="898"/>
      <c r="W1013" s="898"/>
      <c r="X1013" s="898"/>
      <c r="Y1013" s="898"/>
      <c r="Z1013" s="898"/>
      <c r="AA1013" s="898"/>
      <c r="AB1013" s="898"/>
      <c r="AC1013" s="898"/>
      <c r="AD1013" s="898"/>
      <c r="AE1013" s="898"/>
      <c r="AF1013" s="898"/>
      <c r="AG1013" s="898"/>
      <c r="AH1013" s="898"/>
      <c r="AI1013" s="898"/>
      <c r="AJ1013" s="898"/>
      <c r="AK1013" s="897"/>
      <c r="AL1013" s="897"/>
      <c r="AM1013" s="897"/>
      <c r="AN1013" s="897"/>
      <c r="AO1013" s="897"/>
      <c r="AP1013" s="897"/>
      <c r="AQ1013" s="897"/>
      <c r="AR1013" s="897"/>
    </row>
    <row r="1014" spans="1:44" s="930" customFormat="1">
      <c r="A1014" s="892"/>
      <c r="B1014" s="899"/>
      <c r="C1014" s="900"/>
      <c r="D1014" s="894"/>
      <c r="E1014" s="895"/>
      <c r="F1014" s="896"/>
      <c r="G1014" s="897"/>
      <c r="H1014" s="897"/>
      <c r="I1014" s="897"/>
      <c r="J1014" s="897"/>
      <c r="K1014" s="897"/>
      <c r="L1014" s="898"/>
      <c r="M1014" s="898"/>
      <c r="N1014" s="898"/>
      <c r="O1014" s="898"/>
      <c r="P1014" s="898"/>
      <c r="Q1014" s="898"/>
      <c r="R1014" s="898"/>
      <c r="S1014" s="898"/>
      <c r="T1014" s="898"/>
      <c r="U1014" s="898"/>
      <c r="V1014" s="898"/>
      <c r="W1014" s="898"/>
      <c r="X1014" s="898"/>
      <c r="Y1014" s="898"/>
      <c r="Z1014" s="898"/>
      <c r="AA1014" s="898"/>
      <c r="AB1014" s="898"/>
      <c r="AC1014" s="898"/>
      <c r="AD1014" s="898"/>
      <c r="AE1014" s="898"/>
      <c r="AF1014" s="898"/>
      <c r="AG1014" s="898"/>
      <c r="AH1014" s="898"/>
      <c r="AI1014" s="898"/>
      <c r="AJ1014" s="898"/>
      <c r="AK1014" s="897"/>
      <c r="AL1014" s="897"/>
      <c r="AM1014" s="897"/>
      <c r="AN1014" s="897"/>
      <c r="AO1014" s="897"/>
      <c r="AP1014" s="897"/>
      <c r="AQ1014" s="897"/>
      <c r="AR1014" s="897"/>
    </row>
    <row r="1015" spans="1:44" s="930" customFormat="1">
      <c r="A1015" s="892"/>
      <c r="B1015" s="899"/>
      <c r="C1015" s="900"/>
      <c r="D1015" s="894"/>
      <c r="E1015" s="895"/>
      <c r="F1015" s="896"/>
      <c r="G1015" s="897"/>
      <c r="H1015" s="897"/>
      <c r="I1015" s="897"/>
      <c r="J1015" s="897"/>
      <c r="K1015" s="897"/>
      <c r="L1015" s="898"/>
      <c r="M1015" s="898"/>
      <c r="N1015" s="898"/>
      <c r="O1015" s="898"/>
      <c r="P1015" s="898"/>
      <c r="Q1015" s="898"/>
      <c r="R1015" s="898"/>
      <c r="S1015" s="898"/>
      <c r="T1015" s="898"/>
      <c r="U1015" s="898"/>
      <c r="V1015" s="898"/>
      <c r="W1015" s="898"/>
      <c r="X1015" s="898"/>
      <c r="Y1015" s="898"/>
      <c r="Z1015" s="898"/>
      <c r="AA1015" s="898"/>
      <c r="AB1015" s="898"/>
      <c r="AC1015" s="898"/>
      <c r="AD1015" s="898"/>
      <c r="AE1015" s="898"/>
      <c r="AF1015" s="898"/>
      <c r="AG1015" s="898"/>
      <c r="AH1015" s="898"/>
      <c r="AI1015" s="898"/>
      <c r="AJ1015" s="898"/>
      <c r="AK1015" s="897"/>
      <c r="AL1015" s="897"/>
      <c r="AM1015" s="897"/>
      <c r="AN1015" s="897"/>
      <c r="AO1015" s="897"/>
      <c r="AP1015" s="897"/>
      <c r="AQ1015" s="897"/>
      <c r="AR1015" s="897"/>
    </row>
    <row r="1016" spans="1:44" s="930" customFormat="1">
      <c r="A1016" s="892"/>
      <c r="B1016" s="899"/>
      <c r="C1016" s="900"/>
      <c r="D1016" s="894"/>
      <c r="E1016" s="895"/>
      <c r="F1016" s="896"/>
      <c r="G1016" s="897"/>
      <c r="H1016" s="897"/>
      <c r="I1016" s="897"/>
      <c r="J1016" s="897"/>
      <c r="K1016" s="897"/>
      <c r="L1016" s="898"/>
      <c r="M1016" s="898"/>
      <c r="N1016" s="898"/>
      <c r="O1016" s="898"/>
      <c r="P1016" s="898"/>
      <c r="Q1016" s="898"/>
      <c r="R1016" s="898"/>
      <c r="S1016" s="898"/>
      <c r="T1016" s="898"/>
      <c r="U1016" s="898"/>
      <c r="V1016" s="898"/>
      <c r="W1016" s="898"/>
      <c r="X1016" s="898"/>
      <c r="Y1016" s="898"/>
      <c r="Z1016" s="898"/>
      <c r="AA1016" s="898"/>
      <c r="AB1016" s="898"/>
      <c r="AC1016" s="898"/>
      <c r="AD1016" s="898"/>
      <c r="AE1016" s="898"/>
      <c r="AF1016" s="898"/>
      <c r="AG1016" s="898"/>
      <c r="AH1016" s="898"/>
      <c r="AI1016" s="898"/>
      <c r="AJ1016" s="898"/>
      <c r="AK1016" s="897"/>
      <c r="AL1016" s="897"/>
      <c r="AM1016" s="897"/>
      <c r="AN1016" s="897"/>
      <c r="AO1016" s="897"/>
      <c r="AP1016" s="897"/>
      <c r="AQ1016" s="897"/>
      <c r="AR1016" s="897"/>
    </row>
    <row r="1017" spans="1:44" s="930" customFormat="1">
      <c r="A1017" s="892"/>
      <c r="B1017" s="899"/>
      <c r="C1017" s="900"/>
      <c r="D1017" s="894"/>
      <c r="E1017" s="895"/>
      <c r="F1017" s="896"/>
      <c r="G1017" s="897"/>
      <c r="H1017" s="897"/>
      <c r="I1017" s="897"/>
      <c r="J1017" s="897"/>
      <c r="K1017" s="897"/>
      <c r="L1017" s="898"/>
      <c r="M1017" s="898"/>
      <c r="N1017" s="898"/>
      <c r="O1017" s="898"/>
      <c r="P1017" s="898"/>
      <c r="Q1017" s="898"/>
      <c r="R1017" s="898"/>
      <c r="S1017" s="898"/>
      <c r="T1017" s="898"/>
      <c r="U1017" s="898"/>
      <c r="V1017" s="898"/>
      <c r="W1017" s="898"/>
      <c r="X1017" s="898"/>
      <c r="Y1017" s="898"/>
      <c r="Z1017" s="898"/>
      <c r="AA1017" s="898"/>
      <c r="AB1017" s="898"/>
      <c r="AC1017" s="898"/>
      <c r="AD1017" s="898"/>
      <c r="AE1017" s="898"/>
      <c r="AF1017" s="898"/>
      <c r="AG1017" s="898"/>
      <c r="AH1017" s="898"/>
      <c r="AI1017" s="898"/>
      <c r="AJ1017" s="898"/>
      <c r="AK1017" s="897"/>
      <c r="AL1017" s="897"/>
      <c r="AM1017" s="897"/>
      <c r="AN1017" s="897"/>
      <c r="AO1017" s="897"/>
      <c r="AP1017" s="897"/>
      <c r="AQ1017" s="897"/>
      <c r="AR1017" s="897"/>
    </row>
    <row r="1018" spans="1:44" s="930" customFormat="1">
      <c r="A1018" s="892"/>
      <c r="B1018" s="899"/>
      <c r="C1018" s="900"/>
      <c r="D1018" s="894"/>
      <c r="E1018" s="895"/>
      <c r="F1018" s="896"/>
      <c r="G1018" s="897"/>
      <c r="H1018" s="897"/>
      <c r="I1018" s="897"/>
      <c r="J1018" s="897"/>
      <c r="K1018" s="897"/>
      <c r="L1018" s="898"/>
      <c r="M1018" s="898"/>
      <c r="N1018" s="898"/>
      <c r="O1018" s="898"/>
      <c r="P1018" s="898"/>
      <c r="Q1018" s="898"/>
      <c r="R1018" s="898"/>
      <c r="S1018" s="898"/>
      <c r="T1018" s="898"/>
      <c r="U1018" s="898"/>
      <c r="V1018" s="898"/>
      <c r="W1018" s="898"/>
      <c r="X1018" s="898"/>
      <c r="Y1018" s="898"/>
      <c r="Z1018" s="898"/>
      <c r="AA1018" s="898"/>
      <c r="AB1018" s="898"/>
      <c r="AC1018" s="898"/>
      <c r="AD1018" s="898"/>
      <c r="AE1018" s="898"/>
      <c r="AF1018" s="898"/>
      <c r="AG1018" s="898"/>
      <c r="AH1018" s="898"/>
      <c r="AI1018" s="898"/>
      <c r="AJ1018" s="898"/>
      <c r="AK1018" s="897"/>
      <c r="AL1018" s="897"/>
      <c r="AM1018" s="897"/>
      <c r="AN1018" s="897"/>
      <c r="AO1018" s="897"/>
      <c r="AP1018" s="897"/>
      <c r="AQ1018" s="897"/>
      <c r="AR1018" s="897"/>
    </row>
    <row r="1019" spans="1:44" s="930" customFormat="1">
      <c r="A1019" s="892"/>
      <c r="B1019" s="899"/>
      <c r="C1019" s="900"/>
      <c r="D1019" s="894"/>
      <c r="E1019" s="895"/>
      <c r="F1019" s="896"/>
      <c r="G1019" s="897"/>
      <c r="H1019" s="897"/>
      <c r="I1019" s="897"/>
      <c r="J1019" s="897"/>
      <c r="K1019" s="897"/>
      <c r="L1019" s="898"/>
      <c r="M1019" s="898"/>
      <c r="N1019" s="898"/>
      <c r="O1019" s="898"/>
      <c r="P1019" s="898"/>
      <c r="Q1019" s="898"/>
      <c r="R1019" s="898"/>
      <c r="S1019" s="898"/>
      <c r="T1019" s="898"/>
      <c r="U1019" s="898"/>
      <c r="V1019" s="898"/>
      <c r="W1019" s="898"/>
      <c r="X1019" s="898"/>
      <c r="Y1019" s="898"/>
      <c r="Z1019" s="898"/>
      <c r="AA1019" s="898"/>
      <c r="AB1019" s="898"/>
      <c r="AC1019" s="898"/>
      <c r="AD1019" s="898"/>
      <c r="AE1019" s="898"/>
      <c r="AF1019" s="898"/>
      <c r="AG1019" s="898"/>
      <c r="AH1019" s="898"/>
      <c r="AI1019" s="898"/>
      <c r="AJ1019" s="898"/>
      <c r="AK1019" s="897"/>
      <c r="AL1019" s="897"/>
      <c r="AM1019" s="897"/>
      <c r="AN1019" s="897"/>
      <c r="AO1019" s="897"/>
      <c r="AP1019" s="897"/>
      <c r="AQ1019" s="897"/>
      <c r="AR1019" s="897"/>
    </row>
    <row r="1020" spans="1:44" s="930" customFormat="1">
      <c r="A1020" s="892"/>
      <c r="B1020" s="899"/>
      <c r="C1020" s="900"/>
      <c r="D1020" s="894"/>
      <c r="E1020" s="895"/>
      <c r="F1020" s="896"/>
      <c r="G1020" s="897"/>
      <c r="H1020" s="897"/>
      <c r="I1020" s="897"/>
      <c r="J1020" s="897"/>
      <c r="K1020" s="897"/>
      <c r="L1020" s="898"/>
      <c r="M1020" s="898"/>
      <c r="N1020" s="898"/>
      <c r="O1020" s="898"/>
      <c r="P1020" s="898"/>
      <c r="Q1020" s="898"/>
      <c r="R1020" s="898"/>
      <c r="S1020" s="898"/>
      <c r="T1020" s="898"/>
      <c r="U1020" s="898"/>
      <c r="V1020" s="898"/>
      <c r="W1020" s="898"/>
      <c r="X1020" s="898"/>
      <c r="Y1020" s="898"/>
      <c r="Z1020" s="898"/>
      <c r="AA1020" s="898"/>
      <c r="AB1020" s="898"/>
      <c r="AC1020" s="898"/>
      <c r="AD1020" s="898"/>
      <c r="AE1020" s="898"/>
      <c r="AF1020" s="898"/>
      <c r="AG1020" s="898"/>
      <c r="AH1020" s="898"/>
      <c r="AI1020" s="898"/>
      <c r="AJ1020" s="898"/>
      <c r="AK1020" s="897"/>
      <c r="AL1020" s="897"/>
      <c r="AM1020" s="897"/>
      <c r="AN1020" s="897"/>
      <c r="AO1020" s="897"/>
      <c r="AP1020" s="897"/>
      <c r="AQ1020" s="897"/>
      <c r="AR1020" s="897"/>
    </row>
    <row r="1021" spans="1:44" s="930" customFormat="1">
      <c r="A1021" s="892"/>
      <c r="B1021" s="899"/>
      <c r="C1021" s="900"/>
      <c r="D1021" s="894"/>
      <c r="E1021" s="895"/>
      <c r="F1021" s="896"/>
      <c r="G1021" s="897"/>
      <c r="H1021" s="897"/>
      <c r="I1021" s="897"/>
      <c r="J1021" s="897"/>
      <c r="K1021" s="897"/>
      <c r="L1021" s="898"/>
      <c r="M1021" s="898"/>
      <c r="N1021" s="898"/>
      <c r="O1021" s="898"/>
      <c r="P1021" s="898"/>
      <c r="Q1021" s="898"/>
      <c r="R1021" s="898"/>
      <c r="S1021" s="898"/>
      <c r="T1021" s="898"/>
      <c r="U1021" s="898"/>
      <c r="V1021" s="898"/>
      <c r="W1021" s="898"/>
      <c r="X1021" s="898"/>
      <c r="Y1021" s="898"/>
      <c r="Z1021" s="898"/>
      <c r="AA1021" s="898"/>
      <c r="AB1021" s="898"/>
      <c r="AC1021" s="898"/>
      <c r="AD1021" s="898"/>
      <c r="AE1021" s="898"/>
      <c r="AF1021" s="898"/>
      <c r="AG1021" s="898"/>
      <c r="AH1021" s="898"/>
      <c r="AI1021" s="898"/>
      <c r="AJ1021" s="898"/>
      <c r="AK1021" s="897"/>
      <c r="AL1021" s="897"/>
      <c r="AM1021" s="897"/>
      <c r="AN1021" s="897"/>
      <c r="AO1021" s="897"/>
      <c r="AP1021" s="897"/>
      <c r="AQ1021" s="897"/>
      <c r="AR1021" s="897"/>
    </row>
    <row r="1022" spans="1:44" s="930" customFormat="1">
      <c r="A1022" s="892"/>
      <c r="B1022" s="899"/>
      <c r="C1022" s="900"/>
      <c r="D1022" s="894"/>
      <c r="E1022" s="895"/>
      <c r="F1022" s="896"/>
      <c r="G1022" s="897"/>
      <c r="H1022" s="897"/>
      <c r="I1022" s="897"/>
      <c r="J1022" s="897"/>
      <c r="K1022" s="897"/>
      <c r="L1022" s="898"/>
      <c r="M1022" s="898"/>
      <c r="N1022" s="898"/>
      <c r="O1022" s="898"/>
      <c r="P1022" s="898"/>
      <c r="Q1022" s="898"/>
      <c r="R1022" s="898"/>
      <c r="S1022" s="898"/>
      <c r="T1022" s="898"/>
      <c r="U1022" s="898"/>
      <c r="V1022" s="898"/>
      <c r="W1022" s="898"/>
      <c r="X1022" s="898"/>
      <c r="Y1022" s="898"/>
      <c r="Z1022" s="898"/>
      <c r="AA1022" s="898"/>
      <c r="AB1022" s="898"/>
      <c r="AC1022" s="898"/>
      <c r="AD1022" s="898"/>
      <c r="AE1022" s="898"/>
      <c r="AF1022" s="898"/>
      <c r="AG1022" s="898"/>
      <c r="AH1022" s="898"/>
      <c r="AI1022" s="898"/>
      <c r="AJ1022" s="898"/>
      <c r="AK1022" s="897"/>
      <c r="AL1022" s="897"/>
      <c r="AM1022" s="897"/>
      <c r="AN1022" s="897"/>
      <c r="AO1022" s="897"/>
      <c r="AP1022" s="897"/>
      <c r="AQ1022" s="897"/>
      <c r="AR1022" s="897"/>
    </row>
    <row r="1023" spans="1:44" s="930" customFormat="1">
      <c r="A1023" s="892"/>
      <c r="B1023" s="899"/>
      <c r="C1023" s="900"/>
      <c r="D1023" s="894"/>
      <c r="E1023" s="895"/>
      <c r="F1023" s="896"/>
      <c r="G1023" s="897"/>
      <c r="H1023" s="897"/>
      <c r="I1023" s="897"/>
      <c r="J1023" s="897"/>
      <c r="K1023" s="897"/>
      <c r="L1023" s="898"/>
      <c r="M1023" s="898"/>
      <c r="N1023" s="898"/>
      <c r="O1023" s="898"/>
      <c r="P1023" s="898"/>
      <c r="Q1023" s="898"/>
      <c r="R1023" s="898"/>
      <c r="S1023" s="898"/>
      <c r="T1023" s="898"/>
      <c r="U1023" s="898"/>
      <c r="V1023" s="898"/>
      <c r="W1023" s="898"/>
      <c r="X1023" s="898"/>
      <c r="Y1023" s="898"/>
      <c r="Z1023" s="898"/>
      <c r="AA1023" s="898"/>
      <c r="AB1023" s="898"/>
      <c r="AC1023" s="898"/>
      <c r="AD1023" s="898"/>
      <c r="AE1023" s="898"/>
      <c r="AF1023" s="898"/>
      <c r="AG1023" s="898"/>
      <c r="AH1023" s="898"/>
      <c r="AI1023" s="898"/>
      <c r="AJ1023" s="898"/>
      <c r="AK1023" s="897"/>
      <c r="AL1023" s="897"/>
      <c r="AM1023" s="897"/>
      <c r="AN1023" s="897"/>
      <c r="AO1023" s="897"/>
      <c r="AP1023" s="897"/>
      <c r="AQ1023" s="897"/>
      <c r="AR1023" s="897"/>
    </row>
    <row r="1024" spans="1:44" s="930" customFormat="1">
      <c r="A1024" s="892"/>
      <c r="B1024" s="899"/>
      <c r="C1024" s="900"/>
      <c r="D1024" s="894"/>
      <c r="E1024" s="895"/>
      <c r="F1024" s="896"/>
      <c r="G1024" s="897"/>
      <c r="H1024" s="897"/>
      <c r="I1024" s="897"/>
      <c r="J1024" s="897"/>
      <c r="K1024" s="897"/>
      <c r="L1024" s="898"/>
      <c r="M1024" s="898"/>
      <c r="N1024" s="898"/>
      <c r="O1024" s="898"/>
      <c r="P1024" s="898"/>
      <c r="Q1024" s="898"/>
      <c r="R1024" s="898"/>
      <c r="S1024" s="898"/>
      <c r="T1024" s="898"/>
      <c r="U1024" s="898"/>
      <c r="V1024" s="898"/>
      <c r="W1024" s="898"/>
      <c r="X1024" s="898"/>
      <c r="Y1024" s="898"/>
      <c r="Z1024" s="898"/>
      <c r="AA1024" s="898"/>
      <c r="AB1024" s="898"/>
      <c r="AC1024" s="898"/>
      <c r="AD1024" s="898"/>
      <c r="AE1024" s="898"/>
      <c r="AF1024" s="898"/>
      <c r="AG1024" s="898"/>
      <c r="AH1024" s="898"/>
      <c r="AI1024" s="898"/>
      <c r="AJ1024" s="898"/>
      <c r="AK1024" s="897"/>
      <c r="AL1024" s="897"/>
      <c r="AM1024" s="897"/>
      <c r="AN1024" s="897"/>
      <c r="AO1024" s="897"/>
      <c r="AP1024" s="897"/>
      <c r="AQ1024" s="897"/>
      <c r="AR1024" s="897"/>
    </row>
    <row r="1025" spans="1:44" s="930" customFormat="1">
      <c r="A1025" s="892"/>
      <c r="B1025" s="899"/>
      <c r="C1025" s="900"/>
      <c r="D1025" s="894"/>
      <c r="E1025" s="895"/>
      <c r="F1025" s="896"/>
      <c r="G1025" s="897"/>
      <c r="H1025" s="897"/>
      <c r="I1025" s="897"/>
      <c r="J1025" s="897"/>
      <c r="K1025" s="897"/>
      <c r="L1025" s="898"/>
      <c r="M1025" s="898"/>
      <c r="N1025" s="898"/>
      <c r="O1025" s="898"/>
      <c r="P1025" s="898"/>
      <c r="Q1025" s="898"/>
      <c r="R1025" s="898"/>
      <c r="S1025" s="898"/>
      <c r="T1025" s="898"/>
      <c r="U1025" s="898"/>
      <c r="V1025" s="898"/>
      <c r="W1025" s="898"/>
      <c r="X1025" s="898"/>
      <c r="Y1025" s="898"/>
      <c r="Z1025" s="898"/>
      <c r="AA1025" s="898"/>
      <c r="AB1025" s="898"/>
      <c r="AC1025" s="898"/>
      <c r="AD1025" s="898"/>
      <c r="AE1025" s="898"/>
      <c r="AF1025" s="898"/>
      <c r="AG1025" s="898"/>
      <c r="AH1025" s="898"/>
      <c r="AI1025" s="898"/>
      <c r="AJ1025" s="898"/>
      <c r="AK1025" s="897"/>
      <c r="AL1025" s="897"/>
      <c r="AM1025" s="897"/>
      <c r="AN1025" s="897"/>
      <c r="AO1025" s="897"/>
      <c r="AP1025" s="897"/>
      <c r="AQ1025" s="897"/>
      <c r="AR1025" s="897"/>
    </row>
    <row r="1026" spans="1:44" s="930" customFormat="1">
      <c r="A1026" s="892"/>
      <c r="B1026" s="899"/>
      <c r="C1026" s="900"/>
      <c r="D1026" s="894"/>
      <c r="E1026" s="895"/>
      <c r="F1026" s="896"/>
      <c r="G1026" s="897"/>
      <c r="H1026" s="897"/>
      <c r="I1026" s="897"/>
      <c r="J1026" s="897"/>
      <c r="K1026" s="897"/>
      <c r="L1026" s="898"/>
      <c r="M1026" s="898"/>
      <c r="N1026" s="898"/>
      <c r="O1026" s="898"/>
      <c r="P1026" s="898"/>
      <c r="Q1026" s="898"/>
      <c r="R1026" s="898"/>
      <c r="S1026" s="898"/>
      <c r="T1026" s="898"/>
      <c r="U1026" s="898"/>
      <c r="V1026" s="898"/>
      <c r="W1026" s="898"/>
      <c r="X1026" s="898"/>
      <c r="Y1026" s="898"/>
      <c r="Z1026" s="898"/>
      <c r="AA1026" s="898"/>
      <c r="AB1026" s="898"/>
      <c r="AC1026" s="898"/>
      <c r="AD1026" s="898"/>
      <c r="AE1026" s="898"/>
      <c r="AF1026" s="898"/>
      <c r="AG1026" s="898"/>
      <c r="AH1026" s="898"/>
      <c r="AI1026" s="898"/>
      <c r="AJ1026" s="898"/>
      <c r="AK1026" s="897"/>
      <c r="AL1026" s="897"/>
      <c r="AM1026" s="897"/>
      <c r="AN1026" s="897"/>
      <c r="AO1026" s="897"/>
      <c r="AP1026" s="897"/>
      <c r="AQ1026" s="897"/>
      <c r="AR1026" s="897"/>
    </row>
    <row r="1027" spans="1:44" s="930" customFormat="1">
      <c r="A1027" s="892"/>
      <c r="B1027" s="899"/>
      <c r="C1027" s="900"/>
      <c r="D1027" s="894"/>
      <c r="E1027" s="895"/>
      <c r="F1027" s="896"/>
      <c r="G1027" s="897"/>
      <c r="H1027" s="897"/>
      <c r="I1027" s="897"/>
      <c r="J1027" s="897"/>
      <c r="K1027" s="897"/>
      <c r="L1027" s="898"/>
      <c r="M1027" s="898"/>
      <c r="N1027" s="898"/>
      <c r="O1027" s="898"/>
      <c r="P1027" s="898"/>
      <c r="Q1027" s="898"/>
      <c r="R1027" s="898"/>
      <c r="S1027" s="898"/>
      <c r="T1027" s="898"/>
      <c r="U1027" s="898"/>
      <c r="V1027" s="898"/>
      <c r="W1027" s="898"/>
      <c r="X1027" s="898"/>
      <c r="Y1027" s="898"/>
      <c r="Z1027" s="898"/>
      <c r="AA1027" s="898"/>
      <c r="AB1027" s="898"/>
      <c r="AC1027" s="898"/>
      <c r="AD1027" s="898"/>
      <c r="AE1027" s="898"/>
      <c r="AF1027" s="898"/>
      <c r="AG1027" s="898"/>
      <c r="AH1027" s="898"/>
      <c r="AI1027" s="898"/>
      <c r="AJ1027" s="898"/>
      <c r="AK1027" s="897"/>
      <c r="AL1027" s="897"/>
      <c r="AM1027" s="897"/>
      <c r="AN1027" s="897"/>
      <c r="AO1027" s="897"/>
      <c r="AP1027" s="897"/>
      <c r="AQ1027" s="897"/>
      <c r="AR1027" s="897"/>
    </row>
    <row r="1028" spans="1:44" s="930" customFormat="1">
      <c r="A1028" s="892"/>
      <c r="B1028" s="899"/>
      <c r="C1028" s="900"/>
      <c r="D1028" s="894"/>
      <c r="E1028" s="895"/>
      <c r="F1028" s="896"/>
      <c r="G1028" s="897"/>
      <c r="H1028" s="897"/>
      <c r="I1028" s="897"/>
      <c r="J1028" s="897"/>
      <c r="K1028" s="897"/>
      <c r="L1028" s="898"/>
      <c r="M1028" s="898"/>
      <c r="N1028" s="898"/>
      <c r="O1028" s="898"/>
      <c r="P1028" s="898"/>
      <c r="Q1028" s="898"/>
      <c r="R1028" s="898"/>
      <c r="S1028" s="898"/>
      <c r="T1028" s="898"/>
      <c r="U1028" s="898"/>
      <c r="V1028" s="898"/>
      <c r="W1028" s="898"/>
      <c r="X1028" s="898"/>
      <c r="Y1028" s="898"/>
      <c r="Z1028" s="898"/>
      <c r="AA1028" s="898"/>
      <c r="AB1028" s="898"/>
      <c r="AC1028" s="898"/>
      <c r="AD1028" s="898"/>
      <c r="AE1028" s="898"/>
      <c r="AF1028" s="898"/>
      <c r="AG1028" s="898"/>
      <c r="AH1028" s="898"/>
      <c r="AI1028" s="898"/>
      <c r="AJ1028" s="898"/>
      <c r="AK1028" s="897"/>
      <c r="AL1028" s="897"/>
      <c r="AM1028" s="897"/>
      <c r="AN1028" s="897"/>
      <c r="AO1028" s="897"/>
      <c r="AP1028" s="897"/>
      <c r="AQ1028" s="897"/>
      <c r="AR1028" s="897"/>
    </row>
    <row r="1029" spans="1:44" s="930" customFormat="1">
      <c r="A1029" s="892"/>
      <c r="B1029" s="899"/>
      <c r="C1029" s="900"/>
      <c r="D1029" s="894"/>
      <c r="E1029" s="895"/>
      <c r="F1029" s="896"/>
      <c r="G1029" s="897"/>
      <c r="H1029" s="897"/>
      <c r="I1029" s="897"/>
      <c r="J1029" s="897"/>
      <c r="K1029" s="897"/>
      <c r="L1029" s="898"/>
      <c r="M1029" s="898"/>
      <c r="N1029" s="898"/>
      <c r="O1029" s="898"/>
      <c r="P1029" s="898"/>
      <c r="Q1029" s="898"/>
      <c r="R1029" s="898"/>
      <c r="S1029" s="898"/>
      <c r="T1029" s="898"/>
      <c r="U1029" s="898"/>
      <c r="V1029" s="898"/>
      <c r="W1029" s="898"/>
      <c r="X1029" s="898"/>
      <c r="Y1029" s="898"/>
      <c r="Z1029" s="898"/>
      <c r="AA1029" s="898"/>
      <c r="AB1029" s="898"/>
      <c r="AC1029" s="898"/>
      <c r="AD1029" s="898"/>
      <c r="AE1029" s="898"/>
      <c r="AF1029" s="898"/>
      <c r="AG1029" s="898"/>
      <c r="AH1029" s="898"/>
      <c r="AI1029" s="898"/>
      <c r="AJ1029" s="898"/>
      <c r="AK1029" s="897"/>
      <c r="AL1029" s="897"/>
      <c r="AM1029" s="897"/>
      <c r="AN1029" s="897"/>
      <c r="AO1029" s="897"/>
      <c r="AP1029" s="897"/>
      <c r="AQ1029" s="897"/>
      <c r="AR1029" s="897"/>
    </row>
    <row r="1030" spans="1:44" s="930" customFormat="1">
      <c r="A1030" s="892"/>
      <c r="B1030" s="899"/>
      <c r="C1030" s="900"/>
      <c r="D1030" s="894"/>
      <c r="E1030" s="895"/>
      <c r="F1030" s="896"/>
      <c r="G1030" s="897"/>
      <c r="H1030" s="897"/>
      <c r="I1030" s="897"/>
      <c r="J1030" s="897"/>
      <c r="K1030" s="897"/>
      <c r="L1030" s="898"/>
      <c r="M1030" s="898"/>
      <c r="N1030" s="898"/>
      <c r="O1030" s="898"/>
      <c r="P1030" s="898"/>
      <c r="Q1030" s="898"/>
      <c r="R1030" s="898"/>
      <c r="S1030" s="898"/>
      <c r="T1030" s="898"/>
      <c r="U1030" s="898"/>
      <c r="V1030" s="898"/>
      <c r="W1030" s="898"/>
      <c r="X1030" s="898"/>
      <c r="Y1030" s="898"/>
      <c r="Z1030" s="898"/>
      <c r="AA1030" s="898"/>
      <c r="AB1030" s="898"/>
      <c r="AC1030" s="898"/>
      <c r="AD1030" s="898"/>
      <c r="AE1030" s="898"/>
      <c r="AF1030" s="898"/>
      <c r="AG1030" s="898"/>
      <c r="AH1030" s="898"/>
      <c r="AI1030" s="898"/>
      <c r="AJ1030" s="898"/>
      <c r="AK1030" s="897"/>
      <c r="AL1030" s="897"/>
      <c r="AM1030" s="897"/>
      <c r="AN1030" s="897"/>
      <c r="AO1030" s="897"/>
      <c r="AP1030" s="897"/>
      <c r="AQ1030" s="897"/>
      <c r="AR1030" s="897"/>
    </row>
    <row r="1031" spans="1:44" s="930" customFormat="1">
      <c r="A1031" s="892"/>
      <c r="B1031" s="899"/>
      <c r="C1031" s="900"/>
      <c r="D1031" s="894"/>
      <c r="E1031" s="895"/>
      <c r="F1031" s="896"/>
      <c r="G1031" s="897"/>
      <c r="H1031" s="897"/>
      <c r="I1031" s="897"/>
      <c r="J1031" s="897"/>
      <c r="K1031" s="897"/>
      <c r="L1031" s="898"/>
      <c r="M1031" s="898"/>
      <c r="N1031" s="898"/>
      <c r="O1031" s="898"/>
      <c r="P1031" s="898"/>
      <c r="Q1031" s="898"/>
      <c r="R1031" s="898"/>
      <c r="S1031" s="898"/>
      <c r="T1031" s="898"/>
      <c r="U1031" s="898"/>
      <c r="V1031" s="898"/>
      <c r="W1031" s="898"/>
      <c r="X1031" s="898"/>
      <c r="Y1031" s="898"/>
      <c r="Z1031" s="898"/>
      <c r="AA1031" s="898"/>
      <c r="AB1031" s="898"/>
      <c r="AC1031" s="898"/>
      <c r="AD1031" s="898"/>
      <c r="AE1031" s="898"/>
      <c r="AF1031" s="898"/>
      <c r="AG1031" s="898"/>
      <c r="AH1031" s="898"/>
      <c r="AI1031" s="898"/>
      <c r="AJ1031" s="898"/>
      <c r="AK1031" s="897"/>
      <c r="AL1031" s="897"/>
      <c r="AM1031" s="897"/>
      <c r="AN1031" s="897"/>
      <c r="AO1031" s="897"/>
      <c r="AP1031" s="897"/>
      <c r="AQ1031" s="897"/>
      <c r="AR1031" s="897"/>
    </row>
    <row r="1032" spans="1:44" s="930" customFormat="1">
      <c r="A1032" s="892"/>
      <c r="B1032" s="899"/>
      <c r="C1032" s="900"/>
      <c r="D1032" s="894"/>
      <c r="E1032" s="895"/>
      <c r="F1032" s="896"/>
      <c r="G1032" s="897"/>
      <c r="H1032" s="897"/>
      <c r="I1032" s="897"/>
      <c r="J1032" s="897"/>
      <c r="K1032" s="897"/>
      <c r="L1032" s="898"/>
      <c r="M1032" s="898"/>
      <c r="N1032" s="898"/>
      <c r="O1032" s="898"/>
      <c r="P1032" s="898"/>
      <c r="Q1032" s="898"/>
      <c r="R1032" s="898"/>
      <c r="S1032" s="898"/>
      <c r="T1032" s="898"/>
      <c r="U1032" s="898"/>
      <c r="V1032" s="898"/>
      <c r="W1032" s="898"/>
      <c r="X1032" s="898"/>
      <c r="Y1032" s="898"/>
      <c r="Z1032" s="898"/>
      <c r="AA1032" s="898"/>
      <c r="AB1032" s="898"/>
      <c r="AC1032" s="898"/>
      <c r="AD1032" s="898"/>
      <c r="AE1032" s="898"/>
      <c r="AF1032" s="898"/>
      <c r="AG1032" s="898"/>
      <c r="AH1032" s="898"/>
      <c r="AI1032" s="898"/>
      <c r="AJ1032" s="898"/>
      <c r="AK1032" s="897"/>
      <c r="AL1032" s="897"/>
      <c r="AM1032" s="897"/>
      <c r="AN1032" s="897"/>
      <c r="AO1032" s="897"/>
      <c r="AP1032" s="897"/>
      <c r="AQ1032" s="897"/>
      <c r="AR1032" s="897"/>
    </row>
    <row r="1033" spans="1:44" s="930" customFormat="1">
      <c r="A1033" s="892"/>
      <c r="B1033" s="899"/>
      <c r="C1033" s="900"/>
      <c r="D1033" s="894"/>
      <c r="E1033" s="895"/>
      <c r="F1033" s="896"/>
      <c r="G1033" s="897"/>
      <c r="H1033" s="897"/>
      <c r="I1033" s="897"/>
      <c r="J1033" s="897"/>
      <c r="K1033" s="897"/>
      <c r="L1033" s="898"/>
      <c r="M1033" s="898"/>
      <c r="N1033" s="898"/>
      <c r="O1033" s="898"/>
      <c r="P1033" s="898"/>
      <c r="Q1033" s="898"/>
      <c r="R1033" s="898"/>
      <c r="S1033" s="898"/>
      <c r="T1033" s="898"/>
      <c r="U1033" s="898"/>
      <c r="V1033" s="898"/>
      <c r="W1033" s="898"/>
      <c r="X1033" s="898"/>
      <c r="Y1033" s="898"/>
      <c r="Z1033" s="898"/>
      <c r="AA1033" s="898"/>
      <c r="AB1033" s="898"/>
      <c r="AC1033" s="898"/>
      <c r="AD1033" s="898"/>
      <c r="AE1033" s="898"/>
      <c r="AF1033" s="898"/>
      <c r="AG1033" s="898"/>
      <c r="AH1033" s="898"/>
      <c r="AI1033" s="898"/>
      <c r="AJ1033" s="898"/>
      <c r="AK1033" s="897"/>
      <c r="AL1033" s="897"/>
      <c r="AM1033" s="897"/>
      <c r="AN1033" s="897"/>
      <c r="AO1033" s="897"/>
      <c r="AP1033" s="897"/>
      <c r="AQ1033" s="897"/>
      <c r="AR1033" s="897"/>
    </row>
    <row r="1034" spans="1:44" s="930" customFormat="1">
      <c r="A1034" s="892"/>
      <c r="B1034" s="899"/>
      <c r="C1034" s="900"/>
      <c r="D1034" s="894"/>
      <c r="E1034" s="895"/>
      <c r="F1034" s="896"/>
      <c r="G1034" s="897"/>
      <c r="H1034" s="897"/>
      <c r="I1034" s="897"/>
      <c r="J1034" s="897"/>
      <c r="K1034" s="897"/>
      <c r="L1034" s="898"/>
      <c r="M1034" s="898"/>
      <c r="N1034" s="898"/>
      <c r="O1034" s="898"/>
      <c r="P1034" s="898"/>
      <c r="Q1034" s="898"/>
      <c r="R1034" s="898"/>
      <c r="S1034" s="898"/>
      <c r="T1034" s="898"/>
      <c r="U1034" s="898"/>
      <c r="V1034" s="898"/>
      <c r="W1034" s="898"/>
      <c r="X1034" s="898"/>
      <c r="Y1034" s="898"/>
      <c r="Z1034" s="898"/>
      <c r="AA1034" s="898"/>
      <c r="AB1034" s="898"/>
      <c r="AC1034" s="898"/>
      <c r="AD1034" s="898"/>
      <c r="AE1034" s="898"/>
      <c r="AF1034" s="898"/>
      <c r="AG1034" s="898"/>
      <c r="AH1034" s="898"/>
      <c r="AI1034" s="898"/>
      <c r="AJ1034" s="898"/>
      <c r="AK1034" s="897"/>
      <c r="AL1034" s="897"/>
      <c r="AM1034" s="897"/>
      <c r="AN1034" s="897"/>
      <c r="AO1034" s="897"/>
      <c r="AP1034" s="897"/>
      <c r="AQ1034" s="897"/>
      <c r="AR1034" s="897"/>
    </row>
    <row r="1035" spans="1:44" s="930" customFormat="1">
      <c r="A1035" s="892"/>
      <c r="B1035" s="899"/>
      <c r="C1035" s="900"/>
      <c r="D1035" s="894"/>
      <c r="E1035" s="895"/>
      <c r="F1035" s="896"/>
      <c r="G1035" s="897"/>
      <c r="H1035" s="897"/>
      <c r="I1035" s="897"/>
      <c r="J1035" s="897"/>
      <c r="K1035" s="897"/>
      <c r="L1035" s="898"/>
      <c r="M1035" s="898"/>
      <c r="N1035" s="898"/>
      <c r="O1035" s="898"/>
      <c r="P1035" s="898"/>
      <c r="Q1035" s="898"/>
      <c r="R1035" s="898"/>
      <c r="S1035" s="898"/>
      <c r="T1035" s="898"/>
      <c r="U1035" s="898"/>
      <c r="V1035" s="898"/>
      <c r="W1035" s="898"/>
      <c r="X1035" s="898"/>
      <c r="Y1035" s="898"/>
      <c r="Z1035" s="898"/>
      <c r="AA1035" s="898"/>
      <c r="AB1035" s="898"/>
      <c r="AC1035" s="898"/>
      <c r="AD1035" s="898"/>
      <c r="AE1035" s="898"/>
      <c r="AF1035" s="898"/>
      <c r="AG1035" s="898"/>
      <c r="AH1035" s="898"/>
      <c r="AI1035" s="898"/>
      <c r="AJ1035" s="898"/>
      <c r="AK1035" s="897"/>
      <c r="AL1035" s="897"/>
      <c r="AM1035" s="897"/>
      <c r="AN1035" s="897"/>
      <c r="AO1035" s="897"/>
      <c r="AP1035" s="897"/>
      <c r="AQ1035" s="897"/>
      <c r="AR1035" s="897"/>
    </row>
    <row r="1036" spans="1:44" s="930" customFormat="1">
      <c r="A1036" s="892"/>
      <c r="B1036" s="899"/>
      <c r="C1036" s="900"/>
      <c r="D1036" s="894"/>
      <c r="E1036" s="895"/>
      <c r="F1036" s="896"/>
      <c r="G1036" s="897"/>
      <c r="H1036" s="897"/>
      <c r="I1036" s="897"/>
      <c r="J1036" s="897"/>
      <c r="K1036" s="897"/>
      <c r="L1036" s="898"/>
      <c r="M1036" s="898"/>
      <c r="N1036" s="898"/>
      <c r="O1036" s="898"/>
      <c r="P1036" s="898"/>
      <c r="Q1036" s="898"/>
      <c r="R1036" s="898"/>
      <c r="S1036" s="898"/>
      <c r="T1036" s="898"/>
      <c r="U1036" s="898"/>
      <c r="V1036" s="898"/>
      <c r="W1036" s="898"/>
      <c r="X1036" s="898"/>
      <c r="Y1036" s="898"/>
      <c r="Z1036" s="898"/>
      <c r="AA1036" s="898"/>
      <c r="AB1036" s="898"/>
      <c r="AC1036" s="898"/>
      <c r="AD1036" s="898"/>
      <c r="AE1036" s="898"/>
      <c r="AF1036" s="898"/>
      <c r="AG1036" s="898"/>
      <c r="AH1036" s="898"/>
      <c r="AI1036" s="898"/>
      <c r="AJ1036" s="898"/>
      <c r="AK1036" s="897"/>
      <c r="AL1036" s="897"/>
      <c r="AM1036" s="897"/>
      <c r="AN1036" s="897"/>
      <c r="AO1036" s="897"/>
      <c r="AP1036" s="897"/>
      <c r="AQ1036" s="897"/>
      <c r="AR1036" s="897"/>
    </row>
    <row r="1037" spans="1:44" s="930" customFormat="1">
      <c r="A1037" s="892"/>
      <c r="B1037" s="899"/>
      <c r="C1037" s="900"/>
      <c r="D1037" s="894"/>
      <c r="E1037" s="895"/>
      <c r="F1037" s="896"/>
      <c r="G1037" s="897"/>
      <c r="H1037" s="897"/>
      <c r="I1037" s="897"/>
      <c r="J1037" s="897"/>
      <c r="K1037" s="897"/>
      <c r="L1037" s="898"/>
      <c r="M1037" s="898"/>
      <c r="N1037" s="898"/>
      <c r="O1037" s="898"/>
      <c r="P1037" s="898"/>
      <c r="Q1037" s="898"/>
      <c r="R1037" s="898"/>
      <c r="S1037" s="898"/>
      <c r="T1037" s="898"/>
      <c r="U1037" s="898"/>
      <c r="V1037" s="898"/>
      <c r="W1037" s="898"/>
      <c r="X1037" s="898"/>
      <c r="Y1037" s="898"/>
      <c r="Z1037" s="898"/>
      <c r="AA1037" s="898"/>
      <c r="AB1037" s="898"/>
      <c r="AC1037" s="898"/>
      <c r="AD1037" s="898"/>
      <c r="AE1037" s="898"/>
      <c r="AF1037" s="898"/>
      <c r="AG1037" s="898"/>
      <c r="AH1037" s="898"/>
      <c r="AI1037" s="898"/>
      <c r="AJ1037" s="898"/>
      <c r="AK1037" s="897"/>
      <c r="AL1037" s="897"/>
      <c r="AM1037" s="897"/>
      <c r="AN1037" s="897"/>
      <c r="AO1037" s="897"/>
      <c r="AP1037" s="897"/>
      <c r="AQ1037" s="897"/>
      <c r="AR1037" s="897"/>
    </row>
    <row r="1038" spans="1:44" s="930" customFormat="1">
      <c r="A1038" s="892"/>
      <c r="B1038" s="899"/>
      <c r="C1038" s="900"/>
      <c r="D1038" s="894"/>
      <c r="E1038" s="895"/>
      <c r="F1038" s="896"/>
      <c r="G1038" s="897"/>
      <c r="H1038" s="897"/>
      <c r="I1038" s="897"/>
      <c r="J1038" s="897"/>
      <c r="K1038" s="897"/>
      <c r="L1038" s="898"/>
      <c r="M1038" s="898"/>
      <c r="N1038" s="898"/>
      <c r="O1038" s="898"/>
      <c r="P1038" s="898"/>
      <c r="Q1038" s="898"/>
      <c r="R1038" s="898"/>
      <c r="S1038" s="898"/>
      <c r="T1038" s="898"/>
      <c r="U1038" s="898"/>
      <c r="V1038" s="898"/>
      <c r="W1038" s="898"/>
      <c r="X1038" s="898"/>
      <c r="Y1038" s="898"/>
      <c r="Z1038" s="898"/>
      <c r="AA1038" s="898"/>
      <c r="AB1038" s="898"/>
      <c r="AC1038" s="898"/>
      <c r="AD1038" s="898"/>
      <c r="AE1038" s="898"/>
      <c r="AF1038" s="898"/>
      <c r="AG1038" s="898"/>
      <c r="AH1038" s="898"/>
      <c r="AI1038" s="898"/>
      <c r="AJ1038" s="898"/>
      <c r="AK1038" s="897"/>
      <c r="AL1038" s="897"/>
      <c r="AM1038" s="897"/>
      <c r="AN1038" s="897"/>
      <c r="AO1038" s="897"/>
      <c r="AP1038" s="897"/>
      <c r="AQ1038" s="897"/>
      <c r="AR1038" s="897"/>
    </row>
    <row r="1039" spans="1:44" s="930" customFormat="1">
      <c r="A1039" s="892"/>
      <c r="B1039" s="899"/>
      <c r="C1039" s="900"/>
      <c r="D1039" s="894"/>
      <c r="E1039" s="895"/>
      <c r="F1039" s="896"/>
      <c r="G1039" s="897"/>
      <c r="H1039" s="897"/>
      <c r="I1039" s="897"/>
      <c r="J1039" s="897"/>
      <c r="K1039" s="897"/>
      <c r="L1039" s="898"/>
      <c r="M1039" s="898"/>
      <c r="N1039" s="898"/>
      <c r="O1039" s="898"/>
      <c r="P1039" s="898"/>
      <c r="Q1039" s="898"/>
      <c r="R1039" s="898"/>
      <c r="S1039" s="898"/>
      <c r="T1039" s="898"/>
      <c r="U1039" s="898"/>
      <c r="V1039" s="898"/>
      <c r="W1039" s="898"/>
      <c r="X1039" s="898"/>
      <c r="Y1039" s="898"/>
      <c r="Z1039" s="898"/>
      <c r="AA1039" s="898"/>
      <c r="AB1039" s="898"/>
      <c r="AC1039" s="898"/>
      <c r="AD1039" s="898"/>
      <c r="AE1039" s="898"/>
      <c r="AF1039" s="898"/>
      <c r="AG1039" s="898"/>
      <c r="AH1039" s="898"/>
      <c r="AI1039" s="898"/>
      <c r="AJ1039" s="898"/>
      <c r="AK1039" s="897"/>
      <c r="AL1039" s="897"/>
      <c r="AM1039" s="897"/>
      <c r="AN1039" s="897"/>
      <c r="AO1039" s="897"/>
      <c r="AP1039" s="897"/>
      <c r="AQ1039" s="897"/>
      <c r="AR1039" s="897"/>
    </row>
    <row r="1040" spans="1:44" s="930" customFormat="1">
      <c r="A1040" s="892"/>
      <c r="B1040" s="899"/>
      <c r="C1040" s="900"/>
      <c r="D1040" s="894"/>
      <c r="E1040" s="895"/>
      <c r="F1040" s="896"/>
      <c r="G1040" s="897"/>
      <c r="H1040" s="897"/>
      <c r="I1040" s="897"/>
      <c r="J1040" s="897"/>
      <c r="K1040" s="897"/>
      <c r="L1040" s="898"/>
      <c r="M1040" s="898"/>
      <c r="N1040" s="898"/>
      <c r="O1040" s="898"/>
      <c r="P1040" s="898"/>
      <c r="Q1040" s="898"/>
      <c r="R1040" s="898"/>
      <c r="S1040" s="898"/>
      <c r="T1040" s="898"/>
      <c r="U1040" s="898"/>
      <c r="V1040" s="898"/>
      <c r="W1040" s="898"/>
      <c r="X1040" s="898"/>
      <c r="Y1040" s="898"/>
      <c r="Z1040" s="898"/>
      <c r="AA1040" s="898"/>
      <c r="AB1040" s="898"/>
      <c r="AC1040" s="898"/>
      <c r="AD1040" s="898"/>
      <c r="AE1040" s="898"/>
      <c r="AF1040" s="898"/>
      <c r="AG1040" s="898"/>
      <c r="AH1040" s="898"/>
      <c r="AI1040" s="898"/>
      <c r="AJ1040" s="898"/>
      <c r="AK1040" s="897"/>
      <c r="AL1040" s="897"/>
      <c r="AM1040" s="897"/>
      <c r="AN1040" s="897"/>
      <c r="AO1040" s="897"/>
      <c r="AP1040" s="897"/>
      <c r="AQ1040" s="897"/>
      <c r="AR1040" s="897"/>
    </row>
    <row r="1041" spans="1:44" s="930" customFormat="1">
      <c r="A1041" s="892"/>
      <c r="B1041" s="899"/>
      <c r="C1041" s="900"/>
      <c r="D1041" s="894"/>
      <c r="E1041" s="895"/>
      <c r="F1041" s="896"/>
      <c r="G1041" s="897"/>
      <c r="H1041" s="897"/>
      <c r="I1041" s="897"/>
      <c r="J1041" s="897"/>
      <c r="K1041" s="897"/>
      <c r="L1041" s="898"/>
      <c r="M1041" s="898"/>
      <c r="N1041" s="898"/>
      <c r="O1041" s="898"/>
      <c r="P1041" s="898"/>
      <c r="Q1041" s="898"/>
      <c r="R1041" s="898"/>
      <c r="S1041" s="898"/>
      <c r="T1041" s="898"/>
      <c r="U1041" s="898"/>
      <c r="V1041" s="898"/>
      <c r="W1041" s="898"/>
      <c r="X1041" s="898"/>
      <c r="Y1041" s="898"/>
      <c r="Z1041" s="898"/>
      <c r="AA1041" s="898"/>
      <c r="AB1041" s="898"/>
      <c r="AC1041" s="898"/>
      <c r="AD1041" s="898"/>
      <c r="AE1041" s="898"/>
      <c r="AF1041" s="898"/>
      <c r="AG1041" s="898"/>
      <c r="AH1041" s="898"/>
      <c r="AI1041" s="898"/>
      <c r="AJ1041" s="898"/>
      <c r="AK1041" s="897"/>
      <c r="AL1041" s="897"/>
      <c r="AM1041" s="897"/>
      <c r="AN1041" s="897"/>
      <c r="AO1041" s="897"/>
      <c r="AP1041" s="897"/>
      <c r="AQ1041" s="897"/>
      <c r="AR1041" s="897"/>
    </row>
    <row r="1042" spans="1:44" s="930" customFormat="1">
      <c r="A1042" s="892"/>
      <c r="B1042" s="899"/>
      <c r="C1042" s="900"/>
      <c r="D1042" s="894"/>
      <c r="E1042" s="895"/>
      <c r="F1042" s="896"/>
      <c r="G1042" s="897"/>
      <c r="H1042" s="897"/>
      <c r="I1042" s="897"/>
      <c r="J1042" s="897"/>
      <c r="K1042" s="897"/>
      <c r="L1042" s="898"/>
      <c r="M1042" s="898"/>
      <c r="N1042" s="898"/>
      <c r="O1042" s="898"/>
      <c r="P1042" s="898"/>
      <c r="Q1042" s="898"/>
      <c r="R1042" s="898"/>
      <c r="S1042" s="898"/>
      <c r="T1042" s="898"/>
      <c r="U1042" s="898"/>
      <c r="V1042" s="898"/>
      <c r="W1042" s="898"/>
      <c r="X1042" s="898"/>
      <c r="Y1042" s="898"/>
      <c r="Z1042" s="898"/>
      <c r="AA1042" s="898"/>
      <c r="AB1042" s="898"/>
      <c r="AC1042" s="898"/>
      <c r="AD1042" s="898"/>
      <c r="AE1042" s="898"/>
      <c r="AF1042" s="898"/>
      <c r="AG1042" s="898"/>
      <c r="AH1042" s="898"/>
      <c r="AI1042" s="898"/>
      <c r="AJ1042" s="898"/>
      <c r="AK1042" s="897"/>
      <c r="AL1042" s="897"/>
      <c r="AM1042" s="897"/>
      <c r="AN1042" s="897"/>
      <c r="AO1042" s="897"/>
      <c r="AP1042" s="897"/>
      <c r="AQ1042" s="897"/>
      <c r="AR1042" s="897"/>
    </row>
    <row r="1043" spans="1:44" s="930" customFormat="1">
      <c r="A1043" s="892"/>
      <c r="B1043" s="899"/>
      <c r="C1043" s="900"/>
      <c r="D1043" s="894"/>
      <c r="E1043" s="895"/>
      <c r="F1043" s="896"/>
      <c r="G1043" s="897"/>
      <c r="H1043" s="897"/>
      <c r="I1043" s="897"/>
      <c r="J1043" s="897"/>
      <c r="K1043" s="897"/>
      <c r="L1043" s="898"/>
      <c r="M1043" s="898"/>
      <c r="N1043" s="898"/>
      <c r="O1043" s="898"/>
      <c r="P1043" s="898"/>
      <c r="Q1043" s="898"/>
      <c r="R1043" s="898"/>
      <c r="S1043" s="898"/>
      <c r="T1043" s="898"/>
      <c r="U1043" s="898"/>
      <c r="V1043" s="898"/>
      <c r="W1043" s="898"/>
      <c r="X1043" s="898"/>
      <c r="Y1043" s="898"/>
      <c r="Z1043" s="898"/>
      <c r="AA1043" s="898"/>
      <c r="AB1043" s="898"/>
      <c r="AC1043" s="898"/>
      <c r="AD1043" s="898"/>
      <c r="AE1043" s="898"/>
      <c r="AF1043" s="898"/>
      <c r="AG1043" s="898"/>
      <c r="AH1043" s="898"/>
      <c r="AI1043" s="898"/>
      <c r="AJ1043" s="898"/>
      <c r="AK1043" s="897"/>
      <c r="AL1043" s="897"/>
      <c r="AM1043" s="897"/>
      <c r="AN1043" s="897"/>
      <c r="AO1043" s="897"/>
      <c r="AP1043" s="897"/>
      <c r="AQ1043" s="897"/>
      <c r="AR1043" s="897"/>
    </row>
    <row r="1044" spans="1:44" s="930" customFormat="1">
      <c r="A1044" s="892"/>
      <c r="B1044" s="899"/>
      <c r="C1044" s="900"/>
      <c r="D1044" s="894"/>
      <c r="E1044" s="895"/>
      <c r="F1044" s="896"/>
      <c r="G1044" s="897"/>
      <c r="H1044" s="897"/>
      <c r="I1044" s="897"/>
      <c r="J1044" s="897"/>
      <c r="K1044" s="897"/>
      <c r="L1044" s="898"/>
      <c r="M1044" s="898"/>
      <c r="N1044" s="898"/>
      <c r="O1044" s="898"/>
      <c r="P1044" s="898"/>
      <c r="Q1044" s="898"/>
      <c r="R1044" s="898"/>
      <c r="S1044" s="898"/>
      <c r="T1044" s="898"/>
      <c r="U1044" s="898"/>
      <c r="V1044" s="898"/>
      <c r="W1044" s="898"/>
      <c r="X1044" s="898"/>
      <c r="Y1044" s="898"/>
      <c r="Z1044" s="898"/>
      <c r="AA1044" s="898"/>
      <c r="AB1044" s="898"/>
      <c r="AC1044" s="898"/>
      <c r="AD1044" s="898"/>
      <c r="AE1044" s="898"/>
      <c r="AF1044" s="898"/>
      <c r="AG1044" s="898"/>
      <c r="AH1044" s="898"/>
      <c r="AI1044" s="898"/>
      <c r="AJ1044" s="898"/>
      <c r="AK1044" s="897"/>
      <c r="AL1044" s="897"/>
      <c r="AM1044" s="897"/>
      <c r="AN1044" s="897"/>
      <c r="AO1044" s="897"/>
      <c r="AP1044" s="897"/>
      <c r="AQ1044" s="897"/>
      <c r="AR1044" s="897"/>
    </row>
    <row r="1045" spans="1:44" s="930" customFormat="1">
      <c r="A1045" s="892"/>
      <c r="B1045" s="899"/>
      <c r="C1045" s="900"/>
      <c r="D1045" s="894"/>
      <c r="E1045" s="895"/>
      <c r="F1045" s="896"/>
      <c r="G1045" s="897"/>
      <c r="H1045" s="897"/>
      <c r="I1045" s="897"/>
      <c r="J1045" s="897"/>
      <c r="K1045" s="897"/>
      <c r="L1045" s="898"/>
      <c r="M1045" s="898"/>
      <c r="N1045" s="898"/>
      <c r="O1045" s="898"/>
      <c r="P1045" s="898"/>
      <c r="Q1045" s="898"/>
      <c r="R1045" s="898"/>
      <c r="S1045" s="898"/>
      <c r="T1045" s="898"/>
      <c r="U1045" s="898"/>
      <c r="V1045" s="898"/>
      <c r="W1045" s="898"/>
      <c r="X1045" s="898"/>
      <c r="Y1045" s="898"/>
      <c r="Z1045" s="898"/>
      <c r="AA1045" s="898"/>
      <c r="AB1045" s="898"/>
      <c r="AC1045" s="898"/>
      <c r="AD1045" s="898"/>
      <c r="AE1045" s="898"/>
      <c r="AF1045" s="898"/>
      <c r="AG1045" s="898"/>
      <c r="AH1045" s="898"/>
      <c r="AI1045" s="898"/>
      <c r="AJ1045" s="898"/>
      <c r="AK1045" s="897"/>
      <c r="AL1045" s="897"/>
      <c r="AM1045" s="897"/>
      <c r="AN1045" s="897"/>
      <c r="AO1045" s="897"/>
      <c r="AP1045" s="897"/>
      <c r="AQ1045" s="897"/>
      <c r="AR1045" s="897"/>
    </row>
    <row r="1046" spans="1:44" s="930" customFormat="1">
      <c r="A1046" s="892"/>
      <c r="B1046" s="899"/>
      <c r="C1046" s="900"/>
      <c r="D1046" s="894"/>
      <c r="E1046" s="895"/>
      <c r="F1046" s="896"/>
      <c r="G1046" s="897"/>
      <c r="H1046" s="897"/>
      <c r="I1046" s="897"/>
      <c r="J1046" s="897"/>
      <c r="K1046" s="897"/>
      <c r="L1046" s="898"/>
      <c r="M1046" s="898"/>
      <c r="N1046" s="898"/>
      <c r="O1046" s="898"/>
      <c r="P1046" s="898"/>
      <c r="Q1046" s="898"/>
      <c r="R1046" s="898"/>
      <c r="S1046" s="898"/>
      <c r="T1046" s="898"/>
      <c r="U1046" s="898"/>
      <c r="V1046" s="898"/>
      <c r="W1046" s="898"/>
      <c r="X1046" s="898"/>
      <c r="Y1046" s="898"/>
      <c r="Z1046" s="898"/>
      <c r="AA1046" s="898"/>
      <c r="AB1046" s="898"/>
      <c r="AC1046" s="898"/>
      <c r="AD1046" s="898"/>
      <c r="AE1046" s="898"/>
      <c r="AF1046" s="898"/>
      <c r="AG1046" s="898"/>
      <c r="AH1046" s="898"/>
      <c r="AI1046" s="898"/>
      <c r="AJ1046" s="898"/>
      <c r="AK1046" s="897"/>
      <c r="AL1046" s="897"/>
      <c r="AM1046" s="897"/>
      <c r="AN1046" s="897"/>
      <c r="AO1046" s="897"/>
      <c r="AP1046" s="897"/>
      <c r="AQ1046" s="897"/>
      <c r="AR1046" s="897"/>
    </row>
    <row r="1047" spans="1:44" s="930" customFormat="1">
      <c r="A1047" s="892"/>
      <c r="B1047" s="899"/>
      <c r="C1047" s="900"/>
      <c r="D1047" s="894"/>
      <c r="E1047" s="895"/>
      <c r="F1047" s="896"/>
      <c r="G1047" s="897"/>
      <c r="H1047" s="897"/>
      <c r="I1047" s="897"/>
      <c r="J1047" s="897"/>
      <c r="K1047" s="897"/>
      <c r="L1047" s="898"/>
      <c r="M1047" s="898"/>
      <c r="N1047" s="898"/>
      <c r="O1047" s="898"/>
      <c r="P1047" s="898"/>
      <c r="Q1047" s="898"/>
      <c r="R1047" s="898"/>
      <c r="S1047" s="898"/>
      <c r="T1047" s="898"/>
      <c r="U1047" s="898"/>
      <c r="V1047" s="898"/>
      <c r="W1047" s="898"/>
      <c r="X1047" s="898"/>
      <c r="Y1047" s="898"/>
      <c r="Z1047" s="898"/>
      <c r="AA1047" s="898"/>
      <c r="AB1047" s="898"/>
      <c r="AC1047" s="898"/>
      <c r="AD1047" s="898"/>
      <c r="AE1047" s="898"/>
      <c r="AF1047" s="898"/>
      <c r="AG1047" s="898"/>
      <c r="AH1047" s="898"/>
      <c r="AI1047" s="898"/>
      <c r="AJ1047" s="898"/>
      <c r="AK1047" s="897"/>
      <c r="AL1047" s="897"/>
      <c r="AM1047" s="897"/>
      <c r="AN1047" s="897"/>
      <c r="AO1047" s="897"/>
      <c r="AP1047" s="897"/>
      <c r="AQ1047" s="897"/>
      <c r="AR1047" s="897"/>
    </row>
    <row r="1048" spans="1:44" s="930" customFormat="1">
      <c r="A1048" s="892"/>
      <c r="B1048" s="899"/>
      <c r="C1048" s="900"/>
      <c r="D1048" s="894"/>
      <c r="E1048" s="895"/>
      <c r="F1048" s="896"/>
      <c r="G1048" s="897"/>
      <c r="H1048" s="897"/>
      <c r="I1048" s="897"/>
      <c r="J1048" s="897"/>
      <c r="K1048" s="897"/>
      <c r="L1048" s="898"/>
      <c r="M1048" s="898"/>
      <c r="N1048" s="898"/>
      <c r="O1048" s="898"/>
      <c r="P1048" s="898"/>
      <c r="Q1048" s="898"/>
      <c r="R1048" s="898"/>
      <c r="S1048" s="898"/>
      <c r="T1048" s="898"/>
      <c r="U1048" s="898"/>
      <c r="V1048" s="898"/>
      <c r="W1048" s="898"/>
      <c r="X1048" s="898"/>
      <c r="Y1048" s="898"/>
      <c r="Z1048" s="898"/>
      <c r="AA1048" s="898"/>
      <c r="AB1048" s="898"/>
      <c r="AC1048" s="898"/>
      <c r="AD1048" s="898"/>
      <c r="AE1048" s="898"/>
      <c r="AF1048" s="898"/>
      <c r="AG1048" s="898"/>
      <c r="AH1048" s="898"/>
      <c r="AI1048" s="898"/>
      <c r="AJ1048" s="898"/>
      <c r="AK1048" s="897"/>
      <c r="AL1048" s="897"/>
      <c r="AM1048" s="897"/>
      <c r="AN1048" s="897"/>
      <c r="AO1048" s="897"/>
      <c r="AP1048" s="897"/>
      <c r="AQ1048" s="897"/>
      <c r="AR1048" s="897"/>
    </row>
    <row r="1049" spans="1:44" s="930" customFormat="1">
      <c r="A1049" s="892"/>
      <c r="B1049" s="899"/>
      <c r="C1049" s="900"/>
      <c r="D1049" s="894"/>
      <c r="E1049" s="895"/>
      <c r="F1049" s="896"/>
      <c r="G1049" s="897"/>
      <c r="H1049" s="897"/>
      <c r="I1049" s="897"/>
      <c r="J1049" s="897"/>
      <c r="K1049" s="897"/>
      <c r="L1049" s="898"/>
      <c r="M1049" s="898"/>
      <c r="N1049" s="898"/>
      <c r="O1049" s="898"/>
      <c r="P1049" s="898"/>
      <c r="Q1049" s="898"/>
      <c r="R1049" s="898"/>
      <c r="S1049" s="898"/>
      <c r="T1049" s="898"/>
      <c r="U1049" s="898"/>
      <c r="V1049" s="898"/>
      <c r="W1049" s="898"/>
      <c r="X1049" s="898"/>
      <c r="Y1049" s="898"/>
      <c r="Z1049" s="898"/>
      <c r="AA1049" s="898"/>
      <c r="AB1049" s="898"/>
      <c r="AC1049" s="898"/>
      <c r="AD1049" s="898"/>
      <c r="AE1049" s="898"/>
      <c r="AF1049" s="898"/>
      <c r="AG1049" s="898"/>
      <c r="AH1049" s="898"/>
      <c r="AI1049" s="898"/>
      <c r="AJ1049" s="898"/>
      <c r="AK1049" s="897"/>
      <c r="AL1049" s="897"/>
      <c r="AM1049" s="897"/>
      <c r="AN1049" s="897"/>
      <c r="AO1049" s="897"/>
      <c r="AP1049" s="897"/>
      <c r="AQ1049" s="897"/>
      <c r="AR1049" s="897"/>
    </row>
    <row r="1050" spans="1:44" s="930" customFormat="1">
      <c r="A1050" s="892"/>
      <c r="B1050" s="899"/>
      <c r="C1050" s="900"/>
      <c r="D1050" s="894"/>
      <c r="E1050" s="895"/>
      <c r="F1050" s="896"/>
      <c r="G1050" s="897"/>
      <c r="H1050" s="897"/>
      <c r="I1050" s="897"/>
      <c r="J1050" s="897"/>
      <c r="K1050" s="897"/>
      <c r="L1050" s="898"/>
      <c r="M1050" s="898"/>
      <c r="N1050" s="898"/>
      <c r="O1050" s="898"/>
      <c r="P1050" s="898"/>
      <c r="Q1050" s="898"/>
      <c r="R1050" s="898"/>
      <c r="S1050" s="898"/>
      <c r="T1050" s="898"/>
      <c r="U1050" s="898"/>
      <c r="V1050" s="898"/>
      <c r="W1050" s="898"/>
      <c r="X1050" s="898"/>
      <c r="Y1050" s="898"/>
      <c r="Z1050" s="898"/>
      <c r="AA1050" s="898"/>
      <c r="AB1050" s="898"/>
      <c r="AC1050" s="898"/>
      <c r="AD1050" s="898"/>
      <c r="AE1050" s="898"/>
      <c r="AF1050" s="898"/>
      <c r="AG1050" s="898"/>
      <c r="AH1050" s="898"/>
      <c r="AI1050" s="898"/>
      <c r="AJ1050" s="898"/>
      <c r="AK1050" s="897"/>
      <c r="AL1050" s="897"/>
      <c r="AM1050" s="897"/>
      <c r="AN1050" s="897"/>
      <c r="AO1050" s="897"/>
      <c r="AP1050" s="897"/>
      <c r="AQ1050" s="897"/>
      <c r="AR1050" s="897"/>
    </row>
    <row r="1051" spans="1:44" s="930" customFormat="1">
      <c r="A1051" s="892"/>
      <c r="B1051" s="899"/>
      <c r="C1051" s="900"/>
      <c r="D1051" s="894"/>
      <c r="E1051" s="895"/>
      <c r="F1051" s="896"/>
      <c r="G1051" s="897"/>
      <c r="H1051" s="897"/>
      <c r="I1051" s="897"/>
      <c r="J1051" s="897"/>
      <c r="K1051" s="897"/>
      <c r="L1051" s="898"/>
      <c r="M1051" s="898"/>
      <c r="N1051" s="898"/>
      <c r="O1051" s="898"/>
      <c r="P1051" s="898"/>
      <c r="Q1051" s="898"/>
      <c r="R1051" s="898"/>
      <c r="S1051" s="898"/>
      <c r="T1051" s="898"/>
      <c r="U1051" s="898"/>
      <c r="V1051" s="898"/>
      <c r="W1051" s="898"/>
      <c r="X1051" s="898"/>
      <c r="Y1051" s="898"/>
      <c r="Z1051" s="898"/>
      <c r="AA1051" s="898"/>
      <c r="AB1051" s="898"/>
      <c r="AC1051" s="898"/>
      <c r="AD1051" s="898"/>
      <c r="AE1051" s="898"/>
      <c r="AF1051" s="898"/>
      <c r="AG1051" s="898"/>
      <c r="AH1051" s="898"/>
      <c r="AI1051" s="898"/>
      <c r="AJ1051" s="898"/>
      <c r="AK1051" s="897"/>
      <c r="AL1051" s="897"/>
      <c r="AM1051" s="897"/>
      <c r="AN1051" s="897"/>
      <c r="AO1051" s="897"/>
      <c r="AP1051" s="897"/>
      <c r="AQ1051" s="897"/>
      <c r="AR1051" s="897"/>
    </row>
    <row r="1052" spans="1:44" s="930" customFormat="1">
      <c r="A1052" s="892"/>
      <c r="B1052" s="899"/>
      <c r="C1052" s="900"/>
      <c r="D1052" s="894"/>
      <c r="E1052" s="895"/>
      <c r="F1052" s="896"/>
      <c r="G1052" s="897"/>
      <c r="H1052" s="897"/>
      <c r="I1052" s="897"/>
      <c r="J1052" s="897"/>
      <c r="K1052" s="897"/>
      <c r="L1052" s="898"/>
      <c r="M1052" s="898"/>
      <c r="N1052" s="898"/>
      <c r="O1052" s="898"/>
      <c r="P1052" s="898"/>
      <c r="Q1052" s="898"/>
      <c r="R1052" s="898"/>
      <c r="S1052" s="898"/>
      <c r="T1052" s="898"/>
      <c r="U1052" s="898"/>
      <c r="V1052" s="898"/>
      <c r="W1052" s="898"/>
      <c r="X1052" s="898"/>
      <c r="Y1052" s="898"/>
      <c r="Z1052" s="898"/>
      <c r="AA1052" s="898"/>
      <c r="AB1052" s="898"/>
      <c r="AC1052" s="898"/>
      <c r="AD1052" s="898"/>
      <c r="AE1052" s="898"/>
      <c r="AF1052" s="898"/>
      <c r="AG1052" s="898"/>
      <c r="AH1052" s="898"/>
      <c r="AI1052" s="898"/>
      <c r="AJ1052" s="898"/>
      <c r="AK1052" s="897"/>
      <c r="AL1052" s="897"/>
      <c r="AM1052" s="897"/>
      <c r="AN1052" s="897"/>
      <c r="AO1052" s="897"/>
      <c r="AP1052" s="897"/>
      <c r="AQ1052" s="897"/>
      <c r="AR1052" s="897"/>
    </row>
    <row r="1053" spans="1:44" s="930" customFormat="1">
      <c r="A1053" s="892"/>
      <c r="B1053" s="899"/>
      <c r="C1053" s="900"/>
      <c r="D1053" s="894"/>
      <c r="E1053" s="895"/>
      <c r="F1053" s="896"/>
      <c r="G1053" s="897"/>
      <c r="H1053" s="897"/>
      <c r="I1053" s="897"/>
      <c r="J1053" s="897"/>
      <c r="K1053" s="897"/>
      <c r="L1053" s="898"/>
      <c r="M1053" s="898"/>
      <c r="N1053" s="898"/>
      <c r="O1053" s="898"/>
      <c r="P1053" s="898"/>
      <c r="Q1053" s="898"/>
      <c r="R1053" s="898"/>
      <c r="S1053" s="898"/>
      <c r="T1053" s="898"/>
      <c r="U1053" s="898"/>
      <c r="V1053" s="898"/>
      <c r="W1053" s="898"/>
      <c r="X1053" s="898"/>
      <c r="Y1053" s="898"/>
      <c r="Z1053" s="898"/>
      <c r="AA1053" s="898"/>
      <c r="AB1053" s="898"/>
      <c r="AC1053" s="898"/>
      <c r="AD1053" s="898"/>
      <c r="AE1053" s="898"/>
      <c r="AF1053" s="898"/>
      <c r="AG1053" s="898"/>
      <c r="AH1053" s="898"/>
      <c r="AI1053" s="898"/>
      <c r="AJ1053" s="898"/>
      <c r="AK1053" s="897"/>
      <c r="AL1053" s="897"/>
      <c r="AM1053" s="897"/>
      <c r="AN1053" s="897"/>
      <c r="AO1053" s="897"/>
      <c r="AP1053" s="897"/>
      <c r="AQ1053" s="897"/>
      <c r="AR1053" s="897"/>
    </row>
    <row r="1054" spans="1:44" s="930" customFormat="1">
      <c r="A1054" s="892"/>
      <c r="B1054" s="899"/>
      <c r="C1054" s="900"/>
      <c r="D1054" s="894"/>
      <c r="E1054" s="895"/>
      <c r="F1054" s="896"/>
      <c r="G1054" s="897"/>
      <c r="H1054" s="897"/>
      <c r="I1054" s="897"/>
      <c r="J1054" s="897"/>
      <c r="K1054" s="897"/>
      <c r="L1054" s="898"/>
      <c r="M1054" s="898"/>
      <c r="N1054" s="898"/>
      <c r="O1054" s="898"/>
      <c r="P1054" s="898"/>
      <c r="Q1054" s="898"/>
      <c r="R1054" s="898"/>
      <c r="S1054" s="898"/>
      <c r="T1054" s="898"/>
      <c r="U1054" s="898"/>
      <c r="V1054" s="898"/>
      <c r="W1054" s="898"/>
      <c r="X1054" s="898"/>
      <c r="Y1054" s="898"/>
      <c r="Z1054" s="898"/>
      <c r="AA1054" s="898"/>
      <c r="AB1054" s="898"/>
      <c r="AC1054" s="898"/>
      <c r="AD1054" s="898"/>
      <c r="AE1054" s="898"/>
      <c r="AF1054" s="898"/>
      <c r="AG1054" s="898"/>
      <c r="AH1054" s="898"/>
      <c r="AI1054" s="898"/>
      <c r="AJ1054" s="898"/>
      <c r="AK1054" s="897"/>
      <c r="AL1054" s="897"/>
      <c r="AM1054" s="897"/>
      <c r="AN1054" s="897"/>
      <c r="AO1054" s="897"/>
      <c r="AP1054" s="897"/>
      <c r="AQ1054" s="897"/>
      <c r="AR1054" s="897"/>
    </row>
    <row r="1055" spans="1:44" s="930" customFormat="1">
      <c r="A1055" s="892"/>
      <c r="B1055" s="899"/>
      <c r="C1055" s="900"/>
      <c r="D1055" s="894"/>
      <c r="E1055" s="895"/>
      <c r="F1055" s="896"/>
      <c r="G1055" s="897"/>
      <c r="H1055" s="897"/>
      <c r="I1055" s="897"/>
      <c r="J1055" s="897"/>
      <c r="K1055" s="897"/>
      <c r="L1055" s="898"/>
      <c r="M1055" s="898"/>
      <c r="N1055" s="898"/>
      <c r="O1055" s="898"/>
      <c r="P1055" s="898"/>
      <c r="Q1055" s="898"/>
      <c r="R1055" s="898"/>
      <c r="S1055" s="898"/>
      <c r="T1055" s="898"/>
      <c r="U1055" s="898"/>
      <c r="V1055" s="898"/>
      <c r="W1055" s="898"/>
      <c r="X1055" s="898"/>
      <c r="Y1055" s="898"/>
      <c r="Z1055" s="898"/>
      <c r="AA1055" s="898"/>
      <c r="AB1055" s="898"/>
      <c r="AC1055" s="898"/>
      <c r="AD1055" s="898"/>
      <c r="AE1055" s="898"/>
      <c r="AF1055" s="898"/>
      <c r="AG1055" s="898"/>
      <c r="AH1055" s="898"/>
      <c r="AI1055" s="898"/>
      <c r="AJ1055" s="898"/>
      <c r="AK1055" s="897"/>
      <c r="AL1055" s="897"/>
      <c r="AM1055" s="897"/>
      <c r="AN1055" s="897"/>
      <c r="AO1055" s="897"/>
      <c r="AP1055" s="897"/>
      <c r="AQ1055" s="897"/>
      <c r="AR1055" s="897"/>
    </row>
    <row r="1056" spans="1:44" s="930" customFormat="1">
      <c r="A1056" s="892"/>
      <c r="B1056" s="899"/>
      <c r="C1056" s="900"/>
      <c r="D1056" s="894"/>
      <c r="E1056" s="895"/>
      <c r="F1056" s="896"/>
      <c r="G1056" s="897"/>
      <c r="H1056" s="897"/>
      <c r="I1056" s="897"/>
      <c r="J1056" s="897"/>
      <c r="K1056" s="897"/>
      <c r="L1056" s="898"/>
      <c r="M1056" s="898"/>
      <c r="N1056" s="898"/>
      <c r="O1056" s="898"/>
      <c r="P1056" s="898"/>
      <c r="Q1056" s="898"/>
      <c r="R1056" s="898"/>
      <c r="S1056" s="898"/>
      <c r="T1056" s="898"/>
      <c r="U1056" s="898"/>
      <c r="V1056" s="898"/>
      <c r="W1056" s="898"/>
      <c r="X1056" s="898"/>
      <c r="Y1056" s="898"/>
      <c r="Z1056" s="898"/>
      <c r="AA1056" s="898"/>
      <c r="AB1056" s="898"/>
      <c r="AC1056" s="898"/>
      <c r="AD1056" s="898"/>
      <c r="AE1056" s="898"/>
      <c r="AF1056" s="898"/>
      <c r="AG1056" s="898"/>
      <c r="AH1056" s="898"/>
      <c r="AI1056" s="898"/>
      <c r="AJ1056" s="898"/>
      <c r="AK1056" s="897"/>
      <c r="AL1056" s="897"/>
      <c r="AM1056" s="897"/>
      <c r="AN1056" s="897"/>
      <c r="AO1056" s="897"/>
      <c r="AP1056" s="897"/>
      <c r="AQ1056" s="897"/>
      <c r="AR1056" s="897"/>
    </row>
    <row r="1057" spans="1:44" s="930" customFormat="1">
      <c r="A1057" s="892"/>
      <c r="B1057" s="899"/>
      <c r="C1057" s="900"/>
      <c r="D1057" s="894"/>
      <c r="E1057" s="895"/>
      <c r="F1057" s="896"/>
      <c r="G1057" s="897"/>
      <c r="H1057" s="897"/>
      <c r="I1057" s="897"/>
      <c r="J1057" s="897"/>
      <c r="K1057" s="897"/>
      <c r="L1057" s="898"/>
      <c r="M1057" s="898"/>
      <c r="N1057" s="898"/>
      <c r="O1057" s="898"/>
      <c r="P1057" s="898"/>
      <c r="Q1057" s="898"/>
      <c r="R1057" s="898"/>
      <c r="S1057" s="898"/>
      <c r="T1057" s="898"/>
      <c r="U1057" s="898"/>
      <c r="V1057" s="898"/>
      <c r="W1057" s="898"/>
      <c r="X1057" s="898"/>
      <c r="Y1057" s="898"/>
      <c r="Z1057" s="898"/>
      <c r="AA1057" s="898"/>
      <c r="AB1057" s="898"/>
      <c r="AC1057" s="898"/>
      <c r="AD1057" s="898"/>
      <c r="AE1057" s="898"/>
      <c r="AF1057" s="898"/>
      <c r="AG1057" s="898"/>
      <c r="AH1057" s="898"/>
      <c r="AI1057" s="898"/>
      <c r="AJ1057" s="898"/>
      <c r="AK1057" s="897"/>
      <c r="AL1057" s="897"/>
      <c r="AM1057" s="897"/>
      <c r="AN1057" s="897"/>
      <c r="AO1057" s="897"/>
      <c r="AP1057" s="897"/>
      <c r="AQ1057" s="897"/>
      <c r="AR1057" s="897"/>
    </row>
    <row r="1058" spans="1:44" s="930" customFormat="1">
      <c r="A1058" s="892"/>
      <c r="B1058" s="899"/>
      <c r="C1058" s="900"/>
      <c r="D1058" s="894"/>
      <c r="E1058" s="895"/>
      <c r="F1058" s="896"/>
      <c r="G1058" s="897"/>
      <c r="H1058" s="897"/>
      <c r="I1058" s="897"/>
      <c r="J1058" s="897"/>
      <c r="K1058" s="897"/>
      <c r="L1058" s="898"/>
      <c r="M1058" s="898"/>
      <c r="N1058" s="898"/>
      <c r="O1058" s="898"/>
      <c r="P1058" s="898"/>
      <c r="Q1058" s="898"/>
      <c r="R1058" s="898"/>
      <c r="S1058" s="898"/>
      <c r="T1058" s="898"/>
      <c r="U1058" s="898"/>
      <c r="V1058" s="898"/>
      <c r="W1058" s="898"/>
      <c r="X1058" s="898"/>
      <c r="Y1058" s="898"/>
      <c r="Z1058" s="898"/>
      <c r="AA1058" s="898"/>
      <c r="AB1058" s="898"/>
      <c r="AC1058" s="898"/>
      <c r="AD1058" s="898"/>
      <c r="AE1058" s="898"/>
      <c r="AF1058" s="898"/>
      <c r="AG1058" s="898"/>
      <c r="AH1058" s="898"/>
      <c r="AI1058" s="898"/>
      <c r="AJ1058" s="898"/>
      <c r="AK1058" s="897"/>
      <c r="AL1058" s="897"/>
      <c r="AM1058" s="897"/>
      <c r="AN1058" s="897"/>
      <c r="AO1058" s="897"/>
      <c r="AP1058" s="897"/>
      <c r="AQ1058" s="897"/>
      <c r="AR1058" s="897"/>
    </row>
    <row r="1059" spans="1:44" s="930" customFormat="1">
      <c r="A1059" s="892"/>
      <c r="B1059" s="899"/>
      <c r="C1059" s="900"/>
      <c r="D1059" s="894"/>
      <c r="E1059" s="895"/>
      <c r="F1059" s="896"/>
      <c r="G1059" s="897"/>
      <c r="H1059" s="897"/>
      <c r="I1059" s="897"/>
      <c r="J1059" s="897"/>
      <c r="K1059" s="897"/>
      <c r="L1059" s="898"/>
      <c r="M1059" s="898"/>
      <c r="N1059" s="898"/>
      <c r="O1059" s="898"/>
      <c r="P1059" s="898"/>
      <c r="Q1059" s="898"/>
      <c r="R1059" s="898"/>
      <c r="S1059" s="898"/>
      <c r="T1059" s="898"/>
      <c r="U1059" s="898"/>
      <c r="V1059" s="898"/>
      <c r="W1059" s="898"/>
      <c r="X1059" s="898"/>
      <c r="Y1059" s="898"/>
      <c r="Z1059" s="898"/>
      <c r="AA1059" s="898"/>
      <c r="AB1059" s="898"/>
      <c r="AC1059" s="898"/>
      <c r="AD1059" s="898"/>
      <c r="AE1059" s="898"/>
      <c r="AF1059" s="898"/>
      <c r="AG1059" s="898"/>
      <c r="AH1059" s="898"/>
      <c r="AI1059" s="898"/>
      <c r="AJ1059" s="898"/>
      <c r="AK1059" s="897"/>
      <c r="AL1059" s="897"/>
      <c r="AM1059" s="897"/>
      <c r="AN1059" s="897"/>
      <c r="AO1059" s="897"/>
      <c r="AP1059" s="897"/>
      <c r="AQ1059" s="897"/>
      <c r="AR1059" s="897"/>
    </row>
    <row r="1060" spans="1:44" s="930" customFormat="1">
      <c r="A1060" s="892"/>
      <c r="B1060" s="899"/>
      <c r="C1060" s="900"/>
      <c r="D1060" s="894"/>
      <c r="E1060" s="895"/>
      <c r="F1060" s="896"/>
      <c r="G1060" s="897"/>
      <c r="H1060" s="897"/>
      <c r="I1060" s="897"/>
      <c r="J1060" s="897"/>
      <c r="K1060" s="897"/>
      <c r="L1060" s="898"/>
      <c r="M1060" s="898"/>
      <c r="N1060" s="898"/>
      <c r="O1060" s="898"/>
      <c r="P1060" s="898"/>
      <c r="Q1060" s="898"/>
      <c r="R1060" s="898"/>
      <c r="S1060" s="898"/>
      <c r="T1060" s="898"/>
      <c r="U1060" s="898"/>
      <c r="V1060" s="898"/>
      <c r="W1060" s="898"/>
      <c r="X1060" s="898"/>
      <c r="Y1060" s="898"/>
      <c r="Z1060" s="898"/>
      <c r="AA1060" s="898"/>
      <c r="AB1060" s="898"/>
      <c r="AC1060" s="898"/>
      <c r="AD1060" s="898"/>
      <c r="AE1060" s="898"/>
      <c r="AF1060" s="898"/>
      <c r="AG1060" s="898"/>
      <c r="AH1060" s="898"/>
      <c r="AI1060" s="898"/>
      <c r="AJ1060" s="898"/>
      <c r="AK1060" s="897"/>
      <c r="AL1060" s="897"/>
      <c r="AM1060" s="897"/>
      <c r="AN1060" s="897"/>
      <c r="AO1060" s="897"/>
      <c r="AP1060" s="897"/>
      <c r="AQ1060" s="897"/>
      <c r="AR1060" s="897"/>
    </row>
    <row r="1061" spans="1:44" s="930" customFormat="1">
      <c r="A1061" s="892"/>
      <c r="B1061" s="899"/>
      <c r="C1061" s="900"/>
      <c r="D1061" s="894"/>
      <c r="E1061" s="895"/>
      <c r="F1061" s="896"/>
      <c r="G1061" s="897"/>
      <c r="H1061" s="897"/>
      <c r="I1061" s="897"/>
      <c r="J1061" s="897"/>
      <c r="K1061" s="897"/>
      <c r="L1061" s="898"/>
      <c r="M1061" s="898"/>
      <c r="N1061" s="898"/>
      <c r="O1061" s="898"/>
      <c r="P1061" s="898"/>
      <c r="Q1061" s="898"/>
      <c r="R1061" s="898"/>
      <c r="S1061" s="898"/>
      <c r="T1061" s="898"/>
      <c r="U1061" s="898"/>
      <c r="V1061" s="898"/>
      <c r="W1061" s="898"/>
      <c r="X1061" s="898"/>
      <c r="Y1061" s="898"/>
      <c r="Z1061" s="898"/>
      <c r="AA1061" s="898"/>
      <c r="AB1061" s="898"/>
      <c r="AC1061" s="898"/>
      <c r="AD1061" s="898"/>
      <c r="AE1061" s="898"/>
      <c r="AF1061" s="898"/>
      <c r="AG1061" s="898"/>
      <c r="AH1061" s="898"/>
      <c r="AI1061" s="898"/>
      <c r="AJ1061" s="898"/>
      <c r="AK1061" s="897"/>
      <c r="AL1061" s="897"/>
      <c r="AM1061" s="897"/>
      <c r="AN1061" s="897"/>
      <c r="AO1061" s="897"/>
      <c r="AP1061" s="897"/>
      <c r="AQ1061" s="897"/>
      <c r="AR1061" s="897"/>
    </row>
    <row r="1062" spans="1:44" s="930" customFormat="1">
      <c r="A1062" s="892"/>
      <c r="B1062" s="899"/>
      <c r="C1062" s="900"/>
      <c r="D1062" s="894"/>
      <c r="E1062" s="895"/>
      <c r="F1062" s="896"/>
      <c r="G1062" s="897"/>
      <c r="H1062" s="897"/>
      <c r="I1062" s="897"/>
      <c r="J1062" s="897"/>
      <c r="K1062" s="897"/>
      <c r="L1062" s="898"/>
      <c r="M1062" s="898"/>
      <c r="N1062" s="898"/>
      <c r="O1062" s="898"/>
      <c r="P1062" s="898"/>
      <c r="Q1062" s="898"/>
      <c r="R1062" s="898"/>
      <c r="S1062" s="898"/>
      <c r="T1062" s="898"/>
      <c r="U1062" s="898"/>
      <c r="V1062" s="898"/>
      <c r="W1062" s="898"/>
      <c r="X1062" s="898"/>
      <c r="Y1062" s="898"/>
      <c r="Z1062" s="898"/>
      <c r="AA1062" s="898"/>
      <c r="AB1062" s="898"/>
      <c r="AC1062" s="898"/>
      <c r="AD1062" s="898"/>
      <c r="AE1062" s="898"/>
      <c r="AF1062" s="898"/>
      <c r="AG1062" s="898"/>
      <c r="AH1062" s="898"/>
      <c r="AI1062" s="898"/>
      <c r="AJ1062" s="898"/>
      <c r="AK1062" s="897"/>
      <c r="AL1062" s="897"/>
      <c r="AM1062" s="897"/>
      <c r="AN1062" s="897"/>
      <c r="AO1062" s="897"/>
      <c r="AP1062" s="897"/>
      <c r="AQ1062" s="897"/>
      <c r="AR1062" s="897"/>
    </row>
    <row r="1063" spans="1:44" s="930" customFormat="1">
      <c r="A1063" s="892"/>
      <c r="B1063" s="899"/>
      <c r="C1063" s="900"/>
      <c r="D1063" s="894"/>
      <c r="E1063" s="895"/>
      <c r="F1063" s="896"/>
      <c r="G1063" s="897"/>
      <c r="H1063" s="897"/>
      <c r="I1063" s="897"/>
      <c r="J1063" s="897"/>
      <c r="K1063" s="897"/>
      <c r="L1063" s="898"/>
      <c r="M1063" s="898"/>
      <c r="N1063" s="898"/>
      <c r="O1063" s="898"/>
      <c r="P1063" s="898"/>
      <c r="Q1063" s="898"/>
      <c r="R1063" s="898"/>
      <c r="S1063" s="898"/>
      <c r="T1063" s="898"/>
      <c r="U1063" s="898"/>
      <c r="V1063" s="898"/>
      <c r="W1063" s="898"/>
      <c r="X1063" s="898"/>
      <c r="Y1063" s="898"/>
      <c r="Z1063" s="898"/>
      <c r="AA1063" s="898"/>
      <c r="AB1063" s="898"/>
      <c r="AC1063" s="898"/>
      <c r="AD1063" s="898"/>
      <c r="AE1063" s="898"/>
      <c r="AF1063" s="898"/>
      <c r="AG1063" s="898"/>
      <c r="AH1063" s="898"/>
      <c r="AI1063" s="898"/>
      <c r="AJ1063" s="898"/>
      <c r="AK1063" s="897"/>
      <c r="AL1063" s="897"/>
      <c r="AM1063" s="897"/>
      <c r="AN1063" s="897"/>
      <c r="AO1063" s="897"/>
      <c r="AP1063" s="897"/>
      <c r="AQ1063" s="897"/>
      <c r="AR1063" s="897"/>
    </row>
    <row r="1064" spans="1:44" s="930" customFormat="1">
      <c r="A1064" s="892"/>
      <c r="B1064" s="899"/>
      <c r="C1064" s="900"/>
      <c r="D1064" s="894"/>
      <c r="E1064" s="895"/>
      <c r="F1064" s="896"/>
      <c r="G1064" s="897"/>
      <c r="H1064" s="897"/>
      <c r="I1064" s="897"/>
      <c r="J1064" s="897"/>
      <c r="K1064" s="897"/>
      <c r="L1064" s="898"/>
      <c r="M1064" s="898"/>
      <c r="N1064" s="898"/>
      <c r="O1064" s="898"/>
      <c r="P1064" s="898"/>
      <c r="Q1064" s="898"/>
      <c r="R1064" s="898"/>
      <c r="S1064" s="898"/>
      <c r="T1064" s="898"/>
      <c r="U1064" s="898"/>
      <c r="V1064" s="898"/>
      <c r="W1064" s="898"/>
      <c r="X1064" s="898"/>
      <c r="Y1064" s="898"/>
      <c r="Z1064" s="898"/>
      <c r="AA1064" s="898"/>
      <c r="AB1064" s="898"/>
      <c r="AC1064" s="898"/>
      <c r="AD1064" s="898"/>
      <c r="AE1064" s="898"/>
      <c r="AF1064" s="898"/>
      <c r="AG1064" s="898"/>
      <c r="AH1064" s="898"/>
      <c r="AI1064" s="898"/>
      <c r="AJ1064" s="898"/>
      <c r="AK1064" s="897"/>
      <c r="AL1064" s="897"/>
      <c r="AM1064" s="897"/>
      <c r="AN1064" s="897"/>
      <c r="AO1064" s="897"/>
      <c r="AP1064" s="897"/>
      <c r="AQ1064" s="897"/>
      <c r="AR1064" s="897"/>
    </row>
    <row r="1065" spans="1:44" s="930" customFormat="1">
      <c r="A1065" s="892"/>
      <c r="B1065" s="899"/>
      <c r="C1065" s="900"/>
      <c r="D1065" s="894"/>
      <c r="E1065" s="895"/>
      <c r="F1065" s="896"/>
      <c r="G1065" s="897"/>
      <c r="H1065" s="897"/>
      <c r="I1065" s="897"/>
      <c r="J1065" s="897"/>
      <c r="K1065" s="897"/>
      <c r="L1065" s="898"/>
      <c r="M1065" s="898"/>
      <c r="N1065" s="898"/>
      <c r="O1065" s="898"/>
      <c r="P1065" s="898"/>
      <c r="Q1065" s="898"/>
      <c r="R1065" s="898"/>
      <c r="S1065" s="898"/>
      <c r="T1065" s="898"/>
      <c r="U1065" s="898"/>
      <c r="V1065" s="898"/>
      <c r="W1065" s="898"/>
      <c r="X1065" s="898"/>
      <c r="Y1065" s="898"/>
      <c r="Z1065" s="898"/>
      <c r="AA1065" s="898"/>
      <c r="AB1065" s="898"/>
      <c r="AC1065" s="898"/>
      <c r="AD1065" s="898"/>
      <c r="AE1065" s="898"/>
      <c r="AF1065" s="898"/>
      <c r="AG1065" s="898"/>
      <c r="AH1065" s="898"/>
      <c r="AI1065" s="898"/>
      <c r="AJ1065" s="898"/>
      <c r="AK1065" s="897"/>
      <c r="AL1065" s="897"/>
      <c r="AM1065" s="897"/>
      <c r="AN1065" s="897"/>
      <c r="AO1065" s="897"/>
      <c r="AP1065" s="897"/>
      <c r="AQ1065" s="897"/>
      <c r="AR1065" s="897"/>
    </row>
    <row r="1066" spans="1:44" s="930" customFormat="1">
      <c r="A1066" s="892"/>
      <c r="B1066" s="899"/>
      <c r="C1066" s="900"/>
      <c r="D1066" s="894"/>
      <c r="E1066" s="895"/>
      <c r="F1066" s="896"/>
      <c r="G1066" s="897"/>
      <c r="H1066" s="897"/>
      <c r="I1066" s="897"/>
      <c r="J1066" s="897"/>
      <c r="K1066" s="897"/>
      <c r="L1066" s="898"/>
      <c r="M1066" s="898"/>
      <c r="N1066" s="898"/>
      <c r="O1066" s="898"/>
      <c r="P1066" s="898"/>
      <c r="Q1066" s="898"/>
      <c r="R1066" s="898"/>
      <c r="S1066" s="898"/>
      <c r="T1066" s="898"/>
      <c r="U1066" s="898"/>
      <c r="V1066" s="898"/>
      <c r="W1066" s="898"/>
      <c r="X1066" s="898"/>
      <c r="Y1066" s="898"/>
      <c r="Z1066" s="898"/>
      <c r="AA1066" s="898"/>
      <c r="AB1066" s="898"/>
      <c r="AC1066" s="898"/>
      <c r="AD1066" s="898"/>
      <c r="AE1066" s="898"/>
      <c r="AF1066" s="898"/>
      <c r="AG1066" s="898"/>
      <c r="AH1066" s="898"/>
      <c r="AI1066" s="898"/>
      <c r="AJ1066" s="898"/>
      <c r="AK1066" s="897"/>
      <c r="AL1066" s="897"/>
      <c r="AM1066" s="897"/>
      <c r="AN1066" s="897"/>
      <c r="AO1066" s="897"/>
      <c r="AP1066" s="897"/>
      <c r="AQ1066" s="897"/>
      <c r="AR1066" s="897"/>
    </row>
    <row r="1067" spans="1:44" s="930" customFormat="1">
      <c r="A1067" s="892"/>
      <c r="B1067" s="899"/>
      <c r="C1067" s="900"/>
      <c r="D1067" s="894"/>
      <c r="E1067" s="895"/>
      <c r="F1067" s="896"/>
      <c r="G1067" s="897"/>
      <c r="H1067" s="897"/>
      <c r="I1067" s="897"/>
      <c r="J1067" s="897"/>
      <c r="K1067" s="897"/>
      <c r="L1067" s="898"/>
      <c r="M1067" s="898"/>
      <c r="N1067" s="898"/>
      <c r="O1067" s="898"/>
      <c r="P1067" s="898"/>
      <c r="Q1067" s="898"/>
      <c r="R1067" s="898"/>
      <c r="S1067" s="898"/>
      <c r="T1067" s="898"/>
      <c r="U1067" s="898"/>
      <c r="V1067" s="898"/>
      <c r="W1067" s="898"/>
      <c r="X1067" s="898"/>
      <c r="Y1067" s="898"/>
      <c r="Z1067" s="898"/>
      <c r="AA1067" s="898"/>
      <c r="AB1067" s="898"/>
      <c r="AC1067" s="898"/>
      <c r="AD1067" s="898"/>
      <c r="AE1067" s="898"/>
      <c r="AF1067" s="898"/>
      <c r="AG1067" s="898"/>
      <c r="AH1067" s="898"/>
      <c r="AI1067" s="898"/>
      <c r="AJ1067" s="898"/>
      <c r="AK1067" s="897"/>
      <c r="AL1067" s="897"/>
      <c r="AM1067" s="897"/>
      <c r="AN1067" s="897"/>
      <c r="AO1067" s="897"/>
      <c r="AP1067" s="897"/>
      <c r="AQ1067" s="897"/>
      <c r="AR1067" s="897"/>
    </row>
    <row r="1068" spans="1:44" s="930" customFormat="1">
      <c r="A1068" s="892"/>
      <c r="B1068" s="899"/>
      <c r="C1068" s="900"/>
      <c r="D1068" s="894"/>
      <c r="E1068" s="895"/>
      <c r="F1068" s="896"/>
      <c r="G1068" s="897"/>
      <c r="H1068" s="897"/>
      <c r="I1068" s="897"/>
      <c r="J1068" s="897"/>
      <c r="K1068" s="897"/>
      <c r="L1068" s="898"/>
      <c r="M1068" s="898"/>
      <c r="N1068" s="898"/>
      <c r="O1068" s="898"/>
      <c r="P1068" s="898"/>
      <c r="Q1068" s="898"/>
      <c r="R1068" s="898"/>
      <c r="S1068" s="898"/>
      <c r="T1068" s="898"/>
      <c r="U1068" s="898"/>
      <c r="V1068" s="898"/>
      <c r="W1068" s="898"/>
      <c r="X1068" s="898"/>
      <c r="Y1068" s="898"/>
      <c r="Z1068" s="898"/>
      <c r="AA1068" s="898"/>
      <c r="AB1068" s="898"/>
      <c r="AC1068" s="898"/>
      <c r="AD1068" s="898"/>
      <c r="AE1068" s="898"/>
      <c r="AF1068" s="898"/>
      <c r="AG1068" s="898"/>
      <c r="AH1068" s="898"/>
      <c r="AI1068" s="898"/>
      <c r="AJ1068" s="898"/>
      <c r="AK1068" s="897"/>
      <c r="AL1068" s="897"/>
      <c r="AM1068" s="897"/>
      <c r="AN1068" s="897"/>
      <c r="AO1068" s="897"/>
      <c r="AP1068" s="897"/>
      <c r="AQ1068" s="897"/>
      <c r="AR1068" s="897"/>
    </row>
    <row r="1069" spans="1:44" s="930" customFormat="1">
      <c r="A1069" s="892"/>
      <c r="B1069" s="899"/>
      <c r="C1069" s="900"/>
      <c r="D1069" s="894"/>
      <c r="E1069" s="895"/>
      <c r="F1069" s="896"/>
      <c r="G1069" s="897"/>
      <c r="H1069" s="897"/>
      <c r="I1069" s="897"/>
      <c r="J1069" s="897"/>
      <c r="K1069" s="897"/>
      <c r="L1069" s="898"/>
      <c r="M1069" s="898"/>
      <c r="N1069" s="898"/>
      <c r="O1069" s="898"/>
      <c r="P1069" s="898"/>
      <c r="Q1069" s="898"/>
      <c r="R1069" s="898"/>
      <c r="S1069" s="898"/>
      <c r="T1069" s="898"/>
      <c r="U1069" s="898"/>
      <c r="V1069" s="898"/>
      <c r="W1069" s="898"/>
      <c r="X1069" s="898"/>
      <c r="Y1069" s="898"/>
      <c r="Z1069" s="898"/>
      <c r="AA1069" s="898"/>
      <c r="AB1069" s="898"/>
      <c r="AC1069" s="898"/>
      <c r="AD1069" s="898"/>
      <c r="AE1069" s="898"/>
      <c r="AF1069" s="898"/>
      <c r="AG1069" s="898"/>
      <c r="AH1069" s="898"/>
      <c r="AI1069" s="898"/>
      <c r="AJ1069" s="898"/>
      <c r="AK1069" s="897"/>
      <c r="AL1069" s="897"/>
      <c r="AM1069" s="897"/>
      <c r="AN1069" s="897"/>
      <c r="AO1069" s="897"/>
      <c r="AP1069" s="897"/>
      <c r="AQ1069" s="897"/>
      <c r="AR1069" s="897"/>
    </row>
    <row r="1070" spans="1:44" s="930" customFormat="1">
      <c r="A1070" s="892"/>
      <c r="B1070" s="899"/>
      <c r="C1070" s="900"/>
      <c r="D1070" s="894"/>
      <c r="E1070" s="895"/>
      <c r="F1070" s="896"/>
      <c r="G1070" s="897"/>
      <c r="H1070" s="897"/>
      <c r="I1070" s="897"/>
      <c r="J1070" s="897"/>
      <c r="K1070" s="897"/>
      <c r="L1070" s="898"/>
      <c r="M1070" s="898"/>
      <c r="N1070" s="898"/>
      <c r="O1070" s="898"/>
      <c r="P1070" s="898"/>
      <c r="Q1070" s="898"/>
      <c r="R1070" s="898"/>
      <c r="S1070" s="898"/>
      <c r="T1070" s="898"/>
      <c r="U1070" s="898"/>
      <c r="V1070" s="898"/>
      <c r="W1070" s="898"/>
      <c r="X1070" s="898"/>
      <c r="Y1070" s="898"/>
      <c r="Z1070" s="898"/>
      <c r="AA1070" s="898"/>
      <c r="AB1070" s="898"/>
      <c r="AC1070" s="898"/>
      <c r="AD1070" s="898"/>
      <c r="AE1070" s="898"/>
      <c r="AF1070" s="898"/>
      <c r="AG1070" s="898"/>
      <c r="AH1070" s="898"/>
      <c r="AI1070" s="898"/>
      <c r="AJ1070" s="898"/>
      <c r="AK1070" s="897"/>
      <c r="AL1070" s="897"/>
      <c r="AM1070" s="897"/>
      <c r="AN1070" s="897"/>
      <c r="AO1070" s="897"/>
      <c r="AP1070" s="897"/>
      <c r="AQ1070" s="897"/>
      <c r="AR1070" s="897"/>
    </row>
    <row r="1071" spans="1:44" s="930" customFormat="1">
      <c r="A1071" s="892"/>
      <c r="B1071" s="899"/>
      <c r="C1071" s="900"/>
      <c r="D1071" s="894"/>
      <c r="E1071" s="895"/>
      <c r="F1071" s="896"/>
      <c r="G1071" s="897"/>
      <c r="H1071" s="897"/>
      <c r="I1071" s="897"/>
      <c r="J1071" s="897"/>
      <c r="K1071" s="897"/>
      <c r="L1071" s="898"/>
      <c r="M1071" s="898"/>
      <c r="N1071" s="898"/>
      <c r="O1071" s="898"/>
      <c r="P1071" s="898"/>
      <c r="Q1071" s="898"/>
      <c r="R1071" s="898"/>
      <c r="S1071" s="898"/>
      <c r="T1071" s="898"/>
      <c r="U1071" s="898"/>
      <c r="V1071" s="898"/>
      <c r="W1071" s="898"/>
      <c r="X1071" s="898"/>
      <c r="Y1071" s="898"/>
      <c r="Z1071" s="898"/>
      <c r="AA1071" s="898"/>
      <c r="AB1071" s="898"/>
      <c r="AC1071" s="898"/>
      <c r="AD1071" s="898"/>
      <c r="AE1071" s="898"/>
      <c r="AF1071" s="898"/>
      <c r="AG1071" s="898"/>
      <c r="AH1071" s="898"/>
      <c r="AI1071" s="898"/>
      <c r="AJ1071" s="898"/>
      <c r="AK1071" s="897"/>
      <c r="AL1071" s="897"/>
      <c r="AM1071" s="897"/>
      <c r="AN1071" s="897"/>
      <c r="AO1071" s="897"/>
      <c r="AP1071" s="897"/>
      <c r="AQ1071" s="897"/>
      <c r="AR1071" s="897"/>
    </row>
    <row r="1072" spans="1:44" s="930" customFormat="1">
      <c r="A1072" s="892"/>
      <c r="B1072" s="899"/>
      <c r="C1072" s="900"/>
      <c r="D1072" s="894"/>
      <c r="E1072" s="895"/>
      <c r="F1072" s="896"/>
      <c r="G1072" s="897"/>
      <c r="H1072" s="897"/>
      <c r="I1072" s="897"/>
      <c r="J1072" s="897"/>
      <c r="K1072" s="897"/>
      <c r="L1072" s="898"/>
      <c r="M1072" s="898"/>
      <c r="N1072" s="898"/>
      <c r="O1072" s="898"/>
      <c r="P1072" s="898"/>
      <c r="Q1072" s="898"/>
      <c r="R1072" s="898"/>
      <c r="S1072" s="898"/>
      <c r="T1072" s="898"/>
      <c r="U1072" s="898"/>
      <c r="V1072" s="898"/>
      <c r="W1072" s="898"/>
      <c r="X1072" s="898"/>
      <c r="Y1072" s="898"/>
      <c r="Z1072" s="898"/>
      <c r="AA1072" s="898"/>
      <c r="AB1072" s="898"/>
      <c r="AC1072" s="898"/>
      <c r="AD1072" s="898"/>
      <c r="AE1072" s="898"/>
      <c r="AF1072" s="898"/>
      <c r="AG1072" s="898"/>
      <c r="AH1072" s="898"/>
      <c r="AI1072" s="898"/>
      <c r="AJ1072" s="898"/>
      <c r="AK1072" s="897"/>
      <c r="AL1072" s="897"/>
      <c r="AM1072" s="897"/>
      <c r="AN1072" s="897"/>
      <c r="AO1072" s="897"/>
      <c r="AP1072" s="897"/>
      <c r="AQ1072" s="897"/>
      <c r="AR1072" s="897"/>
    </row>
    <row r="1073" spans="1:44" s="930" customFormat="1">
      <c r="A1073" s="892"/>
      <c r="B1073" s="899"/>
      <c r="C1073" s="900"/>
      <c r="D1073" s="894"/>
      <c r="E1073" s="895"/>
      <c r="F1073" s="896"/>
      <c r="G1073" s="897"/>
      <c r="H1073" s="897"/>
      <c r="I1073" s="897"/>
      <c r="J1073" s="897"/>
      <c r="K1073" s="897"/>
      <c r="L1073" s="898"/>
      <c r="M1073" s="898"/>
      <c r="N1073" s="898"/>
      <c r="O1073" s="898"/>
      <c r="P1073" s="898"/>
      <c r="Q1073" s="898"/>
      <c r="R1073" s="898"/>
      <c r="S1073" s="898"/>
      <c r="T1073" s="898"/>
      <c r="U1073" s="898"/>
      <c r="V1073" s="898"/>
      <c r="W1073" s="898"/>
      <c r="X1073" s="898"/>
      <c r="Y1073" s="898"/>
      <c r="Z1073" s="898"/>
      <c r="AA1073" s="898"/>
      <c r="AB1073" s="898"/>
      <c r="AC1073" s="898"/>
      <c r="AD1073" s="898"/>
      <c r="AE1073" s="898"/>
      <c r="AF1073" s="898"/>
      <c r="AG1073" s="898"/>
      <c r="AH1073" s="898"/>
      <c r="AI1073" s="898"/>
      <c r="AJ1073" s="898"/>
      <c r="AK1073" s="897"/>
      <c r="AL1073" s="897"/>
      <c r="AM1073" s="897"/>
      <c r="AN1073" s="897"/>
      <c r="AO1073" s="897"/>
      <c r="AP1073" s="897"/>
      <c r="AQ1073" s="897"/>
      <c r="AR1073" s="897"/>
    </row>
    <row r="1074" spans="1:44" s="930" customFormat="1">
      <c r="A1074" s="892"/>
      <c r="B1074" s="899"/>
      <c r="C1074" s="900"/>
      <c r="D1074" s="894"/>
      <c r="E1074" s="895"/>
      <c r="F1074" s="896"/>
      <c r="G1074" s="897"/>
      <c r="H1074" s="897"/>
      <c r="I1074" s="897"/>
      <c r="J1074" s="897"/>
      <c r="K1074" s="897"/>
      <c r="L1074" s="898"/>
      <c r="M1074" s="898"/>
      <c r="N1074" s="898"/>
      <c r="O1074" s="898"/>
      <c r="P1074" s="898"/>
      <c r="Q1074" s="898"/>
      <c r="R1074" s="898"/>
      <c r="S1074" s="898"/>
      <c r="T1074" s="898"/>
      <c r="U1074" s="898"/>
      <c r="V1074" s="898"/>
      <c r="W1074" s="898"/>
      <c r="X1074" s="898"/>
      <c r="Y1074" s="898"/>
      <c r="Z1074" s="898"/>
      <c r="AA1074" s="898"/>
      <c r="AB1074" s="898"/>
      <c r="AC1074" s="898"/>
      <c r="AD1074" s="898"/>
      <c r="AE1074" s="898"/>
      <c r="AF1074" s="898"/>
      <c r="AG1074" s="898"/>
      <c r="AH1074" s="898"/>
      <c r="AI1074" s="898"/>
      <c r="AJ1074" s="898"/>
      <c r="AK1074" s="897"/>
      <c r="AL1074" s="897"/>
      <c r="AM1074" s="897"/>
      <c r="AN1074" s="897"/>
      <c r="AO1074" s="897"/>
      <c r="AP1074" s="897"/>
      <c r="AQ1074" s="897"/>
      <c r="AR1074" s="897"/>
    </row>
    <row r="1075" spans="1:44" s="930" customFormat="1">
      <c r="A1075" s="892"/>
      <c r="B1075" s="899"/>
      <c r="C1075" s="900"/>
      <c r="D1075" s="894"/>
      <c r="E1075" s="895"/>
      <c r="F1075" s="896"/>
      <c r="G1075" s="897"/>
      <c r="H1075" s="897"/>
      <c r="I1075" s="897"/>
      <c r="J1075" s="897"/>
      <c r="K1075" s="897"/>
      <c r="L1075" s="898"/>
      <c r="M1075" s="898"/>
      <c r="N1075" s="898"/>
      <c r="O1075" s="898"/>
      <c r="P1075" s="898"/>
      <c r="Q1075" s="898"/>
      <c r="R1075" s="898"/>
      <c r="S1075" s="898"/>
      <c r="T1075" s="898"/>
      <c r="U1075" s="898"/>
      <c r="V1075" s="898"/>
      <c r="W1075" s="898"/>
      <c r="X1075" s="898"/>
      <c r="Y1075" s="898"/>
      <c r="Z1075" s="898"/>
      <c r="AA1075" s="898"/>
      <c r="AB1075" s="898"/>
      <c r="AC1075" s="898"/>
      <c r="AD1075" s="898"/>
      <c r="AE1075" s="898"/>
      <c r="AF1075" s="898"/>
      <c r="AG1075" s="898"/>
      <c r="AH1075" s="898"/>
      <c r="AI1075" s="898"/>
      <c r="AJ1075" s="898"/>
      <c r="AK1075" s="897"/>
      <c r="AL1075" s="897"/>
      <c r="AM1075" s="897"/>
      <c r="AN1075" s="897"/>
      <c r="AO1075" s="897"/>
      <c r="AP1075" s="897"/>
      <c r="AQ1075" s="897"/>
      <c r="AR1075" s="897"/>
    </row>
    <row r="1076" spans="1:44" s="930" customFormat="1">
      <c r="A1076" s="892"/>
      <c r="B1076" s="899"/>
      <c r="C1076" s="900"/>
      <c r="D1076" s="894"/>
      <c r="E1076" s="895"/>
      <c r="F1076" s="896"/>
      <c r="G1076" s="897"/>
      <c r="H1076" s="897"/>
      <c r="I1076" s="897"/>
      <c r="J1076" s="897"/>
      <c r="K1076" s="897"/>
      <c r="L1076" s="898"/>
      <c r="M1076" s="898"/>
      <c r="N1076" s="898"/>
      <c r="O1076" s="898"/>
      <c r="P1076" s="898"/>
      <c r="Q1076" s="898"/>
      <c r="R1076" s="898"/>
      <c r="S1076" s="898"/>
      <c r="T1076" s="898"/>
      <c r="U1076" s="898"/>
      <c r="V1076" s="898"/>
      <c r="W1076" s="898"/>
      <c r="X1076" s="898"/>
      <c r="Y1076" s="898"/>
      <c r="Z1076" s="898"/>
      <c r="AA1076" s="898"/>
      <c r="AB1076" s="898"/>
      <c r="AC1076" s="898"/>
      <c r="AD1076" s="898"/>
      <c r="AE1076" s="898"/>
      <c r="AF1076" s="898"/>
      <c r="AG1076" s="898"/>
      <c r="AH1076" s="898"/>
      <c r="AI1076" s="898"/>
      <c r="AJ1076" s="898"/>
      <c r="AK1076" s="897"/>
      <c r="AL1076" s="897"/>
      <c r="AM1076" s="897"/>
      <c r="AN1076" s="897"/>
      <c r="AO1076" s="897"/>
      <c r="AP1076" s="897"/>
      <c r="AQ1076" s="897"/>
      <c r="AR1076" s="897"/>
    </row>
    <row r="1077" spans="1:44" s="930" customFormat="1">
      <c r="A1077" s="892"/>
      <c r="B1077" s="899"/>
      <c r="C1077" s="900"/>
      <c r="D1077" s="894"/>
      <c r="E1077" s="895"/>
      <c r="F1077" s="896"/>
      <c r="G1077" s="897"/>
      <c r="H1077" s="897"/>
      <c r="I1077" s="897"/>
      <c r="J1077" s="897"/>
      <c r="K1077" s="897"/>
      <c r="L1077" s="898"/>
      <c r="M1077" s="898"/>
      <c r="N1077" s="898"/>
      <c r="O1077" s="898"/>
      <c r="P1077" s="898"/>
      <c r="Q1077" s="898"/>
      <c r="R1077" s="898"/>
      <c r="S1077" s="898"/>
      <c r="T1077" s="898"/>
      <c r="U1077" s="898"/>
      <c r="V1077" s="898"/>
      <c r="W1077" s="898"/>
      <c r="X1077" s="898"/>
      <c r="Y1077" s="898"/>
      <c r="Z1077" s="898"/>
      <c r="AA1077" s="898"/>
      <c r="AB1077" s="898"/>
      <c r="AC1077" s="898"/>
      <c r="AD1077" s="898"/>
      <c r="AE1077" s="898"/>
      <c r="AF1077" s="898"/>
      <c r="AG1077" s="898"/>
      <c r="AH1077" s="898"/>
      <c r="AI1077" s="898"/>
      <c r="AJ1077" s="898"/>
      <c r="AK1077" s="897"/>
      <c r="AL1077" s="897"/>
      <c r="AM1077" s="897"/>
      <c r="AN1077" s="897"/>
      <c r="AO1077" s="897"/>
      <c r="AP1077" s="897"/>
      <c r="AQ1077" s="897"/>
      <c r="AR1077" s="897"/>
    </row>
    <row r="1078" spans="1:44" s="930" customFormat="1">
      <c r="A1078" s="892"/>
      <c r="B1078" s="899"/>
      <c r="C1078" s="900"/>
      <c r="D1078" s="894"/>
      <c r="E1078" s="895"/>
      <c r="F1078" s="896"/>
      <c r="G1078" s="897"/>
      <c r="H1078" s="897"/>
      <c r="I1078" s="897"/>
      <c r="J1078" s="897"/>
      <c r="K1078" s="897"/>
      <c r="L1078" s="898"/>
      <c r="M1078" s="898"/>
      <c r="N1078" s="898"/>
      <c r="O1078" s="898"/>
      <c r="P1078" s="898"/>
      <c r="Q1078" s="898"/>
      <c r="R1078" s="898"/>
      <c r="S1078" s="898"/>
      <c r="T1078" s="898"/>
      <c r="U1078" s="898"/>
      <c r="V1078" s="898"/>
      <c r="W1078" s="898"/>
      <c r="X1078" s="898"/>
      <c r="Y1078" s="898"/>
      <c r="Z1078" s="898"/>
      <c r="AA1078" s="898"/>
      <c r="AB1078" s="898"/>
      <c r="AC1078" s="898"/>
      <c r="AD1078" s="898"/>
      <c r="AE1078" s="898"/>
      <c r="AF1078" s="898"/>
      <c r="AG1078" s="898"/>
      <c r="AH1078" s="898"/>
      <c r="AI1078" s="898"/>
      <c r="AJ1078" s="898"/>
      <c r="AK1078" s="897"/>
      <c r="AL1078" s="897"/>
      <c r="AM1078" s="897"/>
      <c r="AN1078" s="897"/>
      <c r="AO1078" s="897"/>
      <c r="AP1078" s="897"/>
      <c r="AQ1078" s="897"/>
      <c r="AR1078" s="897"/>
    </row>
    <row r="1079" spans="1:44" s="930" customFormat="1">
      <c r="A1079" s="892"/>
      <c r="B1079" s="899"/>
      <c r="C1079" s="900"/>
      <c r="D1079" s="894"/>
      <c r="E1079" s="895"/>
      <c r="F1079" s="896"/>
      <c r="G1079" s="897"/>
      <c r="H1079" s="897"/>
      <c r="I1079" s="897"/>
      <c r="J1079" s="897"/>
      <c r="K1079" s="897"/>
      <c r="L1079" s="898"/>
      <c r="M1079" s="898"/>
      <c r="N1079" s="898"/>
      <c r="O1079" s="898"/>
      <c r="P1079" s="898"/>
      <c r="Q1079" s="898"/>
      <c r="R1079" s="898"/>
      <c r="S1079" s="898"/>
      <c r="T1079" s="898"/>
      <c r="U1079" s="898"/>
      <c r="V1079" s="898"/>
      <c r="W1079" s="898"/>
      <c r="X1079" s="898"/>
      <c r="Y1079" s="898"/>
      <c r="Z1079" s="898"/>
      <c r="AA1079" s="898"/>
      <c r="AB1079" s="898"/>
      <c r="AC1079" s="898"/>
      <c r="AD1079" s="898"/>
      <c r="AE1079" s="898"/>
      <c r="AF1079" s="898"/>
      <c r="AG1079" s="898"/>
      <c r="AH1079" s="898"/>
      <c r="AI1079" s="898"/>
      <c r="AJ1079" s="898"/>
      <c r="AK1079" s="897"/>
      <c r="AL1079" s="897"/>
      <c r="AM1079" s="897"/>
      <c r="AN1079" s="897"/>
      <c r="AO1079" s="897"/>
      <c r="AP1079" s="897"/>
      <c r="AQ1079" s="897"/>
      <c r="AR1079" s="897"/>
    </row>
    <row r="1080" spans="1:44" s="930" customFormat="1">
      <c r="A1080" s="892"/>
      <c r="B1080" s="899"/>
      <c r="C1080" s="900"/>
      <c r="D1080" s="894"/>
      <c r="E1080" s="895"/>
      <c r="F1080" s="896"/>
      <c r="G1080" s="897"/>
      <c r="H1080" s="897"/>
      <c r="I1080" s="897"/>
      <c r="J1080" s="897"/>
      <c r="K1080" s="897"/>
      <c r="L1080" s="898"/>
      <c r="M1080" s="898"/>
      <c r="N1080" s="898"/>
      <c r="O1080" s="898"/>
      <c r="P1080" s="898"/>
      <c r="Q1080" s="898"/>
      <c r="R1080" s="898"/>
      <c r="S1080" s="898"/>
      <c r="T1080" s="898"/>
      <c r="U1080" s="898"/>
      <c r="V1080" s="898"/>
      <c r="W1080" s="898"/>
      <c r="X1080" s="898"/>
      <c r="Y1080" s="898"/>
      <c r="Z1080" s="898"/>
      <c r="AA1080" s="898"/>
      <c r="AB1080" s="898"/>
      <c r="AC1080" s="898"/>
      <c r="AD1080" s="898"/>
      <c r="AE1080" s="898"/>
      <c r="AF1080" s="898"/>
      <c r="AG1080" s="898"/>
      <c r="AH1080" s="898"/>
      <c r="AI1080" s="898"/>
      <c r="AJ1080" s="898"/>
      <c r="AK1080" s="897"/>
      <c r="AL1080" s="897"/>
      <c r="AM1080" s="897"/>
      <c r="AN1080" s="897"/>
      <c r="AO1080" s="897"/>
      <c r="AP1080" s="897"/>
      <c r="AQ1080" s="897"/>
      <c r="AR1080" s="897"/>
    </row>
    <row r="1081" spans="1:44" s="930" customFormat="1">
      <c r="A1081" s="892"/>
      <c r="B1081" s="899"/>
      <c r="C1081" s="900"/>
      <c r="D1081" s="894"/>
      <c r="E1081" s="895"/>
      <c r="F1081" s="896"/>
      <c r="G1081" s="897"/>
      <c r="H1081" s="897"/>
      <c r="I1081" s="897"/>
      <c r="J1081" s="897"/>
      <c r="K1081" s="897"/>
      <c r="L1081" s="898"/>
      <c r="M1081" s="898"/>
      <c r="N1081" s="898"/>
      <c r="O1081" s="898"/>
      <c r="P1081" s="898"/>
      <c r="Q1081" s="898"/>
      <c r="R1081" s="898"/>
      <c r="S1081" s="898"/>
      <c r="T1081" s="898"/>
      <c r="U1081" s="898"/>
      <c r="V1081" s="898"/>
      <c r="W1081" s="898"/>
      <c r="X1081" s="898"/>
      <c r="Y1081" s="898"/>
      <c r="Z1081" s="898"/>
      <c r="AA1081" s="898"/>
      <c r="AB1081" s="898"/>
      <c r="AC1081" s="898"/>
      <c r="AD1081" s="898"/>
      <c r="AE1081" s="898"/>
      <c r="AF1081" s="898"/>
      <c r="AG1081" s="898"/>
      <c r="AH1081" s="898"/>
      <c r="AI1081" s="898"/>
      <c r="AJ1081" s="898"/>
      <c r="AK1081" s="897"/>
      <c r="AL1081" s="897"/>
      <c r="AM1081" s="897"/>
      <c r="AN1081" s="897"/>
      <c r="AO1081" s="897"/>
      <c r="AP1081" s="897"/>
      <c r="AQ1081" s="897"/>
      <c r="AR1081" s="897"/>
    </row>
    <row r="1082" spans="1:44" s="930" customFormat="1">
      <c r="A1082" s="892"/>
      <c r="B1082" s="899"/>
      <c r="C1082" s="900"/>
      <c r="D1082" s="894"/>
      <c r="E1082" s="895"/>
      <c r="F1082" s="896"/>
      <c r="G1082" s="897"/>
      <c r="H1082" s="897"/>
      <c r="I1082" s="897"/>
      <c r="J1082" s="897"/>
      <c r="K1082" s="897"/>
      <c r="L1082" s="898"/>
      <c r="M1082" s="898"/>
      <c r="N1082" s="898"/>
      <c r="O1082" s="898"/>
      <c r="P1082" s="898"/>
      <c r="Q1082" s="898"/>
      <c r="R1082" s="898"/>
      <c r="S1082" s="898"/>
      <c r="T1082" s="898"/>
      <c r="U1082" s="898"/>
      <c r="V1082" s="898"/>
      <c r="W1082" s="898"/>
      <c r="X1082" s="898"/>
      <c r="Y1082" s="898"/>
      <c r="Z1082" s="898"/>
      <c r="AA1082" s="898"/>
      <c r="AB1082" s="898"/>
      <c r="AC1082" s="898"/>
      <c r="AD1082" s="898"/>
      <c r="AE1082" s="898"/>
      <c r="AF1082" s="898"/>
      <c r="AG1082" s="898"/>
      <c r="AH1082" s="898"/>
      <c r="AI1082" s="898"/>
      <c r="AJ1082" s="898"/>
      <c r="AK1082" s="897"/>
      <c r="AL1082" s="897"/>
      <c r="AM1082" s="897"/>
      <c r="AN1082" s="897"/>
      <c r="AO1082" s="897"/>
      <c r="AP1082" s="897"/>
      <c r="AQ1082" s="897"/>
      <c r="AR1082" s="897"/>
    </row>
    <row r="1083" spans="1:44" s="930" customFormat="1">
      <c r="A1083" s="892"/>
      <c r="B1083" s="899"/>
      <c r="C1083" s="900"/>
      <c r="D1083" s="894"/>
      <c r="E1083" s="895"/>
      <c r="F1083" s="896"/>
      <c r="G1083" s="897"/>
      <c r="H1083" s="897"/>
      <c r="I1083" s="897"/>
      <c r="J1083" s="897"/>
      <c r="K1083" s="897"/>
      <c r="L1083" s="898"/>
      <c r="M1083" s="898"/>
      <c r="N1083" s="898"/>
      <c r="O1083" s="898"/>
      <c r="P1083" s="898"/>
      <c r="Q1083" s="898"/>
      <c r="R1083" s="898"/>
      <c r="S1083" s="898"/>
      <c r="T1083" s="898"/>
      <c r="U1083" s="898"/>
      <c r="V1083" s="898"/>
      <c r="W1083" s="898"/>
      <c r="X1083" s="898"/>
      <c r="Y1083" s="898"/>
      <c r="Z1083" s="898"/>
      <c r="AA1083" s="898"/>
      <c r="AB1083" s="898"/>
      <c r="AC1083" s="898"/>
      <c r="AD1083" s="898"/>
      <c r="AE1083" s="898"/>
      <c r="AF1083" s="898"/>
      <c r="AG1083" s="898"/>
      <c r="AH1083" s="898"/>
      <c r="AI1083" s="898"/>
      <c r="AJ1083" s="898"/>
      <c r="AK1083" s="897"/>
      <c r="AL1083" s="897"/>
      <c r="AM1083" s="897"/>
      <c r="AN1083" s="897"/>
      <c r="AO1083" s="897"/>
      <c r="AP1083" s="897"/>
      <c r="AQ1083" s="897"/>
      <c r="AR1083" s="897"/>
    </row>
    <row r="1084" spans="1:44" s="930" customFormat="1">
      <c r="A1084" s="892"/>
      <c r="B1084" s="899"/>
      <c r="C1084" s="900"/>
      <c r="D1084" s="894"/>
      <c r="E1084" s="895"/>
      <c r="F1084" s="896"/>
      <c r="G1084" s="897"/>
      <c r="H1084" s="897"/>
      <c r="I1084" s="897"/>
      <c r="J1084" s="897"/>
      <c r="K1084" s="897"/>
      <c r="L1084" s="898"/>
      <c r="M1084" s="898"/>
      <c r="N1084" s="898"/>
      <c r="O1084" s="898"/>
      <c r="P1084" s="898"/>
      <c r="Q1084" s="898"/>
      <c r="R1084" s="898"/>
      <c r="S1084" s="898"/>
      <c r="T1084" s="898"/>
      <c r="U1084" s="898"/>
      <c r="V1084" s="898"/>
      <c r="W1084" s="898"/>
      <c r="X1084" s="898"/>
      <c r="Y1084" s="898"/>
      <c r="Z1084" s="898"/>
      <c r="AA1084" s="898"/>
      <c r="AB1084" s="898"/>
      <c r="AC1084" s="898"/>
      <c r="AD1084" s="898"/>
      <c r="AE1084" s="898"/>
      <c r="AF1084" s="898"/>
      <c r="AG1084" s="898"/>
      <c r="AH1084" s="898"/>
      <c r="AI1084" s="898"/>
      <c r="AJ1084" s="898"/>
      <c r="AK1084" s="897"/>
      <c r="AL1084" s="897"/>
      <c r="AM1084" s="897"/>
      <c r="AN1084" s="897"/>
      <c r="AO1084" s="897"/>
      <c r="AP1084" s="897"/>
      <c r="AQ1084" s="897"/>
      <c r="AR1084" s="897"/>
    </row>
    <row r="1085" spans="1:44" s="930" customFormat="1">
      <c r="A1085" s="892"/>
      <c r="B1085" s="899"/>
      <c r="C1085" s="900"/>
      <c r="D1085" s="894"/>
      <c r="E1085" s="895"/>
      <c r="F1085" s="896"/>
      <c r="G1085" s="897"/>
      <c r="H1085" s="897"/>
      <c r="I1085" s="897"/>
      <c r="J1085" s="897"/>
      <c r="K1085" s="897"/>
      <c r="L1085" s="898"/>
      <c r="M1085" s="898"/>
      <c r="N1085" s="898"/>
      <c r="O1085" s="898"/>
      <c r="P1085" s="898"/>
      <c r="Q1085" s="898"/>
      <c r="R1085" s="898"/>
      <c r="S1085" s="898"/>
      <c r="T1085" s="898"/>
      <c r="U1085" s="898"/>
      <c r="V1085" s="898"/>
      <c r="W1085" s="898"/>
      <c r="X1085" s="898"/>
      <c r="Y1085" s="898"/>
      <c r="Z1085" s="898"/>
      <c r="AA1085" s="898"/>
      <c r="AB1085" s="898"/>
      <c r="AC1085" s="898"/>
      <c r="AD1085" s="898"/>
      <c r="AE1085" s="898"/>
      <c r="AF1085" s="898"/>
      <c r="AG1085" s="898"/>
      <c r="AH1085" s="898"/>
      <c r="AI1085" s="898"/>
      <c r="AJ1085" s="898"/>
      <c r="AK1085" s="897"/>
      <c r="AL1085" s="897"/>
      <c r="AM1085" s="897"/>
      <c r="AN1085" s="897"/>
      <c r="AO1085" s="897"/>
      <c r="AP1085" s="897"/>
      <c r="AQ1085" s="897"/>
      <c r="AR1085" s="897"/>
    </row>
    <row r="1086" spans="1:44" s="930" customFormat="1">
      <c r="A1086" s="892"/>
      <c r="B1086" s="899"/>
      <c r="C1086" s="900"/>
      <c r="D1086" s="894"/>
      <c r="E1086" s="895"/>
      <c r="F1086" s="896"/>
      <c r="G1086" s="897"/>
      <c r="H1086" s="897"/>
      <c r="I1086" s="897"/>
      <c r="J1086" s="897"/>
      <c r="K1086" s="897"/>
      <c r="L1086" s="898"/>
      <c r="M1086" s="898"/>
      <c r="N1086" s="898"/>
      <c r="O1086" s="898"/>
      <c r="P1086" s="898"/>
      <c r="Q1086" s="898"/>
      <c r="R1086" s="898"/>
      <c r="S1086" s="898"/>
      <c r="T1086" s="898"/>
      <c r="U1086" s="898"/>
      <c r="V1086" s="898"/>
      <c r="W1086" s="898"/>
      <c r="X1086" s="898"/>
      <c r="Y1086" s="898"/>
      <c r="Z1086" s="898"/>
      <c r="AA1086" s="898"/>
      <c r="AB1086" s="898"/>
      <c r="AC1086" s="898"/>
      <c r="AD1086" s="898"/>
      <c r="AE1086" s="898"/>
      <c r="AF1086" s="898"/>
      <c r="AG1086" s="898"/>
      <c r="AH1086" s="898"/>
      <c r="AI1086" s="898"/>
      <c r="AJ1086" s="898"/>
      <c r="AK1086" s="897"/>
      <c r="AL1086" s="897"/>
      <c r="AM1086" s="897"/>
      <c r="AN1086" s="897"/>
      <c r="AO1086" s="897"/>
      <c r="AP1086" s="897"/>
      <c r="AQ1086" s="897"/>
      <c r="AR1086" s="897"/>
    </row>
    <row r="1087" spans="1:44" s="930" customFormat="1">
      <c r="A1087" s="892"/>
      <c r="B1087" s="899"/>
      <c r="C1087" s="900"/>
      <c r="D1087" s="894"/>
      <c r="E1087" s="895"/>
      <c r="F1087" s="896"/>
      <c r="G1087" s="897"/>
      <c r="H1087" s="897"/>
      <c r="I1087" s="897"/>
      <c r="J1087" s="897"/>
      <c r="K1087" s="897"/>
      <c r="L1087" s="898"/>
      <c r="M1087" s="898"/>
      <c r="N1087" s="898"/>
      <c r="O1087" s="898"/>
      <c r="P1087" s="898"/>
      <c r="Q1087" s="898"/>
      <c r="R1087" s="898"/>
      <c r="S1087" s="898"/>
      <c r="T1087" s="898"/>
      <c r="U1087" s="898"/>
      <c r="V1087" s="898"/>
      <c r="W1087" s="898"/>
      <c r="X1087" s="898"/>
      <c r="Y1087" s="898"/>
      <c r="Z1087" s="898"/>
      <c r="AA1087" s="898"/>
      <c r="AB1087" s="898"/>
      <c r="AC1087" s="898"/>
      <c r="AD1087" s="898"/>
      <c r="AE1087" s="898"/>
      <c r="AF1087" s="898"/>
      <c r="AG1087" s="898"/>
      <c r="AH1087" s="898"/>
      <c r="AI1087" s="898"/>
      <c r="AJ1087" s="898"/>
      <c r="AK1087" s="897"/>
      <c r="AL1087" s="897"/>
      <c r="AM1087" s="897"/>
      <c r="AN1087" s="897"/>
      <c r="AO1087" s="897"/>
      <c r="AP1087" s="897"/>
      <c r="AQ1087" s="897"/>
      <c r="AR1087" s="897"/>
    </row>
    <row r="1088" spans="1:44" s="930" customFormat="1">
      <c r="A1088" s="892"/>
      <c r="B1088" s="899"/>
      <c r="C1088" s="900"/>
      <c r="D1088" s="894"/>
      <c r="E1088" s="895"/>
      <c r="F1088" s="896"/>
      <c r="G1088" s="897"/>
      <c r="H1088" s="897"/>
      <c r="I1088" s="897"/>
      <c r="J1088" s="897"/>
      <c r="K1088" s="897"/>
      <c r="L1088" s="898"/>
      <c r="M1088" s="898"/>
      <c r="N1088" s="898"/>
      <c r="O1088" s="898"/>
      <c r="P1088" s="898"/>
      <c r="Q1088" s="898"/>
      <c r="R1088" s="898"/>
      <c r="S1088" s="898"/>
      <c r="T1088" s="898"/>
      <c r="U1088" s="898"/>
      <c r="V1088" s="898"/>
      <c r="W1088" s="898"/>
      <c r="X1088" s="898"/>
      <c r="Y1088" s="898"/>
      <c r="Z1088" s="898"/>
      <c r="AA1088" s="898"/>
      <c r="AB1088" s="898"/>
      <c r="AC1088" s="898"/>
      <c r="AD1088" s="898"/>
      <c r="AE1088" s="898"/>
      <c r="AF1088" s="898"/>
      <c r="AG1088" s="898"/>
      <c r="AH1088" s="898"/>
      <c r="AI1088" s="898"/>
      <c r="AJ1088" s="898"/>
      <c r="AK1088" s="897"/>
      <c r="AL1088" s="897"/>
      <c r="AM1088" s="897"/>
      <c r="AN1088" s="897"/>
      <c r="AO1088" s="897"/>
      <c r="AP1088" s="897"/>
      <c r="AQ1088" s="897"/>
      <c r="AR1088" s="897"/>
    </row>
    <row r="1089" spans="1:44" s="930" customFormat="1">
      <c r="A1089" s="892"/>
      <c r="B1089" s="899"/>
      <c r="C1089" s="900"/>
      <c r="D1089" s="894"/>
      <c r="E1089" s="895"/>
      <c r="F1089" s="896"/>
      <c r="G1089" s="897"/>
      <c r="H1089" s="897"/>
      <c r="I1089" s="897"/>
      <c r="J1089" s="897"/>
      <c r="K1089" s="897"/>
      <c r="L1089" s="898"/>
      <c r="M1089" s="898"/>
      <c r="N1089" s="898"/>
      <c r="O1089" s="898"/>
      <c r="P1089" s="898"/>
      <c r="Q1089" s="898"/>
      <c r="R1089" s="898"/>
      <c r="S1089" s="898"/>
      <c r="T1089" s="898"/>
      <c r="U1089" s="898"/>
      <c r="V1089" s="898"/>
      <c r="W1089" s="898"/>
      <c r="X1089" s="898"/>
      <c r="Y1089" s="898"/>
      <c r="Z1089" s="898"/>
      <c r="AA1089" s="898"/>
      <c r="AB1089" s="898"/>
      <c r="AC1089" s="898"/>
      <c r="AD1089" s="898"/>
      <c r="AE1089" s="898"/>
      <c r="AF1089" s="898"/>
      <c r="AG1089" s="898"/>
      <c r="AH1089" s="898"/>
      <c r="AI1089" s="898"/>
      <c r="AJ1089" s="898"/>
      <c r="AK1089" s="897"/>
      <c r="AL1089" s="897"/>
      <c r="AM1089" s="897"/>
      <c r="AN1089" s="897"/>
      <c r="AO1089" s="897"/>
      <c r="AP1089" s="897"/>
      <c r="AQ1089" s="897"/>
      <c r="AR1089" s="897"/>
    </row>
    <row r="1090" spans="1:44" s="930" customFormat="1">
      <c r="A1090" s="892"/>
      <c r="B1090" s="899"/>
      <c r="C1090" s="900"/>
      <c r="D1090" s="894"/>
      <c r="E1090" s="895"/>
      <c r="F1090" s="896"/>
      <c r="G1090" s="897"/>
      <c r="H1090" s="897"/>
      <c r="I1090" s="897"/>
      <c r="J1090" s="897"/>
      <c r="K1090" s="897"/>
      <c r="L1090" s="898"/>
      <c r="M1090" s="898"/>
      <c r="N1090" s="898"/>
      <c r="O1090" s="898"/>
      <c r="P1090" s="898"/>
      <c r="Q1090" s="898"/>
      <c r="R1090" s="898"/>
      <c r="S1090" s="898"/>
      <c r="T1090" s="898"/>
      <c r="U1090" s="898"/>
      <c r="V1090" s="898"/>
      <c r="W1090" s="898"/>
      <c r="X1090" s="898"/>
      <c r="Y1090" s="898"/>
      <c r="Z1090" s="898"/>
      <c r="AA1090" s="898"/>
      <c r="AB1090" s="898"/>
      <c r="AC1090" s="898"/>
      <c r="AD1090" s="898"/>
      <c r="AE1090" s="898"/>
      <c r="AF1090" s="898"/>
      <c r="AG1090" s="898"/>
      <c r="AH1090" s="898"/>
      <c r="AI1090" s="898"/>
      <c r="AJ1090" s="898"/>
      <c r="AK1090" s="897"/>
      <c r="AL1090" s="897"/>
      <c r="AM1090" s="897"/>
      <c r="AN1090" s="897"/>
      <c r="AO1090" s="897"/>
      <c r="AP1090" s="897"/>
      <c r="AQ1090" s="897"/>
      <c r="AR1090" s="897"/>
    </row>
    <row r="1091" spans="1:44" s="930" customFormat="1">
      <c r="A1091" s="892"/>
      <c r="B1091" s="899"/>
      <c r="C1091" s="900"/>
      <c r="D1091" s="894"/>
      <c r="E1091" s="895"/>
      <c r="F1091" s="896"/>
      <c r="G1091" s="897"/>
      <c r="H1091" s="897"/>
      <c r="I1091" s="897"/>
      <c r="J1091" s="897"/>
      <c r="K1091" s="897"/>
      <c r="L1091" s="898"/>
      <c r="M1091" s="898"/>
      <c r="N1091" s="898"/>
      <c r="O1091" s="898"/>
      <c r="P1091" s="898"/>
      <c r="Q1091" s="898"/>
      <c r="R1091" s="898"/>
      <c r="S1091" s="898"/>
      <c r="T1091" s="898"/>
      <c r="U1091" s="898"/>
      <c r="V1091" s="898"/>
      <c r="W1091" s="898"/>
      <c r="X1091" s="898"/>
      <c r="Y1091" s="898"/>
      <c r="Z1091" s="898"/>
      <c r="AA1091" s="898"/>
      <c r="AB1091" s="898"/>
      <c r="AC1091" s="898"/>
      <c r="AD1091" s="898"/>
      <c r="AE1091" s="898"/>
      <c r="AF1091" s="898"/>
      <c r="AG1091" s="898"/>
      <c r="AH1091" s="898"/>
      <c r="AI1091" s="898"/>
      <c r="AJ1091" s="898"/>
      <c r="AK1091" s="897"/>
      <c r="AL1091" s="897"/>
      <c r="AM1091" s="897"/>
      <c r="AN1091" s="897"/>
      <c r="AO1091" s="897"/>
      <c r="AP1091" s="897"/>
      <c r="AQ1091" s="897"/>
      <c r="AR1091" s="897"/>
    </row>
    <row r="1092" spans="1:44" s="930" customFormat="1">
      <c r="A1092" s="892"/>
      <c r="B1092" s="899"/>
      <c r="C1092" s="900"/>
      <c r="D1092" s="894"/>
      <c r="E1092" s="895"/>
      <c r="F1092" s="896"/>
      <c r="G1092" s="897"/>
      <c r="H1092" s="897"/>
      <c r="I1092" s="897"/>
      <c r="J1092" s="897"/>
      <c r="K1092" s="897"/>
      <c r="L1092" s="898"/>
      <c r="M1092" s="898"/>
      <c r="N1092" s="898"/>
      <c r="O1092" s="898"/>
      <c r="P1092" s="898"/>
      <c r="Q1092" s="898"/>
      <c r="R1092" s="898"/>
      <c r="S1092" s="898"/>
      <c r="T1092" s="898"/>
      <c r="U1092" s="898"/>
      <c r="V1092" s="898"/>
      <c r="W1092" s="898"/>
      <c r="X1092" s="898"/>
      <c r="Y1092" s="898"/>
      <c r="Z1092" s="898"/>
      <c r="AA1092" s="898"/>
      <c r="AB1092" s="898"/>
      <c r="AC1092" s="898"/>
      <c r="AD1092" s="898"/>
      <c r="AE1092" s="898"/>
      <c r="AF1092" s="898"/>
      <c r="AG1092" s="898"/>
      <c r="AH1092" s="898"/>
      <c r="AI1092" s="898"/>
      <c r="AJ1092" s="898"/>
      <c r="AK1092" s="897"/>
      <c r="AL1092" s="897"/>
      <c r="AM1092" s="897"/>
      <c r="AN1092" s="897"/>
      <c r="AO1092" s="897"/>
      <c r="AP1092" s="897"/>
      <c r="AQ1092" s="897"/>
      <c r="AR1092" s="897"/>
    </row>
    <row r="1093" spans="1:44" s="930" customFormat="1">
      <c r="A1093" s="892"/>
      <c r="B1093" s="899"/>
      <c r="C1093" s="900"/>
      <c r="D1093" s="894"/>
      <c r="E1093" s="895"/>
      <c r="F1093" s="896"/>
      <c r="G1093" s="897"/>
      <c r="H1093" s="897"/>
      <c r="I1093" s="897"/>
      <c r="J1093" s="897"/>
      <c r="K1093" s="897"/>
      <c r="L1093" s="898"/>
      <c r="M1093" s="898"/>
      <c r="N1093" s="898"/>
      <c r="O1093" s="898"/>
      <c r="P1093" s="898"/>
      <c r="Q1093" s="898"/>
      <c r="R1093" s="898"/>
      <c r="S1093" s="898"/>
      <c r="T1093" s="898"/>
      <c r="U1093" s="898"/>
      <c r="V1093" s="898"/>
      <c r="W1093" s="898"/>
      <c r="X1093" s="898"/>
      <c r="Y1093" s="898"/>
      <c r="Z1093" s="898"/>
      <c r="AA1093" s="898"/>
      <c r="AB1093" s="898"/>
      <c r="AC1093" s="898"/>
      <c r="AD1093" s="898"/>
      <c r="AE1093" s="898"/>
      <c r="AF1093" s="898"/>
      <c r="AG1093" s="898"/>
      <c r="AH1093" s="898"/>
      <c r="AI1093" s="898"/>
      <c r="AJ1093" s="898"/>
      <c r="AK1093" s="897"/>
      <c r="AL1093" s="897"/>
      <c r="AM1093" s="897"/>
      <c r="AN1093" s="897"/>
      <c r="AO1093" s="897"/>
      <c r="AP1093" s="897"/>
      <c r="AQ1093" s="897"/>
      <c r="AR1093" s="897"/>
    </row>
    <row r="1094" spans="1:44" s="930" customFormat="1">
      <c r="A1094" s="892"/>
      <c r="B1094" s="899"/>
      <c r="C1094" s="900"/>
      <c r="D1094" s="894"/>
      <c r="E1094" s="895"/>
      <c r="F1094" s="896"/>
      <c r="G1094" s="897"/>
      <c r="H1094" s="897"/>
      <c r="I1094" s="897"/>
      <c r="J1094" s="897"/>
      <c r="K1094" s="897"/>
      <c r="L1094" s="898"/>
      <c r="M1094" s="898"/>
      <c r="N1094" s="898"/>
      <c r="O1094" s="898"/>
      <c r="P1094" s="898"/>
      <c r="Q1094" s="898"/>
      <c r="R1094" s="898"/>
      <c r="S1094" s="898"/>
      <c r="T1094" s="898"/>
      <c r="U1094" s="898"/>
      <c r="V1094" s="898"/>
      <c r="W1094" s="898"/>
      <c r="X1094" s="898"/>
      <c r="Y1094" s="898"/>
      <c r="Z1094" s="898"/>
      <c r="AA1094" s="898"/>
      <c r="AB1094" s="898"/>
      <c r="AC1094" s="898"/>
      <c r="AD1094" s="898"/>
      <c r="AE1094" s="898"/>
      <c r="AF1094" s="898"/>
      <c r="AG1094" s="898"/>
      <c r="AH1094" s="898"/>
      <c r="AI1094" s="898"/>
      <c r="AJ1094" s="898"/>
      <c r="AK1094" s="897"/>
      <c r="AL1094" s="897"/>
      <c r="AM1094" s="897"/>
      <c r="AN1094" s="897"/>
      <c r="AO1094" s="897"/>
      <c r="AP1094" s="897"/>
      <c r="AQ1094" s="897"/>
      <c r="AR1094" s="897"/>
    </row>
    <row r="1095" spans="1:44" s="930" customFormat="1">
      <c r="A1095" s="892"/>
      <c r="B1095" s="899"/>
      <c r="C1095" s="900"/>
      <c r="D1095" s="894"/>
      <c r="E1095" s="895"/>
      <c r="F1095" s="896"/>
      <c r="G1095" s="897"/>
      <c r="H1095" s="897"/>
      <c r="I1095" s="897"/>
      <c r="J1095" s="897"/>
      <c r="K1095" s="897"/>
      <c r="L1095" s="898"/>
      <c r="M1095" s="898"/>
      <c r="N1095" s="898"/>
      <c r="O1095" s="898"/>
      <c r="P1095" s="898"/>
      <c r="Q1095" s="898"/>
      <c r="R1095" s="898"/>
      <c r="S1095" s="898"/>
      <c r="T1095" s="898"/>
      <c r="U1095" s="898"/>
      <c r="V1095" s="898"/>
      <c r="W1095" s="898"/>
      <c r="X1095" s="898"/>
      <c r="Y1095" s="898"/>
      <c r="Z1095" s="898"/>
      <c r="AA1095" s="898"/>
      <c r="AB1095" s="898"/>
      <c r="AC1095" s="898"/>
      <c r="AD1095" s="898"/>
      <c r="AE1095" s="898"/>
      <c r="AF1095" s="898"/>
      <c r="AG1095" s="898"/>
      <c r="AH1095" s="898"/>
      <c r="AI1095" s="898"/>
      <c r="AJ1095" s="898"/>
      <c r="AK1095" s="897"/>
      <c r="AL1095" s="897"/>
      <c r="AM1095" s="897"/>
      <c r="AN1095" s="897"/>
      <c r="AO1095" s="897"/>
      <c r="AP1095" s="897"/>
      <c r="AQ1095" s="897"/>
      <c r="AR1095" s="897"/>
    </row>
    <row r="1096" spans="1:44" s="930" customFormat="1">
      <c r="A1096" s="892"/>
      <c r="B1096" s="899"/>
      <c r="C1096" s="900"/>
      <c r="D1096" s="894"/>
      <c r="E1096" s="895"/>
      <c r="F1096" s="896"/>
      <c r="G1096" s="897"/>
      <c r="H1096" s="897"/>
      <c r="I1096" s="897"/>
      <c r="J1096" s="897"/>
      <c r="K1096" s="897"/>
      <c r="L1096" s="898"/>
      <c r="M1096" s="898"/>
      <c r="N1096" s="898"/>
      <c r="O1096" s="898"/>
      <c r="P1096" s="898"/>
      <c r="Q1096" s="898"/>
      <c r="R1096" s="898"/>
      <c r="S1096" s="898"/>
      <c r="T1096" s="898"/>
      <c r="U1096" s="898"/>
      <c r="V1096" s="898"/>
      <c r="W1096" s="898"/>
      <c r="X1096" s="898"/>
      <c r="Y1096" s="898"/>
      <c r="Z1096" s="898"/>
      <c r="AA1096" s="898"/>
      <c r="AB1096" s="898"/>
      <c r="AC1096" s="898"/>
      <c r="AD1096" s="898"/>
      <c r="AE1096" s="898"/>
      <c r="AF1096" s="898"/>
      <c r="AG1096" s="898"/>
      <c r="AH1096" s="898"/>
      <c r="AI1096" s="898"/>
      <c r="AJ1096" s="898"/>
      <c r="AK1096" s="897"/>
      <c r="AL1096" s="897"/>
      <c r="AM1096" s="897"/>
      <c r="AN1096" s="897"/>
      <c r="AO1096" s="897"/>
      <c r="AP1096" s="897"/>
      <c r="AQ1096" s="897"/>
      <c r="AR1096" s="897"/>
    </row>
    <row r="1097" spans="1:44" s="930" customFormat="1">
      <c r="A1097" s="892"/>
      <c r="B1097" s="899"/>
      <c r="C1097" s="900"/>
      <c r="D1097" s="894"/>
      <c r="E1097" s="895"/>
      <c r="F1097" s="896"/>
      <c r="G1097" s="897"/>
      <c r="H1097" s="897"/>
      <c r="I1097" s="897"/>
      <c r="J1097" s="897"/>
      <c r="K1097" s="897"/>
      <c r="L1097" s="898"/>
      <c r="M1097" s="898"/>
      <c r="N1097" s="898"/>
      <c r="O1097" s="898"/>
      <c r="P1097" s="898"/>
      <c r="Q1097" s="898"/>
      <c r="R1097" s="898"/>
      <c r="S1097" s="898"/>
      <c r="T1097" s="898"/>
      <c r="U1097" s="898"/>
      <c r="V1097" s="898"/>
      <c r="W1097" s="898"/>
      <c r="X1097" s="898"/>
      <c r="Y1097" s="898"/>
      <c r="Z1097" s="898"/>
      <c r="AA1097" s="898"/>
      <c r="AB1097" s="898"/>
      <c r="AC1097" s="898"/>
      <c r="AD1097" s="898"/>
      <c r="AE1097" s="898"/>
      <c r="AF1097" s="898"/>
      <c r="AG1097" s="898"/>
      <c r="AH1097" s="898"/>
      <c r="AI1097" s="898"/>
      <c r="AJ1097" s="898"/>
      <c r="AK1097" s="897"/>
      <c r="AL1097" s="897"/>
      <c r="AM1097" s="897"/>
      <c r="AN1097" s="897"/>
      <c r="AO1097" s="897"/>
      <c r="AP1097" s="897"/>
      <c r="AQ1097" s="897"/>
      <c r="AR1097" s="897"/>
    </row>
    <row r="1098" spans="1:44" s="930" customFormat="1">
      <c r="A1098" s="892"/>
      <c r="B1098" s="899"/>
      <c r="C1098" s="900"/>
      <c r="D1098" s="894"/>
      <c r="E1098" s="895"/>
      <c r="F1098" s="896"/>
      <c r="G1098" s="897"/>
      <c r="H1098" s="897"/>
      <c r="I1098" s="897"/>
      <c r="J1098" s="897"/>
      <c r="K1098" s="897"/>
      <c r="L1098" s="898"/>
      <c r="M1098" s="898"/>
      <c r="N1098" s="898"/>
      <c r="O1098" s="898"/>
      <c r="P1098" s="898"/>
      <c r="Q1098" s="898"/>
      <c r="R1098" s="898"/>
      <c r="S1098" s="898"/>
      <c r="T1098" s="898"/>
      <c r="U1098" s="898"/>
      <c r="V1098" s="898"/>
      <c r="W1098" s="898"/>
      <c r="X1098" s="898"/>
      <c r="Y1098" s="898"/>
      <c r="Z1098" s="898"/>
      <c r="AA1098" s="898"/>
      <c r="AB1098" s="898"/>
      <c r="AC1098" s="898"/>
      <c r="AD1098" s="898"/>
      <c r="AE1098" s="898"/>
      <c r="AF1098" s="898"/>
      <c r="AG1098" s="898"/>
      <c r="AH1098" s="898"/>
      <c r="AI1098" s="898"/>
      <c r="AJ1098" s="898"/>
      <c r="AK1098" s="897"/>
      <c r="AL1098" s="897"/>
      <c r="AM1098" s="897"/>
      <c r="AN1098" s="897"/>
      <c r="AO1098" s="897"/>
      <c r="AP1098" s="897"/>
      <c r="AQ1098" s="897"/>
      <c r="AR1098" s="897"/>
    </row>
    <row r="1099" spans="1:44" s="930" customFormat="1">
      <c r="A1099" s="892"/>
      <c r="B1099" s="899"/>
      <c r="C1099" s="900"/>
      <c r="D1099" s="894"/>
      <c r="E1099" s="895"/>
      <c r="F1099" s="896"/>
      <c r="G1099" s="897"/>
      <c r="H1099" s="897"/>
      <c r="I1099" s="897"/>
      <c r="J1099" s="897"/>
      <c r="K1099" s="897"/>
      <c r="L1099" s="898"/>
      <c r="M1099" s="898"/>
      <c r="N1099" s="898"/>
      <c r="O1099" s="898"/>
      <c r="P1099" s="898"/>
      <c r="Q1099" s="898"/>
      <c r="R1099" s="898"/>
      <c r="S1099" s="898"/>
      <c r="T1099" s="898"/>
      <c r="U1099" s="898"/>
      <c r="V1099" s="898"/>
      <c r="W1099" s="898"/>
      <c r="X1099" s="898"/>
      <c r="Y1099" s="898"/>
      <c r="Z1099" s="898"/>
      <c r="AA1099" s="898"/>
      <c r="AB1099" s="898"/>
      <c r="AC1099" s="898"/>
      <c r="AD1099" s="898"/>
      <c r="AE1099" s="898"/>
      <c r="AF1099" s="898"/>
      <c r="AG1099" s="898"/>
      <c r="AH1099" s="898"/>
      <c r="AI1099" s="898"/>
      <c r="AJ1099" s="898"/>
      <c r="AK1099" s="897"/>
      <c r="AL1099" s="897"/>
      <c r="AM1099" s="897"/>
      <c r="AN1099" s="897"/>
      <c r="AO1099" s="897"/>
      <c r="AP1099" s="897"/>
      <c r="AQ1099" s="897"/>
      <c r="AR1099" s="897"/>
    </row>
    <row r="1100" spans="1:44" s="930" customFormat="1">
      <c r="A1100" s="892"/>
      <c r="B1100" s="899"/>
      <c r="C1100" s="900"/>
      <c r="D1100" s="894"/>
      <c r="E1100" s="895"/>
      <c r="F1100" s="896"/>
      <c r="G1100" s="897"/>
      <c r="H1100" s="897"/>
      <c r="I1100" s="897"/>
      <c r="J1100" s="897"/>
      <c r="K1100" s="897"/>
      <c r="L1100" s="898"/>
      <c r="M1100" s="898"/>
      <c r="N1100" s="898"/>
      <c r="O1100" s="898"/>
      <c r="P1100" s="898"/>
      <c r="Q1100" s="898"/>
      <c r="R1100" s="898"/>
      <c r="S1100" s="898"/>
      <c r="T1100" s="898"/>
      <c r="U1100" s="898"/>
      <c r="V1100" s="898"/>
      <c r="W1100" s="898"/>
      <c r="X1100" s="898"/>
      <c r="Y1100" s="898"/>
      <c r="Z1100" s="898"/>
      <c r="AA1100" s="898"/>
      <c r="AB1100" s="898"/>
      <c r="AC1100" s="898"/>
      <c r="AD1100" s="898"/>
      <c r="AE1100" s="898"/>
      <c r="AF1100" s="898"/>
      <c r="AG1100" s="898"/>
      <c r="AH1100" s="898"/>
      <c r="AI1100" s="898"/>
      <c r="AJ1100" s="898"/>
      <c r="AK1100" s="897"/>
      <c r="AL1100" s="897"/>
      <c r="AM1100" s="897"/>
      <c r="AN1100" s="897"/>
      <c r="AO1100" s="897"/>
      <c r="AP1100" s="897"/>
      <c r="AQ1100" s="897"/>
      <c r="AR1100" s="897"/>
    </row>
    <row r="1101" spans="1:44" s="930" customFormat="1">
      <c r="A1101" s="892"/>
      <c r="B1101" s="899"/>
      <c r="C1101" s="900"/>
      <c r="D1101" s="894"/>
      <c r="E1101" s="895"/>
      <c r="F1101" s="896"/>
      <c r="G1101" s="897"/>
      <c r="H1101" s="897"/>
      <c r="I1101" s="897"/>
      <c r="J1101" s="897"/>
      <c r="K1101" s="897"/>
      <c r="L1101" s="898"/>
      <c r="M1101" s="898"/>
      <c r="N1101" s="898"/>
      <c r="O1101" s="898"/>
      <c r="P1101" s="898"/>
      <c r="Q1101" s="898"/>
      <c r="R1101" s="898"/>
      <c r="S1101" s="898"/>
      <c r="T1101" s="898"/>
      <c r="U1101" s="898"/>
      <c r="V1101" s="898"/>
      <c r="W1101" s="898"/>
      <c r="X1101" s="898"/>
      <c r="Y1101" s="898"/>
      <c r="Z1101" s="898"/>
      <c r="AA1101" s="898"/>
      <c r="AB1101" s="898"/>
      <c r="AC1101" s="898"/>
      <c r="AD1101" s="898"/>
      <c r="AE1101" s="898"/>
      <c r="AF1101" s="898"/>
      <c r="AG1101" s="898"/>
      <c r="AH1101" s="898"/>
      <c r="AI1101" s="898"/>
      <c r="AJ1101" s="898"/>
      <c r="AK1101" s="897"/>
      <c r="AL1101" s="897"/>
      <c r="AM1101" s="897"/>
      <c r="AN1101" s="897"/>
      <c r="AO1101" s="897"/>
      <c r="AP1101" s="897"/>
      <c r="AQ1101" s="897"/>
      <c r="AR1101" s="897"/>
    </row>
    <row r="1102" spans="1:44" s="930" customFormat="1">
      <c r="A1102" s="892"/>
      <c r="B1102" s="899"/>
      <c r="C1102" s="900"/>
      <c r="D1102" s="894"/>
      <c r="E1102" s="895"/>
      <c r="F1102" s="896"/>
      <c r="G1102" s="897"/>
      <c r="H1102" s="897"/>
      <c r="I1102" s="897"/>
      <c r="J1102" s="897"/>
      <c r="K1102" s="897"/>
      <c r="L1102" s="898"/>
      <c r="M1102" s="898"/>
      <c r="N1102" s="898"/>
      <c r="O1102" s="898"/>
      <c r="P1102" s="898"/>
      <c r="Q1102" s="898"/>
      <c r="R1102" s="898"/>
      <c r="S1102" s="898"/>
      <c r="T1102" s="898"/>
      <c r="U1102" s="898"/>
      <c r="V1102" s="898"/>
      <c r="W1102" s="898"/>
      <c r="X1102" s="898"/>
      <c r="Y1102" s="898"/>
      <c r="Z1102" s="898"/>
      <c r="AA1102" s="898"/>
      <c r="AB1102" s="898"/>
      <c r="AC1102" s="898"/>
      <c r="AD1102" s="898"/>
      <c r="AE1102" s="898"/>
      <c r="AF1102" s="898"/>
      <c r="AG1102" s="898"/>
      <c r="AH1102" s="898"/>
      <c r="AI1102" s="898"/>
      <c r="AJ1102" s="898"/>
      <c r="AK1102" s="897"/>
      <c r="AL1102" s="897"/>
      <c r="AM1102" s="897"/>
      <c r="AN1102" s="897"/>
      <c r="AO1102" s="897"/>
      <c r="AP1102" s="897"/>
      <c r="AQ1102" s="897"/>
      <c r="AR1102" s="897"/>
    </row>
    <row r="1103" spans="1:44" s="930" customFormat="1">
      <c r="A1103" s="892"/>
      <c r="B1103" s="899"/>
      <c r="C1103" s="900"/>
      <c r="D1103" s="894"/>
      <c r="E1103" s="895"/>
      <c r="F1103" s="896"/>
      <c r="G1103" s="897"/>
      <c r="H1103" s="897"/>
      <c r="I1103" s="897"/>
      <c r="J1103" s="897"/>
      <c r="K1103" s="897"/>
      <c r="L1103" s="898"/>
      <c r="M1103" s="898"/>
      <c r="N1103" s="898"/>
      <c r="O1103" s="898"/>
      <c r="P1103" s="898"/>
      <c r="Q1103" s="898"/>
      <c r="R1103" s="898"/>
      <c r="S1103" s="898"/>
      <c r="T1103" s="898"/>
      <c r="U1103" s="898"/>
      <c r="V1103" s="898"/>
      <c r="W1103" s="898"/>
      <c r="X1103" s="898"/>
      <c r="Y1103" s="898"/>
      <c r="Z1103" s="898"/>
      <c r="AA1103" s="898"/>
      <c r="AB1103" s="898"/>
      <c r="AC1103" s="898"/>
      <c r="AD1103" s="898"/>
      <c r="AE1103" s="898"/>
      <c r="AF1103" s="898"/>
      <c r="AG1103" s="898"/>
      <c r="AH1103" s="898"/>
      <c r="AI1103" s="898"/>
      <c r="AJ1103" s="898"/>
      <c r="AK1103" s="897"/>
      <c r="AL1103" s="897"/>
      <c r="AM1103" s="897"/>
      <c r="AN1103" s="897"/>
      <c r="AO1103" s="897"/>
      <c r="AP1103" s="897"/>
      <c r="AQ1103" s="897"/>
      <c r="AR1103" s="897"/>
    </row>
    <row r="1104" spans="1:44" s="930" customFormat="1">
      <c r="A1104" s="892"/>
      <c r="B1104" s="899"/>
      <c r="C1104" s="900"/>
      <c r="D1104" s="894"/>
      <c r="E1104" s="895"/>
      <c r="F1104" s="896"/>
      <c r="G1104" s="897"/>
      <c r="H1104" s="897"/>
      <c r="I1104" s="897"/>
      <c r="J1104" s="897"/>
      <c r="K1104" s="897"/>
      <c r="L1104" s="898"/>
      <c r="M1104" s="898"/>
      <c r="N1104" s="898"/>
      <c r="O1104" s="898"/>
      <c r="P1104" s="898"/>
      <c r="Q1104" s="898"/>
      <c r="R1104" s="898"/>
      <c r="S1104" s="898"/>
      <c r="T1104" s="898"/>
      <c r="U1104" s="898"/>
      <c r="V1104" s="898"/>
      <c r="W1104" s="898"/>
      <c r="X1104" s="898"/>
      <c r="Y1104" s="898"/>
      <c r="Z1104" s="898"/>
      <c r="AA1104" s="898"/>
      <c r="AB1104" s="898"/>
      <c r="AC1104" s="898"/>
      <c r="AD1104" s="898"/>
      <c r="AE1104" s="898"/>
      <c r="AF1104" s="898"/>
      <c r="AG1104" s="898"/>
      <c r="AH1104" s="898"/>
      <c r="AI1104" s="898"/>
      <c r="AJ1104" s="898"/>
      <c r="AK1104" s="897"/>
      <c r="AL1104" s="897"/>
      <c r="AM1104" s="897"/>
      <c r="AN1104" s="897"/>
      <c r="AO1104" s="897"/>
      <c r="AP1104" s="897"/>
      <c r="AQ1104" s="897"/>
      <c r="AR1104" s="897"/>
    </row>
    <row r="1105" spans="1:44" s="930" customFormat="1">
      <c r="A1105" s="892"/>
      <c r="B1105" s="899"/>
      <c r="C1105" s="900"/>
      <c r="D1105" s="894"/>
      <c r="E1105" s="895"/>
      <c r="F1105" s="896"/>
      <c r="G1105" s="897"/>
      <c r="H1105" s="897"/>
      <c r="I1105" s="897"/>
      <c r="J1105" s="897"/>
      <c r="K1105" s="897"/>
      <c r="L1105" s="898"/>
      <c r="M1105" s="898"/>
      <c r="N1105" s="898"/>
      <c r="O1105" s="898"/>
      <c r="P1105" s="898"/>
      <c r="Q1105" s="898"/>
      <c r="R1105" s="898"/>
      <c r="S1105" s="898"/>
      <c r="T1105" s="898"/>
      <c r="U1105" s="898"/>
      <c r="V1105" s="898"/>
      <c r="W1105" s="898"/>
      <c r="X1105" s="898"/>
      <c r="Y1105" s="898"/>
      <c r="Z1105" s="898"/>
      <c r="AA1105" s="898"/>
      <c r="AB1105" s="898"/>
      <c r="AC1105" s="898"/>
      <c r="AD1105" s="898"/>
      <c r="AE1105" s="898"/>
      <c r="AF1105" s="898"/>
      <c r="AG1105" s="898"/>
      <c r="AH1105" s="898"/>
      <c r="AI1105" s="898"/>
      <c r="AJ1105" s="898"/>
      <c r="AK1105" s="897"/>
      <c r="AL1105" s="897"/>
      <c r="AM1105" s="897"/>
      <c r="AN1105" s="897"/>
      <c r="AO1105" s="897"/>
      <c r="AP1105" s="897"/>
      <c r="AQ1105" s="897"/>
      <c r="AR1105" s="897"/>
    </row>
    <row r="1106" spans="1:44" s="930" customFormat="1">
      <c r="A1106" s="892"/>
      <c r="B1106" s="899"/>
      <c r="C1106" s="900"/>
      <c r="D1106" s="894"/>
      <c r="E1106" s="895"/>
      <c r="F1106" s="896"/>
      <c r="G1106" s="897"/>
      <c r="H1106" s="897"/>
      <c r="I1106" s="897"/>
      <c r="J1106" s="897"/>
      <c r="K1106" s="897"/>
      <c r="L1106" s="898"/>
      <c r="M1106" s="898"/>
      <c r="N1106" s="898"/>
      <c r="O1106" s="898"/>
      <c r="P1106" s="898"/>
      <c r="Q1106" s="898"/>
      <c r="R1106" s="898"/>
      <c r="S1106" s="898"/>
      <c r="T1106" s="898"/>
      <c r="U1106" s="898"/>
      <c r="V1106" s="898"/>
      <c r="W1106" s="898"/>
      <c r="X1106" s="898"/>
      <c r="Y1106" s="898"/>
      <c r="Z1106" s="898"/>
      <c r="AA1106" s="898"/>
      <c r="AB1106" s="898"/>
      <c r="AC1106" s="898"/>
      <c r="AD1106" s="898"/>
      <c r="AE1106" s="898"/>
      <c r="AF1106" s="898"/>
      <c r="AG1106" s="898"/>
      <c r="AH1106" s="898"/>
      <c r="AI1106" s="898"/>
      <c r="AJ1106" s="898"/>
      <c r="AK1106" s="897"/>
      <c r="AL1106" s="897"/>
      <c r="AM1106" s="897"/>
      <c r="AN1106" s="897"/>
      <c r="AO1106" s="897"/>
      <c r="AP1106" s="897"/>
      <c r="AQ1106" s="897"/>
      <c r="AR1106" s="897"/>
    </row>
    <row r="1107" spans="1:44" s="930" customFormat="1">
      <c r="A1107" s="892"/>
      <c r="B1107" s="899"/>
      <c r="C1107" s="900"/>
      <c r="D1107" s="894"/>
      <c r="E1107" s="895"/>
      <c r="F1107" s="896"/>
      <c r="G1107" s="897"/>
      <c r="H1107" s="897"/>
      <c r="I1107" s="897"/>
      <c r="J1107" s="897"/>
      <c r="K1107" s="897"/>
      <c r="L1107" s="898"/>
      <c r="M1107" s="898"/>
      <c r="N1107" s="898"/>
      <c r="O1107" s="898"/>
      <c r="P1107" s="898"/>
      <c r="Q1107" s="898"/>
      <c r="R1107" s="898"/>
      <c r="S1107" s="898"/>
      <c r="T1107" s="898"/>
      <c r="U1107" s="898"/>
      <c r="V1107" s="898"/>
      <c r="W1107" s="898"/>
      <c r="X1107" s="898"/>
      <c r="Y1107" s="898"/>
      <c r="Z1107" s="898"/>
      <c r="AA1107" s="898"/>
      <c r="AB1107" s="898"/>
      <c r="AC1107" s="898"/>
      <c r="AD1107" s="898"/>
      <c r="AE1107" s="898"/>
      <c r="AF1107" s="898"/>
      <c r="AG1107" s="898"/>
      <c r="AH1107" s="898"/>
      <c r="AI1107" s="898"/>
      <c r="AJ1107" s="898"/>
      <c r="AK1107" s="897"/>
      <c r="AL1107" s="897"/>
      <c r="AM1107" s="897"/>
      <c r="AN1107" s="897"/>
      <c r="AO1107" s="897"/>
      <c r="AP1107" s="897"/>
      <c r="AQ1107" s="897"/>
      <c r="AR1107" s="897"/>
    </row>
    <row r="1108" spans="1:44" s="930" customFormat="1">
      <c r="A1108" s="892"/>
      <c r="B1108" s="899"/>
      <c r="C1108" s="900"/>
      <c r="D1108" s="894"/>
      <c r="E1108" s="895"/>
      <c r="F1108" s="896"/>
      <c r="G1108" s="897"/>
      <c r="H1108" s="897"/>
      <c r="I1108" s="897"/>
      <c r="J1108" s="897"/>
      <c r="K1108" s="897"/>
      <c r="L1108" s="898"/>
      <c r="M1108" s="898"/>
      <c r="N1108" s="898"/>
      <c r="O1108" s="898"/>
      <c r="P1108" s="898"/>
      <c r="Q1108" s="898"/>
      <c r="R1108" s="898"/>
      <c r="S1108" s="898"/>
      <c r="T1108" s="898"/>
      <c r="U1108" s="898"/>
      <c r="V1108" s="898"/>
      <c r="W1108" s="898"/>
      <c r="X1108" s="898"/>
      <c r="Y1108" s="898"/>
      <c r="Z1108" s="898"/>
      <c r="AA1108" s="898"/>
      <c r="AB1108" s="898"/>
      <c r="AC1108" s="898"/>
      <c r="AD1108" s="898"/>
      <c r="AE1108" s="898"/>
      <c r="AF1108" s="898"/>
      <c r="AG1108" s="898"/>
      <c r="AH1108" s="898"/>
      <c r="AI1108" s="898"/>
      <c r="AJ1108" s="898"/>
      <c r="AK1108" s="897"/>
      <c r="AL1108" s="897"/>
      <c r="AM1108" s="897"/>
      <c r="AN1108" s="897"/>
      <c r="AO1108" s="897"/>
      <c r="AP1108" s="897"/>
      <c r="AQ1108" s="897"/>
      <c r="AR1108" s="897"/>
    </row>
    <row r="1109" spans="1:44" s="930" customFormat="1">
      <c r="A1109" s="892"/>
      <c r="B1109" s="899"/>
      <c r="C1109" s="900"/>
      <c r="D1109" s="894"/>
      <c r="E1109" s="895"/>
      <c r="F1109" s="896"/>
      <c r="G1109" s="897"/>
      <c r="H1109" s="897"/>
      <c r="I1109" s="897"/>
      <c r="J1109" s="897"/>
      <c r="K1109" s="897"/>
      <c r="L1109" s="898"/>
      <c r="M1109" s="898"/>
      <c r="N1109" s="898"/>
      <c r="O1109" s="898"/>
      <c r="P1109" s="898"/>
      <c r="Q1109" s="898"/>
      <c r="R1109" s="898"/>
      <c r="S1109" s="898"/>
      <c r="T1109" s="898"/>
      <c r="U1109" s="898"/>
      <c r="V1109" s="898"/>
      <c r="W1109" s="898"/>
      <c r="X1109" s="898"/>
      <c r="Y1109" s="898"/>
      <c r="Z1109" s="898"/>
      <c r="AA1109" s="898"/>
      <c r="AB1109" s="898"/>
      <c r="AC1109" s="898"/>
      <c r="AD1109" s="898"/>
      <c r="AE1109" s="898"/>
      <c r="AF1109" s="898"/>
      <c r="AG1109" s="898"/>
      <c r="AH1109" s="898"/>
      <c r="AI1109" s="898"/>
      <c r="AJ1109" s="898"/>
      <c r="AK1109" s="897"/>
      <c r="AL1109" s="897"/>
      <c r="AM1109" s="897"/>
      <c r="AN1109" s="897"/>
      <c r="AO1109" s="897"/>
      <c r="AP1109" s="897"/>
      <c r="AQ1109" s="897"/>
      <c r="AR1109" s="897"/>
    </row>
    <row r="1110" spans="1:44" s="930" customFormat="1">
      <c r="A1110" s="892"/>
      <c r="B1110" s="899"/>
      <c r="C1110" s="900"/>
      <c r="D1110" s="894"/>
      <c r="E1110" s="895"/>
      <c r="F1110" s="896"/>
      <c r="G1110" s="897"/>
      <c r="H1110" s="897"/>
      <c r="I1110" s="897"/>
      <c r="J1110" s="897"/>
      <c r="K1110" s="897"/>
      <c r="L1110" s="898"/>
      <c r="M1110" s="898"/>
      <c r="N1110" s="898"/>
      <c r="O1110" s="898"/>
      <c r="P1110" s="898"/>
      <c r="Q1110" s="898"/>
      <c r="R1110" s="898"/>
      <c r="S1110" s="898"/>
      <c r="T1110" s="898"/>
      <c r="U1110" s="898"/>
      <c r="V1110" s="898"/>
      <c r="W1110" s="898"/>
      <c r="X1110" s="898"/>
      <c r="Y1110" s="898"/>
      <c r="Z1110" s="898"/>
      <c r="AA1110" s="898"/>
      <c r="AB1110" s="898"/>
      <c r="AC1110" s="898"/>
      <c r="AD1110" s="898"/>
      <c r="AE1110" s="898"/>
      <c r="AF1110" s="898"/>
      <c r="AG1110" s="898"/>
      <c r="AH1110" s="898"/>
      <c r="AI1110" s="898"/>
      <c r="AJ1110" s="898"/>
      <c r="AK1110" s="897"/>
      <c r="AL1110" s="897"/>
      <c r="AM1110" s="897"/>
      <c r="AN1110" s="897"/>
      <c r="AO1110" s="897"/>
      <c r="AP1110" s="897"/>
      <c r="AQ1110" s="897"/>
      <c r="AR1110" s="897"/>
    </row>
    <row r="1111" spans="1:44" s="930" customFormat="1">
      <c r="A1111" s="892"/>
      <c r="B1111" s="899"/>
      <c r="C1111" s="900"/>
      <c r="D1111" s="894"/>
      <c r="E1111" s="895"/>
      <c r="F1111" s="896"/>
      <c r="G1111" s="897"/>
      <c r="H1111" s="897"/>
      <c r="I1111" s="897"/>
      <c r="J1111" s="897"/>
      <c r="K1111" s="897"/>
      <c r="L1111" s="898"/>
      <c r="M1111" s="898"/>
      <c r="N1111" s="898"/>
      <c r="O1111" s="898"/>
      <c r="P1111" s="898"/>
      <c r="Q1111" s="898"/>
      <c r="R1111" s="898"/>
      <c r="S1111" s="898"/>
      <c r="T1111" s="898"/>
      <c r="U1111" s="898"/>
      <c r="V1111" s="898"/>
      <c r="W1111" s="898"/>
      <c r="X1111" s="898"/>
      <c r="Y1111" s="898"/>
      <c r="Z1111" s="898"/>
      <c r="AA1111" s="898"/>
      <c r="AB1111" s="898"/>
      <c r="AC1111" s="898"/>
      <c r="AD1111" s="898"/>
      <c r="AE1111" s="898"/>
      <c r="AF1111" s="898"/>
      <c r="AG1111" s="898"/>
      <c r="AH1111" s="898"/>
      <c r="AI1111" s="898"/>
      <c r="AJ1111" s="898"/>
      <c r="AK1111" s="897"/>
      <c r="AL1111" s="897"/>
      <c r="AM1111" s="897"/>
      <c r="AN1111" s="897"/>
      <c r="AO1111" s="897"/>
      <c r="AP1111" s="897"/>
      <c r="AQ1111" s="897"/>
      <c r="AR1111" s="897"/>
    </row>
    <row r="1112" spans="1:44" s="930" customFormat="1">
      <c r="A1112" s="892"/>
      <c r="B1112" s="899"/>
      <c r="C1112" s="900"/>
      <c r="D1112" s="894"/>
      <c r="E1112" s="895"/>
      <c r="F1112" s="896"/>
      <c r="G1112" s="897"/>
      <c r="H1112" s="897"/>
      <c r="I1112" s="897"/>
      <c r="J1112" s="897"/>
      <c r="K1112" s="897"/>
      <c r="L1112" s="898"/>
      <c r="M1112" s="898"/>
      <c r="N1112" s="898"/>
      <c r="O1112" s="898"/>
      <c r="P1112" s="898"/>
      <c r="Q1112" s="898"/>
      <c r="R1112" s="898"/>
      <c r="S1112" s="898"/>
      <c r="T1112" s="898"/>
      <c r="U1112" s="898"/>
      <c r="V1112" s="898"/>
      <c r="W1112" s="898"/>
      <c r="X1112" s="898"/>
      <c r="Y1112" s="898"/>
      <c r="Z1112" s="898"/>
      <c r="AA1112" s="898"/>
      <c r="AB1112" s="898"/>
      <c r="AC1112" s="898"/>
      <c r="AD1112" s="898"/>
      <c r="AE1112" s="898"/>
      <c r="AF1112" s="898"/>
      <c r="AG1112" s="898"/>
      <c r="AH1112" s="898"/>
      <c r="AI1112" s="898"/>
      <c r="AJ1112" s="898"/>
      <c r="AK1112" s="897"/>
      <c r="AL1112" s="897"/>
      <c r="AM1112" s="897"/>
      <c r="AN1112" s="897"/>
      <c r="AO1112" s="897"/>
      <c r="AP1112" s="897"/>
      <c r="AQ1112" s="897"/>
      <c r="AR1112" s="897"/>
    </row>
    <row r="1113" spans="1:44" s="930" customFormat="1">
      <c r="A1113" s="892"/>
      <c r="B1113" s="899"/>
      <c r="C1113" s="900"/>
      <c r="D1113" s="894"/>
      <c r="E1113" s="895"/>
      <c r="F1113" s="896"/>
      <c r="G1113" s="897"/>
      <c r="H1113" s="897"/>
      <c r="I1113" s="897"/>
      <c r="J1113" s="897"/>
      <c r="K1113" s="897"/>
      <c r="L1113" s="898"/>
      <c r="M1113" s="898"/>
      <c r="N1113" s="898"/>
      <c r="O1113" s="898"/>
      <c r="P1113" s="898"/>
      <c r="Q1113" s="898"/>
      <c r="R1113" s="898"/>
      <c r="S1113" s="898"/>
      <c r="T1113" s="898"/>
      <c r="U1113" s="898"/>
      <c r="V1113" s="898"/>
      <c r="W1113" s="898"/>
      <c r="X1113" s="898"/>
      <c r="Y1113" s="898"/>
      <c r="Z1113" s="898"/>
      <c r="AA1113" s="898"/>
      <c r="AB1113" s="898"/>
      <c r="AC1113" s="898"/>
      <c r="AD1113" s="898"/>
      <c r="AE1113" s="898"/>
      <c r="AF1113" s="898"/>
      <c r="AG1113" s="898"/>
      <c r="AH1113" s="898"/>
      <c r="AI1113" s="898"/>
      <c r="AJ1113" s="898"/>
      <c r="AK1113" s="897"/>
      <c r="AL1113" s="897"/>
      <c r="AM1113" s="897"/>
      <c r="AN1113" s="897"/>
      <c r="AO1113" s="897"/>
      <c r="AP1113" s="897"/>
      <c r="AQ1113" s="897"/>
      <c r="AR1113" s="897"/>
    </row>
    <row r="1114" spans="1:44" s="930" customFormat="1">
      <c r="A1114" s="892"/>
      <c r="B1114" s="899"/>
      <c r="C1114" s="900"/>
      <c r="D1114" s="894"/>
      <c r="E1114" s="895"/>
      <c r="F1114" s="896"/>
      <c r="G1114" s="897"/>
      <c r="H1114" s="897"/>
      <c r="I1114" s="897"/>
      <c r="J1114" s="897"/>
      <c r="K1114" s="897"/>
      <c r="L1114" s="898"/>
      <c r="M1114" s="898"/>
      <c r="N1114" s="898"/>
      <c r="O1114" s="898"/>
      <c r="P1114" s="898"/>
      <c r="Q1114" s="898"/>
      <c r="R1114" s="898"/>
      <c r="S1114" s="898"/>
      <c r="T1114" s="898"/>
      <c r="U1114" s="898"/>
      <c r="V1114" s="898"/>
      <c r="W1114" s="898"/>
      <c r="X1114" s="898"/>
      <c r="Y1114" s="898"/>
      <c r="Z1114" s="898"/>
      <c r="AA1114" s="898"/>
      <c r="AB1114" s="898"/>
      <c r="AC1114" s="898"/>
      <c r="AD1114" s="898"/>
      <c r="AE1114" s="898"/>
      <c r="AF1114" s="898"/>
      <c r="AG1114" s="898"/>
      <c r="AH1114" s="898"/>
      <c r="AI1114" s="898"/>
      <c r="AJ1114" s="898"/>
      <c r="AK1114" s="897"/>
      <c r="AL1114" s="897"/>
      <c r="AM1114" s="897"/>
      <c r="AN1114" s="897"/>
      <c r="AO1114" s="897"/>
      <c r="AP1114" s="897"/>
      <c r="AQ1114" s="897"/>
      <c r="AR1114" s="897"/>
    </row>
    <row r="1115" spans="1:44" s="930" customFormat="1">
      <c r="A1115" s="892"/>
      <c r="B1115" s="899"/>
      <c r="C1115" s="900"/>
      <c r="D1115" s="894"/>
      <c r="E1115" s="895"/>
      <c r="F1115" s="896"/>
      <c r="G1115" s="897"/>
      <c r="H1115" s="897"/>
      <c r="I1115" s="897"/>
      <c r="J1115" s="897"/>
      <c r="K1115" s="897"/>
      <c r="L1115" s="898"/>
      <c r="M1115" s="898"/>
      <c r="N1115" s="898"/>
      <c r="O1115" s="898"/>
      <c r="P1115" s="898"/>
      <c r="Q1115" s="898"/>
      <c r="R1115" s="898"/>
      <c r="S1115" s="898"/>
      <c r="T1115" s="898"/>
      <c r="U1115" s="898"/>
      <c r="V1115" s="898"/>
      <c r="W1115" s="898"/>
      <c r="X1115" s="898"/>
      <c r="Y1115" s="898"/>
      <c r="Z1115" s="898"/>
      <c r="AA1115" s="898"/>
      <c r="AB1115" s="898"/>
      <c r="AC1115" s="898"/>
      <c r="AD1115" s="898"/>
      <c r="AE1115" s="898"/>
      <c r="AF1115" s="898"/>
      <c r="AG1115" s="898"/>
      <c r="AH1115" s="898"/>
      <c r="AI1115" s="898"/>
      <c r="AJ1115" s="898"/>
      <c r="AK1115" s="897"/>
      <c r="AL1115" s="897"/>
      <c r="AM1115" s="897"/>
      <c r="AN1115" s="897"/>
      <c r="AO1115" s="897"/>
      <c r="AP1115" s="897"/>
      <c r="AQ1115" s="897"/>
      <c r="AR1115" s="897"/>
    </row>
    <row r="1116" spans="1:44" s="930" customFormat="1">
      <c r="A1116" s="892"/>
      <c r="B1116" s="899"/>
      <c r="C1116" s="900"/>
      <c r="D1116" s="894"/>
      <c r="E1116" s="895"/>
      <c r="F1116" s="896"/>
      <c r="G1116" s="897"/>
      <c r="H1116" s="897"/>
      <c r="I1116" s="897"/>
      <c r="J1116" s="897"/>
      <c r="K1116" s="897"/>
      <c r="L1116" s="898"/>
      <c r="M1116" s="898"/>
      <c r="N1116" s="898"/>
      <c r="O1116" s="898"/>
      <c r="P1116" s="898"/>
      <c r="Q1116" s="898"/>
      <c r="R1116" s="898"/>
      <c r="S1116" s="898"/>
      <c r="T1116" s="898"/>
      <c r="U1116" s="898"/>
      <c r="V1116" s="898"/>
      <c r="W1116" s="898"/>
      <c r="X1116" s="898"/>
      <c r="Y1116" s="898"/>
      <c r="Z1116" s="898"/>
      <c r="AA1116" s="898"/>
      <c r="AB1116" s="898"/>
      <c r="AC1116" s="898"/>
      <c r="AD1116" s="898"/>
      <c r="AE1116" s="898"/>
      <c r="AF1116" s="898"/>
      <c r="AG1116" s="898"/>
      <c r="AH1116" s="898"/>
      <c r="AI1116" s="898"/>
      <c r="AJ1116" s="898"/>
      <c r="AK1116" s="897"/>
      <c r="AL1116" s="897"/>
      <c r="AM1116" s="897"/>
      <c r="AN1116" s="897"/>
      <c r="AO1116" s="897"/>
      <c r="AP1116" s="897"/>
      <c r="AQ1116" s="897"/>
      <c r="AR1116" s="897"/>
    </row>
    <row r="1117" spans="1:44" s="930" customFormat="1">
      <c r="A1117" s="892"/>
      <c r="B1117" s="899"/>
      <c r="C1117" s="900"/>
      <c r="D1117" s="894"/>
      <c r="E1117" s="895"/>
      <c r="F1117" s="896"/>
      <c r="G1117" s="897"/>
      <c r="H1117" s="897"/>
      <c r="I1117" s="897"/>
      <c r="J1117" s="897"/>
      <c r="K1117" s="897"/>
      <c r="L1117" s="898"/>
      <c r="M1117" s="898"/>
      <c r="N1117" s="898"/>
      <c r="O1117" s="898"/>
      <c r="P1117" s="898"/>
      <c r="Q1117" s="898"/>
      <c r="R1117" s="898"/>
      <c r="S1117" s="898"/>
      <c r="T1117" s="898"/>
      <c r="U1117" s="898"/>
      <c r="V1117" s="898"/>
      <c r="W1117" s="898"/>
      <c r="X1117" s="898"/>
      <c r="Y1117" s="898"/>
      <c r="Z1117" s="898"/>
      <c r="AA1117" s="898"/>
      <c r="AB1117" s="898"/>
      <c r="AC1117" s="898"/>
      <c r="AD1117" s="898"/>
      <c r="AE1117" s="898"/>
      <c r="AF1117" s="898"/>
      <c r="AG1117" s="898"/>
      <c r="AH1117" s="898"/>
      <c r="AI1117" s="898"/>
      <c r="AJ1117" s="898"/>
      <c r="AK1117" s="897"/>
      <c r="AL1117" s="897"/>
      <c r="AM1117" s="897"/>
      <c r="AN1117" s="897"/>
      <c r="AO1117" s="897"/>
      <c r="AP1117" s="897"/>
      <c r="AQ1117" s="897"/>
      <c r="AR1117" s="897"/>
    </row>
    <row r="1118" spans="1:44" s="930" customFormat="1">
      <c r="A1118" s="892"/>
      <c r="B1118" s="899"/>
      <c r="C1118" s="900"/>
      <c r="D1118" s="894"/>
      <c r="E1118" s="895"/>
      <c r="F1118" s="896"/>
      <c r="G1118" s="897"/>
      <c r="H1118" s="897"/>
      <c r="I1118" s="897"/>
      <c r="J1118" s="897"/>
      <c r="K1118" s="897"/>
      <c r="L1118" s="898"/>
      <c r="M1118" s="898"/>
      <c r="N1118" s="898"/>
      <c r="O1118" s="898"/>
      <c r="P1118" s="898"/>
      <c r="Q1118" s="898"/>
      <c r="R1118" s="898"/>
      <c r="S1118" s="898"/>
      <c r="T1118" s="898"/>
      <c r="U1118" s="898"/>
      <c r="V1118" s="898"/>
      <c r="W1118" s="898"/>
      <c r="X1118" s="898"/>
      <c r="Y1118" s="898"/>
      <c r="Z1118" s="898"/>
      <c r="AA1118" s="898"/>
      <c r="AB1118" s="898"/>
      <c r="AC1118" s="898"/>
      <c r="AD1118" s="898"/>
      <c r="AE1118" s="898"/>
      <c r="AF1118" s="898"/>
      <c r="AG1118" s="898"/>
      <c r="AH1118" s="898"/>
      <c r="AI1118" s="898"/>
      <c r="AJ1118" s="898"/>
      <c r="AK1118" s="897"/>
      <c r="AL1118" s="897"/>
      <c r="AM1118" s="897"/>
      <c r="AN1118" s="897"/>
      <c r="AO1118" s="897"/>
      <c r="AP1118" s="897"/>
      <c r="AQ1118" s="897"/>
      <c r="AR1118" s="897"/>
    </row>
    <row r="1119" spans="1:44" s="930" customFormat="1">
      <c r="A1119" s="892"/>
      <c r="B1119" s="899"/>
      <c r="C1119" s="900"/>
      <c r="D1119" s="894"/>
      <c r="E1119" s="895"/>
      <c r="F1119" s="896"/>
      <c r="G1119" s="897"/>
      <c r="H1119" s="897"/>
      <c r="I1119" s="897"/>
      <c r="J1119" s="897"/>
      <c r="K1119" s="897"/>
      <c r="L1119" s="898"/>
      <c r="M1119" s="898"/>
      <c r="N1119" s="898"/>
      <c r="O1119" s="898"/>
      <c r="P1119" s="898"/>
      <c r="Q1119" s="898"/>
      <c r="R1119" s="898"/>
      <c r="S1119" s="898"/>
      <c r="T1119" s="898"/>
      <c r="U1119" s="898"/>
      <c r="V1119" s="898"/>
      <c r="W1119" s="898"/>
      <c r="X1119" s="898"/>
      <c r="Y1119" s="898"/>
      <c r="Z1119" s="898"/>
      <c r="AA1119" s="898"/>
      <c r="AB1119" s="898"/>
      <c r="AC1119" s="898"/>
      <c r="AD1119" s="898"/>
      <c r="AE1119" s="898"/>
      <c r="AF1119" s="898"/>
      <c r="AG1119" s="898"/>
      <c r="AH1119" s="898"/>
      <c r="AI1119" s="898"/>
      <c r="AJ1119" s="898"/>
      <c r="AK1119" s="897"/>
      <c r="AL1119" s="897"/>
      <c r="AM1119" s="897"/>
      <c r="AN1119" s="897"/>
      <c r="AO1119" s="897"/>
      <c r="AP1119" s="897"/>
      <c r="AQ1119" s="897"/>
      <c r="AR1119" s="897"/>
    </row>
    <row r="1120" spans="1:44" s="930" customFormat="1">
      <c r="A1120" s="892"/>
      <c r="B1120" s="899"/>
      <c r="C1120" s="900"/>
      <c r="D1120" s="894"/>
      <c r="E1120" s="895"/>
      <c r="F1120" s="896"/>
      <c r="G1120" s="897"/>
      <c r="H1120" s="897"/>
      <c r="I1120" s="897"/>
      <c r="J1120" s="897"/>
      <c r="K1120" s="897"/>
      <c r="L1120" s="898"/>
      <c r="M1120" s="898"/>
      <c r="N1120" s="898"/>
      <c r="O1120" s="898"/>
      <c r="P1120" s="898"/>
      <c r="Q1120" s="898"/>
      <c r="R1120" s="898"/>
      <c r="S1120" s="898"/>
      <c r="T1120" s="898"/>
      <c r="U1120" s="898"/>
      <c r="V1120" s="898"/>
      <c r="W1120" s="898"/>
      <c r="X1120" s="898"/>
      <c r="Y1120" s="898"/>
      <c r="Z1120" s="898"/>
      <c r="AA1120" s="898"/>
      <c r="AB1120" s="898"/>
      <c r="AC1120" s="898"/>
      <c r="AD1120" s="898"/>
      <c r="AE1120" s="898"/>
      <c r="AF1120" s="898"/>
      <c r="AG1120" s="898"/>
      <c r="AH1120" s="898"/>
      <c r="AI1120" s="898"/>
      <c r="AJ1120" s="898"/>
      <c r="AK1120" s="897"/>
      <c r="AL1120" s="897"/>
      <c r="AM1120" s="897"/>
      <c r="AN1120" s="897"/>
      <c r="AO1120" s="897"/>
      <c r="AP1120" s="897"/>
      <c r="AQ1120" s="897"/>
      <c r="AR1120" s="897"/>
    </row>
    <row r="1121" spans="1:44" s="930" customFormat="1">
      <c r="A1121" s="892"/>
      <c r="B1121" s="899"/>
      <c r="C1121" s="900"/>
      <c r="D1121" s="894"/>
      <c r="E1121" s="895"/>
      <c r="F1121" s="896"/>
      <c r="G1121" s="897"/>
      <c r="H1121" s="897"/>
      <c r="I1121" s="897"/>
      <c r="J1121" s="897"/>
      <c r="K1121" s="897"/>
      <c r="L1121" s="898"/>
      <c r="M1121" s="898"/>
      <c r="N1121" s="898"/>
      <c r="O1121" s="898"/>
      <c r="P1121" s="898"/>
      <c r="Q1121" s="898"/>
      <c r="R1121" s="898"/>
      <c r="S1121" s="898"/>
      <c r="T1121" s="898"/>
      <c r="U1121" s="898"/>
      <c r="V1121" s="898"/>
      <c r="W1121" s="898"/>
      <c r="X1121" s="898"/>
      <c r="Y1121" s="898"/>
      <c r="Z1121" s="898"/>
      <c r="AA1121" s="898"/>
      <c r="AB1121" s="898"/>
      <c r="AC1121" s="898"/>
      <c r="AD1121" s="898"/>
      <c r="AE1121" s="898"/>
      <c r="AF1121" s="898"/>
      <c r="AG1121" s="898"/>
      <c r="AH1121" s="898"/>
      <c r="AI1121" s="898"/>
      <c r="AJ1121" s="898"/>
      <c r="AK1121" s="897"/>
      <c r="AL1121" s="897"/>
      <c r="AM1121" s="897"/>
      <c r="AN1121" s="897"/>
      <c r="AO1121" s="897"/>
      <c r="AP1121" s="897"/>
      <c r="AQ1121" s="897"/>
      <c r="AR1121" s="897"/>
    </row>
    <row r="1122" spans="1:44" s="930" customFormat="1">
      <c r="A1122" s="892"/>
      <c r="B1122" s="899"/>
      <c r="C1122" s="900"/>
      <c r="D1122" s="894"/>
      <c r="E1122" s="895"/>
      <c r="F1122" s="896"/>
      <c r="G1122" s="897"/>
      <c r="H1122" s="897"/>
      <c r="I1122" s="897"/>
      <c r="J1122" s="897"/>
      <c r="K1122" s="897"/>
      <c r="L1122" s="898"/>
      <c r="M1122" s="898"/>
      <c r="N1122" s="898"/>
      <c r="O1122" s="898"/>
      <c r="P1122" s="898"/>
      <c r="Q1122" s="898"/>
      <c r="R1122" s="898"/>
      <c r="S1122" s="898"/>
      <c r="T1122" s="898"/>
      <c r="U1122" s="898"/>
      <c r="V1122" s="898"/>
      <c r="W1122" s="898"/>
      <c r="X1122" s="898"/>
      <c r="Y1122" s="898"/>
      <c r="Z1122" s="898"/>
      <c r="AA1122" s="898"/>
      <c r="AB1122" s="898"/>
      <c r="AC1122" s="898"/>
      <c r="AD1122" s="898"/>
      <c r="AE1122" s="898"/>
      <c r="AF1122" s="898"/>
      <c r="AG1122" s="898"/>
      <c r="AH1122" s="898"/>
      <c r="AI1122" s="898"/>
      <c r="AJ1122" s="898"/>
      <c r="AK1122" s="897"/>
      <c r="AL1122" s="897"/>
      <c r="AM1122" s="897"/>
      <c r="AN1122" s="897"/>
      <c r="AO1122" s="897"/>
      <c r="AP1122" s="897"/>
      <c r="AQ1122" s="897"/>
      <c r="AR1122" s="897"/>
    </row>
    <row r="1123" spans="1:44" s="930" customFormat="1">
      <c r="A1123" s="892"/>
      <c r="B1123" s="899"/>
      <c r="C1123" s="900"/>
      <c r="D1123" s="894"/>
      <c r="E1123" s="895"/>
      <c r="F1123" s="896"/>
      <c r="G1123" s="897"/>
      <c r="H1123" s="897"/>
      <c r="I1123" s="897"/>
      <c r="J1123" s="897"/>
      <c r="K1123" s="897"/>
      <c r="L1123" s="898"/>
      <c r="M1123" s="898"/>
      <c r="N1123" s="898"/>
      <c r="O1123" s="898"/>
      <c r="P1123" s="898"/>
      <c r="Q1123" s="898"/>
      <c r="R1123" s="898"/>
      <c r="S1123" s="898"/>
      <c r="T1123" s="898"/>
      <c r="U1123" s="898"/>
      <c r="V1123" s="898"/>
      <c r="W1123" s="898"/>
      <c r="X1123" s="898"/>
      <c r="Y1123" s="898"/>
      <c r="Z1123" s="898"/>
      <c r="AA1123" s="898"/>
      <c r="AB1123" s="898"/>
      <c r="AC1123" s="898"/>
      <c r="AD1123" s="898"/>
      <c r="AE1123" s="898"/>
      <c r="AF1123" s="898"/>
      <c r="AG1123" s="898"/>
      <c r="AH1123" s="898"/>
      <c r="AI1123" s="898"/>
      <c r="AJ1123" s="898"/>
      <c r="AK1123" s="897"/>
      <c r="AL1123" s="897"/>
      <c r="AM1123" s="897"/>
      <c r="AN1123" s="897"/>
      <c r="AO1123" s="897"/>
      <c r="AP1123" s="897"/>
      <c r="AQ1123" s="897"/>
      <c r="AR1123" s="897"/>
    </row>
    <row r="1124" spans="1:44" s="930" customFormat="1">
      <c r="A1124" s="892"/>
      <c r="B1124" s="899"/>
      <c r="C1124" s="900"/>
      <c r="D1124" s="894"/>
      <c r="E1124" s="895"/>
      <c r="F1124" s="896"/>
      <c r="G1124" s="897"/>
      <c r="H1124" s="897"/>
      <c r="I1124" s="897"/>
      <c r="J1124" s="897"/>
      <c r="K1124" s="897"/>
      <c r="L1124" s="898"/>
      <c r="M1124" s="898"/>
      <c r="N1124" s="898"/>
      <c r="O1124" s="898"/>
      <c r="P1124" s="898"/>
      <c r="Q1124" s="898"/>
      <c r="R1124" s="898"/>
      <c r="S1124" s="898"/>
      <c r="T1124" s="898"/>
      <c r="U1124" s="898"/>
      <c r="V1124" s="898"/>
      <c r="W1124" s="898"/>
      <c r="X1124" s="898"/>
      <c r="Y1124" s="898"/>
      <c r="Z1124" s="898"/>
      <c r="AA1124" s="898"/>
      <c r="AB1124" s="898"/>
      <c r="AC1124" s="898"/>
      <c r="AD1124" s="898"/>
      <c r="AE1124" s="898"/>
      <c r="AF1124" s="898"/>
      <c r="AG1124" s="898"/>
      <c r="AH1124" s="898"/>
      <c r="AI1124" s="898"/>
      <c r="AJ1124" s="898"/>
      <c r="AK1124" s="897"/>
      <c r="AL1124" s="897"/>
      <c r="AM1124" s="897"/>
      <c r="AN1124" s="897"/>
      <c r="AO1124" s="897"/>
      <c r="AP1124" s="897"/>
      <c r="AQ1124" s="897"/>
      <c r="AR1124" s="897"/>
    </row>
    <row r="1125" spans="1:44" s="930" customFormat="1">
      <c r="A1125" s="892"/>
      <c r="B1125" s="899"/>
      <c r="C1125" s="900"/>
      <c r="D1125" s="894"/>
      <c r="E1125" s="895"/>
      <c r="F1125" s="896"/>
      <c r="G1125" s="897"/>
      <c r="H1125" s="897"/>
      <c r="I1125" s="897"/>
      <c r="J1125" s="897"/>
      <c r="K1125" s="897"/>
      <c r="L1125" s="898"/>
      <c r="M1125" s="898"/>
      <c r="N1125" s="898"/>
      <c r="O1125" s="898"/>
      <c r="P1125" s="898"/>
      <c r="Q1125" s="898"/>
      <c r="R1125" s="898"/>
      <c r="S1125" s="898"/>
      <c r="T1125" s="898"/>
      <c r="U1125" s="898"/>
      <c r="V1125" s="898"/>
      <c r="W1125" s="898"/>
      <c r="X1125" s="898"/>
      <c r="Y1125" s="898"/>
      <c r="Z1125" s="898"/>
      <c r="AA1125" s="898"/>
      <c r="AB1125" s="898"/>
      <c r="AC1125" s="898"/>
      <c r="AD1125" s="898"/>
      <c r="AE1125" s="898"/>
      <c r="AF1125" s="898"/>
      <c r="AG1125" s="898"/>
      <c r="AH1125" s="898"/>
      <c r="AI1125" s="898"/>
      <c r="AJ1125" s="898"/>
      <c r="AK1125" s="897"/>
      <c r="AL1125" s="897"/>
      <c r="AM1125" s="897"/>
      <c r="AN1125" s="897"/>
      <c r="AO1125" s="897"/>
      <c r="AP1125" s="897"/>
      <c r="AQ1125" s="897"/>
      <c r="AR1125" s="897"/>
    </row>
    <row r="1126" spans="1:44" s="930" customFormat="1">
      <c r="A1126" s="892"/>
      <c r="B1126" s="899"/>
      <c r="C1126" s="900"/>
      <c r="D1126" s="894"/>
      <c r="E1126" s="895"/>
      <c r="F1126" s="896"/>
      <c r="G1126" s="897"/>
      <c r="H1126" s="897"/>
      <c r="I1126" s="897"/>
      <c r="J1126" s="897"/>
      <c r="K1126" s="897"/>
      <c r="L1126" s="898"/>
      <c r="M1126" s="898"/>
      <c r="N1126" s="898"/>
      <c r="O1126" s="898"/>
      <c r="P1126" s="898"/>
      <c r="Q1126" s="898"/>
      <c r="R1126" s="898"/>
      <c r="S1126" s="898"/>
      <c r="T1126" s="898"/>
      <c r="U1126" s="898"/>
      <c r="V1126" s="898"/>
      <c r="W1126" s="898"/>
      <c r="X1126" s="898"/>
      <c r="Y1126" s="898"/>
      <c r="Z1126" s="898"/>
      <c r="AA1126" s="898"/>
      <c r="AB1126" s="898"/>
      <c r="AC1126" s="898"/>
      <c r="AD1126" s="898"/>
      <c r="AE1126" s="898"/>
      <c r="AF1126" s="898"/>
      <c r="AG1126" s="898"/>
      <c r="AH1126" s="898"/>
      <c r="AI1126" s="898"/>
      <c r="AJ1126" s="898"/>
      <c r="AK1126" s="897"/>
      <c r="AL1126" s="897"/>
      <c r="AM1126" s="897"/>
      <c r="AN1126" s="897"/>
      <c r="AO1126" s="897"/>
      <c r="AP1126" s="897"/>
      <c r="AQ1126" s="897"/>
      <c r="AR1126" s="897"/>
    </row>
    <row r="1127" spans="1:44" s="930" customFormat="1">
      <c r="A1127" s="892"/>
      <c r="B1127" s="899"/>
      <c r="C1127" s="900"/>
      <c r="D1127" s="894"/>
      <c r="E1127" s="895"/>
      <c r="F1127" s="896"/>
      <c r="G1127" s="897"/>
      <c r="H1127" s="897"/>
      <c r="I1127" s="897"/>
      <c r="J1127" s="897"/>
      <c r="K1127" s="897"/>
      <c r="L1127" s="898"/>
      <c r="M1127" s="898"/>
      <c r="N1127" s="898"/>
      <c r="O1127" s="898"/>
      <c r="P1127" s="898"/>
      <c r="Q1127" s="898"/>
      <c r="R1127" s="898"/>
      <c r="S1127" s="898"/>
      <c r="T1127" s="898"/>
      <c r="U1127" s="898"/>
      <c r="V1127" s="898"/>
      <c r="W1127" s="898"/>
      <c r="X1127" s="898"/>
      <c r="Y1127" s="898"/>
      <c r="Z1127" s="898"/>
      <c r="AA1127" s="898"/>
      <c r="AB1127" s="898"/>
      <c r="AC1127" s="898"/>
      <c r="AD1127" s="898"/>
      <c r="AE1127" s="898"/>
      <c r="AF1127" s="898"/>
      <c r="AG1127" s="898"/>
      <c r="AH1127" s="898"/>
      <c r="AI1127" s="898"/>
      <c r="AJ1127" s="898"/>
      <c r="AK1127" s="897"/>
      <c r="AL1127" s="897"/>
      <c r="AM1127" s="897"/>
      <c r="AN1127" s="897"/>
      <c r="AO1127" s="897"/>
      <c r="AP1127" s="897"/>
      <c r="AQ1127" s="897"/>
      <c r="AR1127" s="897"/>
    </row>
    <row r="1128" spans="1:44" s="930" customFormat="1">
      <c r="A1128" s="892"/>
      <c r="B1128" s="899"/>
      <c r="C1128" s="900"/>
      <c r="D1128" s="894"/>
      <c r="E1128" s="895"/>
      <c r="F1128" s="896"/>
      <c r="G1128" s="897"/>
      <c r="H1128" s="897"/>
      <c r="I1128" s="897"/>
      <c r="J1128" s="897"/>
      <c r="K1128" s="897"/>
      <c r="L1128" s="898"/>
      <c r="M1128" s="898"/>
      <c r="N1128" s="898"/>
      <c r="O1128" s="898"/>
      <c r="P1128" s="898"/>
      <c r="Q1128" s="898"/>
      <c r="R1128" s="898"/>
      <c r="S1128" s="898"/>
      <c r="T1128" s="898"/>
      <c r="U1128" s="898"/>
      <c r="V1128" s="898"/>
      <c r="W1128" s="898"/>
      <c r="X1128" s="898"/>
      <c r="Y1128" s="898"/>
      <c r="Z1128" s="898"/>
      <c r="AA1128" s="898"/>
      <c r="AB1128" s="898"/>
      <c r="AC1128" s="898"/>
      <c r="AD1128" s="898"/>
      <c r="AE1128" s="898"/>
      <c r="AF1128" s="898"/>
      <c r="AG1128" s="898"/>
      <c r="AH1128" s="898"/>
      <c r="AI1128" s="898"/>
      <c r="AJ1128" s="898"/>
      <c r="AK1128" s="897"/>
      <c r="AL1128" s="897"/>
      <c r="AM1128" s="897"/>
      <c r="AN1128" s="897"/>
      <c r="AO1128" s="897"/>
      <c r="AP1128" s="897"/>
      <c r="AQ1128" s="897"/>
      <c r="AR1128" s="897"/>
    </row>
    <row r="1129" spans="1:44" s="930" customFormat="1">
      <c r="A1129" s="892"/>
      <c r="B1129" s="899"/>
      <c r="C1129" s="900"/>
      <c r="D1129" s="894"/>
      <c r="E1129" s="895"/>
      <c r="F1129" s="896"/>
      <c r="G1129" s="897"/>
      <c r="H1129" s="897"/>
      <c r="I1129" s="897"/>
      <c r="J1129" s="897"/>
      <c r="K1129" s="897"/>
      <c r="L1129" s="898"/>
      <c r="M1129" s="898"/>
      <c r="N1129" s="898"/>
      <c r="O1129" s="898"/>
      <c r="P1129" s="898"/>
      <c r="Q1129" s="898"/>
      <c r="R1129" s="898"/>
      <c r="S1129" s="898"/>
      <c r="T1129" s="898"/>
      <c r="U1129" s="898"/>
      <c r="V1129" s="898"/>
      <c r="W1129" s="898"/>
      <c r="X1129" s="898"/>
      <c r="Y1129" s="898"/>
      <c r="Z1129" s="898"/>
      <c r="AA1129" s="898"/>
      <c r="AB1129" s="898"/>
      <c r="AC1129" s="898"/>
      <c r="AD1129" s="898"/>
      <c r="AE1129" s="898"/>
      <c r="AF1129" s="898"/>
      <c r="AG1129" s="898"/>
      <c r="AH1129" s="898"/>
      <c r="AI1129" s="898"/>
      <c r="AJ1129" s="898"/>
      <c r="AK1129" s="897"/>
      <c r="AL1129" s="897"/>
      <c r="AM1129" s="897"/>
      <c r="AN1129" s="897"/>
      <c r="AO1129" s="897"/>
      <c r="AP1129" s="897"/>
      <c r="AQ1129" s="897"/>
      <c r="AR1129" s="897"/>
    </row>
    <row r="1130" spans="1:44" s="930" customFormat="1">
      <c r="A1130" s="892"/>
      <c r="B1130" s="899"/>
      <c r="C1130" s="900"/>
      <c r="D1130" s="894"/>
      <c r="E1130" s="895"/>
      <c r="F1130" s="896"/>
      <c r="G1130" s="897"/>
      <c r="H1130" s="897"/>
      <c r="I1130" s="897"/>
      <c r="J1130" s="897"/>
      <c r="K1130" s="897"/>
      <c r="L1130" s="898"/>
      <c r="M1130" s="898"/>
      <c r="N1130" s="898"/>
      <c r="O1130" s="898"/>
      <c r="P1130" s="898"/>
      <c r="Q1130" s="898"/>
      <c r="R1130" s="898"/>
      <c r="S1130" s="898"/>
      <c r="T1130" s="898"/>
      <c r="U1130" s="898"/>
      <c r="V1130" s="898"/>
      <c r="W1130" s="898"/>
      <c r="X1130" s="898"/>
      <c r="Y1130" s="898"/>
      <c r="Z1130" s="898"/>
      <c r="AA1130" s="898"/>
      <c r="AB1130" s="898"/>
      <c r="AC1130" s="898"/>
      <c r="AD1130" s="898"/>
      <c r="AE1130" s="898"/>
      <c r="AF1130" s="898"/>
      <c r="AG1130" s="898"/>
      <c r="AH1130" s="898"/>
      <c r="AI1130" s="898"/>
      <c r="AJ1130" s="898"/>
      <c r="AK1130" s="897"/>
      <c r="AL1130" s="897"/>
      <c r="AM1130" s="897"/>
      <c r="AN1130" s="897"/>
      <c r="AO1130" s="897"/>
      <c r="AP1130" s="897"/>
      <c r="AQ1130" s="897"/>
      <c r="AR1130" s="897"/>
    </row>
    <row r="1131" spans="1:44" s="930" customFormat="1">
      <c r="A1131" s="892"/>
      <c r="B1131" s="899"/>
      <c r="C1131" s="900"/>
      <c r="D1131" s="894"/>
      <c r="E1131" s="895"/>
      <c r="F1131" s="896"/>
      <c r="G1131" s="897"/>
      <c r="H1131" s="897"/>
      <c r="I1131" s="897"/>
      <c r="J1131" s="897"/>
      <c r="K1131" s="897"/>
      <c r="L1131" s="898"/>
      <c r="M1131" s="898"/>
      <c r="N1131" s="898"/>
      <c r="O1131" s="898"/>
      <c r="P1131" s="898"/>
      <c r="Q1131" s="898"/>
      <c r="R1131" s="898"/>
      <c r="S1131" s="898"/>
      <c r="T1131" s="898"/>
      <c r="U1131" s="898"/>
      <c r="V1131" s="898"/>
      <c r="W1131" s="898"/>
      <c r="X1131" s="898"/>
      <c r="Y1131" s="898"/>
      <c r="Z1131" s="898"/>
      <c r="AA1131" s="898"/>
      <c r="AB1131" s="898"/>
      <c r="AC1131" s="898"/>
      <c r="AD1131" s="898"/>
      <c r="AE1131" s="898"/>
      <c r="AF1131" s="898"/>
      <c r="AG1131" s="898"/>
      <c r="AH1131" s="898"/>
      <c r="AI1131" s="898"/>
      <c r="AJ1131" s="898"/>
      <c r="AK1131" s="897"/>
      <c r="AL1131" s="897"/>
      <c r="AM1131" s="897"/>
      <c r="AN1131" s="897"/>
      <c r="AO1131" s="897"/>
      <c r="AP1131" s="897"/>
      <c r="AQ1131" s="897"/>
      <c r="AR1131" s="897"/>
    </row>
    <row r="1132" spans="1:44" s="930" customFormat="1">
      <c r="A1132" s="892"/>
      <c r="B1132" s="899"/>
      <c r="C1132" s="900"/>
      <c r="D1132" s="894"/>
      <c r="E1132" s="895"/>
      <c r="F1132" s="896"/>
      <c r="G1132" s="897"/>
      <c r="H1132" s="897"/>
      <c r="I1132" s="897"/>
      <c r="J1132" s="897"/>
      <c r="K1132" s="897"/>
      <c r="L1132" s="898"/>
      <c r="M1132" s="898"/>
      <c r="N1132" s="898"/>
      <c r="O1132" s="898"/>
      <c r="P1132" s="898"/>
      <c r="Q1132" s="898"/>
      <c r="R1132" s="898"/>
      <c r="S1132" s="898"/>
      <c r="T1132" s="898"/>
      <c r="U1132" s="898"/>
      <c r="V1132" s="898"/>
      <c r="W1132" s="898"/>
      <c r="X1132" s="898"/>
      <c r="Y1132" s="898"/>
      <c r="Z1132" s="898"/>
      <c r="AA1132" s="898"/>
      <c r="AB1132" s="898"/>
      <c r="AC1132" s="898"/>
      <c r="AD1132" s="898"/>
      <c r="AE1132" s="898"/>
      <c r="AF1132" s="898"/>
      <c r="AG1132" s="898"/>
      <c r="AH1132" s="898"/>
      <c r="AI1132" s="898"/>
      <c r="AJ1132" s="898"/>
      <c r="AK1132" s="897"/>
      <c r="AL1132" s="897"/>
      <c r="AM1132" s="897"/>
      <c r="AN1132" s="897"/>
      <c r="AO1132" s="897"/>
      <c r="AP1132" s="897"/>
      <c r="AQ1132" s="897"/>
      <c r="AR1132" s="897"/>
    </row>
    <row r="1133" spans="1:44" s="930" customFormat="1">
      <c r="A1133" s="892"/>
      <c r="B1133" s="899"/>
      <c r="C1133" s="900"/>
      <c r="D1133" s="894"/>
      <c r="E1133" s="895"/>
      <c r="F1133" s="896"/>
      <c r="G1133" s="897"/>
      <c r="H1133" s="897"/>
      <c r="I1133" s="897"/>
      <c r="J1133" s="897"/>
      <c r="K1133" s="897"/>
      <c r="L1133" s="898"/>
      <c r="M1133" s="898"/>
      <c r="N1133" s="898"/>
      <c r="O1133" s="898"/>
      <c r="P1133" s="898"/>
      <c r="Q1133" s="898"/>
      <c r="R1133" s="898"/>
      <c r="S1133" s="898"/>
      <c r="T1133" s="898"/>
      <c r="U1133" s="898"/>
      <c r="V1133" s="898"/>
      <c r="W1133" s="898"/>
      <c r="X1133" s="898"/>
      <c r="Y1133" s="898"/>
      <c r="Z1133" s="898"/>
      <c r="AA1133" s="898"/>
      <c r="AB1133" s="898"/>
      <c r="AC1133" s="898"/>
      <c r="AD1133" s="898"/>
      <c r="AE1133" s="898"/>
      <c r="AF1133" s="898"/>
      <c r="AG1133" s="898"/>
      <c r="AH1133" s="898"/>
      <c r="AI1133" s="898"/>
      <c r="AJ1133" s="898"/>
      <c r="AK1133" s="897"/>
      <c r="AL1133" s="897"/>
      <c r="AM1133" s="897"/>
      <c r="AN1133" s="897"/>
      <c r="AO1133" s="897"/>
      <c r="AP1133" s="897"/>
      <c r="AQ1133" s="897"/>
      <c r="AR1133" s="897"/>
    </row>
    <row r="1134" spans="1:44" s="930" customFormat="1">
      <c r="A1134" s="892"/>
      <c r="B1134" s="899"/>
      <c r="C1134" s="900"/>
      <c r="D1134" s="894"/>
      <c r="E1134" s="895"/>
      <c r="F1134" s="896"/>
      <c r="G1134" s="897"/>
      <c r="H1134" s="897"/>
      <c r="I1134" s="897"/>
      <c r="J1134" s="897"/>
      <c r="K1134" s="897"/>
      <c r="L1134" s="898"/>
      <c r="M1134" s="898"/>
      <c r="N1134" s="898"/>
      <c r="O1134" s="898"/>
      <c r="P1134" s="898"/>
      <c r="Q1134" s="898"/>
      <c r="R1134" s="898"/>
      <c r="S1134" s="898"/>
      <c r="T1134" s="898"/>
      <c r="U1134" s="898"/>
      <c r="V1134" s="898"/>
      <c r="W1134" s="898"/>
      <c r="X1134" s="898"/>
      <c r="Y1134" s="898"/>
      <c r="Z1134" s="898"/>
      <c r="AA1134" s="898"/>
      <c r="AB1134" s="898"/>
      <c r="AC1134" s="898"/>
      <c r="AD1134" s="898"/>
      <c r="AE1134" s="898"/>
      <c r="AF1134" s="898"/>
      <c r="AG1134" s="898"/>
      <c r="AH1134" s="898"/>
      <c r="AI1134" s="898"/>
      <c r="AJ1134" s="898"/>
      <c r="AK1134" s="897"/>
      <c r="AL1134" s="897"/>
      <c r="AM1134" s="897"/>
      <c r="AN1134" s="897"/>
      <c r="AO1134" s="897"/>
      <c r="AP1134" s="897"/>
      <c r="AQ1134" s="897"/>
      <c r="AR1134" s="897"/>
    </row>
    <row r="1135" spans="1:44" s="930" customFormat="1">
      <c r="A1135" s="892"/>
      <c r="B1135" s="899"/>
      <c r="C1135" s="900"/>
      <c r="D1135" s="894"/>
      <c r="E1135" s="895"/>
      <c r="F1135" s="896"/>
      <c r="G1135" s="897"/>
      <c r="H1135" s="897"/>
      <c r="I1135" s="897"/>
      <c r="J1135" s="897"/>
      <c r="K1135" s="897"/>
      <c r="L1135" s="898"/>
      <c r="M1135" s="898"/>
      <c r="N1135" s="898"/>
      <c r="O1135" s="898"/>
      <c r="P1135" s="898"/>
      <c r="Q1135" s="898"/>
      <c r="R1135" s="898"/>
      <c r="S1135" s="898"/>
      <c r="T1135" s="898"/>
      <c r="U1135" s="898"/>
      <c r="V1135" s="898"/>
      <c r="W1135" s="898"/>
      <c r="X1135" s="898"/>
      <c r="Y1135" s="898"/>
      <c r="Z1135" s="898"/>
      <c r="AA1135" s="898"/>
      <c r="AB1135" s="898"/>
      <c r="AC1135" s="898"/>
      <c r="AD1135" s="898"/>
      <c r="AE1135" s="898"/>
      <c r="AF1135" s="898"/>
      <c r="AG1135" s="898"/>
      <c r="AH1135" s="898"/>
      <c r="AI1135" s="898"/>
      <c r="AJ1135" s="898"/>
      <c r="AK1135" s="897"/>
      <c r="AL1135" s="897"/>
      <c r="AM1135" s="897"/>
      <c r="AN1135" s="897"/>
      <c r="AO1135" s="897"/>
      <c r="AP1135" s="897"/>
      <c r="AQ1135" s="897"/>
      <c r="AR1135" s="897"/>
    </row>
    <row r="1136" spans="1:44" s="930" customFormat="1">
      <c r="A1136" s="892"/>
      <c r="B1136" s="899"/>
      <c r="C1136" s="900"/>
      <c r="D1136" s="894"/>
      <c r="E1136" s="895"/>
      <c r="F1136" s="896"/>
      <c r="G1136" s="897"/>
      <c r="H1136" s="897"/>
      <c r="I1136" s="897"/>
      <c r="J1136" s="897"/>
      <c r="K1136" s="897"/>
      <c r="L1136" s="898"/>
      <c r="M1136" s="898"/>
      <c r="N1136" s="898"/>
      <c r="O1136" s="898"/>
      <c r="P1136" s="898"/>
      <c r="Q1136" s="898"/>
      <c r="R1136" s="898"/>
      <c r="S1136" s="898"/>
      <c r="T1136" s="898"/>
      <c r="U1136" s="898"/>
      <c r="V1136" s="898"/>
      <c r="W1136" s="898"/>
      <c r="X1136" s="898"/>
      <c r="Y1136" s="898"/>
      <c r="Z1136" s="898"/>
      <c r="AA1136" s="898"/>
      <c r="AB1136" s="898"/>
      <c r="AC1136" s="898"/>
      <c r="AD1136" s="898"/>
      <c r="AE1136" s="898"/>
      <c r="AF1136" s="898"/>
      <c r="AG1136" s="898"/>
      <c r="AH1136" s="898"/>
      <c r="AI1136" s="898"/>
      <c r="AJ1136" s="898"/>
      <c r="AK1136" s="897"/>
      <c r="AL1136" s="897"/>
      <c r="AM1136" s="897"/>
      <c r="AN1136" s="897"/>
      <c r="AO1136" s="897"/>
      <c r="AP1136" s="897"/>
      <c r="AQ1136" s="897"/>
      <c r="AR1136" s="897"/>
    </row>
    <row r="1137" spans="1:44" s="930" customFormat="1">
      <c r="A1137" s="892"/>
      <c r="B1137" s="899"/>
      <c r="C1137" s="900"/>
      <c r="D1137" s="894"/>
      <c r="E1137" s="895"/>
      <c r="F1137" s="896"/>
      <c r="G1137" s="897"/>
      <c r="H1137" s="897"/>
      <c r="I1137" s="897"/>
      <c r="J1137" s="897"/>
      <c r="K1137" s="897"/>
      <c r="L1137" s="898"/>
      <c r="M1137" s="898"/>
      <c r="N1137" s="898"/>
      <c r="O1137" s="898"/>
      <c r="P1137" s="898"/>
      <c r="Q1137" s="898"/>
      <c r="R1137" s="898"/>
      <c r="S1137" s="898"/>
      <c r="T1137" s="898"/>
      <c r="U1137" s="898"/>
      <c r="V1137" s="898"/>
      <c r="W1137" s="898"/>
      <c r="X1137" s="898"/>
      <c r="Y1137" s="898"/>
      <c r="Z1137" s="898"/>
      <c r="AA1137" s="898"/>
      <c r="AB1137" s="898"/>
      <c r="AC1137" s="898"/>
      <c r="AD1137" s="898"/>
      <c r="AE1137" s="898"/>
      <c r="AF1137" s="898"/>
      <c r="AG1137" s="898"/>
      <c r="AH1137" s="898"/>
      <c r="AI1137" s="898"/>
      <c r="AJ1137" s="898"/>
      <c r="AK1137" s="897"/>
      <c r="AL1137" s="897"/>
      <c r="AM1137" s="897"/>
      <c r="AN1137" s="897"/>
      <c r="AO1137" s="897"/>
      <c r="AP1137" s="897"/>
      <c r="AQ1137" s="897"/>
      <c r="AR1137" s="897"/>
    </row>
    <row r="1138" spans="1:44" s="930" customFormat="1">
      <c r="A1138" s="892"/>
      <c r="B1138" s="899"/>
      <c r="C1138" s="900"/>
      <c r="D1138" s="894"/>
      <c r="E1138" s="895"/>
      <c r="F1138" s="896"/>
      <c r="G1138" s="897"/>
      <c r="H1138" s="897"/>
      <c r="I1138" s="897"/>
      <c r="J1138" s="897"/>
      <c r="K1138" s="897"/>
      <c r="L1138" s="898"/>
      <c r="M1138" s="898"/>
      <c r="N1138" s="898"/>
      <c r="O1138" s="898"/>
      <c r="P1138" s="898"/>
      <c r="Q1138" s="898"/>
      <c r="R1138" s="898"/>
      <c r="S1138" s="898"/>
      <c r="T1138" s="898"/>
      <c r="U1138" s="898"/>
      <c r="V1138" s="898"/>
      <c r="W1138" s="898"/>
      <c r="X1138" s="898"/>
      <c r="Y1138" s="898"/>
      <c r="Z1138" s="898"/>
      <c r="AA1138" s="898"/>
      <c r="AB1138" s="898"/>
      <c r="AC1138" s="898"/>
      <c r="AD1138" s="898"/>
      <c r="AE1138" s="898"/>
      <c r="AF1138" s="898"/>
      <c r="AG1138" s="898"/>
      <c r="AH1138" s="898"/>
      <c r="AI1138" s="898"/>
      <c r="AJ1138" s="898"/>
      <c r="AK1138" s="897"/>
      <c r="AL1138" s="897"/>
      <c r="AM1138" s="897"/>
      <c r="AN1138" s="897"/>
      <c r="AO1138" s="897"/>
      <c r="AP1138" s="897"/>
      <c r="AQ1138" s="897"/>
      <c r="AR1138" s="897"/>
    </row>
    <row r="1139" spans="1:44" s="930" customFormat="1">
      <c r="A1139" s="892"/>
      <c r="B1139" s="899"/>
      <c r="C1139" s="900"/>
      <c r="D1139" s="894"/>
      <c r="E1139" s="895"/>
      <c r="F1139" s="896"/>
      <c r="G1139" s="897"/>
      <c r="H1139" s="897"/>
      <c r="I1139" s="897"/>
      <c r="J1139" s="897"/>
      <c r="K1139" s="897"/>
      <c r="L1139" s="898"/>
      <c r="M1139" s="898"/>
      <c r="N1139" s="898"/>
      <c r="O1139" s="898"/>
      <c r="P1139" s="898"/>
      <c r="Q1139" s="898"/>
      <c r="R1139" s="898"/>
      <c r="S1139" s="898"/>
      <c r="T1139" s="898"/>
      <c r="U1139" s="898"/>
      <c r="V1139" s="898"/>
      <c r="W1139" s="898"/>
      <c r="X1139" s="898"/>
      <c r="Y1139" s="898"/>
      <c r="Z1139" s="898"/>
      <c r="AA1139" s="898"/>
      <c r="AB1139" s="898"/>
      <c r="AC1139" s="898"/>
      <c r="AD1139" s="898"/>
      <c r="AE1139" s="898"/>
      <c r="AF1139" s="898"/>
      <c r="AG1139" s="898"/>
      <c r="AH1139" s="898"/>
      <c r="AI1139" s="898"/>
      <c r="AJ1139" s="898"/>
      <c r="AK1139" s="897"/>
      <c r="AL1139" s="897"/>
      <c r="AM1139" s="897"/>
      <c r="AN1139" s="897"/>
      <c r="AO1139" s="897"/>
      <c r="AP1139" s="897"/>
      <c r="AQ1139" s="897"/>
      <c r="AR1139" s="897"/>
    </row>
    <row r="1140" spans="1:44" s="930" customFormat="1">
      <c r="A1140" s="892"/>
      <c r="B1140" s="899"/>
      <c r="C1140" s="900"/>
      <c r="D1140" s="894"/>
      <c r="E1140" s="895"/>
      <c r="F1140" s="896"/>
      <c r="G1140" s="897"/>
      <c r="H1140" s="897"/>
      <c r="I1140" s="897"/>
      <c r="J1140" s="897"/>
      <c r="K1140" s="897"/>
      <c r="L1140" s="898"/>
      <c r="M1140" s="898"/>
      <c r="N1140" s="898"/>
      <c r="O1140" s="898"/>
      <c r="P1140" s="898"/>
      <c r="Q1140" s="898"/>
      <c r="R1140" s="898"/>
      <c r="S1140" s="898"/>
      <c r="T1140" s="898"/>
      <c r="U1140" s="898"/>
      <c r="V1140" s="898"/>
      <c r="W1140" s="898"/>
      <c r="X1140" s="898"/>
      <c r="Y1140" s="898"/>
      <c r="Z1140" s="898"/>
      <c r="AA1140" s="898"/>
      <c r="AB1140" s="898"/>
      <c r="AC1140" s="898"/>
      <c r="AD1140" s="898"/>
      <c r="AE1140" s="898"/>
      <c r="AF1140" s="898"/>
      <c r="AG1140" s="898"/>
      <c r="AH1140" s="898"/>
      <c r="AI1140" s="898"/>
      <c r="AJ1140" s="898"/>
      <c r="AK1140" s="897"/>
      <c r="AL1140" s="897"/>
      <c r="AM1140" s="897"/>
      <c r="AN1140" s="897"/>
      <c r="AO1140" s="897"/>
      <c r="AP1140" s="897"/>
      <c r="AQ1140" s="897"/>
      <c r="AR1140" s="897"/>
    </row>
    <row r="1141" spans="1:44" s="930" customFormat="1">
      <c r="A1141" s="892"/>
      <c r="B1141" s="899"/>
      <c r="C1141" s="900"/>
      <c r="D1141" s="894"/>
      <c r="E1141" s="895"/>
      <c r="F1141" s="896"/>
      <c r="G1141" s="897"/>
      <c r="H1141" s="897"/>
      <c r="I1141" s="897"/>
      <c r="J1141" s="897"/>
      <c r="K1141" s="897"/>
      <c r="L1141" s="898"/>
      <c r="M1141" s="898"/>
      <c r="N1141" s="898"/>
      <c r="O1141" s="898"/>
      <c r="P1141" s="898"/>
      <c r="Q1141" s="898"/>
      <c r="R1141" s="898"/>
      <c r="S1141" s="898"/>
      <c r="T1141" s="898"/>
      <c r="U1141" s="898"/>
      <c r="V1141" s="898"/>
      <c r="W1141" s="898"/>
      <c r="X1141" s="898"/>
      <c r="Y1141" s="898"/>
      <c r="Z1141" s="898"/>
      <c r="AA1141" s="898"/>
      <c r="AB1141" s="898"/>
      <c r="AC1141" s="898"/>
      <c r="AD1141" s="898"/>
      <c r="AE1141" s="898"/>
      <c r="AF1141" s="898"/>
      <c r="AG1141" s="898"/>
      <c r="AH1141" s="898"/>
      <c r="AI1141" s="898"/>
      <c r="AJ1141" s="898"/>
      <c r="AK1141" s="897"/>
      <c r="AL1141" s="897"/>
      <c r="AM1141" s="897"/>
      <c r="AN1141" s="897"/>
      <c r="AO1141" s="897"/>
      <c r="AP1141" s="897"/>
      <c r="AQ1141" s="897"/>
      <c r="AR1141" s="897"/>
    </row>
    <row r="1142" spans="1:44" s="930" customFormat="1">
      <c r="A1142" s="892"/>
      <c r="B1142" s="899"/>
      <c r="C1142" s="900"/>
      <c r="D1142" s="894"/>
      <c r="E1142" s="895"/>
      <c r="F1142" s="896"/>
      <c r="G1142" s="897"/>
      <c r="H1142" s="897"/>
      <c r="I1142" s="897"/>
      <c r="J1142" s="897"/>
      <c r="K1142" s="897"/>
      <c r="L1142" s="898"/>
      <c r="M1142" s="898"/>
      <c r="N1142" s="898"/>
      <c r="O1142" s="898"/>
      <c r="P1142" s="898"/>
      <c r="Q1142" s="898"/>
      <c r="R1142" s="898"/>
      <c r="S1142" s="898"/>
      <c r="T1142" s="898"/>
      <c r="U1142" s="898"/>
      <c r="V1142" s="898"/>
      <c r="W1142" s="898"/>
      <c r="X1142" s="898"/>
      <c r="Y1142" s="898"/>
      <c r="Z1142" s="898"/>
      <c r="AA1142" s="898"/>
      <c r="AB1142" s="898"/>
      <c r="AC1142" s="898"/>
      <c r="AD1142" s="898"/>
      <c r="AE1142" s="898"/>
      <c r="AF1142" s="898"/>
      <c r="AG1142" s="898"/>
      <c r="AH1142" s="898"/>
      <c r="AI1142" s="898"/>
      <c r="AJ1142" s="898"/>
      <c r="AK1142" s="897"/>
      <c r="AL1142" s="897"/>
      <c r="AM1142" s="897"/>
      <c r="AN1142" s="897"/>
      <c r="AO1142" s="897"/>
      <c r="AP1142" s="897"/>
      <c r="AQ1142" s="897"/>
      <c r="AR1142" s="897"/>
    </row>
    <row r="1143" spans="1:44" s="930" customFormat="1">
      <c r="A1143" s="892"/>
      <c r="B1143" s="899"/>
      <c r="C1143" s="900"/>
      <c r="D1143" s="894"/>
      <c r="E1143" s="895"/>
      <c r="F1143" s="896"/>
      <c r="G1143" s="897"/>
      <c r="H1143" s="897"/>
      <c r="I1143" s="897"/>
      <c r="J1143" s="897"/>
      <c r="K1143" s="897"/>
      <c r="L1143" s="898"/>
      <c r="M1143" s="898"/>
      <c r="N1143" s="898"/>
      <c r="O1143" s="898"/>
      <c r="P1143" s="898"/>
      <c r="Q1143" s="898"/>
      <c r="R1143" s="898"/>
      <c r="S1143" s="898"/>
      <c r="T1143" s="898"/>
      <c r="U1143" s="898"/>
      <c r="V1143" s="898"/>
      <c r="W1143" s="898"/>
      <c r="X1143" s="898"/>
      <c r="Y1143" s="898"/>
      <c r="Z1143" s="898"/>
      <c r="AA1143" s="898"/>
      <c r="AB1143" s="898"/>
      <c r="AC1143" s="898"/>
      <c r="AD1143" s="898"/>
      <c r="AE1143" s="898"/>
      <c r="AF1143" s="898"/>
      <c r="AG1143" s="898"/>
      <c r="AH1143" s="898"/>
      <c r="AI1143" s="898"/>
      <c r="AJ1143" s="898"/>
      <c r="AK1143" s="897"/>
      <c r="AL1143" s="897"/>
      <c r="AM1143" s="897"/>
      <c r="AN1143" s="897"/>
      <c r="AO1143" s="897"/>
      <c r="AP1143" s="897"/>
      <c r="AQ1143" s="897"/>
      <c r="AR1143" s="897"/>
    </row>
    <row r="1144" spans="1:44" s="930" customFormat="1">
      <c r="A1144" s="892"/>
      <c r="B1144" s="899"/>
      <c r="C1144" s="900"/>
      <c r="D1144" s="894"/>
      <c r="E1144" s="895"/>
      <c r="F1144" s="896"/>
      <c r="G1144" s="897"/>
      <c r="H1144" s="897"/>
      <c r="I1144" s="897"/>
      <c r="J1144" s="897"/>
      <c r="K1144" s="897"/>
      <c r="L1144" s="898"/>
      <c r="M1144" s="898"/>
      <c r="N1144" s="898"/>
      <c r="O1144" s="898"/>
      <c r="P1144" s="898"/>
      <c r="Q1144" s="898"/>
      <c r="R1144" s="898"/>
      <c r="S1144" s="898"/>
      <c r="T1144" s="898"/>
      <c r="U1144" s="898"/>
      <c r="V1144" s="898"/>
      <c r="W1144" s="898"/>
      <c r="X1144" s="898"/>
      <c r="Y1144" s="898"/>
      <c r="Z1144" s="898"/>
      <c r="AA1144" s="898"/>
      <c r="AB1144" s="898"/>
      <c r="AC1144" s="898"/>
      <c r="AD1144" s="898"/>
      <c r="AE1144" s="898"/>
      <c r="AF1144" s="898"/>
      <c r="AG1144" s="898"/>
      <c r="AH1144" s="898"/>
      <c r="AI1144" s="898"/>
      <c r="AJ1144" s="898"/>
      <c r="AK1144" s="897"/>
      <c r="AL1144" s="897"/>
      <c r="AM1144" s="897"/>
      <c r="AN1144" s="897"/>
      <c r="AO1144" s="897"/>
      <c r="AP1144" s="897"/>
      <c r="AQ1144" s="897"/>
      <c r="AR1144" s="897"/>
    </row>
    <row r="1145" spans="1:44" s="930" customFormat="1">
      <c r="A1145" s="892"/>
      <c r="B1145" s="899"/>
      <c r="C1145" s="900"/>
      <c r="D1145" s="894"/>
      <c r="E1145" s="895"/>
      <c r="F1145" s="896"/>
      <c r="G1145" s="897"/>
      <c r="H1145" s="897"/>
      <c r="I1145" s="897"/>
      <c r="J1145" s="897"/>
      <c r="K1145" s="897"/>
      <c r="L1145" s="898"/>
      <c r="M1145" s="898"/>
      <c r="N1145" s="898"/>
      <c r="O1145" s="898"/>
      <c r="P1145" s="898"/>
      <c r="Q1145" s="898"/>
      <c r="R1145" s="898"/>
      <c r="S1145" s="898"/>
      <c r="T1145" s="898"/>
      <c r="U1145" s="898"/>
      <c r="V1145" s="898"/>
      <c r="W1145" s="898"/>
      <c r="X1145" s="898"/>
      <c r="Y1145" s="898"/>
      <c r="Z1145" s="898"/>
      <c r="AA1145" s="898"/>
      <c r="AB1145" s="898"/>
      <c r="AC1145" s="898"/>
      <c r="AD1145" s="898"/>
      <c r="AE1145" s="898"/>
      <c r="AF1145" s="898"/>
      <c r="AG1145" s="898"/>
      <c r="AH1145" s="898"/>
      <c r="AI1145" s="898"/>
      <c r="AJ1145" s="898"/>
      <c r="AK1145" s="897"/>
      <c r="AL1145" s="897"/>
      <c r="AM1145" s="897"/>
      <c r="AN1145" s="897"/>
      <c r="AO1145" s="897"/>
      <c r="AP1145" s="897"/>
      <c r="AQ1145" s="897"/>
      <c r="AR1145" s="897"/>
    </row>
    <row r="1146" spans="1:44" s="930" customFormat="1">
      <c r="A1146" s="892"/>
      <c r="B1146" s="899"/>
      <c r="C1146" s="900"/>
      <c r="D1146" s="894"/>
      <c r="E1146" s="895"/>
      <c r="F1146" s="896"/>
      <c r="G1146" s="897"/>
      <c r="H1146" s="897"/>
      <c r="I1146" s="897"/>
      <c r="J1146" s="897"/>
      <c r="K1146" s="897"/>
      <c r="L1146" s="898"/>
      <c r="M1146" s="898"/>
      <c r="N1146" s="898"/>
      <c r="O1146" s="898"/>
      <c r="P1146" s="898"/>
      <c r="Q1146" s="898"/>
      <c r="R1146" s="898"/>
      <c r="S1146" s="898"/>
      <c r="T1146" s="898"/>
      <c r="U1146" s="898"/>
      <c r="V1146" s="898"/>
      <c r="W1146" s="898"/>
      <c r="X1146" s="898"/>
      <c r="Y1146" s="898"/>
      <c r="Z1146" s="898"/>
      <c r="AA1146" s="898"/>
      <c r="AB1146" s="898"/>
      <c r="AC1146" s="898"/>
      <c r="AD1146" s="898"/>
      <c r="AE1146" s="898"/>
      <c r="AF1146" s="898"/>
      <c r="AG1146" s="898"/>
      <c r="AH1146" s="898"/>
      <c r="AI1146" s="898"/>
      <c r="AJ1146" s="898"/>
      <c r="AK1146" s="897"/>
      <c r="AL1146" s="897"/>
      <c r="AM1146" s="897"/>
      <c r="AN1146" s="897"/>
      <c r="AO1146" s="897"/>
      <c r="AP1146" s="897"/>
      <c r="AQ1146" s="897"/>
      <c r="AR1146" s="897"/>
    </row>
    <row r="1147" spans="1:44" s="930" customFormat="1">
      <c r="A1147" s="892"/>
      <c r="B1147" s="899"/>
      <c r="C1147" s="900"/>
      <c r="D1147" s="894"/>
      <c r="E1147" s="895"/>
      <c r="F1147" s="896"/>
      <c r="G1147" s="897"/>
      <c r="H1147" s="897"/>
      <c r="I1147" s="897"/>
      <c r="J1147" s="897"/>
      <c r="K1147" s="897"/>
      <c r="L1147" s="898"/>
      <c r="M1147" s="898"/>
      <c r="N1147" s="898"/>
      <c r="O1147" s="898"/>
      <c r="P1147" s="898"/>
      <c r="Q1147" s="898"/>
      <c r="R1147" s="898"/>
      <c r="S1147" s="898"/>
      <c r="T1147" s="898"/>
      <c r="U1147" s="898"/>
      <c r="V1147" s="898"/>
      <c r="W1147" s="898"/>
      <c r="X1147" s="898"/>
      <c r="Y1147" s="898"/>
      <c r="Z1147" s="898"/>
      <c r="AA1147" s="898"/>
      <c r="AB1147" s="898"/>
      <c r="AC1147" s="898"/>
      <c r="AD1147" s="898"/>
      <c r="AE1147" s="898"/>
      <c r="AF1147" s="898"/>
      <c r="AG1147" s="898"/>
      <c r="AH1147" s="898"/>
      <c r="AI1147" s="898"/>
      <c r="AJ1147" s="898"/>
      <c r="AK1147" s="897"/>
      <c r="AL1147" s="897"/>
      <c r="AM1147" s="897"/>
      <c r="AN1147" s="897"/>
      <c r="AO1147" s="897"/>
      <c r="AP1147" s="897"/>
      <c r="AQ1147" s="897"/>
      <c r="AR1147" s="897"/>
    </row>
    <row r="1148" spans="1:44" s="930" customFormat="1">
      <c r="A1148" s="892"/>
      <c r="B1148" s="899"/>
      <c r="C1148" s="900"/>
      <c r="D1148" s="894"/>
      <c r="E1148" s="895"/>
      <c r="F1148" s="896"/>
      <c r="G1148" s="897"/>
      <c r="H1148" s="897"/>
      <c r="I1148" s="897"/>
      <c r="J1148" s="897"/>
      <c r="K1148" s="897"/>
      <c r="L1148" s="898"/>
      <c r="M1148" s="898"/>
      <c r="N1148" s="898"/>
      <c r="O1148" s="898"/>
      <c r="P1148" s="898"/>
      <c r="Q1148" s="898"/>
      <c r="R1148" s="898"/>
      <c r="S1148" s="898"/>
      <c r="T1148" s="898"/>
      <c r="U1148" s="898"/>
      <c r="V1148" s="898"/>
      <c r="W1148" s="898"/>
      <c r="X1148" s="898"/>
      <c r="Y1148" s="898"/>
      <c r="Z1148" s="898"/>
      <c r="AA1148" s="898"/>
      <c r="AB1148" s="898"/>
      <c r="AC1148" s="898"/>
      <c r="AD1148" s="898"/>
      <c r="AE1148" s="898"/>
      <c r="AF1148" s="898"/>
      <c r="AG1148" s="898"/>
      <c r="AH1148" s="898"/>
      <c r="AI1148" s="898"/>
      <c r="AJ1148" s="898"/>
      <c r="AK1148" s="897"/>
      <c r="AL1148" s="897"/>
      <c r="AM1148" s="897"/>
      <c r="AN1148" s="897"/>
      <c r="AO1148" s="897"/>
      <c r="AP1148" s="897"/>
      <c r="AQ1148" s="897"/>
      <c r="AR1148" s="897"/>
    </row>
    <row r="1149" spans="1:44" s="930" customFormat="1">
      <c r="A1149" s="892"/>
      <c r="B1149" s="899"/>
      <c r="C1149" s="900"/>
      <c r="D1149" s="894"/>
      <c r="E1149" s="895"/>
      <c r="F1149" s="896"/>
      <c r="G1149" s="897"/>
      <c r="H1149" s="897"/>
      <c r="I1149" s="897"/>
      <c r="J1149" s="897"/>
      <c r="K1149" s="897"/>
      <c r="L1149" s="898"/>
      <c r="M1149" s="898"/>
      <c r="N1149" s="898"/>
      <c r="O1149" s="898"/>
      <c r="P1149" s="898"/>
      <c r="Q1149" s="898"/>
      <c r="R1149" s="898"/>
      <c r="S1149" s="898"/>
      <c r="T1149" s="898"/>
      <c r="U1149" s="898"/>
      <c r="V1149" s="898"/>
      <c r="W1149" s="898"/>
      <c r="X1149" s="898"/>
      <c r="Y1149" s="898"/>
      <c r="Z1149" s="898"/>
      <c r="AA1149" s="898"/>
      <c r="AB1149" s="898"/>
      <c r="AC1149" s="898"/>
      <c r="AD1149" s="898"/>
      <c r="AE1149" s="898"/>
      <c r="AF1149" s="898"/>
      <c r="AG1149" s="898"/>
      <c r="AH1149" s="898"/>
      <c r="AI1149" s="898"/>
      <c r="AJ1149" s="898"/>
      <c r="AK1149" s="897"/>
      <c r="AL1149" s="897"/>
      <c r="AM1149" s="897"/>
      <c r="AN1149" s="897"/>
      <c r="AO1149" s="897"/>
      <c r="AP1149" s="897"/>
      <c r="AQ1149" s="897"/>
      <c r="AR1149" s="897"/>
    </row>
    <row r="1150" spans="1:44" s="930" customFormat="1">
      <c r="A1150" s="892"/>
      <c r="B1150" s="899"/>
      <c r="C1150" s="900"/>
      <c r="D1150" s="894"/>
      <c r="E1150" s="895"/>
      <c r="F1150" s="896"/>
      <c r="G1150" s="897"/>
      <c r="H1150" s="897"/>
      <c r="I1150" s="897"/>
      <c r="J1150" s="897"/>
      <c r="K1150" s="897"/>
      <c r="L1150" s="898"/>
      <c r="M1150" s="898"/>
      <c r="N1150" s="898"/>
      <c r="O1150" s="898"/>
      <c r="P1150" s="898"/>
      <c r="Q1150" s="898"/>
      <c r="R1150" s="898"/>
      <c r="S1150" s="898"/>
      <c r="T1150" s="898"/>
      <c r="U1150" s="898"/>
      <c r="V1150" s="898"/>
      <c r="W1150" s="898"/>
      <c r="X1150" s="898"/>
      <c r="Y1150" s="898"/>
      <c r="Z1150" s="898"/>
      <c r="AA1150" s="898"/>
      <c r="AB1150" s="898"/>
      <c r="AC1150" s="898"/>
      <c r="AD1150" s="898"/>
      <c r="AE1150" s="898"/>
      <c r="AF1150" s="898"/>
      <c r="AG1150" s="898"/>
      <c r="AH1150" s="898"/>
      <c r="AI1150" s="898"/>
      <c r="AJ1150" s="898"/>
      <c r="AK1150" s="897"/>
      <c r="AL1150" s="897"/>
      <c r="AM1150" s="897"/>
      <c r="AN1150" s="897"/>
      <c r="AO1150" s="897"/>
      <c r="AP1150" s="897"/>
      <c r="AQ1150" s="897"/>
      <c r="AR1150" s="897"/>
    </row>
    <row r="1151" spans="1:44" s="930" customFormat="1">
      <c r="A1151" s="892"/>
      <c r="B1151" s="899"/>
      <c r="C1151" s="900"/>
      <c r="D1151" s="894"/>
      <c r="E1151" s="895"/>
      <c r="F1151" s="896"/>
      <c r="G1151" s="897"/>
      <c r="H1151" s="897"/>
      <c r="I1151" s="897"/>
      <c r="J1151" s="897"/>
      <c r="K1151" s="897"/>
      <c r="L1151" s="898"/>
      <c r="M1151" s="898"/>
      <c r="N1151" s="898"/>
      <c r="O1151" s="898"/>
      <c r="P1151" s="898"/>
      <c r="Q1151" s="898"/>
      <c r="R1151" s="898"/>
      <c r="S1151" s="898"/>
      <c r="T1151" s="898"/>
      <c r="U1151" s="898"/>
      <c r="V1151" s="898"/>
      <c r="W1151" s="898"/>
      <c r="X1151" s="898"/>
      <c r="Y1151" s="898"/>
      <c r="Z1151" s="898"/>
      <c r="AA1151" s="898"/>
      <c r="AB1151" s="898"/>
      <c r="AC1151" s="898"/>
      <c r="AD1151" s="898"/>
      <c r="AE1151" s="898"/>
      <c r="AF1151" s="898"/>
      <c r="AG1151" s="898"/>
      <c r="AH1151" s="898"/>
      <c r="AI1151" s="898"/>
      <c r="AJ1151" s="898"/>
      <c r="AK1151" s="897"/>
      <c r="AL1151" s="897"/>
      <c r="AM1151" s="897"/>
      <c r="AN1151" s="897"/>
      <c r="AO1151" s="897"/>
      <c r="AP1151" s="897"/>
      <c r="AQ1151" s="897"/>
      <c r="AR1151" s="897"/>
    </row>
    <row r="1152" spans="1:44" s="930" customFormat="1">
      <c r="A1152" s="892"/>
      <c r="B1152" s="899"/>
      <c r="C1152" s="900"/>
      <c r="D1152" s="894"/>
      <c r="E1152" s="895"/>
      <c r="F1152" s="896"/>
      <c r="G1152" s="897"/>
      <c r="H1152" s="897"/>
      <c r="I1152" s="897"/>
      <c r="J1152" s="897"/>
      <c r="K1152" s="897"/>
      <c r="L1152" s="898"/>
      <c r="M1152" s="898"/>
      <c r="N1152" s="898"/>
      <c r="O1152" s="898"/>
      <c r="P1152" s="898"/>
      <c r="Q1152" s="898"/>
      <c r="R1152" s="898"/>
      <c r="S1152" s="898"/>
      <c r="T1152" s="898"/>
      <c r="U1152" s="898"/>
      <c r="V1152" s="898"/>
      <c r="W1152" s="898"/>
      <c r="X1152" s="898"/>
      <c r="Y1152" s="898"/>
      <c r="Z1152" s="898"/>
      <c r="AA1152" s="898"/>
      <c r="AB1152" s="898"/>
      <c r="AC1152" s="898"/>
      <c r="AD1152" s="898"/>
      <c r="AE1152" s="898"/>
      <c r="AF1152" s="898"/>
      <c r="AG1152" s="898"/>
      <c r="AH1152" s="898"/>
      <c r="AI1152" s="898"/>
      <c r="AJ1152" s="898"/>
      <c r="AK1152" s="897"/>
      <c r="AL1152" s="897"/>
      <c r="AM1152" s="897"/>
      <c r="AN1152" s="897"/>
      <c r="AO1152" s="897"/>
      <c r="AP1152" s="897"/>
      <c r="AQ1152" s="897"/>
      <c r="AR1152" s="897"/>
    </row>
    <row r="1153" spans="1:44" s="930" customFormat="1">
      <c r="A1153" s="892"/>
      <c r="B1153" s="899"/>
      <c r="C1153" s="900"/>
      <c r="D1153" s="894"/>
      <c r="E1153" s="895"/>
      <c r="F1153" s="896"/>
      <c r="G1153" s="897"/>
      <c r="H1153" s="897"/>
      <c r="I1153" s="897"/>
      <c r="J1153" s="897"/>
      <c r="K1153" s="897"/>
      <c r="L1153" s="898"/>
      <c r="M1153" s="898"/>
      <c r="N1153" s="898"/>
      <c r="O1153" s="898"/>
      <c r="P1153" s="898"/>
      <c r="Q1153" s="898"/>
      <c r="R1153" s="898"/>
      <c r="S1153" s="898"/>
      <c r="T1153" s="898"/>
      <c r="U1153" s="898"/>
      <c r="V1153" s="898"/>
      <c r="W1153" s="898"/>
      <c r="X1153" s="898"/>
      <c r="Y1153" s="898"/>
      <c r="Z1153" s="898"/>
      <c r="AA1153" s="898"/>
      <c r="AB1153" s="898"/>
      <c r="AC1153" s="898"/>
      <c r="AD1153" s="898"/>
      <c r="AE1153" s="898"/>
      <c r="AF1153" s="898"/>
      <c r="AG1153" s="898"/>
      <c r="AH1153" s="898"/>
      <c r="AI1153" s="898"/>
      <c r="AJ1153" s="898"/>
      <c r="AK1153" s="897"/>
      <c r="AL1153" s="897"/>
      <c r="AM1153" s="897"/>
      <c r="AN1153" s="897"/>
      <c r="AO1153" s="897"/>
      <c r="AP1153" s="897"/>
      <c r="AQ1153" s="897"/>
      <c r="AR1153" s="897"/>
    </row>
    <row r="1154" spans="1:44" s="930" customFormat="1">
      <c r="A1154" s="892"/>
      <c r="B1154" s="899"/>
      <c r="C1154" s="900"/>
      <c r="D1154" s="894"/>
      <c r="E1154" s="895"/>
      <c r="F1154" s="896"/>
      <c r="G1154" s="897"/>
      <c r="H1154" s="897"/>
      <c r="I1154" s="897"/>
      <c r="J1154" s="897"/>
      <c r="K1154" s="897"/>
      <c r="L1154" s="898"/>
      <c r="M1154" s="898"/>
      <c r="N1154" s="898"/>
      <c r="O1154" s="898"/>
      <c r="P1154" s="898"/>
      <c r="Q1154" s="898"/>
      <c r="R1154" s="898"/>
      <c r="S1154" s="898"/>
      <c r="T1154" s="898"/>
      <c r="U1154" s="898"/>
      <c r="V1154" s="898"/>
      <c r="W1154" s="898"/>
      <c r="X1154" s="898"/>
      <c r="Y1154" s="898"/>
      <c r="Z1154" s="898"/>
      <c r="AA1154" s="898"/>
      <c r="AB1154" s="898"/>
      <c r="AC1154" s="898"/>
      <c r="AD1154" s="898"/>
      <c r="AE1154" s="898"/>
      <c r="AF1154" s="898"/>
      <c r="AG1154" s="898"/>
      <c r="AH1154" s="898"/>
      <c r="AI1154" s="898"/>
      <c r="AJ1154" s="898"/>
      <c r="AK1154" s="897"/>
      <c r="AL1154" s="897"/>
      <c r="AM1154" s="897"/>
      <c r="AN1154" s="897"/>
      <c r="AO1154" s="897"/>
      <c r="AP1154" s="897"/>
      <c r="AQ1154" s="897"/>
      <c r="AR1154" s="897"/>
    </row>
    <row r="1155" spans="1:44" s="930" customFormat="1">
      <c r="A1155" s="892"/>
      <c r="B1155" s="899"/>
      <c r="C1155" s="900"/>
      <c r="D1155" s="894"/>
      <c r="E1155" s="895"/>
      <c r="F1155" s="896"/>
      <c r="G1155" s="897"/>
      <c r="H1155" s="897"/>
      <c r="I1155" s="897"/>
      <c r="J1155" s="897"/>
      <c r="K1155" s="897"/>
      <c r="L1155" s="898"/>
      <c r="M1155" s="898"/>
      <c r="N1155" s="898"/>
      <c r="O1155" s="898"/>
      <c r="P1155" s="898"/>
      <c r="Q1155" s="898"/>
      <c r="R1155" s="898"/>
      <c r="S1155" s="898"/>
      <c r="T1155" s="898"/>
      <c r="U1155" s="898"/>
      <c r="V1155" s="898"/>
      <c r="W1155" s="898"/>
      <c r="X1155" s="898"/>
      <c r="Y1155" s="898"/>
      <c r="Z1155" s="898"/>
      <c r="AA1155" s="898"/>
      <c r="AB1155" s="898"/>
      <c r="AC1155" s="898"/>
      <c r="AD1155" s="898"/>
      <c r="AE1155" s="898"/>
      <c r="AF1155" s="898"/>
      <c r="AG1155" s="898"/>
      <c r="AH1155" s="898"/>
      <c r="AI1155" s="898"/>
      <c r="AJ1155" s="898"/>
      <c r="AK1155" s="897"/>
      <c r="AL1155" s="897"/>
      <c r="AM1155" s="897"/>
      <c r="AN1155" s="897"/>
      <c r="AO1155" s="897"/>
      <c r="AP1155" s="897"/>
      <c r="AQ1155" s="897"/>
      <c r="AR1155" s="897"/>
    </row>
    <row r="1156" spans="1:44" s="930" customFormat="1">
      <c r="A1156" s="892"/>
      <c r="B1156" s="899"/>
      <c r="C1156" s="900"/>
      <c r="D1156" s="894"/>
      <c r="E1156" s="895"/>
      <c r="F1156" s="896"/>
      <c r="G1156" s="897"/>
      <c r="H1156" s="897"/>
      <c r="I1156" s="897"/>
      <c r="J1156" s="897"/>
      <c r="K1156" s="897"/>
      <c r="L1156" s="898"/>
      <c r="M1156" s="898"/>
      <c r="N1156" s="898"/>
      <c r="O1156" s="898"/>
      <c r="P1156" s="898"/>
      <c r="Q1156" s="898"/>
      <c r="R1156" s="898"/>
      <c r="S1156" s="898"/>
      <c r="T1156" s="898"/>
      <c r="U1156" s="898"/>
      <c r="V1156" s="898"/>
      <c r="W1156" s="898"/>
      <c r="X1156" s="898"/>
      <c r="Y1156" s="898"/>
      <c r="Z1156" s="898"/>
      <c r="AA1156" s="898"/>
      <c r="AB1156" s="898"/>
      <c r="AC1156" s="898"/>
      <c r="AD1156" s="898"/>
      <c r="AE1156" s="898"/>
      <c r="AF1156" s="898"/>
      <c r="AG1156" s="898"/>
      <c r="AH1156" s="898"/>
      <c r="AI1156" s="898"/>
      <c r="AJ1156" s="898"/>
      <c r="AK1156" s="897"/>
      <c r="AL1156" s="897"/>
      <c r="AM1156" s="897"/>
      <c r="AN1156" s="897"/>
      <c r="AO1156" s="897"/>
      <c r="AP1156" s="897"/>
      <c r="AQ1156" s="897"/>
      <c r="AR1156" s="897"/>
    </row>
    <row r="1157" spans="1:44" s="930" customFormat="1">
      <c r="A1157" s="892"/>
      <c r="B1157" s="899"/>
      <c r="C1157" s="900"/>
      <c r="D1157" s="894"/>
      <c r="E1157" s="895"/>
      <c r="F1157" s="896"/>
      <c r="G1157" s="897"/>
      <c r="H1157" s="897"/>
      <c r="I1157" s="897"/>
      <c r="J1157" s="897"/>
      <c r="K1157" s="897"/>
      <c r="L1157" s="898"/>
      <c r="M1157" s="898"/>
      <c r="N1157" s="898"/>
      <c r="O1157" s="898"/>
      <c r="P1157" s="898"/>
      <c r="Q1157" s="898"/>
      <c r="R1157" s="898"/>
      <c r="S1157" s="898"/>
      <c r="T1157" s="898"/>
      <c r="U1157" s="898"/>
      <c r="V1157" s="898"/>
      <c r="W1157" s="898"/>
      <c r="X1157" s="898"/>
      <c r="Y1157" s="898"/>
      <c r="Z1157" s="898"/>
      <c r="AA1157" s="898"/>
      <c r="AB1157" s="898"/>
      <c r="AC1157" s="898"/>
      <c r="AD1157" s="898"/>
      <c r="AE1157" s="898"/>
      <c r="AF1157" s="898"/>
      <c r="AG1157" s="898"/>
      <c r="AH1157" s="898"/>
      <c r="AI1157" s="898"/>
      <c r="AJ1157" s="898"/>
      <c r="AK1157" s="897"/>
      <c r="AL1157" s="897"/>
      <c r="AM1157" s="897"/>
      <c r="AN1157" s="897"/>
      <c r="AO1157" s="897"/>
      <c r="AP1157" s="897"/>
      <c r="AQ1157" s="897"/>
      <c r="AR1157" s="897"/>
    </row>
    <row r="1158" spans="1:44" s="930" customFormat="1">
      <c r="A1158" s="892"/>
      <c r="B1158" s="899"/>
      <c r="C1158" s="900"/>
      <c r="D1158" s="894"/>
      <c r="E1158" s="895"/>
      <c r="F1158" s="896"/>
      <c r="G1158" s="897"/>
      <c r="H1158" s="897"/>
      <c r="I1158" s="897"/>
      <c r="J1158" s="897"/>
      <c r="K1158" s="897"/>
      <c r="L1158" s="898"/>
      <c r="M1158" s="898"/>
      <c r="N1158" s="898"/>
      <c r="O1158" s="898"/>
      <c r="P1158" s="898"/>
      <c r="Q1158" s="898"/>
      <c r="R1158" s="898"/>
      <c r="S1158" s="898"/>
      <c r="T1158" s="898"/>
      <c r="U1158" s="898"/>
      <c r="V1158" s="898"/>
      <c r="W1158" s="898"/>
      <c r="X1158" s="898"/>
      <c r="Y1158" s="898"/>
      <c r="Z1158" s="898"/>
      <c r="AA1158" s="898"/>
      <c r="AB1158" s="898"/>
      <c r="AC1158" s="898"/>
      <c r="AD1158" s="898"/>
      <c r="AE1158" s="898"/>
      <c r="AF1158" s="898"/>
      <c r="AG1158" s="898"/>
      <c r="AH1158" s="898"/>
      <c r="AI1158" s="898"/>
      <c r="AJ1158" s="898"/>
      <c r="AK1158" s="897"/>
      <c r="AL1158" s="897"/>
      <c r="AM1158" s="897"/>
      <c r="AN1158" s="897"/>
      <c r="AO1158" s="897"/>
      <c r="AP1158" s="897"/>
      <c r="AQ1158" s="897"/>
      <c r="AR1158" s="897"/>
    </row>
    <row r="1159" spans="1:44" s="930" customFormat="1">
      <c r="A1159" s="892"/>
      <c r="B1159" s="899"/>
      <c r="C1159" s="900"/>
      <c r="D1159" s="894"/>
      <c r="E1159" s="895"/>
      <c r="F1159" s="896"/>
      <c r="G1159" s="897"/>
      <c r="H1159" s="897"/>
      <c r="I1159" s="897"/>
      <c r="J1159" s="897"/>
      <c r="K1159" s="897"/>
      <c r="L1159" s="898"/>
      <c r="M1159" s="898"/>
      <c r="N1159" s="898"/>
      <c r="O1159" s="898"/>
      <c r="P1159" s="898"/>
      <c r="Q1159" s="898"/>
      <c r="R1159" s="898"/>
      <c r="S1159" s="898"/>
      <c r="T1159" s="898"/>
      <c r="U1159" s="898"/>
      <c r="V1159" s="898"/>
      <c r="W1159" s="898"/>
      <c r="X1159" s="898"/>
      <c r="Y1159" s="898"/>
      <c r="Z1159" s="898"/>
      <c r="AA1159" s="898"/>
      <c r="AB1159" s="898"/>
      <c r="AC1159" s="898"/>
      <c r="AD1159" s="898"/>
      <c r="AE1159" s="898"/>
      <c r="AF1159" s="898"/>
      <c r="AG1159" s="898"/>
      <c r="AH1159" s="898"/>
      <c r="AI1159" s="898"/>
      <c r="AJ1159" s="898"/>
      <c r="AK1159" s="897"/>
      <c r="AL1159" s="897"/>
      <c r="AM1159" s="897"/>
      <c r="AN1159" s="897"/>
      <c r="AO1159" s="897"/>
      <c r="AP1159" s="897"/>
      <c r="AQ1159" s="897"/>
      <c r="AR1159" s="897"/>
    </row>
    <row r="1160" spans="1:44" s="930" customFormat="1">
      <c r="A1160" s="892"/>
      <c r="B1160" s="899"/>
      <c r="C1160" s="900"/>
      <c r="D1160" s="894"/>
      <c r="E1160" s="895"/>
      <c r="F1160" s="896"/>
      <c r="G1160" s="897"/>
      <c r="H1160" s="897"/>
      <c r="I1160" s="897"/>
      <c r="J1160" s="897"/>
      <c r="K1160" s="897"/>
      <c r="L1160" s="898"/>
      <c r="M1160" s="898"/>
      <c r="N1160" s="898"/>
      <c r="O1160" s="898"/>
      <c r="P1160" s="898"/>
      <c r="Q1160" s="898"/>
      <c r="R1160" s="898"/>
      <c r="S1160" s="898"/>
      <c r="T1160" s="898"/>
      <c r="U1160" s="898"/>
      <c r="V1160" s="898"/>
      <c r="W1160" s="898"/>
      <c r="X1160" s="898"/>
      <c r="Y1160" s="898"/>
      <c r="Z1160" s="898"/>
      <c r="AA1160" s="898"/>
      <c r="AB1160" s="898"/>
      <c r="AC1160" s="898"/>
      <c r="AD1160" s="898"/>
      <c r="AE1160" s="898"/>
      <c r="AF1160" s="898"/>
      <c r="AG1160" s="898"/>
      <c r="AH1160" s="898"/>
      <c r="AI1160" s="898"/>
      <c r="AJ1160" s="898"/>
      <c r="AK1160" s="897"/>
      <c r="AL1160" s="897"/>
      <c r="AM1160" s="897"/>
      <c r="AN1160" s="897"/>
      <c r="AO1160" s="897"/>
      <c r="AP1160" s="897"/>
      <c r="AQ1160" s="897"/>
      <c r="AR1160" s="897"/>
    </row>
    <row r="1161" spans="1:44" s="930" customFormat="1">
      <c r="A1161" s="892"/>
      <c r="B1161" s="899"/>
      <c r="C1161" s="900"/>
      <c r="D1161" s="894"/>
      <c r="E1161" s="895"/>
      <c r="F1161" s="896"/>
      <c r="G1161" s="897"/>
      <c r="H1161" s="897"/>
      <c r="I1161" s="897"/>
      <c r="J1161" s="897"/>
      <c r="K1161" s="897"/>
      <c r="L1161" s="898"/>
      <c r="M1161" s="898"/>
      <c r="N1161" s="898"/>
      <c r="O1161" s="898"/>
      <c r="P1161" s="898"/>
      <c r="Q1161" s="898"/>
      <c r="R1161" s="898"/>
      <c r="S1161" s="898"/>
      <c r="T1161" s="898"/>
      <c r="U1161" s="898"/>
      <c r="V1161" s="898"/>
      <c r="W1161" s="898"/>
      <c r="X1161" s="898"/>
      <c r="Y1161" s="898"/>
      <c r="Z1161" s="898"/>
      <c r="AA1161" s="898"/>
      <c r="AB1161" s="898"/>
      <c r="AC1161" s="898"/>
      <c r="AD1161" s="898"/>
      <c r="AE1161" s="898"/>
      <c r="AF1161" s="898"/>
      <c r="AG1161" s="898"/>
      <c r="AH1161" s="898"/>
      <c r="AI1161" s="898"/>
      <c r="AJ1161" s="898"/>
      <c r="AK1161" s="897"/>
      <c r="AL1161" s="897"/>
      <c r="AM1161" s="897"/>
      <c r="AN1161" s="897"/>
      <c r="AO1161" s="897"/>
      <c r="AP1161" s="897"/>
      <c r="AQ1161" s="897"/>
      <c r="AR1161" s="897"/>
    </row>
    <row r="1162" spans="1:44" s="930" customFormat="1">
      <c r="A1162" s="892"/>
      <c r="B1162" s="899"/>
      <c r="C1162" s="900"/>
      <c r="D1162" s="894"/>
      <c r="E1162" s="895"/>
      <c r="F1162" s="896"/>
      <c r="G1162" s="897"/>
      <c r="H1162" s="897"/>
      <c r="I1162" s="897"/>
      <c r="J1162" s="897"/>
      <c r="K1162" s="897"/>
      <c r="L1162" s="898"/>
      <c r="M1162" s="898"/>
      <c r="N1162" s="898"/>
      <c r="O1162" s="898"/>
      <c r="P1162" s="898"/>
      <c r="Q1162" s="898"/>
      <c r="R1162" s="898"/>
      <c r="S1162" s="898"/>
      <c r="T1162" s="898"/>
      <c r="U1162" s="898"/>
      <c r="V1162" s="898"/>
      <c r="W1162" s="898"/>
      <c r="X1162" s="898"/>
      <c r="Y1162" s="898"/>
      <c r="Z1162" s="898"/>
      <c r="AA1162" s="898"/>
      <c r="AB1162" s="898"/>
      <c r="AC1162" s="898"/>
      <c r="AD1162" s="898"/>
      <c r="AE1162" s="898"/>
      <c r="AF1162" s="898"/>
      <c r="AG1162" s="898"/>
      <c r="AH1162" s="898"/>
      <c r="AI1162" s="898"/>
      <c r="AJ1162" s="898"/>
      <c r="AK1162" s="897"/>
      <c r="AL1162" s="897"/>
      <c r="AM1162" s="897"/>
      <c r="AN1162" s="897"/>
      <c r="AO1162" s="897"/>
      <c r="AP1162" s="897"/>
      <c r="AQ1162" s="897"/>
      <c r="AR1162" s="897"/>
    </row>
    <row r="1163" spans="1:44" s="930" customFormat="1">
      <c r="A1163" s="892"/>
      <c r="B1163" s="899"/>
      <c r="C1163" s="900"/>
      <c r="D1163" s="894"/>
      <c r="E1163" s="895"/>
      <c r="F1163" s="896"/>
      <c r="G1163" s="897"/>
      <c r="H1163" s="897"/>
      <c r="I1163" s="897"/>
      <c r="J1163" s="897"/>
      <c r="K1163" s="897"/>
      <c r="L1163" s="898"/>
      <c r="M1163" s="898"/>
      <c r="N1163" s="898"/>
      <c r="O1163" s="898"/>
      <c r="P1163" s="898"/>
      <c r="Q1163" s="898"/>
      <c r="R1163" s="898"/>
      <c r="S1163" s="898"/>
      <c r="T1163" s="898"/>
      <c r="U1163" s="898"/>
      <c r="V1163" s="898"/>
      <c r="W1163" s="898"/>
      <c r="X1163" s="898"/>
      <c r="Y1163" s="898"/>
      <c r="Z1163" s="898"/>
      <c r="AA1163" s="898"/>
      <c r="AB1163" s="898"/>
      <c r="AC1163" s="898"/>
      <c r="AD1163" s="898"/>
      <c r="AE1163" s="898"/>
      <c r="AF1163" s="898"/>
      <c r="AG1163" s="898"/>
      <c r="AH1163" s="898"/>
      <c r="AI1163" s="898"/>
      <c r="AJ1163" s="898"/>
      <c r="AK1163" s="897"/>
      <c r="AL1163" s="897"/>
      <c r="AM1163" s="897"/>
      <c r="AN1163" s="897"/>
      <c r="AO1163" s="897"/>
      <c r="AP1163" s="897"/>
      <c r="AQ1163" s="897"/>
      <c r="AR1163" s="897"/>
    </row>
    <row r="1164" spans="1:44" s="930" customFormat="1">
      <c r="A1164" s="892"/>
      <c r="B1164" s="899"/>
      <c r="C1164" s="900"/>
      <c r="D1164" s="894"/>
      <c r="E1164" s="895"/>
      <c r="F1164" s="896"/>
      <c r="G1164" s="897"/>
      <c r="H1164" s="897"/>
      <c r="I1164" s="897"/>
      <c r="J1164" s="897"/>
      <c r="K1164" s="897"/>
      <c r="L1164" s="898"/>
      <c r="M1164" s="898"/>
      <c r="N1164" s="898"/>
      <c r="O1164" s="898"/>
      <c r="P1164" s="898"/>
      <c r="Q1164" s="898"/>
      <c r="R1164" s="898"/>
      <c r="S1164" s="898"/>
      <c r="T1164" s="898"/>
      <c r="U1164" s="898"/>
      <c r="V1164" s="898"/>
      <c r="W1164" s="898"/>
      <c r="X1164" s="898"/>
      <c r="Y1164" s="898"/>
      <c r="Z1164" s="898"/>
      <c r="AA1164" s="898"/>
      <c r="AB1164" s="898"/>
      <c r="AC1164" s="898"/>
      <c r="AD1164" s="898"/>
      <c r="AE1164" s="898"/>
      <c r="AF1164" s="898"/>
      <c r="AG1164" s="898"/>
      <c r="AH1164" s="898"/>
      <c r="AI1164" s="898"/>
      <c r="AJ1164" s="898"/>
      <c r="AK1164" s="897"/>
      <c r="AL1164" s="897"/>
      <c r="AM1164" s="897"/>
      <c r="AN1164" s="897"/>
      <c r="AO1164" s="897"/>
      <c r="AP1164" s="897"/>
      <c r="AQ1164" s="897"/>
      <c r="AR1164" s="897"/>
    </row>
    <row r="1165" spans="1:44" s="930" customFormat="1">
      <c r="A1165" s="892"/>
      <c r="B1165" s="899"/>
      <c r="C1165" s="900"/>
      <c r="D1165" s="894"/>
      <c r="E1165" s="895"/>
      <c r="F1165" s="896"/>
      <c r="G1165" s="897"/>
      <c r="H1165" s="897"/>
      <c r="I1165" s="897"/>
      <c r="J1165" s="897"/>
      <c r="K1165" s="897"/>
      <c r="L1165" s="898"/>
      <c r="M1165" s="898"/>
      <c r="N1165" s="898"/>
      <c r="O1165" s="898"/>
      <c r="P1165" s="898"/>
      <c r="Q1165" s="898"/>
      <c r="R1165" s="898"/>
      <c r="S1165" s="898"/>
      <c r="T1165" s="898"/>
      <c r="U1165" s="898"/>
      <c r="V1165" s="898"/>
      <c r="W1165" s="898"/>
      <c r="X1165" s="898"/>
      <c r="Y1165" s="898"/>
      <c r="Z1165" s="898"/>
      <c r="AA1165" s="898"/>
      <c r="AB1165" s="898"/>
      <c r="AC1165" s="898"/>
      <c r="AD1165" s="898"/>
      <c r="AE1165" s="898"/>
      <c r="AF1165" s="898"/>
      <c r="AG1165" s="898"/>
      <c r="AH1165" s="898"/>
      <c r="AI1165" s="898"/>
      <c r="AJ1165" s="898"/>
      <c r="AK1165" s="897"/>
      <c r="AL1165" s="897"/>
      <c r="AM1165" s="897"/>
      <c r="AN1165" s="897"/>
      <c r="AO1165" s="897"/>
      <c r="AP1165" s="897"/>
      <c r="AQ1165" s="897"/>
      <c r="AR1165" s="897"/>
    </row>
    <row r="1166" spans="1:44" s="930" customFormat="1">
      <c r="A1166" s="892"/>
      <c r="B1166" s="899"/>
      <c r="C1166" s="900"/>
      <c r="D1166" s="894"/>
      <c r="E1166" s="895"/>
      <c r="F1166" s="896"/>
      <c r="G1166" s="897"/>
      <c r="H1166" s="897"/>
      <c r="I1166" s="897"/>
      <c r="J1166" s="897"/>
      <c r="K1166" s="897"/>
      <c r="L1166" s="898"/>
      <c r="M1166" s="898"/>
      <c r="N1166" s="898"/>
      <c r="O1166" s="898"/>
      <c r="P1166" s="898"/>
      <c r="Q1166" s="898"/>
      <c r="R1166" s="898"/>
      <c r="S1166" s="898"/>
      <c r="T1166" s="898"/>
      <c r="U1166" s="898"/>
      <c r="V1166" s="898"/>
      <c r="W1166" s="898"/>
      <c r="X1166" s="898"/>
      <c r="Y1166" s="898"/>
      <c r="Z1166" s="898"/>
      <c r="AA1166" s="898"/>
      <c r="AB1166" s="898"/>
      <c r="AC1166" s="898"/>
      <c r="AD1166" s="898"/>
      <c r="AE1166" s="898"/>
      <c r="AF1166" s="898"/>
      <c r="AG1166" s="898"/>
      <c r="AH1166" s="898"/>
      <c r="AI1166" s="898"/>
      <c r="AJ1166" s="898"/>
      <c r="AK1166" s="897"/>
      <c r="AL1166" s="897"/>
      <c r="AM1166" s="897"/>
      <c r="AN1166" s="897"/>
      <c r="AO1166" s="897"/>
      <c r="AP1166" s="897"/>
      <c r="AQ1166" s="897"/>
      <c r="AR1166" s="897"/>
    </row>
    <row r="1167" spans="1:44" s="930" customFormat="1">
      <c r="A1167" s="892"/>
      <c r="B1167" s="899"/>
      <c r="C1167" s="900"/>
      <c r="D1167" s="894"/>
      <c r="E1167" s="895"/>
      <c r="F1167" s="896"/>
      <c r="G1167" s="897"/>
      <c r="H1167" s="897"/>
      <c r="I1167" s="897"/>
      <c r="J1167" s="897"/>
      <c r="K1167" s="897"/>
      <c r="L1167" s="898"/>
      <c r="M1167" s="898"/>
      <c r="N1167" s="898"/>
      <c r="O1167" s="898"/>
      <c r="P1167" s="898"/>
      <c r="Q1167" s="898"/>
      <c r="R1167" s="898"/>
      <c r="S1167" s="898"/>
      <c r="T1167" s="898"/>
      <c r="U1167" s="898"/>
      <c r="V1167" s="898"/>
      <c r="W1167" s="898"/>
      <c r="X1167" s="898"/>
      <c r="Y1167" s="898"/>
      <c r="Z1167" s="898"/>
      <c r="AA1167" s="898"/>
      <c r="AB1167" s="898"/>
      <c r="AC1167" s="898"/>
      <c r="AD1167" s="898"/>
      <c r="AE1167" s="898"/>
      <c r="AF1167" s="898"/>
      <c r="AG1167" s="898"/>
      <c r="AH1167" s="898"/>
      <c r="AI1167" s="898"/>
      <c r="AJ1167" s="898"/>
      <c r="AK1167" s="897"/>
      <c r="AL1167" s="897"/>
      <c r="AM1167" s="897"/>
      <c r="AN1167" s="897"/>
      <c r="AO1167" s="897"/>
      <c r="AP1167" s="897"/>
      <c r="AQ1167" s="897"/>
      <c r="AR1167" s="897"/>
    </row>
    <row r="1168" spans="1:44" s="930" customFormat="1">
      <c r="A1168" s="892"/>
      <c r="B1168" s="899"/>
      <c r="C1168" s="900"/>
      <c r="D1168" s="894"/>
      <c r="E1168" s="895"/>
      <c r="F1168" s="896"/>
      <c r="G1168" s="897"/>
      <c r="H1168" s="897"/>
      <c r="I1168" s="897"/>
      <c r="J1168" s="897"/>
      <c r="K1168" s="897"/>
      <c r="L1168" s="898"/>
      <c r="M1168" s="898"/>
      <c r="N1168" s="898"/>
      <c r="O1168" s="898"/>
      <c r="P1168" s="898"/>
      <c r="Q1168" s="898"/>
      <c r="R1168" s="898"/>
      <c r="S1168" s="898"/>
      <c r="T1168" s="898"/>
      <c r="U1168" s="898"/>
      <c r="V1168" s="898"/>
      <c r="W1168" s="898"/>
      <c r="X1168" s="898"/>
      <c r="Y1168" s="898"/>
      <c r="Z1168" s="898"/>
      <c r="AA1168" s="898"/>
      <c r="AB1168" s="898"/>
      <c r="AC1168" s="898"/>
      <c r="AD1168" s="898"/>
      <c r="AE1168" s="898"/>
      <c r="AF1168" s="898"/>
      <c r="AG1168" s="898"/>
      <c r="AH1168" s="898"/>
      <c r="AI1168" s="898"/>
      <c r="AJ1168" s="898"/>
      <c r="AK1168" s="897"/>
      <c r="AL1168" s="897"/>
      <c r="AM1168" s="897"/>
      <c r="AN1168" s="897"/>
      <c r="AO1168" s="897"/>
      <c r="AP1168" s="897"/>
      <c r="AQ1168" s="897"/>
      <c r="AR1168" s="897"/>
    </row>
    <row r="1169" spans="1:44" s="930" customFormat="1">
      <c r="A1169" s="892"/>
      <c r="B1169" s="899"/>
      <c r="C1169" s="900"/>
      <c r="D1169" s="894"/>
      <c r="E1169" s="895"/>
      <c r="F1169" s="896"/>
      <c r="G1169" s="897"/>
      <c r="H1169" s="897"/>
      <c r="I1169" s="897"/>
      <c r="J1169" s="897"/>
      <c r="K1169" s="897"/>
      <c r="L1169" s="898"/>
      <c r="M1169" s="898"/>
      <c r="N1169" s="898"/>
      <c r="O1169" s="898"/>
      <c r="P1169" s="898"/>
      <c r="Q1169" s="898"/>
      <c r="R1169" s="898"/>
      <c r="S1169" s="898"/>
      <c r="T1169" s="898"/>
      <c r="U1169" s="898"/>
      <c r="V1169" s="898"/>
      <c r="W1169" s="898"/>
      <c r="X1169" s="898"/>
      <c r="Y1169" s="898"/>
      <c r="Z1169" s="898"/>
      <c r="AA1169" s="898"/>
      <c r="AB1169" s="898"/>
      <c r="AC1169" s="898"/>
      <c r="AD1169" s="898"/>
      <c r="AE1169" s="898"/>
      <c r="AF1169" s="898"/>
      <c r="AG1169" s="898"/>
      <c r="AH1169" s="898"/>
      <c r="AI1169" s="898"/>
      <c r="AJ1169" s="898"/>
      <c r="AK1169" s="897"/>
      <c r="AL1169" s="897"/>
      <c r="AM1169" s="897"/>
      <c r="AN1169" s="897"/>
      <c r="AO1169" s="897"/>
      <c r="AP1169" s="897"/>
      <c r="AQ1169" s="897"/>
      <c r="AR1169" s="897"/>
    </row>
    <row r="1170" spans="1:44" s="930" customFormat="1">
      <c r="A1170" s="892"/>
      <c r="B1170" s="899"/>
      <c r="C1170" s="900"/>
      <c r="D1170" s="894"/>
      <c r="E1170" s="895"/>
      <c r="F1170" s="896"/>
      <c r="G1170" s="897"/>
      <c r="H1170" s="897"/>
      <c r="I1170" s="897"/>
      <c r="J1170" s="897"/>
      <c r="K1170" s="897"/>
      <c r="L1170" s="898"/>
      <c r="M1170" s="898"/>
      <c r="N1170" s="898"/>
      <c r="O1170" s="898"/>
      <c r="P1170" s="898"/>
      <c r="Q1170" s="898"/>
      <c r="R1170" s="898"/>
      <c r="S1170" s="898"/>
      <c r="T1170" s="898"/>
      <c r="U1170" s="898"/>
      <c r="V1170" s="898"/>
      <c r="W1170" s="898"/>
      <c r="X1170" s="898"/>
      <c r="Y1170" s="898"/>
      <c r="Z1170" s="898"/>
      <c r="AA1170" s="898"/>
      <c r="AB1170" s="898"/>
      <c r="AC1170" s="898"/>
      <c r="AD1170" s="898"/>
      <c r="AE1170" s="898"/>
      <c r="AF1170" s="898"/>
      <c r="AG1170" s="898"/>
      <c r="AH1170" s="898"/>
      <c r="AI1170" s="898"/>
      <c r="AJ1170" s="898"/>
      <c r="AK1170" s="897"/>
      <c r="AL1170" s="897"/>
      <c r="AM1170" s="897"/>
      <c r="AN1170" s="897"/>
      <c r="AO1170" s="897"/>
      <c r="AP1170" s="897"/>
      <c r="AQ1170" s="897"/>
      <c r="AR1170" s="897"/>
    </row>
    <row r="1171" spans="1:44" s="930" customFormat="1">
      <c r="A1171" s="892"/>
      <c r="B1171" s="899"/>
      <c r="C1171" s="900"/>
      <c r="D1171" s="894"/>
      <c r="E1171" s="895"/>
      <c r="F1171" s="896"/>
      <c r="G1171" s="897"/>
      <c r="H1171" s="897"/>
      <c r="I1171" s="897"/>
      <c r="J1171" s="897"/>
      <c r="K1171" s="897"/>
      <c r="L1171" s="898"/>
      <c r="M1171" s="898"/>
      <c r="N1171" s="898"/>
      <c r="O1171" s="898"/>
      <c r="P1171" s="898"/>
      <c r="Q1171" s="898"/>
      <c r="R1171" s="898"/>
      <c r="S1171" s="898"/>
      <c r="T1171" s="898"/>
      <c r="U1171" s="898"/>
      <c r="V1171" s="898"/>
      <c r="W1171" s="898"/>
      <c r="X1171" s="898"/>
      <c r="Y1171" s="898"/>
      <c r="Z1171" s="898"/>
      <c r="AA1171" s="898"/>
      <c r="AB1171" s="898"/>
      <c r="AC1171" s="898"/>
      <c r="AD1171" s="898"/>
      <c r="AE1171" s="898"/>
      <c r="AF1171" s="898"/>
      <c r="AG1171" s="898"/>
      <c r="AH1171" s="898"/>
      <c r="AI1171" s="898"/>
      <c r="AJ1171" s="898"/>
      <c r="AK1171" s="897"/>
      <c r="AL1171" s="897"/>
      <c r="AM1171" s="897"/>
      <c r="AN1171" s="897"/>
      <c r="AO1171" s="897"/>
      <c r="AP1171" s="897"/>
      <c r="AQ1171" s="897"/>
      <c r="AR1171" s="897"/>
    </row>
    <row r="1172" spans="1:44" s="930" customFormat="1">
      <c r="A1172" s="892"/>
      <c r="B1172" s="899"/>
      <c r="C1172" s="900"/>
      <c r="D1172" s="894"/>
      <c r="E1172" s="895"/>
      <c r="F1172" s="896"/>
      <c r="G1172" s="897"/>
      <c r="H1172" s="897"/>
      <c r="I1172" s="897"/>
      <c r="J1172" s="897"/>
      <c r="K1172" s="897"/>
      <c r="L1172" s="898"/>
      <c r="M1172" s="898"/>
      <c r="N1172" s="898"/>
      <c r="O1172" s="898"/>
      <c r="P1172" s="898"/>
      <c r="Q1172" s="898"/>
      <c r="R1172" s="898"/>
      <c r="S1172" s="898"/>
      <c r="T1172" s="898"/>
      <c r="U1172" s="898"/>
      <c r="V1172" s="898"/>
      <c r="W1172" s="898"/>
      <c r="X1172" s="898"/>
      <c r="Y1172" s="898"/>
      <c r="Z1172" s="898"/>
      <c r="AA1172" s="898"/>
      <c r="AB1172" s="898"/>
      <c r="AC1172" s="898"/>
      <c r="AD1172" s="898"/>
      <c r="AE1172" s="898"/>
      <c r="AF1172" s="898"/>
      <c r="AG1172" s="898"/>
      <c r="AH1172" s="898"/>
      <c r="AI1172" s="898"/>
      <c r="AJ1172" s="898"/>
      <c r="AK1172" s="897"/>
      <c r="AL1172" s="897"/>
      <c r="AM1172" s="897"/>
      <c r="AN1172" s="897"/>
      <c r="AO1172" s="897"/>
      <c r="AP1172" s="897"/>
      <c r="AQ1172" s="897"/>
      <c r="AR1172" s="897"/>
    </row>
    <row r="1173" spans="1:44" s="930" customFormat="1">
      <c r="A1173" s="892"/>
      <c r="B1173" s="899"/>
      <c r="C1173" s="900"/>
      <c r="D1173" s="894"/>
      <c r="E1173" s="895"/>
      <c r="F1173" s="896"/>
      <c r="G1173" s="897"/>
      <c r="H1173" s="897"/>
      <c r="I1173" s="897"/>
      <c r="J1173" s="897"/>
      <c r="K1173" s="897"/>
      <c r="L1173" s="898"/>
      <c r="M1173" s="898"/>
      <c r="N1173" s="898"/>
      <c r="O1173" s="898"/>
      <c r="P1173" s="898"/>
      <c r="Q1173" s="898"/>
      <c r="R1173" s="898"/>
      <c r="S1173" s="898"/>
      <c r="T1173" s="898"/>
      <c r="U1173" s="898"/>
      <c r="V1173" s="898"/>
      <c r="W1173" s="898"/>
      <c r="X1173" s="898"/>
      <c r="Y1173" s="898"/>
      <c r="Z1173" s="898"/>
      <c r="AA1173" s="898"/>
      <c r="AB1173" s="898"/>
      <c r="AC1173" s="898"/>
      <c r="AD1173" s="898"/>
      <c r="AE1173" s="898"/>
      <c r="AF1173" s="898"/>
      <c r="AG1173" s="898"/>
      <c r="AH1173" s="898"/>
      <c r="AI1173" s="898"/>
      <c r="AJ1173" s="898"/>
      <c r="AK1173" s="897"/>
      <c r="AL1173" s="897"/>
      <c r="AM1173" s="897"/>
      <c r="AN1173" s="897"/>
      <c r="AO1173" s="897"/>
      <c r="AP1173" s="897"/>
      <c r="AQ1173" s="897"/>
      <c r="AR1173" s="897"/>
    </row>
    <row r="1174" spans="1:44" s="930" customFormat="1">
      <c r="A1174" s="892"/>
      <c r="B1174" s="899"/>
      <c r="C1174" s="900"/>
      <c r="D1174" s="894"/>
      <c r="E1174" s="895"/>
      <c r="F1174" s="896"/>
      <c r="G1174" s="897"/>
      <c r="H1174" s="897"/>
      <c r="I1174" s="897"/>
      <c r="J1174" s="897"/>
      <c r="K1174" s="897"/>
      <c r="L1174" s="898"/>
      <c r="M1174" s="898"/>
      <c r="N1174" s="898"/>
      <c r="O1174" s="898"/>
      <c r="P1174" s="898"/>
      <c r="Q1174" s="898"/>
      <c r="R1174" s="898"/>
      <c r="S1174" s="898"/>
      <c r="T1174" s="898"/>
      <c r="U1174" s="898"/>
      <c r="V1174" s="898"/>
      <c r="W1174" s="898"/>
      <c r="X1174" s="898"/>
      <c r="Y1174" s="898"/>
      <c r="Z1174" s="898"/>
      <c r="AA1174" s="898"/>
      <c r="AB1174" s="898"/>
      <c r="AC1174" s="898"/>
      <c r="AD1174" s="898"/>
      <c r="AE1174" s="898"/>
      <c r="AF1174" s="898"/>
      <c r="AG1174" s="898"/>
      <c r="AH1174" s="898"/>
      <c r="AI1174" s="898"/>
      <c r="AJ1174" s="898"/>
      <c r="AK1174" s="897"/>
      <c r="AL1174" s="897"/>
      <c r="AM1174" s="897"/>
      <c r="AN1174" s="897"/>
      <c r="AO1174" s="897"/>
      <c r="AP1174" s="897"/>
      <c r="AQ1174" s="897"/>
      <c r="AR1174" s="897"/>
    </row>
    <row r="1175" spans="1:44" s="930" customFormat="1">
      <c r="A1175" s="892"/>
      <c r="B1175" s="899"/>
      <c r="C1175" s="900"/>
      <c r="D1175" s="894"/>
      <c r="E1175" s="895"/>
      <c r="F1175" s="896"/>
      <c r="G1175" s="897"/>
      <c r="H1175" s="897"/>
      <c r="I1175" s="897"/>
      <c r="J1175" s="897"/>
      <c r="K1175" s="897"/>
      <c r="L1175" s="898"/>
      <c r="M1175" s="898"/>
      <c r="N1175" s="898"/>
      <c r="O1175" s="898"/>
      <c r="P1175" s="898"/>
      <c r="Q1175" s="898"/>
      <c r="R1175" s="898"/>
      <c r="S1175" s="898"/>
      <c r="T1175" s="898"/>
      <c r="U1175" s="898"/>
      <c r="V1175" s="898"/>
      <c r="W1175" s="898"/>
      <c r="X1175" s="898"/>
      <c r="Y1175" s="898"/>
      <c r="Z1175" s="898"/>
      <c r="AA1175" s="898"/>
      <c r="AB1175" s="898"/>
      <c r="AC1175" s="898"/>
      <c r="AD1175" s="898"/>
      <c r="AE1175" s="898"/>
      <c r="AF1175" s="898"/>
      <c r="AG1175" s="898"/>
      <c r="AH1175" s="898"/>
      <c r="AI1175" s="898"/>
      <c r="AJ1175" s="898"/>
      <c r="AK1175" s="897"/>
      <c r="AL1175" s="897"/>
      <c r="AM1175" s="897"/>
      <c r="AN1175" s="897"/>
      <c r="AO1175" s="897"/>
      <c r="AP1175" s="897"/>
      <c r="AQ1175" s="897"/>
      <c r="AR1175" s="897"/>
    </row>
    <row r="1176" spans="1:44" s="930" customFormat="1">
      <c r="A1176" s="892"/>
      <c r="B1176" s="899"/>
      <c r="C1176" s="900"/>
      <c r="D1176" s="894"/>
      <c r="E1176" s="895"/>
      <c r="F1176" s="896"/>
      <c r="G1176" s="897"/>
      <c r="H1176" s="897"/>
      <c r="I1176" s="897"/>
      <c r="J1176" s="897"/>
      <c r="K1176" s="897"/>
      <c r="L1176" s="898"/>
      <c r="M1176" s="898"/>
      <c r="N1176" s="898"/>
      <c r="O1176" s="898"/>
      <c r="P1176" s="898"/>
      <c r="Q1176" s="898"/>
      <c r="R1176" s="898"/>
      <c r="S1176" s="898"/>
      <c r="T1176" s="898"/>
      <c r="U1176" s="898"/>
      <c r="V1176" s="898"/>
      <c r="W1176" s="898"/>
      <c r="X1176" s="898"/>
      <c r="Y1176" s="898"/>
      <c r="Z1176" s="898"/>
      <c r="AA1176" s="898"/>
      <c r="AB1176" s="898"/>
      <c r="AC1176" s="898"/>
      <c r="AD1176" s="898"/>
      <c r="AE1176" s="898"/>
      <c r="AF1176" s="898"/>
      <c r="AG1176" s="898"/>
      <c r="AH1176" s="898"/>
      <c r="AI1176" s="898"/>
      <c r="AJ1176" s="898"/>
      <c r="AK1176" s="897"/>
      <c r="AL1176" s="897"/>
      <c r="AM1176" s="897"/>
      <c r="AN1176" s="897"/>
      <c r="AO1176" s="897"/>
      <c r="AP1176" s="897"/>
      <c r="AQ1176" s="897"/>
      <c r="AR1176" s="897"/>
    </row>
    <row r="1177" spans="1:44" s="930" customFormat="1">
      <c r="A1177" s="892"/>
      <c r="B1177" s="899"/>
      <c r="C1177" s="900"/>
      <c r="D1177" s="894"/>
      <c r="E1177" s="895"/>
      <c r="F1177" s="896"/>
      <c r="G1177" s="897"/>
      <c r="H1177" s="897"/>
      <c r="I1177" s="897"/>
      <c r="J1177" s="897"/>
      <c r="K1177" s="897"/>
      <c r="L1177" s="898"/>
      <c r="M1177" s="898"/>
      <c r="N1177" s="898"/>
      <c r="O1177" s="898"/>
      <c r="P1177" s="898"/>
      <c r="Q1177" s="898"/>
      <c r="R1177" s="898"/>
      <c r="S1177" s="898"/>
      <c r="T1177" s="898"/>
      <c r="U1177" s="898"/>
      <c r="V1177" s="898"/>
      <c r="W1177" s="898"/>
      <c r="X1177" s="898"/>
      <c r="Y1177" s="898"/>
      <c r="Z1177" s="898"/>
      <c r="AA1177" s="898"/>
      <c r="AB1177" s="898"/>
      <c r="AC1177" s="898"/>
      <c r="AD1177" s="898"/>
      <c r="AE1177" s="898"/>
      <c r="AF1177" s="898"/>
      <c r="AG1177" s="898"/>
      <c r="AH1177" s="898"/>
      <c r="AI1177" s="898"/>
      <c r="AJ1177" s="898"/>
      <c r="AK1177" s="897"/>
      <c r="AL1177" s="897"/>
      <c r="AM1177" s="897"/>
      <c r="AN1177" s="897"/>
      <c r="AO1177" s="897"/>
      <c r="AP1177" s="897"/>
      <c r="AQ1177" s="897"/>
      <c r="AR1177" s="897"/>
    </row>
    <row r="1178" spans="1:44" s="930" customFormat="1">
      <c r="A1178" s="892"/>
      <c r="B1178" s="899"/>
      <c r="C1178" s="900"/>
      <c r="D1178" s="894"/>
      <c r="E1178" s="895"/>
      <c r="F1178" s="896"/>
      <c r="G1178" s="897"/>
      <c r="H1178" s="897"/>
      <c r="I1178" s="897"/>
      <c r="J1178" s="897"/>
      <c r="K1178" s="897"/>
      <c r="L1178" s="898"/>
      <c r="M1178" s="898"/>
      <c r="N1178" s="898"/>
      <c r="O1178" s="898"/>
      <c r="P1178" s="898"/>
      <c r="Q1178" s="898"/>
      <c r="R1178" s="898"/>
      <c r="S1178" s="898"/>
      <c r="T1178" s="898"/>
      <c r="U1178" s="898"/>
      <c r="V1178" s="898"/>
      <c r="W1178" s="898"/>
      <c r="X1178" s="898"/>
      <c r="Y1178" s="898"/>
      <c r="Z1178" s="898"/>
      <c r="AA1178" s="898"/>
      <c r="AB1178" s="898"/>
      <c r="AC1178" s="898"/>
      <c r="AD1178" s="898"/>
      <c r="AE1178" s="898"/>
      <c r="AF1178" s="898"/>
      <c r="AG1178" s="898"/>
      <c r="AH1178" s="898"/>
      <c r="AI1178" s="898"/>
      <c r="AJ1178" s="898"/>
      <c r="AK1178" s="897"/>
      <c r="AL1178" s="897"/>
      <c r="AM1178" s="897"/>
      <c r="AN1178" s="897"/>
      <c r="AO1178" s="897"/>
      <c r="AP1178" s="897"/>
      <c r="AQ1178" s="897"/>
      <c r="AR1178" s="897"/>
    </row>
    <row r="1179" spans="1:44" s="930" customFormat="1">
      <c r="A1179" s="892"/>
      <c r="B1179" s="899"/>
      <c r="C1179" s="900"/>
      <c r="D1179" s="894"/>
      <c r="E1179" s="895"/>
      <c r="F1179" s="896"/>
      <c r="G1179" s="897"/>
      <c r="H1179" s="897"/>
      <c r="I1179" s="897"/>
      <c r="J1179" s="897"/>
      <c r="K1179" s="897"/>
      <c r="L1179" s="898"/>
      <c r="M1179" s="898"/>
      <c r="N1179" s="898"/>
      <c r="O1179" s="898"/>
      <c r="P1179" s="898"/>
      <c r="Q1179" s="898"/>
      <c r="R1179" s="898"/>
      <c r="S1179" s="898"/>
      <c r="T1179" s="898"/>
      <c r="U1179" s="898"/>
      <c r="V1179" s="898"/>
      <c r="W1179" s="898"/>
      <c r="X1179" s="898"/>
      <c r="Y1179" s="898"/>
      <c r="Z1179" s="898"/>
      <c r="AA1179" s="898"/>
      <c r="AB1179" s="898"/>
      <c r="AC1179" s="898"/>
      <c r="AD1179" s="898"/>
      <c r="AE1179" s="898"/>
      <c r="AF1179" s="898"/>
      <c r="AG1179" s="898"/>
      <c r="AH1179" s="898"/>
      <c r="AI1179" s="898"/>
      <c r="AJ1179" s="898"/>
      <c r="AK1179" s="897"/>
      <c r="AL1179" s="897"/>
      <c r="AM1179" s="897"/>
      <c r="AN1179" s="897"/>
      <c r="AO1179" s="897"/>
      <c r="AP1179" s="897"/>
      <c r="AQ1179" s="897"/>
      <c r="AR1179" s="897"/>
    </row>
    <row r="1180" spans="1:44" s="930" customFormat="1">
      <c r="A1180" s="892"/>
      <c r="B1180" s="899"/>
      <c r="C1180" s="900"/>
      <c r="D1180" s="894"/>
      <c r="E1180" s="895"/>
      <c r="F1180" s="896"/>
      <c r="G1180" s="897"/>
      <c r="H1180" s="897"/>
      <c r="I1180" s="897"/>
      <c r="J1180" s="897"/>
      <c r="K1180" s="897"/>
      <c r="L1180" s="898"/>
      <c r="M1180" s="898"/>
      <c r="N1180" s="898"/>
      <c r="O1180" s="898"/>
      <c r="P1180" s="898"/>
      <c r="Q1180" s="898"/>
      <c r="R1180" s="898"/>
      <c r="S1180" s="898"/>
      <c r="T1180" s="898"/>
      <c r="U1180" s="898"/>
      <c r="V1180" s="898"/>
      <c r="W1180" s="898"/>
      <c r="X1180" s="898"/>
      <c r="Y1180" s="898"/>
      <c r="Z1180" s="898"/>
      <c r="AA1180" s="898"/>
      <c r="AB1180" s="898"/>
      <c r="AC1180" s="898"/>
      <c r="AD1180" s="898"/>
      <c r="AE1180" s="898"/>
      <c r="AF1180" s="898"/>
      <c r="AG1180" s="898"/>
      <c r="AH1180" s="898"/>
      <c r="AI1180" s="898"/>
      <c r="AJ1180" s="898"/>
      <c r="AK1180" s="897"/>
      <c r="AL1180" s="897"/>
      <c r="AM1180" s="897"/>
      <c r="AN1180" s="897"/>
      <c r="AO1180" s="897"/>
      <c r="AP1180" s="897"/>
      <c r="AQ1180" s="897"/>
      <c r="AR1180" s="897"/>
    </row>
    <row r="1181" spans="1:44" s="930" customFormat="1">
      <c r="A1181" s="892"/>
      <c r="B1181" s="899"/>
      <c r="C1181" s="900"/>
      <c r="D1181" s="894"/>
      <c r="E1181" s="895"/>
      <c r="F1181" s="896"/>
      <c r="G1181" s="897"/>
      <c r="H1181" s="897"/>
      <c r="I1181" s="897"/>
      <c r="J1181" s="897"/>
      <c r="K1181" s="897"/>
      <c r="L1181" s="898"/>
      <c r="M1181" s="898"/>
      <c r="N1181" s="898"/>
      <c r="O1181" s="898"/>
      <c r="P1181" s="898"/>
      <c r="Q1181" s="898"/>
      <c r="R1181" s="898"/>
      <c r="S1181" s="898"/>
      <c r="T1181" s="898"/>
      <c r="U1181" s="898"/>
      <c r="V1181" s="898"/>
      <c r="W1181" s="898"/>
      <c r="X1181" s="898"/>
      <c r="Y1181" s="898"/>
      <c r="Z1181" s="898"/>
      <c r="AA1181" s="898"/>
      <c r="AB1181" s="898"/>
      <c r="AC1181" s="898"/>
      <c r="AD1181" s="898"/>
      <c r="AE1181" s="898"/>
      <c r="AF1181" s="898"/>
      <c r="AG1181" s="898"/>
      <c r="AH1181" s="898"/>
      <c r="AI1181" s="898"/>
      <c r="AJ1181" s="898"/>
      <c r="AK1181" s="897"/>
      <c r="AL1181" s="897"/>
      <c r="AM1181" s="897"/>
      <c r="AN1181" s="897"/>
      <c r="AO1181" s="897"/>
      <c r="AP1181" s="897"/>
      <c r="AQ1181" s="897"/>
      <c r="AR1181" s="897"/>
    </row>
    <row r="1182" spans="1:44" s="930" customFormat="1">
      <c r="A1182" s="892"/>
      <c r="B1182" s="899"/>
      <c r="C1182" s="900"/>
      <c r="D1182" s="894"/>
      <c r="E1182" s="895"/>
      <c r="F1182" s="896"/>
      <c r="G1182" s="897"/>
      <c r="H1182" s="897"/>
      <c r="I1182" s="897"/>
      <c r="J1182" s="897"/>
      <c r="K1182" s="897"/>
      <c r="L1182" s="898"/>
      <c r="M1182" s="898"/>
      <c r="N1182" s="898"/>
      <c r="O1182" s="898"/>
      <c r="P1182" s="898"/>
      <c r="Q1182" s="898"/>
      <c r="R1182" s="898"/>
      <c r="S1182" s="898"/>
      <c r="T1182" s="898"/>
      <c r="U1182" s="898"/>
      <c r="V1182" s="898"/>
      <c r="W1182" s="898"/>
      <c r="X1182" s="898"/>
      <c r="Y1182" s="898"/>
      <c r="Z1182" s="898"/>
      <c r="AA1182" s="898"/>
      <c r="AB1182" s="898"/>
      <c r="AC1182" s="898"/>
      <c r="AD1182" s="898"/>
      <c r="AE1182" s="898"/>
      <c r="AF1182" s="898"/>
      <c r="AG1182" s="898"/>
      <c r="AH1182" s="898"/>
      <c r="AI1182" s="898"/>
      <c r="AJ1182" s="898"/>
      <c r="AK1182" s="897"/>
      <c r="AL1182" s="897"/>
      <c r="AM1182" s="897"/>
      <c r="AN1182" s="897"/>
      <c r="AO1182" s="897"/>
      <c r="AP1182" s="897"/>
      <c r="AQ1182" s="897"/>
      <c r="AR1182" s="897"/>
    </row>
    <row r="1183" spans="1:44" s="930" customFormat="1">
      <c r="A1183" s="892"/>
      <c r="B1183" s="899"/>
      <c r="C1183" s="900"/>
      <c r="D1183" s="894"/>
      <c r="E1183" s="895"/>
      <c r="F1183" s="896"/>
      <c r="G1183" s="897"/>
      <c r="H1183" s="897"/>
      <c r="I1183" s="897"/>
      <c r="J1183" s="897"/>
      <c r="K1183" s="897"/>
      <c r="L1183" s="898"/>
      <c r="M1183" s="898"/>
      <c r="N1183" s="898"/>
      <c r="O1183" s="898"/>
      <c r="P1183" s="898"/>
      <c r="Q1183" s="898"/>
      <c r="R1183" s="898"/>
      <c r="S1183" s="898"/>
      <c r="T1183" s="898"/>
      <c r="U1183" s="898"/>
      <c r="V1183" s="898"/>
      <c r="W1183" s="898"/>
      <c r="X1183" s="898"/>
      <c r="Y1183" s="898"/>
      <c r="Z1183" s="898"/>
      <c r="AA1183" s="898"/>
      <c r="AB1183" s="898"/>
      <c r="AC1183" s="898"/>
      <c r="AD1183" s="898"/>
      <c r="AE1183" s="898"/>
      <c r="AF1183" s="898"/>
      <c r="AG1183" s="898"/>
      <c r="AH1183" s="898"/>
      <c r="AI1183" s="898"/>
      <c r="AJ1183" s="898"/>
      <c r="AK1183" s="897"/>
      <c r="AL1183" s="897"/>
      <c r="AM1183" s="897"/>
      <c r="AN1183" s="897"/>
      <c r="AO1183" s="897"/>
      <c r="AP1183" s="897"/>
      <c r="AQ1183" s="897"/>
      <c r="AR1183" s="897"/>
    </row>
    <row r="1184" spans="1:44" s="930" customFormat="1">
      <c r="A1184" s="892"/>
      <c r="B1184" s="899"/>
      <c r="C1184" s="900"/>
      <c r="D1184" s="894"/>
      <c r="E1184" s="895"/>
      <c r="F1184" s="896"/>
      <c r="G1184" s="897"/>
      <c r="H1184" s="897"/>
      <c r="I1184" s="897"/>
      <c r="J1184" s="897"/>
      <c r="K1184" s="897"/>
      <c r="L1184" s="898"/>
      <c r="M1184" s="898"/>
      <c r="N1184" s="898"/>
      <c r="O1184" s="898"/>
      <c r="P1184" s="898"/>
      <c r="Q1184" s="898"/>
      <c r="R1184" s="898"/>
      <c r="S1184" s="898"/>
      <c r="T1184" s="898"/>
      <c r="U1184" s="898"/>
      <c r="V1184" s="898"/>
      <c r="W1184" s="898"/>
      <c r="X1184" s="898"/>
      <c r="Y1184" s="898"/>
      <c r="Z1184" s="898"/>
      <c r="AA1184" s="898"/>
      <c r="AB1184" s="898"/>
      <c r="AC1184" s="898"/>
      <c r="AD1184" s="898"/>
      <c r="AE1184" s="898"/>
      <c r="AF1184" s="898"/>
      <c r="AG1184" s="898"/>
      <c r="AH1184" s="898"/>
      <c r="AI1184" s="898"/>
      <c r="AJ1184" s="898"/>
      <c r="AK1184" s="897"/>
      <c r="AL1184" s="897"/>
      <c r="AM1184" s="897"/>
      <c r="AN1184" s="897"/>
      <c r="AO1184" s="897"/>
      <c r="AP1184" s="897"/>
      <c r="AQ1184" s="897"/>
      <c r="AR1184" s="897"/>
    </row>
    <row r="1185" spans="1:44" s="930" customFormat="1">
      <c r="A1185" s="892"/>
      <c r="B1185" s="899"/>
      <c r="C1185" s="900"/>
      <c r="D1185" s="894"/>
      <c r="E1185" s="895"/>
      <c r="F1185" s="896"/>
      <c r="G1185" s="897"/>
      <c r="H1185" s="897"/>
      <c r="I1185" s="897"/>
      <c r="J1185" s="897"/>
      <c r="K1185" s="897"/>
      <c r="L1185" s="898"/>
      <c r="M1185" s="898"/>
      <c r="N1185" s="898"/>
      <c r="O1185" s="898"/>
      <c r="P1185" s="898"/>
      <c r="Q1185" s="898"/>
      <c r="R1185" s="898"/>
      <c r="S1185" s="898"/>
      <c r="T1185" s="898"/>
      <c r="U1185" s="898"/>
      <c r="V1185" s="898"/>
      <c r="W1185" s="898"/>
      <c r="X1185" s="898"/>
      <c r="Y1185" s="898"/>
      <c r="Z1185" s="898"/>
      <c r="AA1185" s="898"/>
      <c r="AB1185" s="898"/>
      <c r="AC1185" s="898"/>
      <c r="AD1185" s="898"/>
      <c r="AE1185" s="898"/>
      <c r="AF1185" s="898"/>
      <c r="AG1185" s="898"/>
      <c r="AH1185" s="898"/>
      <c r="AI1185" s="898"/>
      <c r="AJ1185" s="898"/>
      <c r="AK1185" s="897"/>
      <c r="AL1185" s="897"/>
      <c r="AM1185" s="897"/>
      <c r="AN1185" s="897"/>
      <c r="AO1185" s="897"/>
      <c r="AP1185" s="897"/>
      <c r="AQ1185" s="897"/>
      <c r="AR1185" s="897"/>
    </row>
    <row r="1186" spans="1:44" s="930" customFormat="1">
      <c r="A1186" s="892"/>
      <c r="B1186" s="899"/>
      <c r="C1186" s="900"/>
      <c r="D1186" s="894"/>
      <c r="E1186" s="895"/>
      <c r="F1186" s="896"/>
      <c r="G1186" s="897"/>
      <c r="H1186" s="897"/>
      <c r="I1186" s="897"/>
      <c r="J1186" s="897"/>
      <c r="K1186" s="897"/>
      <c r="L1186" s="898"/>
      <c r="M1186" s="898"/>
      <c r="N1186" s="898"/>
      <c r="O1186" s="898"/>
      <c r="P1186" s="898"/>
      <c r="Q1186" s="898"/>
      <c r="R1186" s="898"/>
      <c r="S1186" s="898"/>
      <c r="T1186" s="898"/>
      <c r="U1186" s="898"/>
      <c r="V1186" s="898"/>
      <c r="W1186" s="898"/>
      <c r="X1186" s="898"/>
      <c r="Y1186" s="898"/>
      <c r="Z1186" s="898"/>
      <c r="AA1186" s="898"/>
      <c r="AB1186" s="898"/>
      <c r="AC1186" s="898"/>
      <c r="AD1186" s="898"/>
      <c r="AE1186" s="898"/>
      <c r="AF1186" s="898"/>
      <c r="AG1186" s="898"/>
      <c r="AH1186" s="898"/>
      <c r="AI1186" s="898"/>
      <c r="AJ1186" s="898"/>
      <c r="AK1186" s="897"/>
      <c r="AL1186" s="897"/>
      <c r="AM1186" s="897"/>
      <c r="AN1186" s="897"/>
      <c r="AO1186" s="897"/>
      <c r="AP1186" s="897"/>
      <c r="AQ1186" s="897"/>
      <c r="AR1186" s="897"/>
    </row>
    <row r="1187" spans="1:44" s="930" customFormat="1">
      <c r="A1187" s="892"/>
      <c r="B1187" s="899"/>
      <c r="C1187" s="900"/>
      <c r="D1187" s="894"/>
      <c r="E1187" s="895"/>
      <c r="F1187" s="896"/>
      <c r="G1187" s="897"/>
      <c r="H1187" s="897"/>
      <c r="I1187" s="897"/>
      <c r="J1187" s="897"/>
      <c r="K1187" s="897"/>
      <c r="L1187" s="898"/>
      <c r="M1187" s="898"/>
      <c r="N1187" s="898"/>
      <c r="O1187" s="898"/>
      <c r="P1187" s="898"/>
      <c r="Q1187" s="898"/>
      <c r="R1187" s="898"/>
      <c r="S1187" s="898"/>
      <c r="T1187" s="898"/>
      <c r="U1187" s="898"/>
      <c r="V1187" s="898"/>
      <c r="W1187" s="898"/>
      <c r="X1187" s="898"/>
      <c r="Y1187" s="898"/>
      <c r="Z1187" s="898"/>
      <c r="AA1187" s="898"/>
      <c r="AB1187" s="898"/>
      <c r="AC1187" s="898"/>
      <c r="AD1187" s="898"/>
      <c r="AE1187" s="898"/>
      <c r="AF1187" s="898"/>
      <c r="AG1187" s="898"/>
      <c r="AH1187" s="898"/>
      <c r="AI1187" s="898"/>
      <c r="AJ1187" s="898"/>
      <c r="AK1187" s="897"/>
      <c r="AL1187" s="897"/>
      <c r="AM1187" s="897"/>
      <c r="AN1187" s="897"/>
      <c r="AO1187" s="897"/>
      <c r="AP1187" s="897"/>
      <c r="AQ1187" s="897"/>
      <c r="AR1187" s="897"/>
    </row>
    <row r="1188" spans="1:44" s="930" customFormat="1">
      <c r="A1188" s="892"/>
      <c r="B1188" s="899"/>
      <c r="C1188" s="900"/>
      <c r="D1188" s="894"/>
      <c r="E1188" s="895"/>
      <c r="F1188" s="896"/>
      <c r="G1188" s="897"/>
      <c r="H1188" s="897"/>
      <c r="I1188" s="897"/>
      <c r="J1188" s="897"/>
      <c r="K1188" s="897"/>
      <c r="L1188" s="898"/>
      <c r="M1188" s="898"/>
      <c r="N1188" s="898"/>
      <c r="O1188" s="898"/>
      <c r="P1188" s="898"/>
      <c r="Q1188" s="898"/>
      <c r="R1188" s="898"/>
      <c r="S1188" s="898"/>
      <c r="T1188" s="898"/>
      <c r="U1188" s="898"/>
      <c r="V1188" s="898"/>
      <c r="W1188" s="898"/>
      <c r="X1188" s="898"/>
      <c r="Y1188" s="898"/>
      <c r="Z1188" s="898"/>
      <c r="AA1188" s="898"/>
      <c r="AB1188" s="898"/>
      <c r="AC1188" s="898"/>
      <c r="AD1188" s="898"/>
      <c r="AE1188" s="898"/>
      <c r="AF1188" s="898"/>
      <c r="AG1188" s="898"/>
      <c r="AH1188" s="898"/>
      <c r="AI1188" s="898"/>
      <c r="AJ1188" s="898"/>
      <c r="AK1188" s="897"/>
      <c r="AL1188" s="897"/>
      <c r="AM1188" s="897"/>
      <c r="AN1188" s="897"/>
      <c r="AO1188" s="897"/>
      <c r="AP1188" s="897"/>
      <c r="AQ1188" s="897"/>
      <c r="AR1188" s="897"/>
    </row>
    <row r="1189" spans="1:44" s="930" customFormat="1">
      <c r="A1189" s="892"/>
      <c r="B1189" s="899"/>
      <c r="C1189" s="900"/>
      <c r="D1189" s="894"/>
      <c r="E1189" s="895"/>
      <c r="F1189" s="896"/>
      <c r="G1189" s="897"/>
      <c r="H1189" s="897"/>
      <c r="I1189" s="897"/>
      <c r="J1189" s="897"/>
      <c r="K1189" s="897"/>
      <c r="L1189" s="898"/>
      <c r="M1189" s="898"/>
      <c r="N1189" s="898"/>
      <c r="O1189" s="898"/>
      <c r="P1189" s="898"/>
      <c r="Q1189" s="898"/>
      <c r="R1189" s="898"/>
      <c r="S1189" s="898"/>
      <c r="T1189" s="898"/>
      <c r="U1189" s="898"/>
      <c r="V1189" s="898"/>
      <c r="W1189" s="898"/>
      <c r="X1189" s="898"/>
      <c r="Y1189" s="898"/>
      <c r="Z1189" s="898"/>
      <c r="AA1189" s="898"/>
      <c r="AB1189" s="898"/>
      <c r="AC1189" s="898"/>
      <c r="AD1189" s="898"/>
      <c r="AE1189" s="898"/>
      <c r="AF1189" s="898"/>
      <c r="AG1189" s="898"/>
      <c r="AH1189" s="898"/>
      <c r="AI1189" s="898"/>
      <c r="AJ1189" s="898"/>
      <c r="AK1189" s="897"/>
      <c r="AL1189" s="897"/>
      <c r="AM1189" s="897"/>
      <c r="AN1189" s="897"/>
      <c r="AO1189" s="897"/>
      <c r="AP1189" s="897"/>
      <c r="AQ1189" s="897"/>
      <c r="AR1189" s="897"/>
    </row>
    <row r="1190" spans="1:44" s="930" customFormat="1">
      <c r="A1190" s="892"/>
      <c r="B1190" s="899"/>
      <c r="C1190" s="900"/>
      <c r="D1190" s="894"/>
      <c r="E1190" s="895"/>
      <c r="F1190" s="896"/>
      <c r="G1190" s="897"/>
      <c r="H1190" s="897"/>
      <c r="I1190" s="897"/>
      <c r="J1190" s="897"/>
      <c r="K1190" s="897"/>
      <c r="L1190" s="898"/>
      <c r="M1190" s="898"/>
      <c r="N1190" s="898"/>
      <c r="O1190" s="898"/>
      <c r="P1190" s="898"/>
      <c r="Q1190" s="898"/>
      <c r="R1190" s="898"/>
      <c r="S1190" s="898"/>
      <c r="T1190" s="898"/>
      <c r="U1190" s="898"/>
      <c r="V1190" s="898"/>
      <c r="W1190" s="898"/>
      <c r="X1190" s="898"/>
      <c r="Y1190" s="898"/>
      <c r="Z1190" s="898"/>
      <c r="AA1190" s="898"/>
      <c r="AB1190" s="898"/>
      <c r="AC1190" s="898"/>
      <c r="AD1190" s="898"/>
      <c r="AE1190" s="898"/>
      <c r="AF1190" s="898"/>
      <c r="AG1190" s="898"/>
      <c r="AH1190" s="898"/>
      <c r="AI1190" s="898"/>
      <c r="AJ1190" s="898"/>
      <c r="AK1190" s="897"/>
      <c r="AL1190" s="897"/>
      <c r="AM1190" s="897"/>
      <c r="AN1190" s="897"/>
      <c r="AO1190" s="897"/>
      <c r="AP1190" s="897"/>
      <c r="AQ1190" s="897"/>
      <c r="AR1190" s="897"/>
    </row>
    <row r="1191" spans="1:44" s="930" customFormat="1">
      <c r="A1191" s="892"/>
      <c r="B1191" s="899"/>
      <c r="C1191" s="900"/>
      <c r="D1191" s="894"/>
      <c r="E1191" s="895"/>
      <c r="F1191" s="896"/>
      <c r="G1191" s="897"/>
      <c r="H1191" s="897"/>
      <c r="I1191" s="897"/>
      <c r="J1191" s="897"/>
      <c r="K1191" s="897"/>
      <c r="L1191" s="898"/>
      <c r="M1191" s="898"/>
      <c r="N1191" s="898"/>
      <c r="O1191" s="898"/>
      <c r="P1191" s="898"/>
      <c r="Q1191" s="898"/>
      <c r="R1191" s="898"/>
      <c r="S1191" s="898"/>
      <c r="T1191" s="898"/>
      <c r="U1191" s="898"/>
      <c r="V1191" s="898"/>
      <c r="W1191" s="898"/>
      <c r="X1191" s="898"/>
      <c r="Y1191" s="898"/>
      <c r="Z1191" s="898"/>
      <c r="AA1191" s="898"/>
      <c r="AB1191" s="898"/>
      <c r="AC1191" s="898"/>
      <c r="AD1191" s="898"/>
      <c r="AE1191" s="898"/>
      <c r="AF1191" s="898"/>
      <c r="AG1191" s="898"/>
      <c r="AH1191" s="898"/>
      <c r="AI1191" s="898"/>
      <c r="AJ1191" s="898"/>
      <c r="AK1191" s="897"/>
      <c r="AL1191" s="897"/>
      <c r="AM1191" s="897"/>
      <c r="AN1191" s="897"/>
      <c r="AO1191" s="897"/>
      <c r="AP1191" s="897"/>
      <c r="AQ1191" s="897"/>
      <c r="AR1191" s="897"/>
    </row>
    <row r="1192" spans="1:44" s="930" customFormat="1">
      <c r="A1192" s="892"/>
      <c r="B1192" s="899"/>
      <c r="C1192" s="900"/>
      <c r="D1192" s="894"/>
      <c r="E1192" s="895"/>
      <c r="F1192" s="896"/>
      <c r="G1192" s="897"/>
      <c r="H1192" s="897"/>
      <c r="I1192" s="897"/>
      <c r="J1192" s="897"/>
      <c r="K1192" s="897"/>
      <c r="L1192" s="898"/>
      <c r="M1192" s="898"/>
      <c r="N1192" s="898"/>
      <c r="O1192" s="898"/>
      <c r="P1192" s="898"/>
      <c r="Q1192" s="898"/>
      <c r="R1192" s="898"/>
      <c r="S1192" s="898"/>
      <c r="T1192" s="898"/>
      <c r="U1192" s="898"/>
      <c r="V1192" s="898"/>
      <c r="W1192" s="898"/>
      <c r="X1192" s="898"/>
      <c r="Y1192" s="898"/>
      <c r="Z1192" s="898"/>
      <c r="AA1192" s="898"/>
      <c r="AB1192" s="898"/>
      <c r="AC1192" s="898"/>
      <c r="AD1192" s="898"/>
      <c r="AE1192" s="898"/>
      <c r="AF1192" s="898"/>
      <c r="AG1192" s="898"/>
      <c r="AH1192" s="898"/>
      <c r="AI1192" s="898"/>
      <c r="AJ1192" s="898"/>
      <c r="AK1192" s="897"/>
      <c r="AL1192" s="897"/>
      <c r="AM1192" s="897"/>
      <c r="AN1192" s="897"/>
      <c r="AO1192" s="897"/>
      <c r="AP1192" s="897"/>
      <c r="AQ1192" s="897"/>
      <c r="AR1192" s="897"/>
    </row>
    <row r="1193" spans="1:44" s="930" customFormat="1">
      <c r="A1193" s="892"/>
      <c r="B1193" s="899"/>
      <c r="C1193" s="900"/>
      <c r="D1193" s="894"/>
      <c r="E1193" s="895"/>
      <c r="F1193" s="896"/>
      <c r="G1193" s="897"/>
      <c r="H1193" s="897"/>
      <c r="I1193" s="897"/>
      <c r="J1193" s="897"/>
      <c r="K1193" s="897"/>
      <c r="L1193" s="898"/>
      <c r="M1193" s="898"/>
      <c r="N1193" s="898"/>
      <c r="O1193" s="898"/>
      <c r="P1193" s="898"/>
      <c r="Q1193" s="898"/>
      <c r="R1193" s="898"/>
      <c r="S1193" s="898"/>
      <c r="T1193" s="898"/>
      <c r="U1193" s="898"/>
      <c r="V1193" s="898"/>
      <c r="W1193" s="898"/>
      <c r="X1193" s="898"/>
      <c r="Y1193" s="898"/>
      <c r="Z1193" s="898"/>
      <c r="AA1193" s="898"/>
      <c r="AB1193" s="898"/>
      <c r="AC1193" s="898"/>
      <c r="AD1193" s="898"/>
      <c r="AE1193" s="898"/>
      <c r="AF1193" s="898"/>
      <c r="AG1193" s="898"/>
      <c r="AH1193" s="898"/>
      <c r="AI1193" s="898"/>
      <c r="AJ1193" s="898"/>
      <c r="AK1193" s="897"/>
      <c r="AL1193" s="897"/>
      <c r="AM1193" s="897"/>
      <c r="AN1193" s="897"/>
      <c r="AO1193" s="897"/>
      <c r="AP1193" s="897"/>
      <c r="AQ1193" s="897"/>
      <c r="AR1193" s="897"/>
    </row>
    <row r="1194" spans="1:44" s="930" customFormat="1">
      <c r="A1194" s="892"/>
      <c r="B1194" s="899"/>
      <c r="C1194" s="900"/>
      <c r="D1194" s="894"/>
      <c r="E1194" s="895"/>
      <c r="F1194" s="896"/>
      <c r="G1194" s="897"/>
      <c r="H1194" s="897"/>
      <c r="I1194" s="897"/>
      <c r="J1194" s="897"/>
      <c r="K1194" s="897"/>
      <c r="L1194" s="898"/>
      <c r="M1194" s="898"/>
      <c r="N1194" s="898"/>
      <c r="O1194" s="898"/>
      <c r="P1194" s="898"/>
      <c r="Q1194" s="898"/>
      <c r="R1194" s="898"/>
      <c r="S1194" s="898"/>
      <c r="T1194" s="898"/>
      <c r="U1194" s="898"/>
      <c r="V1194" s="898"/>
      <c r="W1194" s="898"/>
      <c r="X1194" s="898"/>
      <c r="Y1194" s="898"/>
      <c r="Z1194" s="898"/>
      <c r="AA1194" s="898"/>
      <c r="AB1194" s="898"/>
      <c r="AC1194" s="898"/>
      <c r="AD1194" s="898"/>
      <c r="AE1194" s="898"/>
      <c r="AF1194" s="898"/>
      <c r="AG1194" s="898"/>
      <c r="AH1194" s="898"/>
      <c r="AI1194" s="898"/>
      <c r="AJ1194" s="898"/>
      <c r="AK1194" s="897"/>
      <c r="AL1194" s="897"/>
      <c r="AM1194" s="897"/>
      <c r="AN1194" s="897"/>
      <c r="AO1194" s="897"/>
      <c r="AP1194" s="897"/>
      <c r="AQ1194" s="897"/>
      <c r="AR1194" s="897"/>
    </row>
    <row r="1195" spans="1:44" s="930" customFormat="1">
      <c r="A1195" s="892"/>
      <c r="B1195" s="899"/>
      <c r="C1195" s="900"/>
      <c r="D1195" s="894"/>
      <c r="E1195" s="895"/>
      <c r="F1195" s="896"/>
      <c r="G1195" s="897"/>
      <c r="H1195" s="897"/>
      <c r="I1195" s="897"/>
      <c r="J1195" s="897"/>
      <c r="K1195" s="897"/>
      <c r="L1195" s="898"/>
      <c r="M1195" s="898"/>
      <c r="N1195" s="898"/>
      <c r="O1195" s="898"/>
      <c r="P1195" s="898"/>
      <c r="Q1195" s="898"/>
      <c r="R1195" s="898"/>
      <c r="S1195" s="898"/>
      <c r="T1195" s="898"/>
      <c r="U1195" s="898"/>
      <c r="V1195" s="898"/>
      <c r="W1195" s="898"/>
      <c r="X1195" s="898"/>
      <c r="Y1195" s="898"/>
      <c r="Z1195" s="898"/>
      <c r="AA1195" s="898"/>
      <c r="AB1195" s="898"/>
      <c r="AC1195" s="898"/>
      <c r="AD1195" s="898"/>
      <c r="AE1195" s="898"/>
      <c r="AF1195" s="898"/>
      <c r="AG1195" s="898"/>
      <c r="AH1195" s="898"/>
      <c r="AI1195" s="898"/>
      <c r="AJ1195" s="898"/>
      <c r="AK1195" s="897"/>
      <c r="AL1195" s="897"/>
      <c r="AM1195" s="897"/>
      <c r="AN1195" s="897"/>
      <c r="AO1195" s="897"/>
      <c r="AP1195" s="897"/>
      <c r="AQ1195" s="897"/>
      <c r="AR1195" s="897"/>
    </row>
    <row r="1196" spans="1:44" s="930" customFormat="1">
      <c r="A1196" s="892"/>
      <c r="B1196" s="899"/>
      <c r="C1196" s="900"/>
      <c r="D1196" s="894"/>
      <c r="E1196" s="895"/>
      <c r="F1196" s="896"/>
      <c r="G1196" s="897"/>
      <c r="H1196" s="897"/>
      <c r="I1196" s="897"/>
      <c r="J1196" s="897"/>
      <c r="K1196" s="897"/>
      <c r="L1196" s="898"/>
      <c r="M1196" s="898"/>
      <c r="N1196" s="898"/>
      <c r="O1196" s="898"/>
      <c r="P1196" s="898"/>
      <c r="Q1196" s="898"/>
      <c r="R1196" s="898"/>
      <c r="S1196" s="898"/>
      <c r="T1196" s="898"/>
      <c r="U1196" s="898"/>
      <c r="V1196" s="898"/>
      <c r="W1196" s="898"/>
      <c r="X1196" s="898"/>
      <c r="Y1196" s="898"/>
      <c r="Z1196" s="898"/>
      <c r="AA1196" s="898"/>
      <c r="AB1196" s="898"/>
      <c r="AC1196" s="898"/>
      <c r="AD1196" s="898"/>
      <c r="AE1196" s="898"/>
      <c r="AF1196" s="898"/>
      <c r="AG1196" s="898"/>
      <c r="AH1196" s="898"/>
      <c r="AI1196" s="898"/>
      <c r="AJ1196" s="898"/>
      <c r="AK1196" s="897"/>
      <c r="AL1196" s="897"/>
      <c r="AM1196" s="897"/>
      <c r="AN1196" s="897"/>
      <c r="AO1196" s="897"/>
      <c r="AP1196" s="897"/>
      <c r="AQ1196" s="897"/>
      <c r="AR1196" s="897"/>
    </row>
    <row r="1197" spans="1:44" s="930" customFormat="1">
      <c r="A1197" s="892"/>
      <c r="B1197" s="899"/>
      <c r="C1197" s="900"/>
      <c r="D1197" s="894"/>
      <c r="E1197" s="895"/>
      <c r="F1197" s="896"/>
      <c r="G1197" s="897"/>
      <c r="H1197" s="897"/>
      <c r="I1197" s="897"/>
      <c r="J1197" s="897"/>
      <c r="K1197" s="897"/>
      <c r="L1197" s="898"/>
      <c r="M1197" s="898"/>
      <c r="N1197" s="898"/>
      <c r="O1197" s="898"/>
      <c r="P1197" s="898"/>
      <c r="Q1197" s="898"/>
      <c r="R1197" s="898"/>
      <c r="S1197" s="898"/>
      <c r="T1197" s="898"/>
      <c r="U1197" s="898"/>
      <c r="V1197" s="898"/>
      <c r="W1197" s="898"/>
      <c r="X1197" s="898"/>
      <c r="Y1197" s="898"/>
      <c r="Z1197" s="898"/>
      <c r="AA1197" s="898"/>
      <c r="AB1197" s="898"/>
      <c r="AC1197" s="898"/>
      <c r="AD1197" s="898"/>
      <c r="AE1197" s="898"/>
      <c r="AF1197" s="898"/>
      <c r="AG1197" s="898"/>
      <c r="AH1197" s="898"/>
      <c r="AI1197" s="898"/>
      <c r="AJ1197" s="898"/>
      <c r="AK1197" s="897"/>
      <c r="AL1197" s="897"/>
      <c r="AM1197" s="897"/>
      <c r="AN1197" s="897"/>
      <c r="AO1197" s="897"/>
      <c r="AP1197" s="897"/>
      <c r="AQ1197" s="897"/>
      <c r="AR1197" s="897"/>
    </row>
    <row r="1198" spans="1:44" s="930" customFormat="1">
      <c r="A1198" s="892"/>
      <c r="B1198" s="899"/>
      <c r="C1198" s="900"/>
      <c r="D1198" s="894"/>
      <c r="E1198" s="895"/>
      <c r="F1198" s="896"/>
      <c r="G1198" s="897"/>
      <c r="H1198" s="897"/>
      <c r="I1198" s="897"/>
      <c r="J1198" s="897"/>
      <c r="K1198" s="897"/>
      <c r="L1198" s="898"/>
      <c r="M1198" s="898"/>
      <c r="N1198" s="898"/>
      <c r="O1198" s="898"/>
      <c r="P1198" s="898"/>
      <c r="Q1198" s="898"/>
      <c r="R1198" s="898"/>
      <c r="S1198" s="898"/>
      <c r="T1198" s="898"/>
      <c r="U1198" s="898"/>
      <c r="V1198" s="898"/>
      <c r="W1198" s="898"/>
      <c r="X1198" s="898"/>
      <c r="Y1198" s="898"/>
      <c r="Z1198" s="898"/>
      <c r="AA1198" s="898"/>
      <c r="AB1198" s="898"/>
      <c r="AC1198" s="898"/>
      <c r="AD1198" s="898"/>
      <c r="AE1198" s="898"/>
      <c r="AF1198" s="898"/>
      <c r="AG1198" s="898"/>
      <c r="AH1198" s="898"/>
      <c r="AI1198" s="898"/>
      <c r="AJ1198" s="898"/>
      <c r="AK1198" s="897"/>
      <c r="AL1198" s="897"/>
      <c r="AM1198" s="897"/>
      <c r="AN1198" s="897"/>
      <c r="AO1198" s="897"/>
      <c r="AP1198" s="897"/>
      <c r="AQ1198" s="897"/>
      <c r="AR1198" s="897"/>
    </row>
    <row r="1199" spans="1:44" s="930" customFormat="1">
      <c r="A1199" s="892"/>
      <c r="B1199" s="899"/>
      <c r="C1199" s="900"/>
      <c r="D1199" s="894"/>
      <c r="E1199" s="895"/>
      <c r="F1199" s="896"/>
      <c r="G1199" s="897"/>
      <c r="H1199" s="897"/>
      <c r="I1199" s="897"/>
      <c r="J1199" s="897"/>
      <c r="K1199" s="897"/>
      <c r="L1199" s="898"/>
      <c r="M1199" s="898"/>
      <c r="N1199" s="898"/>
      <c r="O1199" s="898"/>
      <c r="P1199" s="898"/>
      <c r="Q1199" s="898"/>
      <c r="R1199" s="898"/>
      <c r="S1199" s="898"/>
      <c r="T1199" s="898"/>
      <c r="U1199" s="898"/>
      <c r="V1199" s="898"/>
      <c r="W1199" s="898"/>
      <c r="X1199" s="898"/>
      <c r="Y1199" s="898"/>
      <c r="Z1199" s="898"/>
      <c r="AA1199" s="898"/>
      <c r="AB1199" s="898"/>
      <c r="AC1199" s="898"/>
      <c r="AD1199" s="898"/>
      <c r="AE1199" s="898"/>
      <c r="AF1199" s="898"/>
      <c r="AG1199" s="898"/>
      <c r="AH1199" s="898"/>
      <c r="AI1199" s="898"/>
      <c r="AJ1199" s="898"/>
      <c r="AK1199" s="897"/>
      <c r="AL1199" s="897"/>
      <c r="AM1199" s="897"/>
      <c r="AN1199" s="897"/>
      <c r="AO1199" s="897"/>
      <c r="AP1199" s="897"/>
      <c r="AQ1199" s="897"/>
      <c r="AR1199" s="897"/>
    </row>
    <row r="1200" spans="1:44" s="930" customFormat="1">
      <c r="A1200" s="892"/>
      <c r="B1200" s="899"/>
      <c r="C1200" s="900"/>
      <c r="D1200" s="894"/>
      <c r="E1200" s="895"/>
      <c r="F1200" s="896"/>
      <c r="G1200" s="897"/>
      <c r="H1200" s="897"/>
      <c r="I1200" s="897"/>
      <c r="J1200" s="897"/>
      <c r="K1200" s="897"/>
      <c r="L1200" s="898"/>
      <c r="M1200" s="898"/>
      <c r="N1200" s="898"/>
      <c r="O1200" s="898"/>
      <c r="P1200" s="898"/>
      <c r="Q1200" s="898"/>
      <c r="R1200" s="898"/>
      <c r="S1200" s="898"/>
      <c r="T1200" s="898"/>
      <c r="U1200" s="898"/>
      <c r="V1200" s="898"/>
      <c r="W1200" s="898"/>
      <c r="X1200" s="898"/>
      <c r="Y1200" s="898"/>
      <c r="Z1200" s="898"/>
      <c r="AA1200" s="898"/>
      <c r="AB1200" s="898"/>
      <c r="AC1200" s="898"/>
      <c r="AD1200" s="898"/>
      <c r="AE1200" s="898"/>
      <c r="AF1200" s="898"/>
      <c r="AG1200" s="898"/>
      <c r="AH1200" s="898"/>
      <c r="AI1200" s="898"/>
      <c r="AJ1200" s="898"/>
      <c r="AK1200" s="897"/>
      <c r="AL1200" s="897"/>
      <c r="AM1200" s="897"/>
      <c r="AN1200" s="897"/>
      <c r="AO1200" s="897"/>
      <c r="AP1200" s="897"/>
      <c r="AQ1200" s="897"/>
      <c r="AR1200" s="897"/>
    </row>
    <row r="1201" spans="1:44" s="930" customFormat="1">
      <c r="A1201" s="892"/>
      <c r="B1201" s="899"/>
      <c r="C1201" s="900"/>
      <c r="D1201" s="894"/>
      <c r="E1201" s="895"/>
      <c r="F1201" s="896"/>
      <c r="G1201" s="897"/>
      <c r="H1201" s="897"/>
      <c r="I1201" s="897"/>
      <c r="J1201" s="897"/>
      <c r="K1201" s="897"/>
      <c r="L1201" s="898"/>
      <c r="M1201" s="898"/>
      <c r="N1201" s="898"/>
      <c r="O1201" s="898"/>
      <c r="P1201" s="898"/>
      <c r="Q1201" s="898"/>
      <c r="R1201" s="898"/>
      <c r="S1201" s="898"/>
      <c r="T1201" s="898"/>
      <c r="U1201" s="898"/>
      <c r="V1201" s="898"/>
      <c r="W1201" s="898"/>
      <c r="X1201" s="898"/>
      <c r="Y1201" s="898"/>
      <c r="Z1201" s="898"/>
      <c r="AA1201" s="898"/>
      <c r="AB1201" s="898"/>
      <c r="AC1201" s="898"/>
      <c r="AD1201" s="898"/>
      <c r="AE1201" s="898"/>
      <c r="AF1201" s="898"/>
      <c r="AG1201" s="898"/>
      <c r="AH1201" s="898"/>
      <c r="AI1201" s="898"/>
      <c r="AJ1201" s="898"/>
      <c r="AK1201" s="897"/>
      <c r="AL1201" s="897"/>
      <c r="AM1201" s="897"/>
      <c r="AN1201" s="897"/>
      <c r="AO1201" s="897"/>
      <c r="AP1201" s="897"/>
      <c r="AQ1201" s="897"/>
      <c r="AR1201" s="897"/>
    </row>
    <row r="1202" spans="1:44" s="930" customFormat="1">
      <c r="A1202" s="892"/>
      <c r="B1202" s="899"/>
      <c r="C1202" s="900"/>
      <c r="D1202" s="894"/>
      <c r="E1202" s="895"/>
      <c r="F1202" s="896"/>
      <c r="G1202" s="897"/>
      <c r="H1202" s="897"/>
      <c r="I1202" s="897"/>
      <c r="J1202" s="897"/>
      <c r="K1202" s="897"/>
      <c r="L1202" s="898"/>
      <c r="M1202" s="898"/>
      <c r="N1202" s="898"/>
      <c r="O1202" s="898"/>
      <c r="P1202" s="898"/>
      <c r="Q1202" s="898"/>
      <c r="R1202" s="898"/>
      <c r="S1202" s="898"/>
      <c r="T1202" s="898"/>
      <c r="U1202" s="898"/>
      <c r="V1202" s="898"/>
      <c r="W1202" s="898"/>
      <c r="X1202" s="898"/>
      <c r="Y1202" s="898"/>
      <c r="Z1202" s="898"/>
      <c r="AA1202" s="898"/>
      <c r="AB1202" s="898"/>
      <c r="AC1202" s="898"/>
      <c r="AD1202" s="898"/>
      <c r="AE1202" s="898"/>
      <c r="AF1202" s="898"/>
      <c r="AG1202" s="898"/>
      <c r="AH1202" s="898"/>
      <c r="AI1202" s="898"/>
      <c r="AJ1202" s="898"/>
      <c r="AK1202" s="897"/>
      <c r="AL1202" s="897"/>
      <c r="AM1202" s="897"/>
      <c r="AN1202" s="897"/>
      <c r="AO1202" s="897"/>
      <c r="AP1202" s="897"/>
      <c r="AQ1202" s="897"/>
      <c r="AR1202" s="897"/>
    </row>
    <row r="1203" spans="1:44" s="930" customFormat="1">
      <c r="A1203" s="892"/>
      <c r="B1203" s="899"/>
      <c r="C1203" s="900"/>
      <c r="D1203" s="894"/>
      <c r="E1203" s="895"/>
      <c r="F1203" s="896"/>
      <c r="G1203" s="897"/>
      <c r="H1203" s="897"/>
      <c r="I1203" s="897"/>
      <c r="J1203" s="897"/>
      <c r="K1203" s="897"/>
      <c r="L1203" s="898"/>
      <c r="M1203" s="898"/>
      <c r="N1203" s="898"/>
      <c r="O1203" s="898"/>
      <c r="P1203" s="898"/>
      <c r="Q1203" s="898"/>
      <c r="R1203" s="898"/>
      <c r="S1203" s="898"/>
      <c r="T1203" s="898"/>
      <c r="U1203" s="898"/>
      <c r="V1203" s="898"/>
      <c r="W1203" s="898"/>
      <c r="X1203" s="898"/>
      <c r="Y1203" s="898"/>
      <c r="Z1203" s="898"/>
      <c r="AA1203" s="898"/>
      <c r="AB1203" s="898"/>
      <c r="AC1203" s="898"/>
      <c r="AD1203" s="898"/>
      <c r="AE1203" s="898"/>
      <c r="AF1203" s="898"/>
      <c r="AG1203" s="898"/>
      <c r="AH1203" s="898"/>
      <c r="AI1203" s="898"/>
      <c r="AJ1203" s="898"/>
      <c r="AK1203" s="897"/>
      <c r="AL1203" s="897"/>
      <c r="AM1203" s="897"/>
      <c r="AN1203" s="897"/>
      <c r="AO1203" s="897"/>
      <c r="AP1203" s="897"/>
      <c r="AQ1203" s="897"/>
      <c r="AR1203" s="897"/>
    </row>
    <row r="1204" spans="1:44" s="930" customFormat="1">
      <c r="A1204" s="892"/>
      <c r="B1204" s="899"/>
      <c r="C1204" s="900"/>
      <c r="D1204" s="894"/>
      <c r="E1204" s="895"/>
      <c r="F1204" s="896"/>
      <c r="G1204" s="897"/>
      <c r="H1204" s="897"/>
      <c r="I1204" s="897"/>
      <c r="J1204" s="897"/>
      <c r="K1204" s="897"/>
      <c r="L1204" s="898"/>
      <c r="M1204" s="898"/>
      <c r="N1204" s="898"/>
      <c r="O1204" s="898"/>
      <c r="P1204" s="898"/>
      <c r="Q1204" s="898"/>
      <c r="R1204" s="898"/>
      <c r="S1204" s="898"/>
      <c r="T1204" s="898"/>
      <c r="U1204" s="898"/>
      <c r="V1204" s="898"/>
      <c r="W1204" s="898"/>
      <c r="X1204" s="898"/>
      <c r="Y1204" s="898"/>
      <c r="Z1204" s="898"/>
      <c r="AA1204" s="898"/>
      <c r="AB1204" s="898"/>
      <c r="AC1204" s="898"/>
      <c r="AD1204" s="898"/>
      <c r="AE1204" s="898"/>
      <c r="AF1204" s="898"/>
      <c r="AG1204" s="898"/>
      <c r="AH1204" s="898"/>
      <c r="AI1204" s="898"/>
      <c r="AJ1204" s="898"/>
      <c r="AK1204" s="897"/>
      <c r="AL1204" s="897"/>
      <c r="AM1204" s="897"/>
      <c r="AN1204" s="897"/>
      <c r="AO1204" s="897"/>
      <c r="AP1204" s="897"/>
      <c r="AQ1204" s="897"/>
      <c r="AR1204" s="897"/>
    </row>
    <row r="1205" spans="1:44" s="930" customFormat="1">
      <c r="A1205" s="892"/>
      <c r="B1205" s="899"/>
      <c r="C1205" s="900"/>
      <c r="D1205" s="894"/>
      <c r="E1205" s="895"/>
      <c r="F1205" s="896"/>
      <c r="G1205" s="897"/>
      <c r="H1205" s="897"/>
      <c r="I1205" s="897"/>
      <c r="J1205" s="897"/>
      <c r="K1205" s="897"/>
      <c r="L1205" s="898"/>
      <c r="M1205" s="898"/>
      <c r="N1205" s="898"/>
      <c r="O1205" s="898"/>
      <c r="P1205" s="898"/>
      <c r="Q1205" s="898"/>
      <c r="R1205" s="898"/>
      <c r="S1205" s="898"/>
      <c r="T1205" s="898"/>
      <c r="U1205" s="898"/>
      <c r="V1205" s="898"/>
      <c r="W1205" s="898"/>
      <c r="X1205" s="898"/>
      <c r="Y1205" s="898"/>
      <c r="Z1205" s="898"/>
      <c r="AA1205" s="898"/>
      <c r="AB1205" s="898"/>
      <c r="AC1205" s="898"/>
      <c r="AD1205" s="898"/>
      <c r="AE1205" s="898"/>
      <c r="AF1205" s="898"/>
      <c r="AG1205" s="898"/>
      <c r="AH1205" s="898"/>
      <c r="AI1205" s="898"/>
      <c r="AJ1205" s="898"/>
      <c r="AK1205" s="897"/>
      <c r="AL1205" s="897"/>
      <c r="AM1205" s="897"/>
      <c r="AN1205" s="897"/>
      <c r="AO1205" s="897"/>
      <c r="AP1205" s="897"/>
      <c r="AQ1205" s="897"/>
      <c r="AR1205" s="897"/>
    </row>
    <row r="1206" spans="1:44" s="930" customFormat="1">
      <c r="A1206" s="892"/>
      <c r="B1206" s="899"/>
      <c r="C1206" s="900"/>
      <c r="D1206" s="894"/>
      <c r="E1206" s="895"/>
      <c r="F1206" s="896"/>
      <c r="G1206" s="897"/>
      <c r="H1206" s="897"/>
      <c r="I1206" s="897"/>
      <c r="J1206" s="897"/>
      <c r="K1206" s="897"/>
      <c r="L1206" s="898"/>
      <c r="M1206" s="898"/>
      <c r="N1206" s="898"/>
      <c r="O1206" s="898"/>
      <c r="P1206" s="898"/>
      <c r="Q1206" s="898"/>
      <c r="R1206" s="898"/>
      <c r="S1206" s="898"/>
      <c r="T1206" s="898"/>
      <c r="U1206" s="898"/>
      <c r="V1206" s="898"/>
      <c r="W1206" s="898"/>
      <c r="X1206" s="898"/>
      <c r="Y1206" s="898"/>
      <c r="Z1206" s="898"/>
      <c r="AA1206" s="898"/>
      <c r="AB1206" s="898"/>
      <c r="AC1206" s="898"/>
      <c r="AD1206" s="898"/>
      <c r="AE1206" s="898"/>
      <c r="AF1206" s="898"/>
      <c r="AG1206" s="898"/>
      <c r="AH1206" s="898"/>
      <c r="AI1206" s="898"/>
      <c r="AJ1206" s="898"/>
      <c r="AK1206" s="897"/>
      <c r="AL1206" s="897"/>
      <c r="AM1206" s="897"/>
      <c r="AN1206" s="897"/>
      <c r="AO1206" s="897"/>
      <c r="AP1206" s="897"/>
      <c r="AQ1206" s="897"/>
      <c r="AR1206" s="897"/>
    </row>
    <row r="1207" spans="1:44" s="930" customFormat="1">
      <c r="A1207" s="892"/>
      <c r="B1207" s="899"/>
      <c r="C1207" s="900"/>
      <c r="D1207" s="894"/>
      <c r="E1207" s="895"/>
      <c r="F1207" s="896"/>
      <c r="G1207" s="897"/>
      <c r="H1207" s="897"/>
      <c r="I1207" s="897"/>
      <c r="J1207" s="897"/>
      <c r="K1207" s="897"/>
      <c r="L1207" s="898"/>
      <c r="M1207" s="898"/>
      <c r="N1207" s="898"/>
      <c r="O1207" s="898"/>
      <c r="P1207" s="898"/>
      <c r="Q1207" s="898"/>
      <c r="R1207" s="898"/>
      <c r="S1207" s="898"/>
      <c r="T1207" s="898"/>
      <c r="U1207" s="898"/>
      <c r="V1207" s="898"/>
      <c r="W1207" s="898"/>
      <c r="X1207" s="898"/>
      <c r="Y1207" s="898"/>
      <c r="Z1207" s="898"/>
      <c r="AA1207" s="898"/>
      <c r="AB1207" s="898"/>
      <c r="AC1207" s="898"/>
      <c r="AD1207" s="898"/>
      <c r="AE1207" s="898"/>
      <c r="AF1207" s="898"/>
      <c r="AG1207" s="898"/>
      <c r="AH1207" s="898"/>
      <c r="AI1207" s="898"/>
      <c r="AJ1207" s="898"/>
      <c r="AK1207" s="897"/>
      <c r="AL1207" s="897"/>
      <c r="AM1207" s="897"/>
      <c r="AN1207" s="897"/>
      <c r="AO1207" s="897"/>
      <c r="AP1207" s="897"/>
      <c r="AQ1207" s="897"/>
      <c r="AR1207" s="897"/>
    </row>
    <row r="1208" spans="1:44" s="930" customFormat="1">
      <c r="A1208" s="892"/>
      <c r="B1208" s="899"/>
      <c r="C1208" s="900"/>
      <c r="D1208" s="894"/>
      <c r="E1208" s="895"/>
      <c r="F1208" s="896"/>
      <c r="G1208" s="897"/>
      <c r="H1208" s="897"/>
      <c r="I1208" s="897"/>
      <c r="J1208" s="897"/>
      <c r="K1208" s="897"/>
      <c r="L1208" s="898"/>
      <c r="M1208" s="898"/>
      <c r="N1208" s="898"/>
      <c r="O1208" s="898"/>
      <c r="P1208" s="898"/>
      <c r="Q1208" s="898"/>
      <c r="R1208" s="898"/>
      <c r="S1208" s="898"/>
      <c r="T1208" s="898"/>
      <c r="U1208" s="898"/>
      <c r="V1208" s="898"/>
      <c r="W1208" s="898"/>
      <c r="X1208" s="898"/>
      <c r="Y1208" s="898"/>
      <c r="Z1208" s="898"/>
      <c r="AA1208" s="898"/>
      <c r="AB1208" s="898"/>
      <c r="AC1208" s="898"/>
      <c r="AD1208" s="898"/>
      <c r="AE1208" s="898"/>
      <c r="AF1208" s="898"/>
      <c r="AG1208" s="898"/>
      <c r="AH1208" s="898"/>
      <c r="AI1208" s="898"/>
      <c r="AJ1208" s="898"/>
      <c r="AK1208" s="897"/>
      <c r="AL1208" s="897"/>
      <c r="AM1208" s="897"/>
      <c r="AN1208" s="897"/>
      <c r="AO1208" s="897"/>
      <c r="AP1208" s="897"/>
      <c r="AQ1208" s="897"/>
      <c r="AR1208" s="897"/>
    </row>
    <row r="1209" spans="1:44" s="930" customFormat="1">
      <c r="A1209" s="892"/>
      <c r="B1209" s="899"/>
      <c r="C1209" s="900"/>
      <c r="D1209" s="894"/>
      <c r="E1209" s="895"/>
      <c r="F1209" s="896"/>
      <c r="G1209" s="897"/>
      <c r="H1209" s="897"/>
      <c r="I1209" s="897"/>
      <c r="J1209" s="897"/>
      <c r="K1209" s="897"/>
      <c r="L1209" s="898"/>
      <c r="M1209" s="898"/>
      <c r="N1209" s="898"/>
      <c r="O1209" s="898"/>
      <c r="P1209" s="898"/>
      <c r="Q1209" s="898"/>
      <c r="R1209" s="898"/>
      <c r="S1209" s="898"/>
      <c r="T1209" s="898"/>
      <c r="U1209" s="898"/>
      <c r="V1209" s="898"/>
      <c r="W1209" s="898"/>
      <c r="X1209" s="898"/>
      <c r="Y1209" s="898"/>
      <c r="Z1209" s="898"/>
      <c r="AA1209" s="898"/>
      <c r="AB1209" s="898"/>
      <c r="AC1209" s="898"/>
      <c r="AD1209" s="898"/>
      <c r="AE1209" s="898"/>
      <c r="AF1209" s="898"/>
      <c r="AG1209" s="898"/>
      <c r="AH1209" s="898"/>
      <c r="AI1209" s="898"/>
      <c r="AJ1209" s="898"/>
      <c r="AK1209" s="897"/>
      <c r="AL1209" s="897"/>
      <c r="AM1209" s="897"/>
      <c r="AN1209" s="897"/>
      <c r="AO1209" s="897"/>
      <c r="AP1209" s="897"/>
      <c r="AQ1209" s="897"/>
      <c r="AR1209" s="897"/>
    </row>
    <row r="1210" spans="1:44" s="930" customFormat="1">
      <c r="A1210" s="892"/>
      <c r="B1210" s="899"/>
      <c r="C1210" s="900"/>
      <c r="D1210" s="894"/>
      <c r="E1210" s="895"/>
      <c r="F1210" s="896"/>
      <c r="G1210" s="897"/>
      <c r="H1210" s="897"/>
      <c r="I1210" s="897"/>
      <c r="J1210" s="897"/>
      <c r="K1210" s="897"/>
      <c r="L1210" s="898"/>
      <c r="M1210" s="898"/>
      <c r="N1210" s="898"/>
      <c r="O1210" s="898"/>
      <c r="P1210" s="898"/>
      <c r="Q1210" s="898"/>
      <c r="R1210" s="898"/>
      <c r="S1210" s="898"/>
      <c r="T1210" s="898"/>
      <c r="U1210" s="898"/>
      <c r="V1210" s="898"/>
      <c r="W1210" s="898"/>
      <c r="X1210" s="898"/>
      <c r="Y1210" s="898"/>
      <c r="Z1210" s="898"/>
      <c r="AA1210" s="898"/>
      <c r="AB1210" s="898"/>
      <c r="AC1210" s="898"/>
      <c r="AD1210" s="898"/>
      <c r="AE1210" s="898"/>
      <c r="AF1210" s="898"/>
      <c r="AG1210" s="898"/>
      <c r="AH1210" s="898"/>
      <c r="AI1210" s="898"/>
      <c r="AJ1210" s="898"/>
      <c r="AK1210" s="897"/>
      <c r="AL1210" s="897"/>
      <c r="AM1210" s="897"/>
      <c r="AN1210" s="897"/>
      <c r="AO1210" s="897"/>
      <c r="AP1210" s="897"/>
      <c r="AQ1210" s="897"/>
      <c r="AR1210" s="897"/>
    </row>
    <row r="1211" spans="1:44" s="930" customFormat="1">
      <c r="A1211" s="892"/>
      <c r="B1211" s="899"/>
      <c r="C1211" s="900"/>
      <c r="D1211" s="894"/>
      <c r="E1211" s="895"/>
      <c r="F1211" s="896"/>
      <c r="G1211" s="897"/>
      <c r="H1211" s="897"/>
      <c r="I1211" s="897"/>
      <c r="J1211" s="897"/>
      <c r="K1211" s="897"/>
      <c r="L1211" s="898"/>
      <c r="M1211" s="898"/>
      <c r="N1211" s="898"/>
      <c r="O1211" s="898"/>
      <c r="P1211" s="898"/>
      <c r="Q1211" s="898"/>
      <c r="R1211" s="898"/>
      <c r="S1211" s="898"/>
      <c r="T1211" s="898"/>
      <c r="U1211" s="898"/>
      <c r="V1211" s="898"/>
      <c r="W1211" s="898"/>
      <c r="X1211" s="898"/>
      <c r="Y1211" s="898"/>
      <c r="Z1211" s="898"/>
      <c r="AA1211" s="898"/>
      <c r="AB1211" s="898"/>
      <c r="AC1211" s="898"/>
      <c r="AD1211" s="898"/>
      <c r="AE1211" s="898"/>
      <c r="AF1211" s="898"/>
      <c r="AG1211" s="898"/>
      <c r="AH1211" s="898"/>
      <c r="AI1211" s="898"/>
      <c r="AJ1211" s="898"/>
      <c r="AK1211" s="897"/>
      <c r="AL1211" s="897"/>
      <c r="AM1211" s="897"/>
      <c r="AN1211" s="897"/>
      <c r="AO1211" s="897"/>
      <c r="AP1211" s="897"/>
      <c r="AQ1211" s="897"/>
      <c r="AR1211" s="897"/>
    </row>
    <row r="1212" spans="1:44" s="930" customFormat="1">
      <c r="A1212" s="892"/>
      <c r="B1212" s="899"/>
      <c r="C1212" s="900"/>
      <c r="D1212" s="894"/>
      <c r="E1212" s="895"/>
      <c r="F1212" s="896"/>
      <c r="G1212" s="897"/>
      <c r="H1212" s="897"/>
      <c r="I1212" s="897"/>
      <c r="J1212" s="897"/>
      <c r="K1212" s="897"/>
      <c r="L1212" s="898"/>
      <c r="M1212" s="898"/>
      <c r="N1212" s="898"/>
      <c r="O1212" s="898"/>
      <c r="P1212" s="898"/>
      <c r="Q1212" s="898"/>
      <c r="R1212" s="898"/>
      <c r="S1212" s="898"/>
      <c r="T1212" s="898"/>
      <c r="U1212" s="898"/>
      <c r="V1212" s="898"/>
      <c r="W1212" s="898"/>
      <c r="X1212" s="898"/>
      <c r="Y1212" s="898"/>
      <c r="Z1212" s="898"/>
      <c r="AA1212" s="898"/>
      <c r="AB1212" s="898"/>
      <c r="AC1212" s="898"/>
      <c r="AD1212" s="898"/>
      <c r="AE1212" s="898"/>
      <c r="AF1212" s="898"/>
      <c r="AG1212" s="898"/>
      <c r="AH1212" s="898"/>
      <c r="AI1212" s="898"/>
      <c r="AJ1212" s="898"/>
      <c r="AK1212" s="897"/>
      <c r="AL1212" s="897"/>
      <c r="AM1212" s="897"/>
      <c r="AN1212" s="897"/>
      <c r="AO1212" s="897"/>
      <c r="AP1212" s="897"/>
      <c r="AQ1212" s="897"/>
      <c r="AR1212" s="897"/>
    </row>
    <row r="1213" spans="1:44" s="930" customFormat="1">
      <c r="A1213" s="892"/>
      <c r="B1213" s="899"/>
      <c r="C1213" s="900"/>
      <c r="D1213" s="894"/>
      <c r="E1213" s="895"/>
      <c r="F1213" s="896"/>
      <c r="G1213" s="897"/>
      <c r="H1213" s="897"/>
      <c r="I1213" s="897"/>
      <c r="J1213" s="897"/>
      <c r="K1213" s="897"/>
      <c r="L1213" s="898"/>
      <c r="M1213" s="898"/>
      <c r="N1213" s="898"/>
      <c r="O1213" s="898"/>
      <c r="P1213" s="898"/>
      <c r="Q1213" s="898"/>
      <c r="R1213" s="898"/>
      <c r="S1213" s="898"/>
      <c r="T1213" s="898"/>
      <c r="U1213" s="898"/>
      <c r="V1213" s="898"/>
      <c r="W1213" s="898"/>
      <c r="X1213" s="898"/>
      <c r="Y1213" s="898"/>
      <c r="Z1213" s="898"/>
      <c r="AA1213" s="898"/>
      <c r="AB1213" s="898"/>
      <c r="AC1213" s="898"/>
      <c r="AD1213" s="898"/>
      <c r="AE1213" s="898"/>
      <c r="AF1213" s="898"/>
      <c r="AG1213" s="898"/>
      <c r="AH1213" s="898"/>
      <c r="AI1213" s="898"/>
      <c r="AJ1213" s="898"/>
      <c r="AK1213" s="897"/>
      <c r="AL1213" s="897"/>
      <c r="AM1213" s="897"/>
      <c r="AN1213" s="897"/>
      <c r="AO1213" s="897"/>
      <c r="AP1213" s="897"/>
      <c r="AQ1213" s="897"/>
      <c r="AR1213" s="897"/>
    </row>
    <row r="1214" spans="1:44" s="930" customFormat="1">
      <c r="A1214" s="892"/>
      <c r="B1214" s="899"/>
      <c r="C1214" s="900"/>
      <c r="D1214" s="894"/>
      <c r="E1214" s="895"/>
      <c r="F1214" s="896"/>
      <c r="G1214" s="897"/>
      <c r="H1214" s="897"/>
      <c r="I1214" s="897"/>
      <c r="J1214" s="897"/>
      <c r="K1214" s="897"/>
      <c r="L1214" s="898"/>
      <c r="M1214" s="898"/>
      <c r="N1214" s="898"/>
      <c r="O1214" s="898"/>
      <c r="P1214" s="898"/>
      <c r="Q1214" s="898"/>
      <c r="R1214" s="898"/>
      <c r="S1214" s="898"/>
      <c r="T1214" s="898"/>
      <c r="U1214" s="898"/>
      <c r="V1214" s="898"/>
      <c r="W1214" s="898"/>
      <c r="X1214" s="898"/>
      <c r="Y1214" s="898"/>
      <c r="Z1214" s="898"/>
      <c r="AA1214" s="898"/>
      <c r="AB1214" s="898"/>
      <c r="AC1214" s="898"/>
      <c r="AD1214" s="898"/>
      <c r="AE1214" s="898"/>
      <c r="AF1214" s="898"/>
      <c r="AG1214" s="898"/>
      <c r="AH1214" s="898"/>
      <c r="AI1214" s="898"/>
      <c r="AJ1214" s="898"/>
      <c r="AK1214" s="897"/>
      <c r="AL1214" s="897"/>
      <c r="AM1214" s="897"/>
      <c r="AN1214" s="897"/>
      <c r="AO1214" s="897"/>
      <c r="AP1214" s="897"/>
      <c r="AQ1214" s="897"/>
      <c r="AR1214" s="897"/>
    </row>
    <row r="1215" spans="1:44" s="930" customFormat="1">
      <c r="A1215" s="892"/>
      <c r="B1215" s="899"/>
      <c r="C1215" s="900"/>
      <c r="D1215" s="894"/>
      <c r="E1215" s="895"/>
      <c r="F1215" s="896"/>
      <c r="G1215" s="897"/>
      <c r="H1215" s="897"/>
      <c r="I1215" s="897"/>
      <c r="J1215" s="897"/>
      <c r="K1215" s="897"/>
      <c r="L1215" s="898"/>
      <c r="M1215" s="898"/>
      <c r="N1215" s="898"/>
      <c r="O1215" s="898"/>
      <c r="P1215" s="898"/>
      <c r="Q1215" s="898"/>
      <c r="R1215" s="898"/>
      <c r="S1215" s="898"/>
      <c r="T1215" s="898"/>
      <c r="U1215" s="898"/>
      <c r="V1215" s="898"/>
      <c r="W1215" s="898"/>
      <c r="X1215" s="898"/>
      <c r="Y1215" s="898"/>
      <c r="Z1215" s="898"/>
      <c r="AA1215" s="898"/>
      <c r="AB1215" s="898"/>
      <c r="AC1215" s="898"/>
      <c r="AD1215" s="898"/>
      <c r="AE1215" s="898"/>
      <c r="AF1215" s="898"/>
      <c r="AG1215" s="898"/>
      <c r="AH1215" s="898"/>
      <c r="AI1215" s="898"/>
      <c r="AJ1215" s="898"/>
      <c r="AK1215" s="897"/>
      <c r="AL1215" s="897"/>
      <c r="AM1215" s="897"/>
      <c r="AN1215" s="897"/>
      <c r="AO1215" s="897"/>
      <c r="AP1215" s="897"/>
      <c r="AQ1215" s="897"/>
      <c r="AR1215" s="897"/>
    </row>
    <row r="1216" spans="1:44" s="930" customFormat="1">
      <c r="A1216" s="892"/>
      <c r="B1216" s="899"/>
      <c r="C1216" s="900"/>
      <c r="D1216" s="894"/>
      <c r="E1216" s="895"/>
      <c r="F1216" s="896"/>
      <c r="G1216" s="897"/>
      <c r="H1216" s="897"/>
      <c r="I1216" s="897"/>
      <c r="J1216" s="897"/>
      <c r="K1216" s="897"/>
      <c r="L1216" s="898"/>
      <c r="M1216" s="898"/>
      <c r="N1216" s="898"/>
      <c r="O1216" s="898"/>
      <c r="P1216" s="898"/>
      <c r="Q1216" s="898"/>
      <c r="R1216" s="898"/>
      <c r="S1216" s="898"/>
      <c r="T1216" s="898"/>
      <c r="U1216" s="898"/>
      <c r="V1216" s="898"/>
      <c r="W1216" s="898"/>
      <c r="X1216" s="898"/>
      <c r="Y1216" s="898"/>
      <c r="Z1216" s="898"/>
      <c r="AA1216" s="898"/>
      <c r="AB1216" s="898"/>
      <c r="AC1216" s="898"/>
      <c r="AD1216" s="898"/>
      <c r="AE1216" s="898"/>
      <c r="AF1216" s="898"/>
      <c r="AG1216" s="898"/>
      <c r="AH1216" s="898"/>
      <c r="AI1216" s="898"/>
      <c r="AJ1216" s="898"/>
      <c r="AK1216" s="897"/>
      <c r="AL1216" s="897"/>
      <c r="AM1216" s="897"/>
      <c r="AN1216" s="897"/>
      <c r="AO1216" s="897"/>
      <c r="AP1216" s="897"/>
      <c r="AQ1216" s="897"/>
      <c r="AR1216" s="897"/>
    </row>
    <row r="1217" spans="1:44" s="930" customFormat="1">
      <c r="A1217" s="892"/>
      <c r="B1217" s="899"/>
      <c r="C1217" s="900"/>
      <c r="D1217" s="894"/>
      <c r="E1217" s="895"/>
      <c r="F1217" s="896"/>
      <c r="G1217" s="897"/>
      <c r="H1217" s="897"/>
      <c r="I1217" s="897"/>
      <c r="J1217" s="897"/>
      <c r="K1217" s="897"/>
      <c r="L1217" s="898"/>
      <c r="M1217" s="898"/>
      <c r="N1217" s="898"/>
      <c r="O1217" s="898"/>
      <c r="P1217" s="898"/>
      <c r="Q1217" s="898"/>
      <c r="R1217" s="898"/>
      <c r="S1217" s="898"/>
      <c r="T1217" s="898"/>
      <c r="U1217" s="898"/>
      <c r="V1217" s="898"/>
      <c r="W1217" s="898"/>
      <c r="X1217" s="898"/>
      <c r="Y1217" s="898"/>
      <c r="Z1217" s="898"/>
      <c r="AA1217" s="898"/>
      <c r="AB1217" s="898"/>
      <c r="AC1217" s="898"/>
      <c r="AD1217" s="898"/>
      <c r="AE1217" s="898"/>
      <c r="AF1217" s="898"/>
      <c r="AG1217" s="898"/>
      <c r="AH1217" s="898"/>
      <c r="AI1217" s="898"/>
      <c r="AJ1217" s="898"/>
      <c r="AK1217" s="897"/>
      <c r="AL1217" s="897"/>
      <c r="AM1217" s="897"/>
      <c r="AN1217" s="897"/>
      <c r="AO1217" s="897"/>
      <c r="AP1217" s="897"/>
      <c r="AQ1217" s="897"/>
      <c r="AR1217" s="897"/>
    </row>
    <row r="1218" spans="1:44" s="930" customFormat="1">
      <c r="A1218" s="892"/>
      <c r="B1218" s="899"/>
      <c r="C1218" s="900"/>
      <c r="D1218" s="894"/>
      <c r="E1218" s="895"/>
      <c r="F1218" s="896"/>
      <c r="G1218" s="897"/>
      <c r="H1218" s="897"/>
      <c r="I1218" s="897"/>
      <c r="J1218" s="897"/>
      <c r="K1218" s="897"/>
      <c r="L1218" s="898"/>
      <c r="M1218" s="898"/>
      <c r="N1218" s="898"/>
      <c r="O1218" s="898"/>
      <c r="P1218" s="898"/>
      <c r="Q1218" s="898"/>
      <c r="R1218" s="898"/>
      <c r="S1218" s="898"/>
      <c r="T1218" s="898"/>
      <c r="U1218" s="898"/>
      <c r="V1218" s="898"/>
      <c r="W1218" s="898"/>
      <c r="X1218" s="898"/>
      <c r="Y1218" s="898"/>
      <c r="Z1218" s="898"/>
      <c r="AA1218" s="898"/>
      <c r="AB1218" s="898"/>
      <c r="AC1218" s="898"/>
      <c r="AD1218" s="898"/>
      <c r="AE1218" s="898"/>
      <c r="AF1218" s="898"/>
      <c r="AG1218" s="898"/>
      <c r="AH1218" s="898"/>
      <c r="AI1218" s="898"/>
      <c r="AJ1218" s="898"/>
      <c r="AK1218" s="897"/>
      <c r="AL1218" s="897"/>
      <c r="AM1218" s="897"/>
      <c r="AN1218" s="897"/>
      <c r="AO1218" s="897"/>
      <c r="AP1218" s="897"/>
      <c r="AQ1218" s="897"/>
      <c r="AR1218" s="897"/>
    </row>
    <row r="1219" spans="1:44" s="930" customFormat="1">
      <c r="A1219" s="892"/>
      <c r="B1219" s="899"/>
      <c r="C1219" s="900"/>
      <c r="D1219" s="894"/>
      <c r="E1219" s="895"/>
      <c r="F1219" s="896"/>
      <c r="G1219" s="897"/>
      <c r="H1219" s="897"/>
      <c r="I1219" s="897"/>
      <c r="J1219" s="897"/>
      <c r="K1219" s="897"/>
      <c r="L1219" s="898"/>
      <c r="M1219" s="898"/>
      <c r="N1219" s="898"/>
      <c r="O1219" s="898"/>
      <c r="P1219" s="898"/>
      <c r="Q1219" s="898"/>
      <c r="R1219" s="898"/>
      <c r="S1219" s="898"/>
      <c r="T1219" s="898"/>
      <c r="U1219" s="898"/>
      <c r="V1219" s="898"/>
      <c r="W1219" s="898"/>
      <c r="X1219" s="898"/>
      <c r="Y1219" s="898"/>
      <c r="Z1219" s="898"/>
      <c r="AA1219" s="898"/>
      <c r="AB1219" s="898"/>
      <c r="AC1219" s="898"/>
      <c r="AD1219" s="898"/>
      <c r="AE1219" s="898"/>
      <c r="AF1219" s="898"/>
      <c r="AG1219" s="898"/>
      <c r="AH1219" s="898"/>
      <c r="AI1219" s="898"/>
      <c r="AJ1219" s="898"/>
      <c r="AK1219" s="897"/>
      <c r="AL1219" s="897"/>
      <c r="AM1219" s="897"/>
      <c r="AN1219" s="897"/>
      <c r="AO1219" s="897"/>
      <c r="AP1219" s="897"/>
      <c r="AQ1219" s="897"/>
      <c r="AR1219" s="897"/>
    </row>
    <row r="1220" spans="1:44" s="930" customFormat="1">
      <c r="A1220" s="892"/>
      <c r="B1220" s="899"/>
      <c r="C1220" s="900"/>
      <c r="D1220" s="894"/>
      <c r="E1220" s="895"/>
      <c r="F1220" s="896"/>
      <c r="G1220" s="897"/>
      <c r="H1220" s="897"/>
      <c r="I1220" s="897"/>
      <c r="J1220" s="897"/>
      <c r="K1220" s="897"/>
      <c r="L1220" s="898"/>
      <c r="M1220" s="898"/>
      <c r="N1220" s="898"/>
      <c r="O1220" s="898"/>
      <c r="P1220" s="898"/>
      <c r="Q1220" s="898"/>
      <c r="R1220" s="898"/>
      <c r="S1220" s="898"/>
      <c r="T1220" s="898"/>
      <c r="U1220" s="898"/>
      <c r="V1220" s="898"/>
      <c r="W1220" s="898"/>
      <c r="X1220" s="898"/>
      <c r="Y1220" s="898"/>
      <c r="Z1220" s="898"/>
      <c r="AA1220" s="898"/>
      <c r="AB1220" s="898"/>
      <c r="AC1220" s="898"/>
      <c r="AD1220" s="898"/>
      <c r="AE1220" s="898"/>
      <c r="AF1220" s="898"/>
      <c r="AG1220" s="898"/>
      <c r="AH1220" s="898"/>
      <c r="AI1220" s="898"/>
      <c r="AJ1220" s="898"/>
      <c r="AK1220" s="897"/>
      <c r="AL1220" s="897"/>
      <c r="AM1220" s="897"/>
      <c r="AN1220" s="897"/>
      <c r="AO1220" s="897"/>
      <c r="AP1220" s="897"/>
      <c r="AQ1220" s="897"/>
      <c r="AR1220" s="897"/>
    </row>
    <row r="1221" spans="1:44" s="930" customFormat="1">
      <c r="A1221" s="892"/>
      <c r="B1221" s="899"/>
      <c r="C1221" s="900"/>
      <c r="D1221" s="894"/>
      <c r="E1221" s="895"/>
      <c r="F1221" s="896"/>
      <c r="G1221" s="897"/>
      <c r="H1221" s="897"/>
      <c r="I1221" s="897"/>
      <c r="J1221" s="897"/>
      <c r="K1221" s="897"/>
      <c r="L1221" s="898"/>
      <c r="M1221" s="898"/>
      <c r="N1221" s="898"/>
      <c r="O1221" s="898"/>
      <c r="P1221" s="898"/>
      <c r="Q1221" s="898"/>
      <c r="R1221" s="898"/>
      <c r="S1221" s="898"/>
      <c r="T1221" s="898"/>
      <c r="U1221" s="898"/>
      <c r="V1221" s="898"/>
      <c r="W1221" s="898"/>
      <c r="X1221" s="898"/>
      <c r="Y1221" s="898"/>
      <c r="Z1221" s="898"/>
      <c r="AA1221" s="898"/>
      <c r="AB1221" s="898"/>
      <c r="AC1221" s="898"/>
      <c r="AD1221" s="898"/>
      <c r="AE1221" s="898"/>
      <c r="AF1221" s="898"/>
      <c r="AG1221" s="898"/>
      <c r="AH1221" s="898"/>
      <c r="AI1221" s="898"/>
      <c r="AJ1221" s="898"/>
      <c r="AK1221" s="897"/>
      <c r="AL1221" s="897"/>
      <c r="AM1221" s="897"/>
      <c r="AN1221" s="897"/>
      <c r="AO1221" s="897"/>
      <c r="AP1221" s="897"/>
      <c r="AQ1221" s="897"/>
      <c r="AR1221" s="897"/>
    </row>
    <row r="1222" spans="1:44" s="930" customFormat="1">
      <c r="A1222" s="892"/>
      <c r="B1222" s="899"/>
      <c r="C1222" s="900"/>
      <c r="D1222" s="894"/>
      <c r="E1222" s="895"/>
      <c r="F1222" s="896"/>
      <c r="G1222" s="897"/>
      <c r="H1222" s="897"/>
      <c r="I1222" s="897"/>
      <c r="J1222" s="897"/>
      <c r="K1222" s="897"/>
      <c r="L1222" s="898"/>
      <c r="M1222" s="898"/>
      <c r="N1222" s="898"/>
      <c r="O1222" s="898"/>
      <c r="P1222" s="898"/>
      <c r="Q1222" s="898"/>
      <c r="R1222" s="898"/>
      <c r="S1222" s="898"/>
      <c r="T1222" s="898"/>
      <c r="U1222" s="898"/>
      <c r="V1222" s="898"/>
      <c r="W1222" s="898"/>
      <c r="X1222" s="898"/>
      <c r="Y1222" s="898"/>
      <c r="Z1222" s="898"/>
      <c r="AA1222" s="898"/>
      <c r="AB1222" s="898"/>
      <c r="AC1222" s="898"/>
      <c r="AD1222" s="898"/>
      <c r="AE1222" s="898"/>
      <c r="AF1222" s="898"/>
      <c r="AG1222" s="898"/>
      <c r="AH1222" s="898"/>
      <c r="AI1222" s="898"/>
      <c r="AJ1222" s="898"/>
      <c r="AK1222" s="897"/>
      <c r="AL1222" s="897"/>
      <c r="AM1222" s="897"/>
      <c r="AN1222" s="897"/>
      <c r="AO1222" s="897"/>
      <c r="AP1222" s="897"/>
      <c r="AQ1222" s="897"/>
      <c r="AR1222" s="897"/>
    </row>
    <row r="1223" spans="1:44" s="930" customFormat="1">
      <c r="A1223" s="892"/>
      <c r="B1223" s="899"/>
      <c r="C1223" s="900"/>
      <c r="D1223" s="894"/>
      <c r="E1223" s="895"/>
      <c r="F1223" s="896"/>
      <c r="G1223" s="897"/>
      <c r="H1223" s="897"/>
      <c r="I1223" s="897"/>
      <c r="J1223" s="897"/>
      <c r="K1223" s="897"/>
      <c r="L1223" s="898"/>
      <c r="M1223" s="898"/>
      <c r="N1223" s="898"/>
      <c r="O1223" s="898"/>
      <c r="P1223" s="898"/>
      <c r="Q1223" s="898"/>
      <c r="R1223" s="898"/>
      <c r="S1223" s="898"/>
      <c r="T1223" s="898"/>
      <c r="U1223" s="898"/>
      <c r="V1223" s="898"/>
      <c r="W1223" s="898"/>
      <c r="X1223" s="898"/>
      <c r="Y1223" s="898"/>
      <c r="Z1223" s="898"/>
      <c r="AA1223" s="898"/>
      <c r="AB1223" s="898"/>
      <c r="AC1223" s="898"/>
      <c r="AD1223" s="898"/>
      <c r="AE1223" s="898"/>
      <c r="AF1223" s="898"/>
      <c r="AG1223" s="898"/>
      <c r="AH1223" s="898"/>
      <c r="AI1223" s="898"/>
      <c r="AJ1223" s="898"/>
      <c r="AK1223" s="897"/>
      <c r="AL1223" s="897"/>
      <c r="AM1223" s="897"/>
      <c r="AN1223" s="897"/>
      <c r="AO1223" s="897"/>
      <c r="AP1223" s="897"/>
      <c r="AQ1223" s="897"/>
      <c r="AR1223" s="897"/>
    </row>
    <row r="1224" spans="1:44" s="930" customFormat="1">
      <c r="A1224" s="892"/>
      <c r="B1224" s="899"/>
      <c r="C1224" s="900"/>
      <c r="D1224" s="894"/>
      <c r="E1224" s="895"/>
      <c r="F1224" s="896"/>
      <c r="G1224" s="897"/>
      <c r="H1224" s="897"/>
      <c r="I1224" s="897"/>
      <c r="J1224" s="897"/>
      <c r="K1224" s="897"/>
      <c r="L1224" s="898"/>
      <c r="M1224" s="898"/>
      <c r="N1224" s="898"/>
      <c r="O1224" s="898"/>
      <c r="P1224" s="898"/>
      <c r="Q1224" s="898"/>
      <c r="R1224" s="898"/>
      <c r="S1224" s="898"/>
      <c r="T1224" s="898"/>
      <c r="U1224" s="898"/>
      <c r="V1224" s="898"/>
      <c r="W1224" s="898"/>
      <c r="X1224" s="898"/>
      <c r="Y1224" s="898"/>
      <c r="Z1224" s="898"/>
      <c r="AA1224" s="898"/>
      <c r="AB1224" s="898"/>
      <c r="AC1224" s="898"/>
      <c r="AD1224" s="898"/>
      <c r="AE1224" s="898"/>
      <c r="AF1224" s="898"/>
      <c r="AG1224" s="898"/>
      <c r="AH1224" s="898"/>
      <c r="AI1224" s="898"/>
      <c r="AJ1224" s="898"/>
      <c r="AK1224" s="897"/>
      <c r="AL1224" s="897"/>
      <c r="AM1224" s="897"/>
      <c r="AN1224" s="897"/>
      <c r="AO1224" s="897"/>
      <c r="AP1224" s="897"/>
      <c r="AQ1224" s="897"/>
      <c r="AR1224" s="897"/>
    </row>
    <row r="1225" spans="1:44" s="930" customFormat="1">
      <c r="A1225" s="892"/>
      <c r="B1225" s="899"/>
      <c r="C1225" s="900"/>
      <c r="D1225" s="894"/>
      <c r="E1225" s="895"/>
      <c r="F1225" s="896"/>
      <c r="G1225" s="897"/>
      <c r="H1225" s="897"/>
      <c r="I1225" s="897"/>
      <c r="J1225" s="897"/>
      <c r="K1225" s="897"/>
      <c r="L1225" s="898"/>
      <c r="M1225" s="898"/>
      <c r="N1225" s="898"/>
      <c r="O1225" s="898"/>
      <c r="P1225" s="898"/>
      <c r="Q1225" s="898"/>
      <c r="R1225" s="898"/>
      <c r="S1225" s="898"/>
      <c r="T1225" s="898"/>
      <c r="U1225" s="898"/>
      <c r="V1225" s="898"/>
      <c r="W1225" s="898"/>
      <c r="X1225" s="898"/>
      <c r="Y1225" s="898"/>
      <c r="Z1225" s="898"/>
      <c r="AA1225" s="898"/>
      <c r="AB1225" s="898"/>
      <c r="AC1225" s="898"/>
      <c r="AD1225" s="898"/>
      <c r="AE1225" s="898"/>
      <c r="AF1225" s="898"/>
      <c r="AG1225" s="898"/>
      <c r="AH1225" s="898"/>
      <c r="AI1225" s="898"/>
      <c r="AJ1225" s="898"/>
      <c r="AK1225" s="897"/>
      <c r="AL1225" s="897"/>
      <c r="AM1225" s="897"/>
      <c r="AN1225" s="897"/>
      <c r="AO1225" s="897"/>
      <c r="AP1225" s="897"/>
      <c r="AQ1225" s="897"/>
      <c r="AR1225" s="897"/>
    </row>
    <row r="1226" spans="1:44" s="930" customFormat="1">
      <c r="A1226" s="892"/>
      <c r="B1226" s="899"/>
      <c r="C1226" s="900"/>
      <c r="D1226" s="894"/>
      <c r="E1226" s="895"/>
      <c r="F1226" s="896"/>
      <c r="G1226" s="897"/>
      <c r="H1226" s="897"/>
      <c r="I1226" s="897"/>
      <c r="J1226" s="897"/>
      <c r="K1226" s="897"/>
      <c r="L1226" s="898"/>
      <c r="M1226" s="898"/>
      <c r="N1226" s="898"/>
      <c r="O1226" s="898"/>
      <c r="P1226" s="898"/>
      <c r="Q1226" s="898"/>
      <c r="R1226" s="898"/>
      <c r="S1226" s="898"/>
      <c r="T1226" s="898"/>
      <c r="U1226" s="898"/>
      <c r="V1226" s="898"/>
      <c r="W1226" s="898"/>
      <c r="X1226" s="898"/>
      <c r="Y1226" s="898"/>
      <c r="Z1226" s="898"/>
      <c r="AA1226" s="898"/>
      <c r="AB1226" s="898"/>
      <c r="AC1226" s="898"/>
      <c r="AD1226" s="898"/>
      <c r="AE1226" s="898"/>
      <c r="AF1226" s="898"/>
      <c r="AG1226" s="898"/>
      <c r="AH1226" s="898"/>
      <c r="AI1226" s="898"/>
      <c r="AJ1226" s="898"/>
      <c r="AK1226" s="897"/>
      <c r="AL1226" s="897"/>
      <c r="AM1226" s="897"/>
      <c r="AN1226" s="897"/>
      <c r="AO1226" s="897"/>
      <c r="AP1226" s="897"/>
      <c r="AQ1226" s="897"/>
      <c r="AR1226" s="897"/>
    </row>
    <row r="1227" spans="1:44" s="930" customFormat="1">
      <c r="A1227" s="892"/>
      <c r="B1227" s="899"/>
      <c r="C1227" s="900"/>
      <c r="D1227" s="894"/>
      <c r="E1227" s="895"/>
      <c r="F1227" s="896"/>
      <c r="G1227" s="897"/>
      <c r="H1227" s="897"/>
      <c r="I1227" s="897"/>
      <c r="J1227" s="897"/>
      <c r="K1227" s="897"/>
      <c r="L1227" s="898"/>
      <c r="M1227" s="898"/>
      <c r="N1227" s="898"/>
      <c r="O1227" s="898"/>
      <c r="P1227" s="898"/>
      <c r="Q1227" s="898"/>
      <c r="R1227" s="898"/>
      <c r="S1227" s="898"/>
      <c r="T1227" s="898"/>
      <c r="U1227" s="898"/>
      <c r="V1227" s="898"/>
      <c r="W1227" s="898"/>
      <c r="X1227" s="898"/>
      <c r="Y1227" s="898"/>
      <c r="Z1227" s="898"/>
      <c r="AA1227" s="898"/>
      <c r="AB1227" s="898"/>
      <c r="AC1227" s="898"/>
      <c r="AD1227" s="898"/>
      <c r="AE1227" s="898"/>
      <c r="AF1227" s="898"/>
      <c r="AG1227" s="898"/>
      <c r="AH1227" s="898"/>
      <c r="AI1227" s="898"/>
      <c r="AJ1227" s="898"/>
      <c r="AK1227" s="897"/>
      <c r="AL1227" s="897"/>
      <c r="AM1227" s="897"/>
      <c r="AN1227" s="897"/>
      <c r="AO1227" s="897"/>
      <c r="AP1227" s="897"/>
      <c r="AQ1227" s="897"/>
      <c r="AR1227" s="897"/>
    </row>
    <row r="1228" spans="1:44" s="930" customFormat="1">
      <c r="A1228" s="892"/>
      <c r="B1228" s="899"/>
      <c r="C1228" s="900"/>
      <c r="D1228" s="894"/>
      <c r="E1228" s="895"/>
      <c r="F1228" s="896"/>
      <c r="G1228" s="897"/>
      <c r="H1228" s="897"/>
      <c r="I1228" s="897"/>
      <c r="J1228" s="897"/>
      <c r="K1228" s="897"/>
      <c r="L1228" s="898"/>
      <c r="M1228" s="898"/>
      <c r="N1228" s="898"/>
      <c r="O1228" s="898"/>
      <c r="P1228" s="898"/>
      <c r="Q1228" s="898"/>
      <c r="R1228" s="898"/>
      <c r="S1228" s="898"/>
      <c r="T1228" s="898"/>
      <c r="U1228" s="898"/>
      <c r="V1228" s="898"/>
      <c r="W1228" s="898"/>
      <c r="X1228" s="898"/>
      <c r="Y1228" s="898"/>
      <c r="Z1228" s="898"/>
      <c r="AA1228" s="898"/>
      <c r="AB1228" s="898"/>
      <c r="AC1228" s="898"/>
      <c r="AD1228" s="898"/>
      <c r="AE1228" s="898"/>
      <c r="AF1228" s="898"/>
      <c r="AG1228" s="898"/>
      <c r="AH1228" s="898"/>
      <c r="AI1228" s="898"/>
      <c r="AJ1228" s="898"/>
      <c r="AK1228" s="897"/>
      <c r="AL1228" s="897"/>
      <c r="AM1228" s="897"/>
      <c r="AN1228" s="897"/>
      <c r="AO1228" s="897"/>
      <c r="AP1228" s="897"/>
      <c r="AQ1228" s="897"/>
      <c r="AR1228" s="897"/>
    </row>
    <row r="1229" spans="1:44" s="930" customFormat="1">
      <c r="A1229" s="892"/>
      <c r="B1229" s="899"/>
      <c r="C1229" s="900"/>
      <c r="D1229" s="894"/>
      <c r="E1229" s="895"/>
      <c r="F1229" s="896"/>
      <c r="G1229" s="897"/>
      <c r="H1229" s="897"/>
      <c r="I1229" s="897"/>
      <c r="J1229" s="897"/>
      <c r="K1229" s="897"/>
      <c r="L1229" s="898"/>
      <c r="M1229" s="898"/>
      <c r="N1229" s="898"/>
      <c r="O1229" s="898"/>
      <c r="P1229" s="898"/>
      <c r="Q1229" s="898"/>
      <c r="R1229" s="898"/>
      <c r="S1229" s="898"/>
      <c r="T1229" s="898"/>
      <c r="U1229" s="898"/>
      <c r="V1229" s="898"/>
      <c r="W1229" s="898"/>
      <c r="X1229" s="898"/>
      <c r="Y1229" s="898"/>
      <c r="Z1229" s="898"/>
      <c r="AA1229" s="898"/>
      <c r="AB1229" s="898"/>
      <c r="AC1229" s="898"/>
      <c r="AD1229" s="898"/>
      <c r="AE1229" s="898"/>
      <c r="AF1229" s="898"/>
      <c r="AG1229" s="898"/>
      <c r="AH1229" s="898"/>
      <c r="AI1229" s="898"/>
      <c r="AJ1229" s="898"/>
      <c r="AK1229" s="897"/>
      <c r="AL1229" s="897"/>
      <c r="AM1229" s="897"/>
      <c r="AN1229" s="897"/>
      <c r="AO1229" s="897"/>
      <c r="AP1229" s="897"/>
      <c r="AQ1229" s="897"/>
      <c r="AR1229" s="897"/>
    </row>
    <row r="1230" spans="1:44" s="930" customFormat="1">
      <c r="A1230" s="892"/>
      <c r="B1230" s="899"/>
      <c r="C1230" s="900"/>
      <c r="D1230" s="894"/>
      <c r="E1230" s="895"/>
      <c r="F1230" s="896"/>
      <c r="G1230" s="897"/>
      <c r="H1230" s="897"/>
      <c r="I1230" s="897"/>
      <c r="J1230" s="897"/>
      <c r="K1230" s="897"/>
      <c r="L1230" s="898"/>
      <c r="M1230" s="898"/>
      <c r="N1230" s="898"/>
      <c r="O1230" s="898"/>
      <c r="P1230" s="898"/>
      <c r="Q1230" s="898"/>
      <c r="R1230" s="898"/>
      <c r="S1230" s="898"/>
      <c r="T1230" s="898"/>
      <c r="U1230" s="898"/>
      <c r="V1230" s="898"/>
      <c r="W1230" s="898"/>
      <c r="X1230" s="898"/>
      <c r="Y1230" s="898"/>
      <c r="Z1230" s="898"/>
      <c r="AA1230" s="898"/>
      <c r="AB1230" s="898"/>
      <c r="AC1230" s="898"/>
      <c r="AD1230" s="898"/>
      <c r="AE1230" s="898"/>
      <c r="AF1230" s="898"/>
      <c r="AG1230" s="898"/>
      <c r="AH1230" s="898"/>
      <c r="AI1230" s="898"/>
      <c r="AJ1230" s="898"/>
      <c r="AK1230" s="897"/>
      <c r="AL1230" s="897"/>
      <c r="AM1230" s="897"/>
      <c r="AN1230" s="897"/>
      <c r="AO1230" s="897"/>
      <c r="AP1230" s="897"/>
      <c r="AQ1230" s="897"/>
      <c r="AR1230" s="897"/>
    </row>
    <row r="1231" spans="1:44" s="930" customFormat="1">
      <c r="A1231" s="892"/>
      <c r="B1231" s="899"/>
      <c r="C1231" s="900"/>
      <c r="D1231" s="894"/>
      <c r="E1231" s="895"/>
      <c r="F1231" s="896"/>
      <c r="G1231" s="897"/>
      <c r="H1231" s="897"/>
      <c r="I1231" s="897"/>
      <c r="J1231" s="897"/>
      <c r="K1231" s="897"/>
      <c r="L1231" s="898"/>
      <c r="M1231" s="898"/>
      <c r="N1231" s="898"/>
      <c r="O1231" s="898"/>
      <c r="P1231" s="898"/>
      <c r="Q1231" s="898"/>
      <c r="R1231" s="898"/>
      <c r="S1231" s="898"/>
      <c r="T1231" s="898"/>
      <c r="U1231" s="898"/>
      <c r="V1231" s="898"/>
      <c r="W1231" s="898"/>
      <c r="X1231" s="898"/>
      <c r="Y1231" s="898"/>
      <c r="Z1231" s="898"/>
      <c r="AA1231" s="898"/>
      <c r="AB1231" s="898"/>
      <c r="AC1231" s="898"/>
      <c r="AD1231" s="898"/>
      <c r="AE1231" s="898"/>
      <c r="AF1231" s="898"/>
      <c r="AG1231" s="898"/>
      <c r="AH1231" s="898"/>
      <c r="AI1231" s="898"/>
      <c r="AJ1231" s="898"/>
      <c r="AK1231" s="897"/>
      <c r="AL1231" s="897"/>
      <c r="AM1231" s="897"/>
      <c r="AN1231" s="897"/>
      <c r="AO1231" s="897"/>
      <c r="AP1231" s="897"/>
      <c r="AQ1231" s="897"/>
      <c r="AR1231" s="897"/>
    </row>
    <row r="1232" spans="1:44" s="930" customFormat="1">
      <c r="A1232" s="892"/>
      <c r="B1232" s="899"/>
      <c r="C1232" s="900"/>
      <c r="D1232" s="894"/>
      <c r="E1232" s="895"/>
      <c r="F1232" s="896"/>
      <c r="G1232" s="897"/>
      <c r="H1232" s="897"/>
      <c r="I1232" s="897"/>
      <c r="J1232" s="897"/>
      <c r="K1232" s="897"/>
      <c r="L1232" s="898"/>
      <c r="M1232" s="898"/>
      <c r="N1232" s="898"/>
      <c r="O1232" s="898"/>
      <c r="P1232" s="898"/>
      <c r="Q1232" s="898"/>
      <c r="R1232" s="898"/>
      <c r="S1232" s="898"/>
      <c r="T1232" s="898"/>
      <c r="U1232" s="898"/>
      <c r="V1232" s="898"/>
      <c r="W1232" s="898"/>
      <c r="X1232" s="898"/>
      <c r="Y1232" s="898"/>
      <c r="Z1232" s="898"/>
      <c r="AA1232" s="898"/>
      <c r="AB1232" s="898"/>
      <c r="AC1232" s="898"/>
      <c r="AD1232" s="898"/>
      <c r="AE1232" s="898"/>
      <c r="AF1232" s="898"/>
      <c r="AG1232" s="898"/>
      <c r="AH1232" s="898"/>
      <c r="AI1232" s="898"/>
      <c r="AJ1232" s="898"/>
      <c r="AK1232" s="897"/>
      <c r="AL1232" s="897"/>
      <c r="AM1232" s="897"/>
      <c r="AN1232" s="897"/>
      <c r="AO1232" s="897"/>
      <c r="AP1232" s="897"/>
      <c r="AQ1232" s="897"/>
      <c r="AR1232" s="897"/>
    </row>
    <row r="1233" spans="1:44" s="930" customFormat="1">
      <c r="A1233" s="892"/>
      <c r="B1233" s="899"/>
      <c r="C1233" s="900"/>
      <c r="D1233" s="894"/>
      <c r="E1233" s="895"/>
      <c r="F1233" s="896"/>
      <c r="G1233" s="897"/>
      <c r="H1233" s="897"/>
      <c r="I1233" s="897"/>
      <c r="J1233" s="897"/>
      <c r="K1233" s="897"/>
      <c r="L1233" s="898"/>
      <c r="M1233" s="898"/>
      <c r="N1233" s="898"/>
      <c r="O1233" s="898"/>
      <c r="P1233" s="898"/>
      <c r="Q1233" s="898"/>
      <c r="R1233" s="898"/>
      <c r="S1233" s="898"/>
      <c r="T1233" s="898"/>
      <c r="U1233" s="898"/>
      <c r="V1233" s="898"/>
      <c r="W1233" s="898"/>
      <c r="X1233" s="898"/>
      <c r="Y1233" s="898"/>
      <c r="Z1233" s="898"/>
      <c r="AA1233" s="898"/>
      <c r="AB1233" s="898"/>
      <c r="AC1233" s="898"/>
      <c r="AD1233" s="898"/>
      <c r="AE1233" s="898"/>
      <c r="AF1233" s="898"/>
      <c r="AG1233" s="898"/>
      <c r="AH1233" s="898"/>
      <c r="AI1233" s="898"/>
      <c r="AJ1233" s="898"/>
      <c r="AK1233" s="897"/>
      <c r="AL1233" s="897"/>
      <c r="AM1233" s="897"/>
      <c r="AN1233" s="897"/>
      <c r="AO1233" s="897"/>
      <c r="AP1233" s="897"/>
      <c r="AQ1233" s="897"/>
      <c r="AR1233" s="897"/>
    </row>
    <row r="1234" spans="1:44" s="930" customFormat="1">
      <c r="A1234" s="892"/>
      <c r="B1234" s="899"/>
      <c r="C1234" s="900"/>
      <c r="D1234" s="894"/>
      <c r="E1234" s="895"/>
      <c r="F1234" s="896"/>
      <c r="G1234" s="897"/>
      <c r="H1234" s="897"/>
      <c r="I1234" s="897"/>
      <c r="J1234" s="897"/>
      <c r="K1234" s="897"/>
      <c r="L1234" s="898"/>
      <c r="M1234" s="898"/>
      <c r="N1234" s="898"/>
      <c r="O1234" s="898"/>
      <c r="P1234" s="898"/>
      <c r="Q1234" s="898"/>
      <c r="R1234" s="898"/>
      <c r="S1234" s="898"/>
      <c r="T1234" s="898"/>
      <c r="U1234" s="898"/>
      <c r="V1234" s="898"/>
      <c r="W1234" s="898"/>
      <c r="X1234" s="898"/>
      <c r="Y1234" s="898"/>
      <c r="Z1234" s="898"/>
      <c r="AA1234" s="898"/>
      <c r="AB1234" s="898"/>
      <c r="AC1234" s="898"/>
      <c r="AD1234" s="898"/>
      <c r="AE1234" s="898"/>
      <c r="AF1234" s="898"/>
      <c r="AG1234" s="898"/>
      <c r="AH1234" s="898"/>
      <c r="AI1234" s="898"/>
      <c r="AJ1234" s="898"/>
      <c r="AK1234" s="897"/>
      <c r="AL1234" s="897"/>
      <c r="AM1234" s="897"/>
      <c r="AN1234" s="897"/>
      <c r="AO1234" s="897"/>
      <c r="AP1234" s="897"/>
      <c r="AQ1234" s="897"/>
      <c r="AR1234" s="897"/>
    </row>
    <row r="1235" spans="1:44" s="930" customFormat="1">
      <c r="A1235" s="892"/>
      <c r="B1235" s="899"/>
      <c r="C1235" s="900"/>
      <c r="D1235" s="894"/>
      <c r="E1235" s="895"/>
      <c r="F1235" s="896"/>
      <c r="G1235" s="897"/>
      <c r="H1235" s="897"/>
      <c r="I1235" s="897"/>
      <c r="J1235" s="897"/>
      <c r="K1235" s="897"/>
      <c r="L1235" s="898"/>
      <c r="M1235" s="898"/>
      <c r="N1235" s="898"/>
      <c r="O1235" s="898"/>
      <c r="P1235" s="898"/>
      <c r="Q1235" s="898"/>
      <c r="R1235" s="898"/>
      <c r="S1235" s="898"/>
      <c r="T1235" s="898"/>
      <c r="U1235" s="898"/>
      <c r="V1235" s="898"/>
      <c r="W1235" s="898"/>
      <c r="X1235" s="898"/>
      <c r="Y1235" s="898"/>
      <c r="Z1235" s="898"/>
      <c r="AA1235" s="898"/>
      <c r="AB1235" s="898"/>
      <c r="AC1235" s="898"/>
      <c r="AD1235" s="898"/>
      <c r="AE1235" s="898"/>
      <c r="AF1235" s="898"/>
      <c r="AG1235" s="898"/>
      <c r="AH1235" s="898"/>
      <c r="AI1235" s="898"/>
      <c r="AJ1235" s="898"/>
      <c r="AK1235" s="897"/>
      <c r="AL1235" s="897"/>
      <c r="AM1235" s="897"/>
      <c r="AN1235" s="897"/>
      <c r="AO1235" s="897"/>
      <c r="AP1235" s="897"/>
      <c r="AQ1235" s="897"/>
      <c r="AR1235" s="897"/>
    </row>
    <row r="1236" spans="1:44" s="930" customFormat="1">
      <c r="A1236" s="892"/>
      <c r="B1236" s="899"/>
      <c r="C1236" s="900"/>
      <c r="D1236" s="894"/>
      <c r="E1236" s="895"/>
      <c r="F1236" s="896"/>
      <c r="G1236" s="897"/>
      <c r="H1236" s="897"/>
      <c r="I1236" s="897"/>
      <c r="J1236" s="897"/>
      <c r="K1236" s="897"/>
      <c r="L1236" s="898"/>
      <c r="M1236" s="898"/>
      <c r="N1236" s="898"/>
      <c r="O1236" s="898"/>
      <c r="P1236" s="898"/>
      <c r="Q1236" s="898"/>
      <c r="R1236" s="898"/>
      <c r="S1236" s="898"/>
      <c r="T1236" s="898"/>
      <c r="U1236" s="898"/>
      <c r="V1236" s="898"/>
      <c r="W1236" s="898"/>
      <c r="X1236" s="898"/>
      <c r="Y1236" s="898"/>
      <c r="Z1236" s="898"/>
      <c r="AA1236" s="898"/>
      <c r="AB1236" s="898"/>
      <c r="AC1236" s="898"/>
      <c r="AD1236" s="898"/>
      <c r="AE1236" s="898"/>
      <c r="AF1236" s="898"/>
      <c r="AG1236" s="898"/>
      <c r="AH1236" s="898"/>
      <c r="AI1236" s="898"/>
      <c r="AJ1236" s="898"/>
      <c r="AK1236" s="897"/>
      <c r="AL1236" s="897"/>
      <c r="AM1236" s="897"/>
      <c r="AN1236" s="897"/>
      <c r="AO1236" s="897"/>
      <c r="AP1236" s="897"/>
      <c r="AQ1236" s="897"/>
      <c r="AR1236" s="897"/>
    </row>
    <row r="1237" spans="1:44" s="930" customFormat="1">
      <c r="A1237" s="892"/>
      <c r="B1237" s="899"/>
      <c r="C1237" s="900"/>
      <c r="D1237" s="894"/>
      <c r="E1237" s="895"/>
      <c r="F1237" s="896"/>
      <c r="G1237" s="897"/>
      <c r="H1237" s="897"/>
      <c r="I1237" s="897"/>
      <c r="J1237" s="897"/>
      <c r="K1237" s="897"/>
      <c r="L1237" s="898"/>
      <c r="M1237" s="898"/>
      <c r="N1237" s="898"/>
      <c r="O1237" s="898"/>
      <c r="P1237" s="898"/>
      <c r="Q1237" s="898"/>
      <c r="R1237" s="898"/>
      <c r="S1237" s="898"/>
      <c r="T1237" s="898"/>
      <c r="U1237" s="898"/>
      <c r="V1237" s="898"/>
      <c r="W1237" s="898"/>
      <c r="X1237" s="898"/>
      <c r="Y1237" s="898"/>
      <c r="Z1237" s="898"/>
      <c r="AA1237" s="898"/>
      <c r="AB1237" s="898"/>
      <c r="AC1237" s="898"/>
      <c r="AD1237" s="898"/>
      <c r="AE1237" s="898"/>
      <c r="AF1237" s="898"/>
      <c r="AG1237" s="898"/>
      <c r="AH1237" s="898"/>
      <c r="AI1237" s="898"/>
      <c r="AJ1237" s="898"/>
      <c r="AK1237" s="897"/>
      <c r="AL1237" s="897"/>
      <c r="AM1237" s="897"/>
      <c r="AN1237" s="897"/>
      <c r="AO1237" s="897"/>
      <c r="AP1237" s="897"/>
      <c r="AQ1237" s="897"/>
      <c r="AR1237" s="897"/>
    </row>
    <row r="1238" spans="1:44" s="930" customFormat="1">
      <c r="A1238" s="892"/>
      <c r="B1238" s="899"/>
      <c r="C1238" s="900"/>
      <c r="D1238" s="894"/>
      <c r="E1238" s="895"/>
      <c r="F1238" s="896"/>
      <c r="G1238" s="897"/>
      <c r="H1238" s="897"/>
      <c r="I1238" s="897"/>
      <c r="J1238" s="897"/>
      <c r="K1238" s="897"/>
      <c r="L1238" s="898"/>
      <c r="M1238" s="898"/>
      <c r="N1238" s="898"/>
      <c r="O1238" s="898"/>
      <c r="P1238" s="898"/>
      <c r="Q1238" s="898"/>
      <c r="R1238" s="898"/>
      <c r="S1238" s="898"/>
      <c r="T1238" s="898"/>
      <c r="U1238" s="898"/>
      <c r="V1238" s="898"/>
      <c r="W1238" s="898"/>
      <c r="X1238" s="898"/>
      <c r="Y1238" s="898"/>
      <c r="Z1238" s="898"/>
      <c r="AA1238" s="898"/>
      <c r="AB1238" s="898"/>
      <c r="AC1238" s="898"/>
      <c r="AD1238" s="898"/>
      <c r="AE1238" s="898"/>
      <c r="AF1238" s="898"/>
      <c r="AG1238" s="898"/>
      <c r="AH1238" s="898"/>
      <c r="AI1238" s="898"/>
      <c r="AJ1238" s="898"/>
      <c r="AK1238" s="897"/>
      <c r="AL1238" s="897"/>
      <c r="AM1238" s="897"/>
      <c r="AN1238" s="897"/>
      <c r="AO1238" s="897"/>
      <c r="AP1238" s="897"/>
      <c r="AQ1238" s="897"/>
      <c r="AR1238" s="897"/>
    </row>
    <row r="1239" spans="1:44" s="930" customFormat="1">
      <c r="A1239" s="892"/>
      <c r="B1239" s="899"/>
      <c r="C1239" s="900"/>
      <c r="D1239" s="894"/>
      <c r="E1239" s="895"/>
      <c r="F1239" s="896"/>
      <c r="G1239" s="897"/>
      <c r="H1239" s="897"/>
      <c r="I1239" s="897"/>
      <c r="J1239" s="897"/>
      <c r="K1239" s="897"/>
      <c r="L1239" s="898"/>
      <c r="M1239" s="898"/>
      <c r="N1239" s="898"/>
      <c r="O1239" s="898"/>
      <c r="P1239" s="898"/>
      <c r="Q1239" s="898"/>
      <c r="R1239" s="898"/>
      <c r="S1239" s="898"/>
      <c r="T1239" s="898"/>
      <c r="U1239" s="898"/>
      <c r="V1239" s="898"/>
      <c r="W1239" s="898"/>
      <c r="X1239" s="898"/>
      <c r="Y1239" s="898"/>
      <c r="Z1239" s="898"/>
      <c r="AA1239" s="898"/>
      <c r="AB1239" s="898"/>
      <c r="AC1239" s="898"/>
      <c r="AD1239" s="898"/>
      <c r="AE1239" s="898"/>
      <c r="AF1239" s="898"/>
      <c r="AG1239" s="898"/>
      <c r="AH1239" s="898"/>
      <c r="AI1239" s="898"/>
      <c r="AJ1239" s="898"/>
      <c r="AK1239" s="897"/>
      <c r="AL1239" s="897"/>
      <c r="AM1239" s="897"/>
      <c r="AN1239" s="897"/>
      <c r="AO1239" s="897"/>
      <c r="AP1239" s="897"/>
      <c r="AQ1239" s="897"/>
      <c r="AR1239" s="897"/>
    </row>
    <row r="1240" spans="1:44" s="930" customFormat="1">
      <c r="A1240" s="892"/>
      <c r="B1240" s="899"/>
      <c r="C1240" s="900"/>
      <c r="D1240" s="894"/>
      <c r="E1240" s="895"/>
      <c r="F1240" s="896"/>
      <c r="G1240" s="897"/>
      <c r="H1240" s="897"/>
      <c r="I1240" s="897"/>
      <c r="J1240" s="897"/>
      <c r="K1240" s="897"/>
      <c r="L1240" s="898"/>
      <c r="M1240" s="898"/>
      <c r="N1240" s="898"/>
      <c r="O1240" s="898"/>
      <c r="P1240" s="898"/>
      <c r="Q1240" s="898"/>
      <c r="R1240" s="898"/>
      <c r="S1240" s="898"/>
      <c r="T1240" s="898"/>
      <c r="U1240" s="898"/>
      <c r="V1240" s="898"/>
      <c r="W1240" s="898"/>
      <c r="X1240" s="898"/>
      <c r="Y1240" s="898"/>
      <c r="Z1240" s="898"/>
      <c r="AA1240" s="898"/>
      <c r="AB1240" s="898"/>
      <c r="AC1240" s="898"/>
      <c r="AD1240" s="898"/>
      <c r="AE1240" s="898"/>
      <c r="AF1240" s="898"/>
      <c r="AG1240" s="898"/>
      <c r="AH1240" s="898"/>
      <c r="AI1240" s="898"/>
      <c r="AJ1240" s="898"/>
      <c r="AK1240" s="897"/>
      <c r="AL1240" s="897"/>
      <c r="AM1240" s="897"/>
      <c r="AN1240" s="897"/>
      <c r="AO1240" s="897"/>
      <c r="AP1240" s="897"/>
      <c r="AQ1240" s="897"/>
      <c r="AR1240" s="897"/>
    </row>
    <row r="1241" spans="1:44" s="930" customFormat="1">
      <c r="A1241" s="892"/>
      <c r="B1241" s="899"/>
      <c r="C1241" s="900"/>
      <c r="D1241" s="894"/>
      <c r="E1241" s="895"/>
      <c r="F1241" s="896"/>
      <c r="G1241" s="897"/>
      <c r="H1241" s="897"/>
      <c r="I1241" s="897"/>
      <c r="J1241" s="897"/>
      <c r="K1241" s="897"/>
      <c r="L1241" s="898"/>
      <c r="M1241" s="898"/>
      <c r="N1241" s="898"/>
      <c r="O1241" s="898"/>
      <c r="P1241" s="898"/>
      <c r="Q1241" s="898"/>
      <c r="R1241" s="898"/>
      <c r="S1241" s="898"/>
      <c r="T1241" s="898"/>
      <c r="U1241" s="898"/>
      <c r="V1241" s="898"/>
      <c r="W1241" s="898"/>
      <c r="X1241" s="898"/>
      <c r="Y1241" s="898"/>
      <c r="Z1241" s="898"/>
      <c r="AA1241" s="898"/>
      <c r="AB1241" s="898"/>
      <c r="AC1241" s="898"/>
      <c r="AD1241" s="898"/>
      <c r="AE1241" s="898"/>
      <c r="AF1241" s="898"/>
      <c r="AG1241" s="898"/>
      <c r="AH1241" s="898"/>
      <c r="AI1241" s="898"/>
      <c r="AJ1241" s="898"/>
      <c r="AK1241" s="897"/>
      <c r="AL1241" s="897"/>
      <c r="AM1241" s="897"/>
      <c r="AN1241" s="897"/>
      <c r="AO1241" s="897"/>
      <c r="AP1241" s="897"/>
      <c r="AQ1241" s="897"/>
      <c r="AR1241" s="897"/>
    </row>
    <row r="1242" spans="1:44" s="930" customFormat="1">
      <c r="A1242" s="892"/>
      <c r="B1242" s="899"/>
      <c r="C1242" s="900"/>
      <c r="D1242" s="894"/>
      <c r="E1242" s="895"/>
      <c r="F1242" s="896"/>
      <c r="G1242" s="897"/>
      <c r="H1242" s="897"/>
      <c r="I1242" s="897"/>
      <c r="J1242" s="897"/>
      <c r="K1242" s="897"/>
      <c r="L1242" s="898"/>
      <c r="M1242" s="898"/>
      <c r="N1242" s="898"/>
      <c r="O1242" s="898"/>
      <c r="P1242" s="898"/>
      <c r="Q1242" s="898"/>
      <c r="R1242" s="898"/>
      <c r="S1242" s="898"/>
      <c r="T1242" s="898"/>
      <c r="U1242" s="898"/>
      <c r="V1242" s="898"/>
      <c r="W1242" s="898"/>
      <c r="X1242" s="898"/>
      <c r="Y1242" s="898"/>
      <c r="Z1242" s="898"/>
      <c r="AA1242" s="898"/>
      <c r="AB1242" s="898"/>
      <c r="AC1242" s="898"/>
      <c r="AD1242" s="898"/>
      <c r="AE1242" s="898"/>
      <c r="AF1242" s="898"/>
      <c r="AG1242" s="898"/>
      <c r="AH1242" s="898"/>
      <c r="AI1242" s="898"/>
      <c r="AJ1242" s="898"/>
      <c r="AK1242" s="897"/>
      <c r="AL1242" s="897"/>
      <c r="AM1242" s="897"/>
      <c r="AN1242" s="897"/>
      <c r="AO1242" s="897"/>
      <c r="AP1242" s="897"/>
      <c r="AQ1242" s="897"/>
      <c r="AR1242" s="897"/>
    </row>
    <row r="1243" spans="1:44" s="930" customFormat="1">
      <c r="A1243" s="892"/>
      <c r="B1243" s="899"/>
      <c r="C1243" s="900"/>
      <c r="D1243" s="894"/>
      <c r="E1243" s="895"/>
      <c r="F1243" s="896"/>
      <c r="G1243" s="897"/>
      <c r="H1243" s="897"/>
      <c r="I1243" s="897"/>
      <c r="J1243" s="897"/>
      <c r="K1243" s="897"/>
      <c r="L1243" s="898"/>
      <c r="M1243" s="898"/>
      <c r="N1243" s="898"/>
      <c r="O1243" s="898"/>
      <c r="P1243" s="898"/>
      <c r="Q1243" s="898"/>
      <c r="R1243" s="898"/>
      <c r="S1243" s="898"/>
      <c r="T1243" s="898"/>
      <c r="U1243" s="898"/>
      <c r="V1243" s="898"/>
      <c r="W1243" s="898"/>
      <c r="X1243" s="898"/>
      <c r="Y1243" s="898"/>
      <c r="Z1243" s="898"/>
      <c r="AA1243" s="898"/>
      <c r="AB1243" s="898"/>
      <c r="AC1243" s="898"/>
      <c r="AD1243" s="898"/>
      <c r="AE1243" s="898"/>
      <c r="AF1243" s="898"/>
      <c r="AG1243" s="898"/>
      <c r="AH1243" s="898"/>
      <c r="AI1243" s="898"/>
      <c r="AJ1243" s="898"/>
      <c r="AK1243" s="897"/>
      <c r="AL1243" s="897"/>
      <c r="AM1243" s="897"/>
      <c r="AN1243" s="897"/>
      <c r="AO1243" s="897"/>
      <c r="AP1243" s="897"/>
      <c r="AQ1243" s="897"/>
      <c r="AR1243" s="897"/>
    </row>
    <row r="1244" spans="1:44" s="930" customFormat="1">
      <c r="A1244" s="892"/>
      <c r="B1244" s="899"/>
      <c r="C1244" s="900"/>
      <c r="D1244" s="894"/>
      <c r="E1244" s="895"/>
      <c r="F1244" s="896"/>
      <c r="G1244" s="897"/>
      <c r="H1244" s="897"/>
      <c r="I1244" s="897"/>
      <c r="J1244" s="897"/>
      <c r="K1244" s="897"/>
      <c r="L1244" s="898"/>
      <c r="M1244" s="898"/>
      <c r="N1244" s="898"/>
      <c r="O1244" s="898"/>
      <c r="P1244" s="898"/>
      <c r="Q1244" s="898"/>
      <c r="R1244" s="898"/>
      <c r="S1244" s="898"/>
      <c r="T1244" s="898"/>
      <c r="U1244" s="898"/>
      <c r="V1244" s="898"/>
      <c r="W1244" s="898"/>
      <c r="X1244" s="898"/>
      <c r="Y1244" s="898"/>
      <c r="Z1244" s="898"/>
      <c r="AA1244" s="898"/>
      <c r="AB1244" s="898"/>
      <c r="AC1244" s="898"/>
      <c r="AD1244" s="898"/>
      <c r="AE1244" s="898"/>
      <c r="AF1244" s="898"/>
      <c r="AG1244" s="898"/>
      <c r="AH1244" s="898"/>
      <c r="AI1244" s="898"/>
      <c r="AJ1244" s="898"/>
      <c r="AK1244" s="897"/>
      <c r="AL1244" s="897"/>
      <c r="AM1244" s="897"/>
      <c r="AN1244" s="897"/>
      <c r="AO1244" s="897"/>
      <c r="AP1244" s="897"/>
      <c r="AQ1244" s="897"/>
      <c r="AR1244" s="897"/>
    </row>
    <row r="1245" spans="1:44" s="930" customFormat="1">
      <c r="A1245" s="892"/>
      <c r="B1245" s="899"/>
      <c r="C1245" s="900"/>
      <c r="D1245" s="894"/>
      <c r="E1245" s="895"/>
      <c r="F1245" s="896"/>
      <c r="G1245" s="897"/>
      <c r="H1245" s="897"/>
      <c r="I1245" s="897"/>
      <c r="J1245" s="897"/>
      <c r="K1245" s="897"/>
      <c r="L1245" s="898"/>
      <c r="M1245" s="898"/>
      <c r="N1245" s="898"/>
      <c r="O1245" s="898"/>
      <c r="P1245" s="898"/>
      <c r="Q1245" s="898"/>
      <c r="R1245" s="898"/>
      <c r="S1245" s="898"/>
      <c r="T1245" s="898"/>
      <c r="U1245" s="898"/>
      <c r="V1245" s="898"/>
      <c r="W1245" s="898"/>
      <c r="X1245" s="898"/>
      <c r="Y1245" s="898"/>
      <c r="Z1245" s="898"/>
      <c r="AA1245" s="898"/>
      <c r="AB1245" s="898"/>
      <c r="AC1245" s="898"/>
      <c r="AD1245" s="898"/>
      <c r="AE1245" s="898"/>
      <c r="AF1245" s="898"/>
      <c r="AG1245" s="898"/>
      <c r="AH1245" s="898"/>
      <c r="AI1245" s="898"/>
      <c r="AJ1245" s="898"/>
      <c r="AK1245" s="897"/>
      <c r="AL1245" s="897"/>
      <c r="AM1245" s="897"/>
      <c r="AN1245" s="897"/>
      <c r="AO1245" s="897"/>
      <c r="AP1245" s="897"/>
      <c r="AQ1245" s="897"/>
      <c r="AR1245" s="897"/>
    </row>
    <row r="1246" spans="1:44" s="930" customFormat="1">
      <c r="A1246" s="892"/>
      <c r="B1246" s="899"/>
      <c r="C1246" s="900"/>
      <c r="D1246" s="894"/>
      <c r="E1246" s="895"/>
      <c r="F1246" s="896"/>
      <c r="G1246" s="897"/>
      <c r="H1246" s="897"/>
      <c r="I1246" s="897"/>
      <c r="J1246" s="897"/>
      <c r="K1246" s="897"/>
      <c r="L1246" s="898"/>
      <c r="M1246" s="898"/>
      <c r="N1246" s="898"/>
      <c r="O1246" s="898"/>
      <c r="P1246" s="898"/>
      <c r="Q1246" s="898"/>
      <c r="R1246" s="898"/>
      <c r="S1246" s="898"/>
      <c r="T1246" s="898"/>
      <c r="U1246" s="898"/>
      <c r="V1246" s="898"/>
      <c r="W1246" s="898"/>
      <c r="X1246" s="898"/>
      <c r="Y1246" s="898"/>
      <c r="Z1246" s="898"/>
      <c r="AA1246" s="898"/>
      <c r="AB1246" s="898"/>
      <c r="AC1246" s="898"/>
      <c r="AD1246" s="898"/>
      <c r="AE1246" s="898"/>
      <c r="AF1246" s="898"/>
      <c r="AG1246" s="898"/>
      <c r="AH1246" s="898"/>
      <c r="AI1246" s="898"/>
      <c r="AJ1246" s="898"/>
      <c r="AK1246" s="897"/>
      <c r="AL1246" s="897"/>
      <c r="AM1246" s="897"/>
      <c r="AN1246" s="897"/>
      <c r="AO1246" s="897"/>
      <c r="AP1246" s="897"/>
      <c r="AQ1246" s="897"/>
      <c r="AR1246" s="897"/>
    </row>
    <row r="1247" spans="1:44" s="930" customFormat="1">
      <c r="A1247" s="892"/>
      <c r="B1247" s="899"/>
      <c r="C1247" s="900"/>
      <c r="D1247" s="894"/>
      <c r="E1247" s="895"/>
      <c r="F1247" s="896"/>
      <c r="G1247" s="897"/>
      <c r="H1247" s="897"/>
      <c r="I1247" s="897"/>
      <c r="J1247" s="897"/>
      <c r="K1247" s="897"/>
      <c r="L1247" s="898"/>
      <c r="M1247" s="898"/>
      <c r="N1247" s="898"/>
      <c r="O1247" s="898"/>
      <c r="P1247" s="898"/>
      <c r="Q1247" s="898"/>
      <c r="R1247" s="898"/>
      <c r="S1247" s="898"/>
      <c r="T1247" s="898"/>
      <c r="U1247" s="898"/>
      <c r="V1247" s="898"/>
      <c r="W1247" s="898"/>
      <c r="X1247" s="898"/>
      <c r="Y1247" s="898"/>
      <c r="Z1247" s="898"/>
      <c r="AA1247" s="898"/>
      <c r="AB1247" s="898"/>
      <c r="AC1247" s="898"/>
      <c r="AD1247" s="898"/>
      <c r="AE1247" s="898"/>
      <c r="AF1247" s="898"/>
      <c r="AG1247" s="898"/>
      <c r="AH1247" s="898"/>
      <c r="AI1247" s="898"/>
      <c r="AJ1247" s="898"/>
      <c r="AK1247" s="897"/>
      <c r="AL1247" s="897"/>
      <c r="AM1247" s="897"/>
      <c r="AN1247" s="897"/>
      <c r="AO1247" s="897"/>
      <c r="AP1247" s="897"/>
      <c r="AQ1247" s="897"/>
      <c r="AR1247" s="897"/>
    </row>
    <row r="1248" spans="1:44" s="930" customFormat="1">
      <c r="A1248" s="892"/>
      <c r="B1248" s="899"/>
      <c r="C1248" s="900"/>
      <c r="D1248" s="894"/>
      <c r="E1248" s="895"/>
      <c r="F1248" s="896"/>
      <c r="G1248" s="897"/>
      <c r="H1248" s="897"/>
      <c r="I1248" s="897"/>
      <c r="J1248" s="897"/>
      <c r="K1248" s="897"/>
      <c r="L1248" s="898"/>
      <c r="M1248" s="898"/>
      <c r="N1248" s="898"/>
      <c r="O1248" s="898"/>
      <c r="P1248" s="898"/>
      <c r="Q1248" s="898"/>
      <c r="R1248" s="898"/>
      <c r="S1248" s="898"/>
      <c r="T1248" s="898"/>
      <c r="U1248" s="898"/>
      <c r="V1248" s="898"/>
      <c r="W1248" s="898"/>
      <c r="X1248" s="898"/>
      <c r="Y1248" s="898"/>
      <c r="Z1248" s="898"/>
      <c r="AA1248" s="898"/>
      <c r="AB1248" s="898"/>
      <c r="AC1248" s="898"/>
      <c r="AD1248" s="898"/>
      <c r="AE1248" s="898"/>
      <c r="AF1248" s="898"/>
      <c r="AG1248" s="898"/>
      <c r="AH1248" s="898"/>
      <c r="AI1248" s="898"/>
      <c r="AJ1248" s="898"/>
      <c r="AK1248" s="897"/>
      <c r="AL1248" s="897"/>
      <c r="AM1248" s="897"/>
      <c r="AN1248" s="897"/>
      <c r="AO1248" s="897"/>
      <c r="AP1248" s="897"/>
      <c r="AQ1248" s="897"/>
      <c r="AR1248" s="897"/>
    </row>
    <row r="1249" spans="1:44" s="930" customFormat="1">
      <c r="A1249" s="892"/>
      <c r="B1249" s="899"/>
      <c r="C1249" s="900"/>
      <c r="D1249" s="894"/>
      <c r="E1249" s="895"/>
      <c r="F1249" s="896"/>
      <c r="G1249" s="897"/>
      <c r="H1249" s="897"/>
      <c r="I1249" s="897"/>
      <c r="J1249" s="897"/>
      <c r="K1249" s="897"/>
      <c r="L1249" s="898"/>
      <c r="M1249" s="898"/>
      <c r="N1249" s="898"/>
      <c r="O1249" s="898"/>
      <c r="P1249" s="898"/>
      <c r="Q1249" s="898"/>
      <c r="R1249" s="898"/>
      <c r="S1249" s="898"/>
      <c r="T1249" s="898"/>
      <c r="U1249" s="898"/>
      <c r="V1249" s="898"/>
      <c r="W1249" s="898"/>
      <c r="X1249" s="898"/>
      <c r="Y1249" s="898"/>
      <c r="Z1249" s="898"/>
      <c r="AA1249" s="898"/>
      <c r="AB1249" s="898"/>
      <c r="AC1249" s="898"/>
      <c r="AD1249" s="898"/>
      <c r="AE1249" s="898"/>
      <c r="AF1249" s="898"/>
      <c r="AG1249" s="898"/>
      <c r="AH1249" s="898"/>
      <c r="AI1249" s="898"/>
      <c r="AJ1249" s="898"/>
      <c r="AK1249" s="897"/>
      <c r="AL1249" s="897"/>
      <c r="AM1249" s="897"/>
      <c r="AN1249" s="897"/>
      <c r="AO1249" s="897"/>
      <c r="AP1249" s="897"/>
      <c r="AQ1249" s="897"/>
      <c r="AR1249" s="897"/>
    </row>
    <row r="1250" spans="1:44" s="930" customFormat="1">
      <c r="A1250" s="892"/>
      <c r="B1250" s="899"/>
      <c r="C1250" s="900"/>
      <c r="D1250" s="894"/>
      <c r="E1250" s="895"/>
      <c r="F1250" s="896"/>
      <c r="G1250" s="897"/>
      <c r="H1250" s="897"/>
      <c r="I1250" s="897"/>
      <c r="J1250" s="897"/>
      <c r="K1250" s="897"/>
      <c r="L1250" s="898"/>
      <c r="M1250" s="898"/>
      <c r="N1250" s="898"/>
      <c r="O1250" s="898"/>
      <c r="P1250" s="898"/>
      <c r="Q1250" s="898"/>
      <c r="R1250" s="898"/>
      <c r="S1250" s="898"/>
      <c r="T1250" s="898"/>
      <c r="U1250" s="898"/>
      <c r="V1250" s="898"/>
      <c r="W1250" s="898"/>
      <c r="X1250" s="898"/>
      <c r="Y1250" s="898"/>
      <c r="Z1250" s="898"/>
      <c r="AA1250" s="898"/>
      <c r="AB1250" s="898"/>
      <c r="AC1250" s="898"/>
      <c r="AD1250" s="898"/>
      <c r="AE1250" s="898"/>
      <c r="AF1250" s="898"/>
      <c r="AG1250" s="898"/>
      <c r="AH1250" s="898"/>
      <c r="AI1250" s="898"/>
      <c r="AJ1250" s="898"/>
      <c r="AK1250" s="897"/>
      <c r="AL1250" s="897"/>
      <c r="AM1250" s="897"/>
      <c r="AN1250" s="897"/>
      <c r="AO1250" s="897"/>
      <c r="AP1250" s="897"/>
      <c r="AQ1250" s="897"/>
      <c r="AR1250" s="897"/>
    </row>
    <row r="1251" spans="1:44" s="930" customFormat="1">
      <c r="A1251" s="892"/>
      <c r="B1251" s="899"/>
      <c r="C1251" s="900"/>
      <c r="D1251" s="894"/>
      <c r="E1251" s="895"/>
      <c r="F1251" s="896"/>
      <c r="G1251" s="897"/>
      <c r="H1251" s="897"/>
      <c r="I1251" s="897"/>
      <c r="J1251" s="897"/>
      <c r="K1251" s="897"/>
      <c r="L1251" s="898"/>
      <c r="M1251" s="898"/>
      <c r="N1251" s="898"/>
      <c r="O1251" s="898"/>
      <c r="P1251" s="898"/>
      <c r="Q1251" s="898"/>
      <c r="R1251" s="898"/>
      <c r="S1251" s="898"/>
      <c r="T1251" s="898"/>
      <c r="U1251" s="898"/>
      <c r="V1251" s="898"/>
      <c r="W1251" s="898"/>
      <c r="X1251" s="898"/>
      <c r="Y1251" s="898"/>
      <c r="Z1251" s="898"/>
      <c r="AA1251" s="898"/>
      <c r="AB1251" s="898"/>
      <c r="AC1251" s="898"/>
      <c r="AD1251" s="898"/>
      <c r="AE1251" s="898"/>
      <c r="AF1251" s="898"/>
      <c r="AG1251" s="898"/>
      <c r="AH1251" s="898"/>
      <c r="AI1251" s="898"/>
      <c r="AJ1251" s="898"/>
      <c r="AK1251" s="897"/>
      <c r="AL1251" s="897"/>
      <c r="AM1251" s="897"/>
      <c r="AN1251" s="897"/>
      <c r="AO1251" s="897"/>
      <c r="AP1251" s="897"/>
      <c r="AQ1251" s="897"/>
      <c r="AR1251" s="897"/>
    </row>
    <row r="1252" spans="1:44" s="930" customFormat="1">
      <c r="A1252" s="892"/>
      <c r="B1252" s="899"/>
      <c r="C1252" s="900"/>
      <c r="D1252" s="894"/>
      <c r="E1252" s="895"/>
      <c r="F1252" s="896"/>
      <c r="G1252" s="897"/>
      <c r="H1252" s="897"/>
      <c r="I1252" s="897"/>
      <c r="J1252" s="897"/>
      <c r="K1252" s="897"/>
      <c r="L1252" s="898"/>
      <c r="M1252" s="898"/>
      <c r="N1252" s="898"/>
      <c r="O1252" s="898"/>
      <c r="P1252" s="898"/>
      <c r="Q1252" s="898"/>
      <c r="R1252" s="898"/>
      <c r="S1252" s="898"/>
      <c r="T1252" s="898"/>
      <c r="U1252" s="898"/>
      <c r="V1252" s="898"/>
      <c r="W1252" s="898"/>
      <c r="X1252" s="898"/>
      <c r="Y1252" s="898"/>
      <c r="Z1252" s="898"/>
      <c r="AA1252" s="898"/>
      <c r="AB1252" s="898"/>
      <c r="AC1252" s="898"/>
      <c r="AD1252" s="898"/>
      <c r="AE1252" s="898"/>
      <c r="AF1252" s="898"/>
      <c r="AG1252" s="898"/>
      <c r="AH1252" s="898"/>
      <c r="AI1252" s="898"/>
      <c r="AJ1252" s="898"/>
      <c r="AK1252" s="897"/>
      <c r="AL1252" s="897"/>
      <c r="AM1252" s="897"/>
      <c r="AN1252" s="897"/>
      <c r="AO1252" s="897"/>
      <c r="AP1252" s="897"/>
      <c r="AQ1252" s="897"/>
      <c r="AR1252" s="897"/>
    </row>
    <row r="1253" spans="1:44" s="930" customFormat="1">
      <c r="A1253" s="892"/>
      <c r="B1253" s="899"/>
      <c r="C1253" s="900"/>
      <c r="D1253" s="894"/>
      <c r="E1253" s="895"/>
      <c r="F1253" s="896"/>
      <c r="G1253" s="897"/>
      <c r="H1253" s="897"/>
      <c r="I1253" s="897"/>
      <c r="J1253" s="897"/>
      <c r="K1253" s="897"/>
      <c r="L1253" s="898"/>
      <c r="M1253" s="898"/>
      <c r="N1253" s="898"/>
      <c r="O1253" s="898"/>
      <c r="P1253" s="898"/>
      <c r="Q1253" s="898"/>
      <c r="R1253" s="898"/>
      <c r="S1253" s="898"/>
      <c r="T1253" s="898"/>
      <c r="U1253" s="898"/>
      <c r="V1253" s="898"/>
      <c r="W1253" s="898"/>
      <c r="X1253" s="898"/>
      <c r="Y1253" s="898"/>
      <c r="Z1253" s="898"/>
      <c r="AA1253" s="898"/>
      <c r="AB1253" s="898"/>
      <c r="AC1253" s="898"/>
      <c r="AD1253" s="898"/>
      <c r="AE1253" s="898"/>
      <c r="AF1253" s="898"/>
      <c r="AG1253" s="898"/>
      <c r="AH1253" s="898"/>
      <c r="AI1253" s="898"/>
      <c r="AJ1253" s="898"/>
      <c r="AK1253" s="897"/>
      <c r="AL1253" s="897"/>
      <c r="AM1253" s="897"/>
      <c r="AN1253" s="897"/>
      <c r="AO1253" s="897"/>
      <c r="AP1253" s="897"/>
      <c r="AQ1253" s="897"/>
      <c r="AR1253" s="897"/>
    </row>
    <row r="1254" spans="1:44" s="930" customFormat="1">
      <c r="A1254" s="892"/>
      <c r="B1254" s="899"/>
      <c r="C1254" s="900"/>
      <c r="D1254" s="894"/>
      <c r="E1254" s="895"/>
      <c r="F1254" s="896"/>
      <c r="G1254" s="897"/>
      <c r="H1254" s="897"/>
      <c r="I1254" s="897"/>
      <c r="J1254" s="897"/>
      <c r="K1254" s="897"/>
      <c r="L1254" s="898"/>
      <c r="M1254" s="898"/>
      <c r="N1254" s="898"/>
      <c r="O1254" s="898"/>
      <c r="P1254" s="898"/>
      <c r="Q1254" s="898"/>
      <c r="R1254" s="898"/>
      <c r="S1254" s="898"/>
      <c r="T1254" s="898"/>
      <c r="U1254" s="898"/>
      <c r="V1254" s="898"/>
      <c r="W1254" s="898"/>
      <c r="X1254" s="898"/>
      <c r="Y1254" s="898"/>
      <c r="Z1254" s="898"/>
      <c r="AA1254" s="898"/>
      <c r="AB1254" s="898"/>
      <c r="AC1254" s="898"/>
      <c r="AD1254" s="898"/>
      <c r="AE1254" s="898"/>
      <c r="AF1254" s="898"/>
      <c r="AG1254" s="898"/>
      <c r="AH1254" s="898"/>
      <c r="AI1254" s="898"/>
      <c r="AJ1254" s="898"/>
      <c r="AK1254" s="897"/>
      <c r="AL1254" s="897"/>
      <c r="AM1254" s="897"/>
      <c r="AN1254" s="897"/>
      <c r="AO1254" s="897"/>
      <c r="AP1254" s="897"/>
      <c r="AQ1254" s="897"/>
      <c r="AR1254" s="897"/>
    </row>
    <row r="1255" spans="1:44" s="930" customFormat="1">
      <c r="A1255" s="892"/>
      <c r="B1255" s="899"/>
      <c r="C1255" s="900"/>
      <c r="D1255" s="894"/>
      <c r="E1255" s="895"/>
      <c r="F1255" s="896"/>
      <c r="G1255" s="897"/>
      <c r="H1255" s="897"/>
      <c r="I1255" s="897"/>
      <c r="J1255" s="897"/>
      <c r="K1255" s="897"/>
      <c r="L1255" s="898"/>
      <c r="M1255" s="898"/>
      <c r="N1255" s="898"/>
      <c r="O1255" s="898"/>
      <c r="P1255" s="898"/>
      <c r="Q1255" s="898"/>
      <c r="R1255" s="898"/>
      <c r="S1255" s="898"/>
      <c r="T1255" s="898"/>
      <c r="U1255" s="898"/>
      <c r="V1255" s="898"/>
      <c r="W1255" s="898"/>
      <c r="X1255" s="898"/>
      <c r="Y1255" s="898"/>
      <c r="Z1255" s="898"/>
      <c r="AA1255" s="898"/>
      <c r="AB1255" s="898"/>
      <c r="AC1255" s="898"/>
      <c r="AD1255" s="898"/>
      <c r="AE1255" s="898"/>
      <c r="AF1255" s="898"/>
      <c r="AG1255" s="898"/>
      <c r="AH1255" s="898"/>
      <c r="AI1255" s="898"/>
      <c r="AJ1255" s="898"/>
      <c r="AK1255" s="897"/>
      <c r="AL1255" s="897"/>
      <c r="AM1255" s="897"/>
      <c r="AN1255" s="897"/>
      <c r="AO1255" s="897"/>
      <c r="AP1255" s="897"/>
      <c r="AQ1255" s="897"/>
      <c r="AR1255" s="897"/>
    </row>
    <row r="1256" spans="1:44" s="930" customFormat="1">
      <c r="A1256" s="892"/>
      <c r="B1256" s="899"/>
      <c r="C1256" s="900"/>
      <c r="D1256" s="894"/>
      <c r="E1256" s="895"/>
      <c r="F1256" s="896"/>
      <c r="G1256" s="897"/>
      <c r="H1256" s="897"/>
      <c r="I1256" s="897"/>
      <c r="J1256" s="897"/>
      <c r="K1256" s="897"/>
      <c r="L1256" s="898"/>
      <c r="M1256" s="898"/>
      <c r="N1256" s="898"/>
      <c r="O1256" s="898"/>
      <c r="P1256" s="898"/>
      <c r="Q1256" s="898"/>
      <c r="R1256" s="898"/>
      <c r="S1256" s="898"/>
      <c r="T1256" s="898"/>
      <c r="U1256" s="898"/>
      <c r="V1256" s="898"/>
      <c r="W1256" s="898"/>
      <c r="X1256" s="898"/>
      <c r="Y1256" s="898"/>
      <c r="Z1256" s="898"/>
      <c r="AA1256" s="898"/>
      <c r="AB1256" s="898"/>
      <c r="AC1256" s="898"/>
      <c r="AD1256" s="898"/>
      <c r="AE1256" s="898"/>
      <c r="AF1256" s="898"/>
      <c r="AG1256" s="898"/>
      <c r="AH1256" s="898"/>
      <c r="AI1256" s="898"/>
      <c r="AJ1256" s="898"/>
      <c r="AK1256" s="897"/>
      <c r="AL1256" s="897"/>
      <c r="AM1256" s="897"/>
      <c r="AN1256" s="897"/>
      <c r="AO1256" s="897"/>
      <c r="AP1256" s="897"/>
      <c r="AQ1256" s="897"/>
      <c r="AR1256" s="897"/>
    </row>
    <row r="1257" spans="1:44" s="930" customFormat="1">
      <c r="A1257" s="892"/>
      <c r="B1257" s="899"/>
      <c r="C1257" s="900"/>
      <c r="D1257" s="894"/>
      <c r="E1257" s="895"/>
      <c r="F1257" s="896"/>
      <c r="G1257" s="897"/>
      <c r="H1257" s="897"/>
      <c r="I1257" s="897"/>
      <c r="J1257" s="897"/>
      <c r="K1257" s="897"/>
      <c r="L1257" s="898"/>
      <c r="M1257" s="898"/>
      <c r="N1257" s="898"/>
      <c r="O1257" s="898"/>
      <c r="P1257" s="898"/>
      <c r="Q1257" s="898"/>
      <c r="R1257" s="898"/>
      <c r="S1257" s="898"/>
      <c r="T1257" s="898"/>
      <c r="U1257" s="898"/>
      <c r="V1257" s="898"/>
      <c r="W1257" s="898"/>
      <c r="X1257" s="898"/>
      <c r="Y1257" s="898"/>
      <c r="Z1257" s="898"/>
      <c r="AA1257" s="898"/>
      <c r="AB1257" s="898"/>
      <c r="AC1257" s="898"/>
      <c r="AD1257" s="898"/>
      <c r="AE1257" s="898"/>
      <c r="AF1257" s="898"/>
      <c r="AG1257" s="898"/>
      <c r="AH1257" s="898"/>
      <c r="AI1257" s="898"/>
      <c r="AJ1257" s="898"/>
      <c r="AK1257" s="897"/>
      <c r="AL1257" s="897"/>
      <c r="AM1257" s="897"/>
      <c r="AN1257" s="897"/>
      <c r="AO1257" s="897"/>
      <c r="AP1257" s="897"/>
      <c r="AQ1257" s="897"/>
      <c r="AR1257" s="897"/>
    </row>
    <row r="1258" spans="1:44" s="930" customFormat="1">
      <c r="A1258" s="892"/>
      <c r="B1258" s="899"/>
      <c r="C1258" s="900"/>
      <c r="D1258" s="894"/>
      <c r="E1258" s="895"/>
      <c r="F1258" s="896"/>
      <c r="G1258" s="897"/>
      <c r="H1258" s="897"/>
      <c r="I1258" s="897"/>
      <c r="J1258" s="897"/>
      <c r="K1258" s="897"/>
      <c r="L1258" s="898"/>
      <c r="M1258" s="898"/>
      <c r="N1258" s="898"/>
      <c r="O1258" s="898"/>
      <c r="P1258" s="898"/>
      <c r="Q1258" s="898"/>
      <c r="R1258" s="898"/>
      <c r="S1258" s="898"/>
      <c r="T1258" s="898"/>
      <c r="U1258" s="898"/>
      <c r="V1258" s="898"/>
      <c r="W1258" s="898"/>
      <c r="X1258" s="898"/>
      <c r="Y1258" s="898"/>
      <c r="Z1258" s="898"/>
      <c r="AA1258" s="898"/>
      <c r="AB1258" s="898"/>
      <c r="AC1258" s="898"/>
      <c r="AD1258" s="898"/>
      <c r="AE1258" s="898"/>
      <c r="AF1258" s="898"/>
      <c r="AG1258" s="898"/>
      <c r="AH1258" s="898"/>
      <c r="AI1258" s="898"/>
      <c r="AJ1258" s="898"/>
      <c r="AK1258" s="897"/>
      <c r="AL1258" s="897"/>
      <c r="AM1258" s="897"/>
      <c r="AN1258" s="897"/>
      <c r="AO1258" s="897"/>
      <c r="AP1258" s="897"/>
      <c r="AQ1258" s="897"/>
      <c r="AR1258" s="897"/>
    </row>
    <row r="1259" spans="1:44" s="930" customFormat="1">
      <c r="A1259" s="892"/>
      <c r="B1259" s="899"/>
      <c r="C1259" s="900"/>
      <c r="D1259" s="894"/>
      <c r="E1259" s="895"/>
      <c r="F1259" s="896"/>
      <c r="G1259" s="897"/>
      <c r="H1259" s="897"/>
      <c r="I1259" s="897"/>
      <c r="J1259" s="897"/>
      <c r="K1259" s="897"/>
      <c r="L1259" s="898"/>
      <c r="M1259" s="898"/>
      <c r="N1259" s="898"/>
      <c r="O1259" s="898"/>
      <c r="P1259" s="898"/>
      <c r="Q1259" s="898"/>
      <c r="R1259" s="898"/>
      <c r="S1259" s="898"/>
      <c r="T1259" s="898"/>
      <c r="U1259" s="898"/>
      <c r="V1259" s="898"/>
      <c r="W1259" s="898"/>
      <c r="X1259" s="898"/>
      <c r="Y1259" s="898"/>
      <c r="Z1259" s="898"/>
      <c r="AA1259" s="898"/>
      <c r="AB1259" s="898"/>
      <c r="AC1259" s="898"/>
      <c r="AD1259" s="898"/>
      <c r="AE1259" s="898"/>
      <c r="AF1259" s="898"/>
      <c r="AG1259" s="898"/>
      <c r="AH1259" s="898"/>
      <c r="AI1259" s="898"/>
      <c r="AJ1259" s="898"/>
      <c r="AK1259" s="897"/>
      <c r="AL1259" s="897"/>
      <c r="AM1259" s="897"/>
      <c r="AN1259" s="897"/>
      <c r="AO1259" s="897"/>
      <c r="AP1259" s="897"/>
      <c r="AQ1259" s="897"/>
      <c r="AR1259" s="897"/>
    </row>
    <row r="1260" spans="1:44" s="930" customFormat="1">
      <c r="A1260" s="892"/>
      <c r="B1260" s="899"/>
      <c r="C1260" s="900"/>
      <c r="D1260" s="894"/>
      <c r="E1260" s="895"/>
      <c r="F1260" s="896"/>
      <c r="G1260" s="897"/>
      <c r="H1260" s="897"/>
      <c r="I1260" s="897"/>
      <c r="J1260" s="897"/>
      <c r="K1260" s="897"/>
      <c r="L1260" s="898"/>
      <c r="M1260" s="898"/>
      <c r="N1260" s="898"/>
      <c r="O1260" s="898"/>
      <c r="P1260" s="898"/>
      <c r="Q1260" s="898"/>
      <c r="R1260" s="898"/>
      <c r="S1260" s="898"/>
      <c r="T1260" s="898"/>
      <c r="U1260" s="898"/>
      <c r="V1260" s="898"/>
      <c r="W1260" s="898"/>
      <c r="X1260" s="898"/>
      <c r="Y1260" s="898"/>
      <c r="Z1260" s="898"/>
      <c r="AA1260" s="898"/>
      <c r="AB1260" s="898"/>
      <c r="AC1260" s="898"/>
      <c r="AD1260" s="898"/>
      <c r="AE1260" s="898"/>
      <c r="AF1260" s="898"/>
      <c r="AG1260" s="898"/>
      <c r="AH1260" s="898"/>
      <c r="AI1260" s="898"/>
      <c r="AJ1260" s="898"/>
      <c r="AK1260" s="897"/>
      <c r="AL1260" s="897"/>
      <c r="AM1260" s="897"/>
      <c r="AN1260" s="897"/>
      <c r="AO1260" s="897"/>
      <c r="AP1260" s="897"/>
      <c r="AQ1260" s="897"/>
      <c r="AR1260" s="897"/>
    </row>
    <row r="1261" spans="1:44" s="930" customFormat="1">
      <c r="A1261" s="892"/>
      <c r="B1261" s="899"/>
      <c r="C1261" s="900"/>
      <c r="D1261" s="894"/>
      <c r="E1261" s="895"/>
      <c r="F1261" s="896"/>
      <c r="G1261" s="897"/>
      <c r="H1261" s="897"/>
      <c r="I1261" s="897"/>
      <c r="J1261" s="897"/>
      <c r="K1261" s="897"/>
      <c r="L1261" s="898"/>
      <c r="M1261" s="898"/>
      <c r="N1261" s="898"/>
      <c r="O1261" s="898"/>
      <c r="P1261" s="898"/>
      <c r="Q1261" s="898"/>
      <c r="R1261" s="898"/>
      <c r="S1261" s="898"/>
      <c r="T1261" s="898"/>
      <c r="U1261" s="898"/>
      <c r="V1261" s="898"/>
      <c r="W1261" s="898"/>
      <c r="X1261" s="898"/>
      <c r="Y1261" s="898"/>
      <c r="Z1261" s="898"/>
      <c r="AA1261" s="898"/>
      <c r="AB1261" s="898"/>
      <c r="AC1261" s="898"/>
      <c r="AD1261" s="898"/>
      <c r="AE1261" s="898"/>
      <c r="AF1261" s="898"/>
      <c r="AG1261" s="898"/>
      <c r="AH1261" s="898"/>
      <c r="AI1261" s="898"/>
      <c r="AJ1261" s="898"/>
      <c r="AK1261" s="897"/>
      <c r="AL1261" s="897"/>
      <c r="AM1261" s="897"/>
      <c r="AN1261" s="897"/>
      <c r="AO1261" s="897"/>
      <c r="AP1261" s="897"/>
      <c r="AQ1261" s="897"/>
      <c r="AR1261" s="897"/>
    </row>
    <row r="1262" spans="1:44" s="930" customFormat="1">
      <c r="A1262" s="892"/>
      <c r="B1262" s="899"/>
      <c r="C1262" s="900"/>
      <c r="D1262" s="894"/>
      <c r="E1262" s="895"/>
      <c r="F1262" s="896"/>
      <c r="G1262" s="897"/>
      <c r="H1262" s="897"/>
      <c r="I1262" s="897"/>
      <c r="J1262" s="897"/>
      <c r="K1262" s="897"/>
      <c r="L1262" s="898"/>
      <c r="M1262" s="898"/>
      <c r="N1262" s="898"/>
      <c r="O1262" s="898"/>
      <c r="P1262" s="898"/>
      <c r="Q1262" s="898"/>
      <c r="R1262" s="898"/>
      <c r="S1262" s="898"/>
      <c r="T1262" s="898"/>
      <c r="U1262" s="898"/>
      <c r="V1262" s="898"/>
      <c r="W1262" s="898"/>
      <c r="X1262" s="898"/>
      <c r="Y1262" s="898"/>
      <c r="Z1262" s="898"/>
      <c r="AA1262" s="898"/>
      <c r="AB1262" s="898"/>
      <c r="AC1262" s="898"/>
      <c r="AD1262" s="898"/>
      <c r="AE1262" s="898"/>
      <c r="AF1262" s="898"/>
      <c r="AG1262" s="898"/>
      <c r="AH1262" s="898"/>
      <c r="AI1262" s="898"/>
      <c r="AJ1262" s="898"/>
      <c r="AK1262" s="897"/>
      <c r="AL1262" s="897"/>
      <c r="AM1262" s="897"/>
      <c r="AN1262" s="897"/>
      <c r="AO1262" s="897"/>
      <c r="AP1262" s="897"/>
      <c r="AQ1262" s="897"/>
      <c r="AR1262" s="897"/>
    </row>
    <row r="1263" spans="1:44" s="930" customFormat="1">
      <c r="A1263" s="892"/>
      <c r="B1263" s="899"/>
      <c r="C1263" s="900"/>
      <c r="D1263" s="894"/>
      <c r="E1263" s="895"/>
      <c r="F1263" s="896"/>
      <c r="G1263" s="897"/>
      <c r="H1263" s="897"/>
      <c r="I1263" s="897"/>
      <c r="J1263" s="897"/>
      <c r="K1263" s="897"/>
      <c r="L1263" s="898"/>
      <c r="M1263" s="898"/>
      <c r="N1263" s="898"/>
      <c r="O1263" s="898"/>
      <c r="P1263" s="898"/>
      <c r="Q1263" s="898"/>
      <c r="R1263" s="898"/>
      <c r="S1263" s="898"/>
      <c r="T1263" s="898"/>
      <c r="U1263" s="898"/>
      <c r="V1263" s="898"/>
      <c r="W1263" s="898"/>
      <c r="X1263" s="898"/>
      <c r="Y1263" s="898"/>
      <c r="Z1263" s="898"/>
      <c r="AA1263" s="898"/>
      <c r="AB1263" s="898"/>
      <c r="AC1263" s="898"/>
      <c r="AD1263" s="898"/>
      <c r="AE1263" s="898"/>
      <c r="AF1263" s="898"/>
      <c r="AG1263" s="898"/>
      <c r="AH1263" s="898"/>
      <c r="AI1263" s="898"/>
      <c r="AJ1263" s="898"/>
      <c r="AK1263" s="897"/>
      <c r="AL1263" s="897"/>
      <c r="AM1263" s="897"/>
      <c r="AN1263" s="897"/>
      <c r="AO1263" s="897"/>
      <c r="AP1263" s="897"/>
      <c r="AQ1263" s="897"/>
      <c r="AR1263" s="897"/>
    </row>
    <row r="1264" spans="1:44" s="930" customFormat="1">
      <c r="A1264" s="892"/>
      <c r="B1264" s="899"/>
      <c r="C1264" s="900"/>
      <c r="D1264" s="894"/>
      <c r="E1264" s="895"/>
      <c r="F1264" s="896"/>
      <c r="G1264" s="897"/>
      <c r="H1264" s="897"/>
      <c r="I1264" s="897"/>
      <c r="J1264" s="897"/>
      <c r="K1264" s="897"/>
      <c r="L1264" s="898"/>
      <c r="M1264" s="898"/>
      <c r="N1264" s="898"/>
      <c r="O1264" s="898"/>
      <c r="P1264" s="898"/>
      <c r="Q1264" s="898"/>
      <c r="R1264" s="898"/>
      <c r="S1264" s="898"/>
      <c r="T1264" s="898"/>
      <c r="U1264" s="898"/>
      <c r="V1264" s="898"/>
      <c r="W1264" s="898"/>
      <c r="X1264" s="898"/>
      <c r="Y1264" s="898"/>
      <c r="Z1264" s="898"/>
      <c r="AA1264" s="898"/>
      <c r="AB1264" s="898"/>
      <c r="AC1264" s="898"/>
      <c r="AD1264" s="898"/>
      <c r="AE1264" s="898"/>
      <c r="AF1264" s="898"/>
      <c r="AG1264" s="898"/>
      <c r="AH1264" s="898"/>
      <c r="AI1264" s="898"/>
      <c r="AJ1264" s="898"/>
      <c r="AK1264" s="897"/>
      <c r="AL1264" s="897"/>
      <c r="AM1264" s="897"/>
      <c r="AN1264" s="897"/>
      <c r="AO1264" s="897"/>
      <c r="AP1264" s="897"/>
      <c r="AQ1264" s="897"/>
      <c r="AR1264" s="897"/>
    </row>
    <row r="1265" spans="1:44" s="930" customFormat="1">
      <c r="A1265" s="892"/>
      <c r="B1265" s="899"/>
      <c r="C1265" s="900"/>
      <c r="D1265" s="894"/>
      <c r="E1265" s="895"/>
      <c r="F1265" s="896"/>
      <c r="G1265" s="897"/>
      <c r="H1265" s="897"/>
      <c r="I1265" s="897"/>
      <c r="J1265" s="897"/>
      <c r="K1265" s="897"/>
      <c r="L1265" s="898"/>
      <c r="M1265" s="898"/>
      <c r="N1265" s="898"/>
      <c r="O1265" s="898"/>
      <c r="P1265" s="898"/>
      <c r="Q1265" s="898"/>
      <c r="R1265" s="898"/>
      <c r="S1265" s="898"/>
      <c r="T1265" s="898"/>
      <c r="U1265" s="898"/>
      <c r="V1265" s="898"/>
      <c r="W1265" s="898"/>
      <c r="X1265" s="898"/>
      <c r="Y1265" s="898"/>
      <c r="Z1265" s="898"/>
      <c r="AA1265" s="898"/>
      <c r="AB1265" s="898"/>
      <c r="AC1265" s="898"/>
      <c r="AD1265" s="898"/>
      <c r="AE1265" s="898"/>
      <c r="AF1265" s="898"/>
      <c r="AG1265" s="898"/>
      <c r="AH1265" s="898"/>
      <c r="AI1265" s="898"/>
      <c r="AJ1265" s="898"/>
      <c r="AK1265" s="897"/>
      <c r="AL1265" s="897"/>
      <c r="AM1265" s="897"/>
      <c r="AN1265" s="897"/>
      <c r="AO1265" s="897"/>
      <c r="AP1265" s="897"/>
      <c r="AQ1265" s="897"/>
      <c r="AR1265" s="897"/>
    </row>
    <row r="1266" spans="1:44" s="930" customFormat="1">
      <c r="A1266" s="892"/>
      <c r="B1266" s="899"/>
      <c r="C1266" s="900"/>
      <c r="D1266" s="894"/>
      <c r="E1266" s="895"/>
      <c r="F1266" s="896"/>
      <c r="G1266" s="897"/>
      <c r="H1266" s="897"/>
      <c r="I1266" s="897"/>
      <c r="J1266" s="897"/>
      <c r="K1266" s="897"/>
      <c r="L1266" s="898"/>
      <c r="M1266" s="898"/>
      <c r="N1266" s="898"/>
      <c r="O1266" s="898"/>
      <c r="P1266" s="898"/>
      <c r="Q1266" s="898"/>
      <c r="R1266" s="898"/>
      <c r="S1266" s="898"/>
      <c r="T1266" s="898"/>
      <c r="U1266" s="898"/>
      <c r="V1266" s="898"/>
      <c r="W1266" s="898"/>
      <c r="X1266" s="898"/>
      <c r="Y1266" s="898"/>
      <c r="Z1266" s="898"/>
      <c r="AA1266" s="898"/>
      <c r="AB1266" s="898"/>
      <c r="AC1266" s="898"/>
      <c r="AD1266" s="898"/>
      <c r="AE1266" s="898"/>
      <c r="AF1266" s="898"/>
      <c r="AG1266" s="898"/>
      <c r="AH1266" s="898"/>
      <c r="AI1266" s="898"/>
      <c r="AJ1266" s="898"/>
      <c r="AK1266" s="897"/>
      <c r="AL1266" s="897"/>
      <c r="AM1266" s="897"/>
      <c r="AN1266" s="897"/>
      <c r="AO1266" s="897"/>
      <c r="AP1266" s="897"/>
      <c r="AQ1266" s="897"/>
      <c r="AR1266" s="897"/>
    </row>
    <row r="1267" spans="1:44" s="930" customFormat="1">
      <c r="A1267" s="892"/>
      <c r="B1267" s="899"/>
      <c r="C1267" s="900"/>
      <c r="D1267" s="894"/>
      <c r="E1267" s="895"/>
      <c r="F1267" s="896"/>
      <c r="G1267" s="897"/>
      <c r="H1267" s="897"/>
      <c r="I1267" s="897"/>
      <c r="J1267" s="897"/>
      <c r="K1267" s="897"/>
      <c r="L1267" s="898"/>
      <c r="M1267" s="898"/>
      <c r="N1267" s="898"/>
      <c r="O1267" s="898"/>
      <c r="P1267" s="898"/>
      <c r="Q1267" s="898"/>
      <c r="R1267" s="898"/>
      <c r="S1267" s="898"/>
      <c r="T1267" s="898"/>
      <c r="U1267" s="898"/>
      <c r="V1267" s="898"/>
      <c r="W1267" s="898"/>
      <c r="X1267" s="898"/>
      <c r="Y1267" s="898"/>
      <c r="Z1267" s="898"/>
      <c r="AA1267" s="898"/>
      <c r="AB1267" s="898"/>
      <c r="AC1267" s="898"/>
      <c r="AD1267" s="898"/>
      <c r="AE1267" s="898"/>
      <c r="AF1267" s="898"/>
      <c r="AG1267" s="898"/>
      <c r="AH1267" s="898"/>
      <c r="AI1267" s="898"/>
      <c r="AJ1267" s="898"/>
      <c r="AK1267" s="897"/>
      <c r="AL1267" s="897"/>
      <c r="AM1267" s="897"/>
      <c r="AN1267" s="897"/>
      <c r="AO1267" s="897"/>
      <c r="AP1267" s="897"/>
      <c r="AQ1267" s="897"/>
      <c r="AR1267" s="897"/>
    </row>
    <row r="1268" spans="1:44" s="930" customFormat="1">
      <c r="A1268" s="892"/>
      <c r="B1268" s="899"/>
      <c r="C1268" s="900"/>
      <c r="D1268" s="894"/>
      <c r="E1268" s="895"/>
      <c r="F1268" s="896"/>
      <c r="G1268" s="897"/>
      <c r="H1268" s="897"/>
      <c r="I1268" s="897"/>
      <c r="J1268" s="897"/>
      <c r="K1268" s="897"/>
      <c r="L1268" s="898"/>
      <c r="M1268" s="898"/>
      <c r="N1268" s="898"/>
      <c r="O1268" s="898"/>
      <c r="P1268" s="898"/>
      <c r="Q1268" s="898"/>
      <c r="R1268" s="898"/>
      <c r="S1268" s="898"/>
      <c r="T1268" s="898"/>
      <c r="U1268" s="898"/>
      <c r="V1268" s="898"/>
      <c r="W1268" s="898"/>
      <c r="X1268" s="898"/>
      <c r="Y1268" s="898"/>
      <c r="Z1268" s="898"/>
      <c r="AA1268" s="898"/>
      <c r="AB1268" s="898"/>
      <c r="AC1268" s="898"/>
      <c r="AD1268" s="898"/>
      <c r="AE1268" s="898"/>
      <c r="AF1268" s="898"/>
      <c r="AG1268" s="898"/>
      <c r="AH1268" s="898"/>
      <c r="AI1268" s="898"/>
      <c r="AJ1268" s="898"/>
      <c r="AK1268" s="897"/>
      <c r="AL1268" s="897"/>
      <c r="AM1268" s="897"/>
      <c r="AN1268" s="897"/>
      <c r="AO1268" s="897"/>
      <c r="AP1268" s="897"/>
      <c r="AQ1268" s="897"/>
      <c r="AR1268" s="897"/>
    </row>
    <row r="1269" spans="1:44" s="930" customFormat="1">
      <c r="A1269" s="892"/>
      <c r="B1269" s="899"/>
      <c r="C1269" s="900"/>
      <c r="D1269" s="894"/>
      <c r="E1269" s="895"/>
      <c r="F1269" s="896"/>
      <c r="G1269" s="897"/>
      <c r="H1269" s="897"/>
      <c r="I1269" s="897"/>
      <c r="J1269" s="897"/>
      <c r="K1269" s="897"/>
      <c r="L1269" s="898"/>
      <c r="M1269" s="898"/>
      <c r="N1269" s="898"/>
      <c r="O1269" s="898"/>
      <c r="P1269" s="898"/>
      <c r="Q1269" s="898"/>
      <c r="R1269" s="898"/>
      <c r="S1269" s="898"/>
      <c r="T1269" s="898"/>
      <c r="U1269" s="898"/>
      <c r="V1269" s="898"/>
      <c r="W1269" s="898"/>
      <c r="X1269" s="898"/>
      <c r="Y1269" s="898"/>
      <c r="Z1269" s="898"/>
      <c r="AA1269" s="898"/>
      <c r="AB1269" s="898"/>
      <c r="AC1269" s="898"/>
      <c r="AD1269" s="898"/>
      <c r="AE1269" s="898"/>
      <c r="AF1269" s="898"/>
      <c r="AG1269" s="898"/>
      <c r="AH1269" s="898"/>
      <c r="AI1269" s="898"/>
      <c r="AJ1269" s="898"/>
      <c r="AK1269" s="897"/>
      <c r="AL1269" s="897"/>
      <c r="AM1269" s="897"/>
      <c r="AN1269" s="897"/>
      <c r="AO1269" s="897"/>
      <c r="AP1269" s="897"/>
      <c r="AQ1269" s="897"/>
      <c r="AR1269" s="897"/>
    </row>
    <row r="1270" spans="1:44" s="930" customFormat="1">
      <c r="A1270" s="892"/>
      <c r="B1270" s="899"/>
      <c r="C1270" s="900"/>
      <c r="D1270" s="894"/>
      <c r="E1270" s="895"/>
      <c r="F1270" s="896"/>
      <c r="G1270" s="897"/>
      <c r="H1270" s="897"/>
      <c r="I1270" s="897"/>
      <c r="J1270" s="897"/>
      <c r="K1270" s="897"/>
      <c r="L1270" s="898"/>
      <c r="M1270" s="898"/>
      <c r="N1270" s="898"/>
      <c r="O1270" s="898"/>
      <c r="P1270" s="898"/>
      <c r="Q1270" s="898"/>
      <c r="R1270" s="898"/>
      <c r="S1270" s="898"/>
      <c r="T1270" s="898"/>
      <c r="U1270" s="898"/>
      <c r="V1270" s="898"/>
      <c r="W1270" s="898"/>
      <c r="X1270" s="898"/>
      <c r="Y1270" s="898"/>
      <c r="Z1270" s="898"/>
      <c r="AA1270" s="898"/>
      <c r="AB1270" s="898"/>
      <c r="AC1270" s="898"/>
      <c r="AD1270" s="898"/>
      <c r="AE1270" s="898"/>
      <c r="AF1270" s="898"/>
      <c r="AG1270" s="898"/>
      <c r="AH1270" s="898"/>
      <c r="AI1270" s="898"/>
      <c r="AJ1270" s="898"/>
      <c r="AK1270" s="897"/>
      <c r="AL1270" s="897"/>
      <c r="AM1270" s="897"/>
      <c r="AN1270" s="897"/>
      <c r="AO1270" s="897"/>
      <c r="AP1270" s="897"/>
      <c r="AQ1270" s="897"/>
      <c r="AR1270" s="897"/>
    </row>
    <row r="1271" spans="1:44" s="930" customFormat="1">
      <c r="A1271" s="892"/>
      <c r="B1271" s="899"/>
      <c r="C1271" s="900"/>
      <c r="D1271" s="894"/>
      <c r="E1271" s="895"/>
      <c r="F1271" s="896"/>
      <c r="G1271" s="897"/>
      <c r="H1271" s="897"/>
      <c r="I1271" s="897"/>
      <c r="J1271" s="897"/>
      <c r="K1271" s="897"/>
      <c r="L1271" s="898"/>
      <c r="M1271" s="898"/>
      <c r="N1271" s="898"/>
      <c r="O1271" s="898"/>
      <c r="P1271" s="898"/>
      <c r="Q1271" s="898"/>
      <c r="R1271" s="898"/>
      <c r="S1271" s="898"/>
      <c r="T1271" s="898"/>
      <c r="U1271" s="898"/>
      <c r="V1271" s="898"/>
      <c r="W1271" s="898"/>
      <c r="X1271" s="898"/>
      <c r="Y1271" s="898"/>
      <c r="Z1271" s="898"/>
      <c r="AA1271" s="898"/>
      <c r="AB1271" s="898"/>
      <c r="AC1271" s="898"/>
      <c r="AD1271" s="898"/>
      <c r="AE1271" s="898"/>
      <c r="AF1271" s="898"/>
      <c r="AG1271" s="898"/>
      <c r="AH1271" s="898"/>
      <c r="AI1271" s="898"/>
      <c r="AJ1271" s="898"/>
      <c r="AK1271" s="897"/>
      <c r="AL1271" s="897"/>
      <c r="AM1271" s="897"/>
      <c r="AN1271" s="897"/>
      <c r="AO1271" s="897"/>
      <c r="AP1271" s="897"/>
      <c r="AQ1271" s="897"/>
      <c r="AR1271" s="897"/>
    </row>
    <row r="1272" spans="1:44" s="930" customFormat="1">
      <c r="A1272" s="892"/>
      <c r="B1272" s="899"/>
      <c r="C1272" s="900"/>
      <c r="D1272" s="894"/>
      <c r="E1272" s="895"/>
      <c r="F1272" s="896"/>
      <c r="G1272" s="897"/>
      <c r="H1272" s="897"/>
      <c r="I1272" s="897"/>
      <c r="J1272" s="897"/>
      <c r="K1272" s="897"/>
      <c r="L1272" s="898"/>
      <c r="M1272" s="898"/>
      <c r="N1272" s="898"/>
      <c r="O1272" s="898"/>
      <c r="P1272" s="898"/>
      <c r="Q1272" s="898"/>
      <c r="R1272" s="898"/>
      <c r="S1272" s="898"/>
      <c r="T1272" s="898"/>
      <c r="U1272" s="898"/>
      <c r="V1272" s="898"/>
      <c r="W1272" s="898"/>
      <c r="X1272" s="898"/>
      <c r="Y1272" s="898"/>
      <c r="Z1272" s="898"/>
      <c r="AA1272" s="898"/>
      <c r="AB1272" s="898"/>
      <c r="AC1272" s="898"/>
      <c r="AD1272" s="898"/>
      <c r="AE1272" s="898"/>
      <c r="AF1272" s="898"/>
      <c r="AG1272" s="898"/>
      <c r="AH1272" s="898"/>
      <c r="AI1272" s="898"/>
      <c r="AJ1272" s="898"/>
      <c r="AK1272" s="897"/>
      <c r="AL1272" s="897"/>
      <c r="AM1272" s="897"/>
      <c r="AN1272" s="897"/>
      <c r="AO1272" s="897"/>
      <c r="AP1272" s="897"/>
      <c r="AQ1272" s="897"/>
      <c r="AR1272" s="897"/>
    </row>
    <row r="1273" spans="1:44" s="930" customFormat="1">
      <c r="A1273" s="892"/>
      <c r="B1273" s="899"/>
      <c r="C1273" s="900"/>
      <c r="D1273" s="894"/>
      <c r="E1273" s="895"/>
      <c r="F1273" s="896"/>
      <c r="G1273" s="897"/>
      <c r="H1273" s="897"/>
      <c r="I1273" s="897"/>
      <c r="J1273" s="897"/>
      <c r="K1273" s="897"/>
      <c r="L1273" s="898"/>
      <c r="M1273" s="898"/>
      <c r="N1273" s="898"/>
      <c r="O1273" s="898"/>
      <c r="P1273" s="898"/>
      <c r="Q1273" s="898"/>
      <c r="R1273" s="898"/>
      <c r="S1273" s="898"/>
      <c r="T1273" s="898"/>
      <c r="U1273" s="898"/>
      <c r="V1273" s="898"/>
      <c r="W1273" s="898"/>
      <c r="X1273" s="898"/>
      <c r="Y1273" s="898"/>
      <c r="Z1273" s="898"/>
      <c r="AA1273" s="898"/>
      <c r="AB1273" s="898"/>
      <c r="AC1273" s="898"/>
      <c r="AD1273" s="898"/>
      <c r="AE1273" s="898"/>
      <c r="AF1273" s="898"/>
      <c r="AG1273" s="898"/>
      <c r="AH1273" s="898"/>
      <c r="AI1273" s="898"/>
      <c r="AJ1273" s="898"/>
      <c r="AK1273" s="897"/>
      <c r="AL1273" s="897"/>
      <c r="AM1273" s="897"/>
      <c r="AN1273" s="897"/>
      <c r="AO1273" s="897"/>
      <c r="AP1273" s="897"/>
      <c r="AQ1273" s="897"/>
      <c r="AR1273" s="897"/>
    </row>
    <row r="1274" spans="1:44" s="930" customFormat="1">
      <c r="A1274" s="892"/>
      <c r="B1274" s="899"/>
      <c r="C1274" s="900"/>
      <c r="D1274" s="894"/>
      <c r="E1274" s="895"/>
      <c r="F1274" s="896"/>
      <c r="G1274" s="897"/>
      <c r="H1274" s="897"/>
      <c r="I1274" s="897"/>
      <c r="J1274" s="897"/>
      <c r="K1274" s="897"/>
      <c r="L1274" s="898"/>
      <c r="M1274" s="898"/>
      <c r="N1274" s="898"/>
      <c r="O1274" s="898"/>
      <c r="P1274" s="898"/>
      <c r="Q1274" s="898"/>
      <c r="R1274" s="898"/>
      <c r="S1274" s="898"/>
      <c r="T1274" s="898"/>
      <c r="U1274" s="898"/>
      <c r="V1274" s="898"/>
      <c r="W1274" s="898"/>
      <c r="X1274" s="898"/>
      <c r="Y1274" s="898"/>
      <c r="Z1274" s="898"/>
      <c r="AA1274" s="898"/>
      <c r="AB1274" s="898"/>
      <c r="AC1274" s="898"/>
      <c r="AD1274" s="898"/>
      <c r="AE1274" s="898"/>
      <c r="AF1274" s="898"/>
      <c r="AG1274" s="898"/>
      <c r="AH1274" s="898"/>
      <c r="AI1274" s="898"/>
      <c r="AJ1274" s="898"/>
      <c r="AK1274" s="897"/>
      <c r="AL1274" s="897"/>
      <c r="AM1274" s="897"/>
      <c r="AN1274" s="897"/>
      <c r="AO1274" s="897"/>
      <c r="AP1274" s="897"/>
      <c r="AQ1274" s="897"/>
      <c r="AR1274" s="897"/>
    </row>
    <row r="1275" spans="1:44" s="930" customFormat="1">
      <c r="A1275" s="892"/>
      <c r="B1275" s="899"/>
      <c r="C1275" s="900"/>
      <c r="D1275" s="894"/>
      <c r="E1275" s="895"/>
      <c r="F1275" s="896"/>
      <c r="G1275" s="897"/>
      <c r="H1275" s="897"/>
      <c r="I1275" s="897"/>
      <c r="J1275" s="897"/>
      <c r="K1275" s="897"/>
      <c r="L1275" s="898"/>
      <c r="M1275" s="898"/>
      <c r="N1275" s="898"/>
      <c r="O1275" s="898"/>
      <c r="P1275" s="898"/>
      <c r="Q1275" s="898"/>
      <c r="R1275" s="898"/>
      <c r="S1275" s="898"/>
      <c r="T1275" s="898"/>
      <c r="U1275" s="898"/>
      <c r="V1275" s="898"/>
      <c r="W1275" s="898"/>
      <c r="X1275" s="898"/>
      <c r="Y1275" s="898"/>
      <c r="Z1275" s="898"/>
      <c r="AA1275" s="898"/>
      <c r="AB1275" s="898"/>
      <c r="AC1275" s="898"/>
      <c r="AD1275" s="898"/>
      <c r="AE1275" s="898"/>
      <c r="AF1275" s="898"/>
      <c r="AG1275" s="898"/>
      <c r="AH1275" s="898"/>
      <c r="AI1275" s="898"/>
      <c r="AJ1275" s="898"/>
      <c r="AK1275" s="897"/>
      <c r="AL1275" s="897"/>
      <c r="AM1275" s="897"/>
      <c r="AN1275" s="897"/>
      <c r="AO1275" s="897"/>
      <c r="AP1275" s="897"/>
      <c r="AQ1275" s="897"/>
      <c r="AR1275" s="897"/>
    </row>
    <row r="1276" spans="1:44" s="930" customFormat="1">
      <c r="A1276" s="892"/>
      <c r="B1276" s="899"/>
      <c r="C1276" s="900"/>
      <c r="D1276" s="894"/>
      <c r="E1276" s="895"/>
      <c r="F1276" s="896"/>
      <c r="G1276" s="897"/>
      <c r="H1276" s="897"/>
      <c r="I1276" s="897"/>
      <c r="J1276" s="897"/>
      <c r="K1276" s="897"/>
      <c r="L1276" s="898"/>
      <c r="M1276" s="898"/>
      <c r="N1276" s="898"/>
      <c r="O1276" s="898"/>
      <c r="P1276" s="898"/>
      <c r="Q1276" s="898"/>
      <c r="R1276" s="898"/>
      <c r="S1276" s="898"/>
      <c r="T1276" s="898"/>
      <c r="U1276" s="898"/>
      <c r="V1276" s="898"/>
      <c r="W1276" s="898"/>
      <c r="X1276" s="898"/>
      <c r="Y1276" s="898"/>
      <c r="Z1276" s="898"/>
      <c r="AA1276" s="898"/>
      <c r="AB1276" s="898"/>
      <c r="AC1276" s="898"/>
      <c r="AD1276" s="898"/>
      <c r="AE1276" s="898"/>
      <c r="AF1276" s="898"/>
      <c r="AG1276" s="898"/>
      <c r="AH1276" s="898"/>
      <c r="AI1276" s="898"/>
      <c r="AJ1276" s="898"/>
      <c r="AK1276" s="897"/>
      <c r="AL1276" s="897"/>
      <c r="AM1276" s="897"/>
      <c r="AN1276" s="897"/>
      <c r="AO1276" s="897"/>
      <c r="AP1276" s="897"/>
      <c r="AQ1276" s="897"/>
      <c r="AR1276" s="897"/>
    </row>
    <row r="1277" spans="1:44" s="930" customFormat="1">
      <c r="A1277" s="892"/>
      <c r="B1277" s="899"/>
      <c r="C1277" s="900"/>
      <c r="D1277" s="894"/>
      <c r="E1277" s="895"/>
      <c r="F1277" s="896"/>
      <c r="G1277" s="897"/>
      <c r="H1277" s="897"/>
      <c r="I1277" s="897"/>
      <c r="J1277" s="897"/>
      <c r="K1277" s="897"/>
      <c r="L1277" s="898"/>
      <c r="M1277" s="898"/>
      <c r="N1277" s="898"/>
      <c r="O1277" s="898"/>
      <c r="P1277" s="898"/>
      <c r="Q1277" s="898"/>
      <c r="R1277" s="898"/>
      <c r="S1277" s="898"/>
      <c r="T1277" s="898"/>
      <c r="U1277" s="898"/>
      <c r="V1277" s="898"/>
      <c r="W1277" s="898"/>
      <c r="X1277" s="898"/>
      <c r="Y1277" s="898"/>
      <c r="Z1277" s="898"/>
      <c r="AA1277" s="898"/>
      <c r="AB1277" s="898"/>
      <c r="AC1277" s="898"/>
      <c r="AD1277" s="898"/>
      <c r="AE1277" s="898"/>
      <c r="AF1277" s="898"/>
      <c r="AG1277" s="898"/>
      <c r="AH1277" s="898"/>
      <c r="AI1277" s="898"/>
      <c r="AJ1277" s="898"/>
      <c r="AK1277" s="897"/>
      <c r="AL1277" s="897"/>
      <c r="AM1277" s="897"/>
      <c r="AN1277" s="897"/>
      <c r="AO1277" s="897"/>
      <c r="AP1277" s="897"/>
      <c r="AQ1277" s="897"/>
      <c r="AR1277" s="897"/>
    </row>
    <row r="1278" spans="1:44" s="930" customFormat="1">
      <c r="A1278" s="892"/>
      <c r="B1278" s="899"/>
      <c r="C1278" s="900"/>
      <c r="D1278" s="894"/>
      <c r="E1278" s="895"/>
      <c r="F1278" s="896"/>
      <c r="G1278" s="897"/>
      <c r="H1278" s="897"/>
      <c r="I1278" s="897"/>
      <c r="J1278" s="897"/>
      <c r="K1278" s="897"/>
      <c r="L1278" s="898"/>
      <c r="M1278" s="898"/>
      <c r="N1278" s="898"/>
      <c r="O1278" s="898"/>
      <c r="P1278" s="898"/>
      <c r="Q1278" s="898"/>
      <c r="R1278" s="898"/>
      <c r="S1278" s="898"/>
      <c r="T1278" s="898"/>
      <c r="U1278" s="898"/>
      <c r="V1278" s="898"/>
      <c r="W1278" s="898"/>
      <c r="X1278" s="898"/>
      <c r="Y1278" s="898"/>
      <c r="Z1278" s="898"/>
      <c r="AA1278" s="898"/>
      <c r="AB1278" s="898"/>
      <c r="AC1278" s="898"/>
      <c r="AD1278" s="898"/>
      <c r="AE1278" s="898"/>
      <c r="AF1278" s="898"/>
      <c r="AG1278" s="898"/>
      <c r="AH1278" s="898"/>
      <c r="AI1278" s="898"/>
      <c r="AJ1278" s="898"/>
      <c r="AK1278" s="897"/>
      <c r="AL1278" s="897"/>
      <c r="AM1278" s="897"/>
      <c r="AN1278" s="897"/>
      <c r="AO1278" s="897"/>
      <c r="AP1278" s="897"/>
      <c r="AQ1278" s="897"/>
      <c r="AR1278" s="897"/>
    </row>
    <row r="1279" spans="1:44" s="930" customFormat="1">
      <c r="A1279" s="892"/>
      <c r="B1279" s="899"/>
      <c r="C1279" s="900"/>
      <c r="D1279" s="894"/>
      <c r="E1279" s="895"/>
      <c r="F1279" s="896"/>
      <c r="G1279" s="897"/>
      <c r="H1279" s="897"/>
      <c r="I1279" s="897"/>
      <c r="J1279" s="897"/>
      <c r="K1279" s="897"/>
      <c r="L1279" s="898"/>
      <c r="M1279" s="898"/>
      <c r="N1279" s="898"/>
      <c r="O1279" s="898"/>
      <c r="P1279" s="898"/>
      <c r="Q1279" s="898"/>
      <c r="R1279" s="898"/>
      <c r="S1279" s="898"/>
      <c r="T1279" s="898"/>
      <c r="U1279" s="898"/>
      <c r="V1279" s="898"/>
      <c r="W1279" s="898"/>
      <c r="X1279" s="898"/>
      <c r="Y1279" s="898"/>
      <c r="Z1279" s="898"/>
      <c r="AA1279" s="898"/>
      <c r="AB1279" s="898"/>
      <c r="AC1279" s="898"/>
      <c r="AD1279" s="898"/>
      <c r="AE1279" s="898"/>
      <c r="AF1279" s="898"/>
      <c r="AG1279" s="898"/>
      <c r="AH1279" s="898"/>
      <c r="AI1279" s="898"/>
      <c r="AJ1279" s="898"/>
      <c r="AK1279" s="897"/>
      <c r="AL1279" s="897"/>
      <c r="AM1279" s="897"/>
      <c r="AN1279" s="897"/>
      <c r="AO1279" s="897"/>
      <c r="AP1279" s="897"/>
      <c r="AQ1279" s="897"/>
      <c r="AR1279" s="897"/>
    </row>
    <row r="1280" spans="1:44" s="930" customFormat="1">
      <c r="A1280" s="892"/>
      <c r="B1280" s="899"/>
      <c r="C1280" s="900"/>
      <c r="D1280" s="894"/>
      <c r="E1280" s="895"/>
      <c r="F1280" s="896"/>
      <c r="G1280" s="897"/>
      <c r="H1280" s="897"/>
      <c r="I1280" s="897"/>
      <c r="J1280" s="897"/>
      <c r="K1280" s="897"/>
      <c r="L1280" s="898"/>
      <c r="M1280" s="898"/>
      <c r="N1280" s="898"/>
      <c r="O1280" s="898"/>
      <c r="P1280" s="898"/>
      <c r="Q1280" s="898"/>
      <c r="R1280" s="898"/>
      <c r="S1280" s="898"/>
      <c r="T1280" s="898"/>
      <c r="U1280" s="898"/>
      <c r="V1280" s="898"/>
      <c r="W1280" s="898"/>
      <c r="X1280" s="898"/>
      <c r="Y1280" s="898"/>
      <c r="Z1280" s="898"/>
      <c r="AA1280" s="898"/>
      <c r="AB1280" s="898"/>
      <c r="AC1280" s="898"/>
      <c r="AD1280" s="898"/>
      <c r="AE1280" s="898"/>
      <c r="AF1280" s="898"/>
      <c r="AG1280" s="898"/>
      <c r="AH1280" s="898"/>
      <c r="AI1280" s="898"/>
      <c r="AJ1280" s="898"/>
      <c r="AK1280" s="897"/>
      <c r="AL1280" s="897"/>
      <c r="AM1280" s="897"/>
      <c r="AN1280" s="897"/>
      <c r="AO1280" s="897"/>
      <c r="AP1280" s="897"/>
      <c r="AQ1280" s="897"/>
      <c r="AR1280" s="897"/>
    </row>
    <row r="1281" spans="1:44" s="930" customFormat="1">
      <c r="A1281" s="892"/>
      <c r="B1281" s="899"/>
      <c r="C1281" s="900"/>
      <c r="D1281" s="894"/>
      <c r="E1281" s="895"/>
      <c r="F1281" s="896"/>
      <c r="G1281" s="897"/>
      <c r="H1281" s="897"/>
      <c r="I1281" s="897"/>
      <c r="J1281" s="897"/>
      <c r="K1281" s="897"/>
      <c r="L1281" s="898"/>
      <c r="M1281" s="898"/>
      <c r="N1281" s="898"/>
      <c r="O1281" s="898"/>
      <c r="P1281" s="898"/>
      <c r="Q1281" s="898"/>
      <c r="R1281" s="898"/>
      <c r="S1281" s="898"/>
      <c r="T1281" s="898"/>
      <c r="U1281" s="898"/>
      <c r="V1281" s="898"/>
      <c r="W1281" s="898"/>
      <c r="X1281" s="898"/>
      <c r="Y1281" s="898"/>
      <c r="Z1281" s="898"/>
      <c r="AA1281" s="898"/>
      <c r="AB1281" s="898"/>
      <c r="AC1281" s="898"/>
      <c r="AD1281" s="898"/>
      <c r="AE1281" s="898"/>
      <c r="AF1281" s="898"/>
      <c r="AG1281" s="898"/>
      <c r="AH1281" s="898"/>
      <c r="AI1281" s="898"/>
      <c r="AJ1281" s="898"/>
      <c r="AK1281" s="897"/>
      <c r="AL1281" s="897"/>
      <c r="AM1281" s="897"/>
      <c r="AN1281" s="897"/>
      <c r="AO1281" s="897"/>
      <c r="AP1281" s="897"/>
      <c r="AQ1281" s="897"/>
      <c r="AR1281" s="897"/>
    </row>
    <row r="1282" spans="1:44" s="930" customFormat="1">
      <c r="A1282" s="892"/>
      <c r="B1282" s="899"/>
      <c r="C1282" s="900"/>
      <c r="D1282" s="894"/>
      <c r="E1282" s="895"/>
      <c r="F1282" s="896"/>
      <c r="G1282" s="897"/>
      <c r="H1282" s="897"/>
      <c r="I1282" s="897"/>
      <c r="J1282" s="897"/>
      <c r="K1282" s="897"/>
      <c r="L1282" s="898"/>
      <c r="M1282" s="898"/>
      <c r="N1282" s="898"/>
      <c r="O1282" s="898"/>
      <c r="P1282" s="898"/>
      <c r="Q1282" s="898"/>
      <c r="R1282" s="898"/>
      <c r="S1282" s="898"/>
      <c r="T1282" s="898"/>
      <c r="U1282" s="898"/>
      <c r="V1282" s="898"/>
      <c r="W1282" s="898"/>
      <c r="X1282" s="898"/>
      <c r="Y1282" s="898"/>
      <c r="Z1282" s="898"/>
      <c r="AA1282" s="898"/>
      <c r="AB1282" s="898"/>
      <c r="AC1282" s="898"/>
      <c r="AD1282" s="898"/>
      <c r="AE1282" s="898"/>
      <c r="AF1282" s="898"/>
      <c r="AG1282" s="898"/>
      <c r="AH1282" s="898"/>
      <c r="AI1282" s="898"/>
      <c r="AJ1282" s="898"/>
      <c r="AK1282" s="897"/>
      <c r="AL1282" s="897"/>
      <c r="AM1282" s="897"/>
      <c r="AN1282" s="897"/>
      <c r="AO1282" s="897"/>
      <c r="AP1282" s="897"/>
      <c r="AQ1282" s="897"/>
      <c r="AR1282" s="897"/>
    </row>
    <row r="1283" spans="1:44" s="930" customFormat="1">
      <c r="A1283" s="892"/>
      <c r="B1283" s="899"/>
      <c r="C1283" s="900"/>
      <c r="D1283" s="894"/>
      <c r="E1283" s="895"/>
      <c r="F1283" s="896"/>
      <c r="G1283" s="897"/>
      <c r="H1283" s="897"/>
      <c r="I1283" s="897"/>
      <c r="J1283" s="897"/>
      <c r="K1283" s="897"/>
      <c r="L1283" s="898"/>
      <c r="M1283" s="898"/>
      <c r="N1283" s="898"/>
      <c r="O1283" s="898"/>
      <c r="P1283" s="898"/>
      <c r="Q1283" s="898"/>
      <c r="R1283" s="898"/>
      <c r="S1283" s="898"/>
      <c r="T1283" s="898"/>
      <c r="U1283" s="898"/>
      <c r="V1283" s="898"/>
      <c r="W1283" s="898"/>
      <c r="X1283" s="898"/>
      <c r="Y1283" s="898"/>
      <c r="Z1283" s="898"/>
      <c r="AA1283" s="898"/>
      <c r="AB1283" s="898"/>
      <c r="AC1283" s="898"/>
      <c r="AD1283" s="898"/>
      <c r="AE1283" s="898"/>
      <c r="AF1283" s="898"/>
      <c r="AG1283" s="898"/>
      <c r="AH1283" s="898"/>
      <c r="AI1283" s="898"/>
      <c r="AJ1283" s="898"/>
      <c r="AK1283" s="897"/>
      <c r="AL1283" s="897"/>
      <c r="AM1283" s="897"/>
      <c r="AN1283" s="897"/>
      <c r="AO1283" s="897"/>
      <c r="AP1283" s="897"/>
      <c r="AQ1283" s="897"/>
      <c r="AR1283" s="897"/>
    </row>
    <row r="1284" spans="1:44" s="930" customFormat="1">
      <c r="A1284" s="892"/>
      <c r="B1284" s="899"/>
      <c r="C1284" s="900"/>
      <c r="D1284" s="894"/>
      <c r="E1284" s="895"/>
      <c r="F1284" s="896"/>
      <c r="G1284" s="897"/>
      <c r="H1284" s="897"/>
      <c r="I1284" s="897"/>
      <c r="J1284" s="897"/>
      <c r="K1284" s="897"/>
      <c r="L1284" s="898"/>
      <c r="M1284" s="898"/>
      <c r="N1284" s="898"/>
      <c r="O1284" s="898"/>
      <c r="P1284" s="898"/>
      <c r="Q1284" s="898"/>
      <c r="R1284" s="898"/>
      <c r="S1284" s="898"/>
      <c r="T1284" s="898"/>
      <c r="U1284" s="898"/>
      <c r="V1284" s="898"/>
      <c r="W1284" s="898"/>
      <c r="X1284" s="898"/>
      <c r="Y1284" s="898"/>
      <c r="Z1284" s="898"/>
      <c r="AA1284" s="898"/>
      <c r="AB1284" s="898"/>
      <c r="AC1284" s="898"/>
      <c r="AD1284" s="898"/>
      <c r="AE1284" s="898"/>
      <c r="AF1284" s="898"/>
      <c r="AG1284" s="898"/>
      <c r="AH1284" s="898"/>
      <c r="AI1284" s="898"/>
      <c r="AJ1284" s="898"/>
      <c r="AK1284" s="897"/>
      <c r="AL1284" s="897"/>
      <c r="AM1284" s="897"/>
      <c r="AN1284" s="897"/>
      <c r="AO1284" s="897"/>
      <c r="AP1284" s="897"/>
      <c r="AQ1284" s="897"/>
      <c r="AR1284" s="897"/>
    </row>
    <row r="1285" spans="1:44" s="930" customFormat="1">
      <c r="A1285" s="892"/>
      <c r="B1285" s="899"/>
      <c r="C1285" s="900"/>
      <c r="D1285" s="894"/>
      <c r="E1285" s="895"/>
      <c r="F1285" s="896"/>
      <c r="G1285" s="897"/>
      <c r="H1285" s="897"/>
      <c r="I1285" s="897"/>
      <c r="J1285" s="897"/>
      <c r="K1285" s="897"/>
      <c r="L1285" s="898"/>
      <c r="M1285" s="898"/>
      <c r="N1285" s="898"/>
      <c r="O1285" s="898"/>
      <c r="P1285" s="898"/>
      <c r="Q1285" s="898"/>
      <c r="R1285" s="898"/>
      <c r="S1285" s="898"/>
      <c r="T1285" s="898"/>
      <c r="U1285" s="898"/>
      <c r="V1285" s="898"/>
      <c r="W1285" s="898"/>
      <c r="X1285" s="898"/>
      <c r="Y1285" s="898"/>
      <c r="Z1285" s="898"/>
      <c r="AA1285" s="898"/>
      <c r="AB1285" s="898"/>
      <c r="AC1285" s="898"/>
      <c r="AD1285" s="898"/>
      <c r="AE1285" s="898"/>
      <c r="AF1285" s="898"/>
      <c r="AG1285" s="898"/>
      <c r="AH1285" s="898"/>
      <c r="AI1285" s="898"/>
      <c r="AJ1285" s="898"/>
      <c r="AK1285" s="897"/>
      <c r="AL1285" s="897"/>
      <c r="AM1285" s="897"/>
      <c r="AN1285" s="897"/>
      <c r="AO1285" s="897"/>
      <c r="AP1285" s="897"/>
      <c r="AQ1285" s="897"/>
      <c r="AR1285" s="897"/>
    </row>
    <row r="1286" spans="1:44" s="930" customFormat="1">
      <c r="A1286" s="892"/>
      <c r="B1286" s="899"/>
      <c r="C1286" s="900"/>
      <c r="D1286" s="894"/>
      <c r="E1286" s="895"/>
      <c r="F1286" s="896"/>
      <c r="G1286" s="897"/>
      <c r="H1286" s="897"/>
      <c r="I1286" s="897"/>
      <c r="J1286" s="897"/>
      <c r="K1286" s="897"/>
      <c r="L1286" s="898"/>
      <c r="M1286" s="898"/>
      <c r="N1286" s="898"/>
      <c r="O1286" s="898"/>
      <c r="P1286" s="898"/>
      <c r="Q1286" s="898"/>
      <c r="R1286" s="898"/>
      <c r="S1286" s="898"/>
      <c r="T1286" s="898"/>
      <c r="U1286" s="898"/>
      <c r="V1286" s="898"/>
      <c r="W1286" s="898"/>
      <c r="X1286" s="898"/>
      <c r="Y1286" s="898"/>
      <c r="Z1286" s="898"/>
      <c r="AA1286" s="898"/>
      <c r="AB1286" s="898"/>
      <c r="AC1286" s="898"/>
      <c r="AD1286" s="898"/>
      <c r="AE1286" s="898"/>
      <c r="AF1286" s="898"/>
      <c r="AG1286" s="898"/>
      <c r="AH1286" s="898"/>
      <c r="AI1286" s="898"/>
      <c r="AJ1286" s="898"/>
      <c r="AK1286" s="897"/>
      <c r="AL1286" s="897"/>
      <c r="AM1286" s="897"/>
      <c r="AN1286" s="897"/>
      <c r="AO1286" s="897"/>
      <c r="AP1286" s="897"/>
      <c r="AQ1286" s="897"/>
      <c r="AR1286" s="897"/>
    </row>
    <row r="1287" spans="1:44" s="930" customFormat="1">
      <c r="A1287" s="892"/>
      <c r="B1287" s="899"/>
      <c r="C1287" s="900"/>
      <c r="D1287" s="894"/>
      <c r="E1287" s="895"/>
      <c r="F1287" s="896"/>
      <c r="G1287" s="897"/>
      <c r="H1287" s="897"/>
      <c r="I1287" s="897"/>
      <c r="J1287" s="897"/>
      <c r="K1287" s="897"/>
      <c r="L1287" s="898"/>
      <c r="M1287" s="898"/>
      <c r="N1287" s="898"/>
      <c r="O1287" s="898"/>
      <c r="P1287" s="898"/>
      <c r="Q1287" s="898"/>
      <c r="R1287" s="898"/>
      <c r="S1287" s="898"/>
      <c r="T1287" s="898"/>
      <c r="U1287" s="898"/>
      <c r="V1287" s="898"/>
      <c r="W1287" s="898"/>
      <c r="X1287" s="898"/>
      <c r="Y1287" s="898"/>
      <c r="Z1287" s="898"/>
      <c r="AA1287" s="898"/>
      <c r="AB1287" s="898"/>
      <c r="AC1287" s="898"/>
      <c r="AD1287" s="898"/>
      <c r="AE1287" s="898"/>
      <c r="AF1287" s="898"/>
      <c r="AG1287" s="898"/>
      <c r="AH1287" s="898"/>
      <c r="AI1287" s="898"/>
      <c r="AJ1287" s="898"/>
      <c r="AK1287" s="897"/>
      <c r="AL1287" s="897"/>
      <c r="AM1287" s="897"/>
      <c r="AN1287" s="897"/>
      <c r="AO1287" s="897"/>
      <c r="AP1287" s="897"/>
      <c r="AQ1287" s="897"/>
      <c r="AR1287" s="897"/>
    </row>
    <row r="1288" spans="1:44" s="930" customFormat="1">
      <c r="A1288" s="892"/>
      <c r="B1288" s="899"/>
      <c r="C1288" s="900"/>
      <c r="D1288" s="894"/>
      <c r="E1288" s="895"/>
      <c r="F1288" s="896"/>
      <c r="G1288" s="897"/>
      <c r="H1288" s="897"/>
      <c r="I1288" s="897"/>
      <c r="J1288" s="897"/>
      <c r="K1288" s="897"/>
      <c r="L1288" s="898"/>
      <c r="M1288" s="898"/>
      <c r="N1288" s="898"/>
      <c r="O1288" s="898"/>
      <c r="P1288" s="898"/>
      <c r="Q1288" s="898"/>
      <c r="R1288" s="898"/>
      <c r="S1288" s="898"/>
      <c r="T1288" s="898"/>
      <c r="U1288" s="898"/>
      <c r="V1288" s="898"/>
      <c r="W1288" s="898"/>
      <c r="X1288" s="898"/>
      <c r="Y1288" s="898"/>
      <c r="Z1288" s="898"/>
      <c r="AA1288" s="898"/>
      <c r="AB1288" s="898"/>
      <c r="AC1288" s="898"/>
      <c r="AD1288" s="898"/>
      <c r="AE1288" s="898"/>
      <c r="AF1288" s="898"/>
      <c r="AG1288" s="898"/>
      <c r="AH1288" s="898"/>
      <c r="AI1288" s="898"/>
      <c r="AJ1288" s="898"/>
      <c r="AK1288" s="897"/>
      <c r="AL1288" s="897"/>
      <c r="AM1288" s="897"/>
      <c r="AN1288" s="897"/>
      <c r="AO1288" s="897"/>
      <c r="AP1288" s="897"/>
      <c r="AQ1288" s="897"/>
      <c r="AR1288" s="897"/>
    </row>
    <row r="1289" spans="1:44" s="930" customFormat="1">
      <c r="A1289" s="892"/>
      <c r="B1289" s="899"/>
      <c r="C1289" s="900"/>
      <c r="D1289" s="894"/>
      <c r="E1289" s="895"/>
      <c r="F1289" s="896"/>
      <c r="G1289" s="897"/>
      <c r="H1289" s="897"/>
      <c r="I1289" s="897"/>
      <c r="J1289" s="897"/>
      <c r="K1289" s="897"/>
      <c r="L1289" s="898"/>
      <c r="M1289" s="898"/>
      <c r="N1289" s="898"/>
      <c r="O1289" s="898"/>
      <c r="P1289" s="898"/>
      <c r="Q1289" s="898"/>
      <c r="R1289" s="898"/>
      <c r="S1289" s="898"/>
      <c r="T1289" s="898"/>
      <c r="U1289" s="898"/>
      <c r="V1289" s="898"/>
      <c r="W1289" s="898"/>
      <c r="X1289" s="898"/>
      <c r="Y1289" s="898"/>
      <c r="Z1289" s="898"/>
      <c r="AA1289" s="898"/>
      <c r="AB1289" s="898"/>
      <c r="AC1289" s="898"/>
      <c r="AD1289" s="898"/>
      <c r="AE1289" s="898"/>
      <c r="AF1289" s="898"/>
      <c r="AG1289" s="898"/>
      <c r="AH1289" s="898"/>
      <c r="AI1289" s="898"/>
      <c r="AJ1289" s="898"/>
      <c r="AK1289" s="897"/>
      <c r="AL1289" s="897"/>
      <c r="AM1289" s="897"/>
      <c r="AN1289" s="897"/>
      <c r="AO1289" s="897"/>
      <c r="AP1289" s="897"/>
      <c r="AQ1289" s="897"/>
      <c r="AR1289" s="897"/>
    </row>
    <row r="1290" spans="1:44" s="930" customFormat="1">
      <c r="A1290" s="892"/>
      <c r="B1290" s="899"/>
      <c r="C1290" s="900"/>
      <c r="D1290" s="894"/>
      <c r="E1290" s="895"/>
      <c r="F1290" s="896"/>
      <c r="G1290" s="897"/>
      <c r="H1290" s="897"/>
      <c r="I1290" s="897"/>
      <c r="J1290" s="897"/>
      <c r="K1290" s="897"/>
      <c r="L1290" s="898"/>
      <c r="M1290" s="898"/>
      <c r="N1290" s="898"/>
      <c r="O1290" s="898"/>
      <c r="P1290" s="898"/>
      <c r="Q1290" s="898"/>
      <c r="R1290" s="898"/>
      <c r="S1290" s="898"/>
      <c r="T1290" s="898"/>
      <c r="U1290" s="898"/>
      <c r="V1290" s="898"/>
      <c r="W1290" s="898"/>
      <c r="X1290" s="898"/>
      <c r="Y1290" s="898"/>
      <c r="Z1290" s="898"/>
      <c r="AA1290" s="898"/>
      <c r="AB1290" s="898"/>
      <c r="AC1290" s="898"/>
      <c r="AD1290" s="898"/>
      <c r="AE1290" s="898"/>
      <c r="AF1290" s="898"/>
      <c r="AG1290" s="898"/>
      <c r="AH1290" s="898"/>
      <c r="AI1290" s="898"/>
      <c r="AJ1290" s="898"/>
      <c r="AK1290" s="897"/>
      <c r="AL1290" s="897"/>
      <c r="AM1290" s="897"/>
      <c r="AN1290" s="897"/>
      <c r="AO1290" s="897"/>
      <c r="AP1290" s="897"/>
      <c r="AQ1290" s="897"/>
      <c r="AR1290" s="897"/>
    </row>
    <row r="1291" spans="1:44" s="930" customFormat="1">
      <c r="A1291" s="892"/>
      <c r="B1291" s="899"/>
      <c r="C1291" s="900"/>
      <c r="D1291" s="894"/>
      <c r="E1291" s="895"/>
      <c r="F1291" s="896"/>
      <c r="G1291" s="897"/>
      <c r="H1291" s="897"/>
      <c r="I1291" s="897"/>
      <c r="J1291" s="897"/>
      <c r="K1291" s="897"/>
      <c r="L1291" s="898"/>
      <c r="M1291" s="898"/>
      <c r="N1291" s="898"/>
      <c r="O1291" s="898"/>
      <c r="P1291" s="898"/>
      <c r="Q1291" s="898"/>
      <c r="R1291" s="898"/>
      <c r="S1291" s="898"/>
      <c r="T1291" s="898"/>
      <c r="U1291" s="898"/>
      <c r="V1291" s="898"/>
      <c r="W1291" s="898"/>
      <c r="X1291" s="898"/>
      <c r="Y1291" s="898"/>
      <c r="Z1291" s="898"/>
      <c r="AA1291" s="898"/>
      <c r="AB1291" s="898"/>
      <c r="AC1291" s="898"/>
      <c r="AD1291" s="898"/>
      <c r="AE1291" s="898"/>
      <c r="AF1291" s="898"/>
      <c r="AG1291" s="898"/>
      <c r="AH1291" s="898"/>
      <c r="AI1291" s="898"/>
      <c r="AJ1291" s="898"/>
      <c r="AK1291" s="897"/>
      <c r="AL1291" s="897"/>
      <c r="AM1291" s="897"/>
      <c r="AN1291" s="897"/>
      <c r="AO1291" s="897"/>
      <c r="AP1291" s="897"/>
      <c r="AQ1291" s="897"/>
      <c r="AR1291" s="897"/>
    </row>
    <row r="1292" spans="1:44" s="930" customFormat="1">
      <c r="A1292" s="892"/>
      <c r="B1292" s="899"/>
      <c r="C1292" s="900"/>
      <c r="D1292" s="894"/>
      <c r="E1292" s="895"/>
      <c r="F1292" s="896"/>
      <c r="G1292" s="897"/>
      <c r="H1292" s="897"/>
      <c r="I1292" s="897"/>
      <c r="J1292" s="897"/>
      <c r="K1292" s="897"/>
      <c r="L1292" s="898"/>
      <c r="M1292" s="898"/>
      <c r="N1292" s="898"/>
      <c r="O1292" s="898"/>
      <c r="P1292" s="898"/>
      <c r="Q1292" s="898"/>
      <c r="R1292" s="898"/>
      <c r="S1292" s="898"/>
      <c r="T1292" s="898"/>
      <c r="U1292" s="898"/>
      <c r="V1292" s="898"/>
      <c r="W1292" s="898"/>
      <c r="X1292" s="898"/>
      <c r="Y1292" s="898"/>
      <c r="Z1292" s="898"/>
      <c r="AA1292" s="898"/>
      <c r="AB1292" s="898"/>
      <c r="AC1292" s="898"/>
      <c r="AD1292" s="898"/>
      <c r="AE1292" s="898"/>
      <c r="AF1292" s="898"/>
      <c r="AG1292" s="898"/>
      <c r="AH1292" s="898"/>
      <c r="AI1292" s="898"/>
      <c r="AJ1292" s="898"/>
      <c r="AK1292" s="897"/>
      <c r="AL1292" s="897"/>
      <c r="AM1292" s="897"/>
      <c r="AN1292" s="897"/>
      <c r="AO1292" s="897"/>
      <c r="AP1292" s="897"/>
      <c r="AQ1292" s="897"/>
      <c r="AR1292" s="897"/>
    </row>
    <row r="1293" spans="1:44" s="930" customFormat="1">
      <c r="A1293" s="892"/>
      <c r="B1293" s="899"/>
      <c r="C1293" s="900"/>
      <c r="D1293" s="894"/>
      <c r="E1293" s="895"/>
      <c r="F1293" s="896"/>
      <c r="G1293" s="897"/>
      <c r="H1293" s="897"/>
      <c r="I1293" s="897"/>
      <c r="J1293" s="897"/>
      <c r="K1293" s="897"/>
      <c r="L1293" s="898"/>
      <c r="M1293" s="898"/>
      <c r="N1293" s="898"/>
      <c r="O1293" s="898"/>
      <c r="P1293" s="898"/>
      <c r="Q1293" s="898"/>
      <c r="R1293" s="898"/>
      <c r="S1293" s="898"/>
      <c r="T1293" s="898"/>
      <c r="U1293" s="898"/>
      <c r="V1293" s="898"/>
      <c r="W1293" s="898"/>
      <c r="X1293" s="898"/>
      <c r="Y1293" s="898"/>
      <c r="Z1293" s="898"/>
      <c r="AA1293" s="898"/>
      <c r="AB1293" s="898"/>
      <c r="AC1293" s="898"/>
      <c r="AD1293" s="898"/>
      <c r="AE1293" s="898"/>
      <c r="AF1293" s="898"/>
      <c r="AG1293" s="898"/>
      <c r="AH1293" s="898"/>
      <c r="AI1293" s="898"/>
      <c r="AJ1293" s="898"/>
      <c r="AK1293" s="897"/>
      <c r="AL1293" s="897"/>
      <c r="AM1293" s="897"/>
      <c r="AN1293" s="897"/>
      <c r="AO1293" s="897"/>
      <c r="AP1293" s="897"/>
      <c r="AQ1293" s="897"/>
      <c r="AR1293" s="897"/>
    </row>
    <row r="1294" spans="1:44" s="930" customFormat="1">
      <c r="A1294" s="892"/>
      <c r="B1294" s="899"/>
      <c r="C1294" s="900"/>
      <c r="D1294" s="894"/>
      <c r="E1294" s="895"/>
      <c r="F1294" s="896"/>
      <c r="G1294" s="897"/>
      <c r="H1294" s="897"/>
      <c r="I1294" s="897"/>
      <c r="J1294" s="897"/>
      <c r="K1294" s="897"/>
      <c r="L1294" s="898"/>
      <c r="M1294" s="898"/>
      <c r="N1294" s="898"/>
      <c r="O1294" s="898"/>
      <c r="P1294" s="898"/>
      <c r="Q1294" s="898"/>
      <c r="R1294" s="898"/>
      <c r="S1294" s="898"/>
      <c r="T1294" s="898"/>
      <c r="U1294" s="898"/>
      <c r="V1294" s="898"/>
      <c r="W1294" s="898"/>
      <c r="X1294" s="898"/>
      <c r="Y1294" s="898"/>
      <c r="Z1294" s="898"/>
      <c r="AA1294" s="898"/>
      <c r="AB1294" s="898"/>
      <c r="AC1294" s="898"/>
      <c r="AD1294" s="898"/>
      <c r="AE1294" s="898"/>
      <c r="AF1294" s="898"/>
      <c r="AG1294" s="898"/>
      <c r="AH1294" s="898"/>
      <c r="AI1294" s="898"/>
      <c r="AJ1294" s="898"/>
      <c r="AK1294" s="897"/>
      <c r="AL1294" s="897"/>
      <c r="AM1294" s="897"/>
      <c r="AN1294" s="897"/>
      <c r="AO1294" s="897"/>
      <c r="AP1294" s="897"/>
      <c r="AQ1294" s="897"/>
      <c r="AR1294" s="897"/>
    </row>
    <row r="1295" spans="1:44" s="930" customFormat="1">
      <c r="A1295" s="892"/>
      <c r="B1295" s="899"/>
      <c r="C1295" s="900"/>
      <c r="D1295" s="894"/>
      <c r="E1295" s="895"/>
      <c r="F1295" s="896"/>
      <c r="G1295" s="897"/>
      <c r="H1295" s="897"/>
      <c r="I1295" s="897"/>
      <c r="J1295" s="897"/>
      <c r="K1295" s="897"/>
      <c r="L1295" s="898"/>
      <c r="M1295" s="898"/>
      <c r="N1295" s="898"/>
      <c r="O1295" s="898"/>
      <c r="P1295" s="898"/>
      <c r="Q1295" s="898"/>
      <c r="R1295" s="898"/>
      <c r="S1295" s="898"/>
      <c r="T1295" s="898"/>
      <c r="U1295" s="898"/>
      <c r="V1295" s="898"/>
      <c r="W1295" s="898"/>
      <c r="X1295" s="898"/>
      <c r="Y1295" s="898"/>
      <c r="Z1295" s="898"/>
      <c r="AA1295" s="898"/>
      <c r="AB1295" s="898"/>
      <c r="AC1295" s="898"/>
      <c r="AD1295" s="898"/>
      <c r="AE1295" s="898"/>
      <c r="AF1295" s="898"/>
      <c r="AG1295" s="898"/>
      <c r="AH1295" s="898"/>
      <c r="AI1295" s="898"/>
      <c r="AJ1295" s="898"/>
      <c r="AK1295" s="897"/>
      <c r="AL1295" s="897"/>
      <c r="AM1295" s="897"/>
      <c r="AN1295" s="897"/>
      <c r="AO1295" s="897"/>
      <c r="AP1295" s="897"/>
      <c r="AQ1295" s="897"/>
      <c r="AR1295" s="897"/>
    </row>
    <row r="1296" spans="1:44" s="930" customFormat="1">
      <c r="A1296" s="892"/>
      <c r="B1296" s="899"/>
      <c r="C1296" s="900"/>
      <c r="D1296" s="894"/>
      <c r="E1296" s="895"/>
      <c r="F1296" s="896"/>
      <c r="G1296" s="897"/>
      <c r="H1296" s="897"/>
      <c r="I1296" s="897"/>
      <c r="J1296" s="897"/>
      <c r="K1296" s="897"/>
      <c r="L1296" s="898"/>
      <c r="M1296" s="898"/>
      <c r="N1296" s="898"/>
      <c r="O1296" s="898"/>
      <c r="P1296" s="898"/>
      <c r="Q1296" s="898"/>
      <c r="R1296" s="898"/>
      <c r="S1296" s="898"/>
      <c r="T1296" s="898"/>
      <c r="U1296" s="898"/>
      <c r="V1296" s="898"/>
      <c r="W1296" s="898"/>
      <c r="X1296" s="898"/>
      <c r="Y1296" s="898"/>
      <c r="Z1296" s="898"/>
      <c r="AA1296" s="898"/>
      <c r="AB1296" s="898"/>
      <c r="AC1296" s="898"/>
      <c r="AD1296" s="898"/>
      <c r="AE1296" s="898"/>
      <c r="AF1296" s="898"/>
      <c r="AG1296" s="898"/>
      <c r="AH1296" s="898"/>
      <c r="AI1296" s="898"/>
      <c r="AJ1296" s="898"/>
      <c r="AK1296" s="897"/>
      <c r="AL1296" s="897"/>
      <c r="AM1296" s="897"/>
      <c r="AN1296" s="897"/>
      <c r="AO1296" s="897"/>
      <c r="AP1296" s="897"/>
      <c r="AQ1296" s="897"/>
      <c r="AR1296" s="897"/>
    </row>
    <row r="1297" spans="1:44" s="930" customFormat="1">
      <c r="A1297" s="892"/>
      <c r="B1297" s="899"/>
      <c r="C1297" s="900"/>
      <c r="D1297" s="894"/>
      <c r="E1297" s="895"/>
      <c r="F1297" s="896"/>
      <c r="G1297" s="897"/>
      <c r="H1297" s="897"/>
      <c r="I1297" s="897"/>
      <c r="J1297" s="897"/>
      <c r="K1297" s="897"/>
      <c r="L1297" s="898"/>
      <c r="M1297" s="898"/>
      <c r="N1297" s="898"/>
      <c r="O1297" s="898"/>
      <c r="P1297" s="898"/>
      <c r="Q1297" s="898"/>
      <c r="R1297" s="898"/>
      <c r="S1297" s="898"/>
      <c r="T1297" s="898"/>
      <c r="U1297" s="898"/>
      <c r="V1297" s="898"/>
      <c r="W1297" s="898"/>
      <c r="X1297" s="898"/>
      <c r="Y1297" s="898"/>
      <c r="Z1297" s="898"/>
      <c r="AA1297" s="898"/>
      <c r="AB1297" s="898"/>
      <c r="AC1297" s="898"/>
      <c r="AD1297" s="898"/>
      <c r="AE1297" s="898"/>
      <c r="AF1297" s="898"/>
      <c r="AG1297" s="898"/>
      <c r="AH1297" s="898"/>
      <c r="AI1297" s="898"/>
      <c r="AJ1297" s="898"/>
      <c r="AK1297" s="897"/>
      <c r="AL1297" s="897"/>
      <c r="AM1297" s="897"/>
      <c r="AN1297" s="897"/>
      <c r="AO1297" s="897"/>
      <c r="AP1297" s="897"/>
      <c r="AQ1297" s="897"/>
      <c r="AR1297" s="897"/>
    </row>
    <row r="1298" spans="1:44" s="930" customFormat="1">
      <c r="A1298" s="892"/>
      <c r="B1298" s="899"/>
      <c r="C1298" s="900"/>
      <c r="D1298" s="894"/>
      <c r="E1298" s="895"/>
      <c r="F1298" s="896"/>
      <c r="G1298" s="897"/>
      <c r="H1298" s="897"/>
      <c r="I1298" s="897"/>
      <c r="J1298" s="897"/>
      <c r="K1298" s="897"/>
      <c r="L1298" s="898"/>
      <c r="M1298" s="898"/>
      <c r="N1298" s="898"/>
      <c r="O1298" s="898"/>
      <c r="P1298" s="898"/>
      <c r="Q1298" s="898"/>
      <c r="R1298" s="898"/>
      <c r="S1298" s="898"/>
      <c r="T1298" s="898"/>
      <c r="U1298" s="898"/>
      <c r="V1298" s="898"/>
      <c r="W1298" s="898"/>
      <c r="X1298" s="898"/>
      <c r="Y1298" s="898"/>
      <c r="Z1298" s="898"/>
      <c r="AA1298" s="898"/>
      <c r="AB1298" s="898"/>
      <c r="AC1298" s="898"/>
      <c r="AD1298" s="898"/>
      <c r="AE1298" s="898"/>
      <c r="AF1298" s="898"/>
      <c r="AG1298" s="898"/>
      <c r="AH1298" s="898"/>
      <c r="AI1298" s="898"/>
      <c r="AJ1298" s="898"/>
      <c r="AK1298" s="897"/>
      <c r="AL1298" s="897"/>
      <c r="AM1298" s="897"/>
      <c r="AN1298" s="897"/>
      <c r="AO1298" s="897"/>
      <c r="AP1298" s="897"/>
      <c r="AQ1298" s="897"/>
      <c r="AR1298" s="897"/>
    </row>
    <row r="1299" spans="1:44" s="930" customFormat="1">
      <c r="A1299" s="892"/>
      <c r="B1299" s="899"/>
      <c r="C1299" s="900"/>
      <c r="D1299" s="894"/>
      <c r="E1299" s="895"/>
      <c r="F1299" s="896"/>
      <c r="G1299" s="897"/>
      <c r="H1299" s="897"/>
      <c r="I1299" s="897"/>
      <c r="J1299" s="897"/>
      <c r="K1299" s="897"/>
      <c r="L1299" s="898"/>
      <c r="M1299" s="898"/>
      <c r="N1299" s="898"/>
      <c r="O1299" s="898"/>
      <c r="P1299" s="898"/>
      <c r="Q1299" s="898"/>
      <c r="R1299" s="898"/>
      <c r="S1299" s="898"/>
      <c r="T1299" s="898"/>
      <c r="U1299" s="898"/>
      <c r="V1299" s="898"/>
      <c r="W1299" s="898"/>
      <c r="X1299" s="898"/>
      <c r="Y1299" s="898"/>
      <c r="Z1299" s="898"/>
      <c r="AA1299" s="898"/>
      <c r="AB1299" s="898"/>
      <c r="AC1299" s="898"/>
      <c r="AD1299" s="898"/>
      <c r="AE1299" s="898"/>
      <c r="AF1299" s="898"/>
      <c r="AG1299" s="898"/>
      <c r="AH1299" s="898"/>
      <c r="AI1299" s="898"/>
      <c r="AJ1299" s="898"/>
      <c r="AK1299" s="897"/>
      <c r="AL1299" s="897"/>
      <c r="AM1299" s="897"/>
      <c r="AN1299" s="897"/>
      <c r="AO1299" s="897"/>
      <c r="AP1299" s="897"/>
      <c r="AQ1299" s="897"/>
      <c r="AR1299" s="897"/>
    </row>
    <row r="1300" spans="1:44" s="930" customFormat="1">
      <c r="A1300" s="892"/>
      <c r="B1300" s="899"/>
      <c r="C1300" s="900"/>
      <c r="D1300" s="894"/>
      <c r="E1300" s="895"/>
      <c r="F1300" s="896"/>
      <c r="G1300" s="897"/>
      <c r="H1300" s="897"/>
      <c r="I1300" s="897"/>
      <c r="J1300" s="897"/>
      <c r="K1300" s="897"/>
      <c r="L1300" s="898"/>
      <c r="M1300" s="898"/>
      <c r="N1300" s="898"/>
      <c r="O1300" s="898"/>
      <c r="P1300" s="898"/>
      <c r="Q1300" s="898"/>
      <c r="R1300" s="898"/>
      <c r="S1300" s="898"/>
      <c r="T1300" s="898"/>
      <c r="U1300" s="898"/>
      <c r="V1300" s="898"/>
      <c r="W1300" s="898"/>
      <c r="X1300" s="898"/>
      <c r="Y1300" s="898"/>
      <c r="Z1300" s="898"/>
      <c r="AA1300" s="898"/>
      <c r="AB1300" s="898"/>
      <c r="AC1300" s="898"/>
      <c r="AD1300" s="898"/>
      <c r="AE1300" s="898"/>
      <c r="AF1300" s="898"/>
      <c r="AG1300" s="898"/>
      <c r="AH1300" s="898"/>
      <c r="AI1300" s="898"/>
      <c r="AJ1300" s="898"/>
      <c r="AK1300" s="897"/>
      <c r="AL1300" s="897"/>
      <c r="AM1300" s="897"/>
      <c r="AN1300" s="897"/>
      <c r="AO1300" s="897"/>
      <c r="AP1300" s="897"/>
      <c r="AQ1300" s="897"/>
      <c r="AR1300" s="897"/>
    </row>
    <row r="1301" spans="1:44" s="930" customFormat="1">
      <c r="A1301" s="892"/>
      <c r="B1301" s="899"/>
      <c r="C1301" s="900"/>
      <c r="D1301" s="894"/>
      <c r="E1301" s="895"/>
      <c r="F1301" s="896"/>
      <c r="G1301" s="897"/>
      <c r="H1301" s="897"/>
      <c r="I1301" s="897"/>
      <c r="J1301" s="897"/>
      <c r="K1301" s="897"/>
      <c r="L1301" s="898"/>
      <c r="M1301" s="898"/>
      <c r="N1301" s="898"/>
      <c r="O1301" s="898"/>
      <c r="P1301" s="898"/>
      <c r="Q1301" s="898"/>
      <c r="R1301" s="898"/>
      <c r="S1301" s="898"/>
      <c r="T1301" s="898"/>
      <c r="U1301" s="898"/>
      <c r="V1301" s="898"/>
      <c r="W1301" s="898"/>
      <c r="X1301" s="898"/>
      <c r="Y1301" s="898"/>
      <c r="Z1301" s="898"/>
      <c r="AA1301" s="898"/>
      <c r="AB1301" s="898"/>
      <c r="AC1301" s="898"/>
      <c r="AD1301" s="898"/>
      <c r="AE1301" s="898"/>
      <c r="AF1301" s="898"/>
      <c r="AG1301" s="898"/>
      <c r="AH1301" s="898"/>
      <c r="AI1301" s="898"/>
      <c r="AJ1301" s="898"/>
      <c r="AK1301" s="897"/>
      <c r="AL1301" s="897"/>
      <c r="AM1301" s="897"/>
      <c r="AN1301" s="897"/>
      <c r="AO1301" s="897"/>
      <c r="AP1301" s="897"/>
      <c r="AQ1301" s="897"/>
      <c r="AR1301" s="897"/>
    </row>
    <row r="1302" spans="1:44" s="930" customFormat="1">
      <c r="A1302" s="892"/>
      <c r="B1302" s="899"/>
      <c r="C1302" s="900"/>
      <c r="D1302" s="894"/>
      <c r="E1302" s="895"/>
      <c r="F1302" s="896"/>
      <c r="G1302" s="897"/>
      <c r="H1302" s="897"/>
      <c r="I1302" s="897"/>
      <c r="J1302" s="897"/>
      <c r="K1302" s="897"/>
      <c r="L1302" s="898"/>
      <c r="M1302" s="898"/>
      <c r="N1302" s="898"/>
      <c r="O1302" s="898"/>
      <c r="P1302" s="898"/>
      <c r="Q1302" s="898"/>
      <c r="R1302" s="898"/>
      <c r="S1302" s="898"/>
      <c r="T1302" s="898"/>
      <c r="U1302" s="898"/>
      <c r="V1302" s="898"/>
      <c r="W1302" s="898"/>
      <c r="X1302" s="898"/>
      <c r="Y1302" s="898"/>
      <c r="Z1302" s="898"/>
      <c r="AA1302" s="898"/>
      <c r="AB1302" s="898"/>
      <c r="AC1302" s="898"/>
      <c r="AD1302" s="898"/>
      <c r="AE1302" s="898"/>
      <c r="AF1302" s="898"/>
      <c r="AG1302" s="898"/>
      <c r="AH1302" s="898"/>
      <c r="AI1302" s="898"/>
      <c r="AJ1302" s="898"/>
      <c r="AK1302" s="897"/>
      <c r="AL1302" s="897"/>
      <c r="AM1302" s="897"/>
      <c r="AN1302" s="897"/>
      <c r="AO1302" s="897"/>
      <c r="AP1302" s="897"/>
      <c r="AQ1302" s="897"/>
      <c r="AR1302" s="897"/>
    </row>
    <row r="1303" spans="1:44" s="930" customFormat="1">
      <c r="A1303" s="892"/>
      <c r="B1303" s="899"/>
      <c r="C1303" s="900"/>
      <c r="D1303" s="894"/>
      <c r="E1303" s="895"/>
      <c r="F1303" s="896"/>
      <c r="G1303" s="897"/>
      <c r="H1303" s="897"/>
      <c r="I1303" s="897"/>
      <c r="J1303" s="897"/>
      <c r="K1303" s="897"/>
      <c r="L1303" s="898"/>
      <c r="M1303" s="898"/>
      <c r="N1303" s="898"/>
      <c r="O1303" s="898"/>
      <c r="P1303" s="898"/>
      <c r="Q1303" s="898"/>
      <c r="R1303" s="898"/>
      <c r="S1303" s="898"/>
      <c r="T1303" s="898"/>
      <c r="U1303" s="898"/>
      <c r="V1303" s="898"/>
      <c r="W1303" s="898"/>
      <c r="X1303" s="898"/>
      <c r="Y1303" s="898"/>
      <c r="Z1303" s="898"/>
      <c r="AA1303" s="898"/>
      <c r="AB1303" s="898"/>
      <c r="AC1303" s="898"/>
      <c r="AD1303" s="898"/>
      <c r="AE1303" s="898"/>
      <c r="AF1303" s="898"/>
      <c r="AG1303" s="898"/>
      <c r="AH1303" s="898"/>
      <c r="AI1303" s="898"/>
      <c r="AJ1303" s="898"/>
      <c r="AK1303" s="897"/>
      <c r="AL1303" s="897"/>
      <c r="AM1303" s="897"/>
      <c r="AN1303" s="897"/>
      <c r="AO1303" s="897"/>
      <c r="AP1303" s="897"/>
      <c r="AQ1303" s="897"/>
      <c r="AR1303" s="897"/>
    </row>
    <row r="1304" spans="1:44" s="930" customFormat="1">
      <c r="A1304" s="892"/>
      <c r="B1304" s="899"/>
      <c r="C1304" s="900"/>
      <c r="D1304" s="894"/>
      <c r="E1304" s="895"/>
      <c r="F1304" s="896"/>
      <c r="G1304" s="897"/>
      <c r="H1304" s="897"/>
      <c r="I1304" s="897"/>
      <c r="J1304" s="897"/>
      <c r="K1304" s="897"/>
      <c r="L1304" s="898"/>
      <c r="M1304" s="898"/>
      <c r="N1304" s="898"/>
      <c r="O1304" s="898"/>
      <c r="P1304" s="898"/>
      <c r="Q1304" s="898"/>
      <c r="R1304" s="898"/>
      <c r="S1304" s="898"/>
      <c r="T1304" s="898"/>
      <c r="U1304" s="898"/>
      <c r="V1304" s="898"/>
      <c r="W1304" s="898"/>
      <c r="X1304" s="898"/>
      <c r="Y1304" s="898"/>
      <c r="Z1304" s="898"/>
      <c r="AA1304" s="898"/>
      <c r="AB1304" s="898"/>
      <c r="AC1304" s="898"/>
      <c r="AD1304" s="898"/>
      <c r="AE1304" s="898"/>
      <c r="AF1304" s="898"/>
      <c r="AG1304" s="898"/>
      <c r="AH1304" s="898"/>
      <c r="AI1304" s="898"/>
      <c r="AJ1304" s="898"/>
      <c r="AK1304" s="897"/>
      <c r="AL1304" s="897"/>
      <c r="AM1304" s="897"/>
      <c r="AN1304" s="897"/>
      <c r="AO1304" s="897"/>
      <c r="AP1304" s="897"/>
      <c r="AQ1304" s="897"/>
      <c r="AR1304" s="897"/>
    </row>
    <row r="1305" spans="1:44" s="930" customFormat="1">
      <c r="A1305" s="892"/>
      <c r="B1305" s="899"/>
      <c r="C1305" s="900"/>
      <c r="D1305" s="894"/>
      <c r="E1305" s="895"/>
      <c r="F1305" s="896"/>
      <c r="G1305" s="897"/>
      <c r="H1305" s="897"/>
      <c r="I1305" s="897"/>
      <c r="J1305" s="897"/>
      <c r="K1305" s="897"/>
      <c r="L1305" s="898"/>
      <c r="M1305" s="898"/>
      <c r="N1305" s="898"/>
      <c r="O1305" s="898"/>
      <c r="P1305" s="898"/>
      <c r="Q1305" s="898"/>
      <c r="R1305" s="898"/>
      <c r="S1305" s="898"/>
      <c r="T1305" s="898"/>
      <c r="U1305" s="898"/>
      <c r="V1305" s="898"/>
      <c r="W1305" s="898"/>
      <c r="X1305" s="898"/>
      <c r="Y1305" s="898"/>
      <c r="Z1305" s="898"/>
      <c r="AA1305" s="898"/>
      <c r="AB1305" s="898"/>
      <c r="AC1305" s="898"/>
      <c r="AD1305" s="898"/>
      <c r="AE1305" s="898"/>
      <c r="AF1305" s="898"/>
      <c r="AG1305" s="898"/>
      <c r="AH1305" s="898"/>
      <c r="AI1305" s="898"/>
      <c r="AJ1305" s="898"/>
      <c r="AK1305" s="897"/>
      <c r="AL1305" s="897"/>
      <c r="AM1305" s="897"/>
      <c r="AN1305" s="897"/>
      <c r="AO1305" s="897"/>
      <c r="AP1305" s="897"/>
      <c r="AQ1305" s="897"/>
      <c r="AR1305" s="897"/>
    </row>
    <row r="1306" spans="1:44" s="930" customFormat="1">
      <c r="A1306" s="892"/>
      <c r="B1306" s="899"/>
      <c r="C1306" s="900"/>
      <c r="D1306" s="894"/>
      <c r="E1306" s="895"/>
      <c r="F1306" s="896"/>
      <c r="G1306" s="897"/>
      <c r="H1306" s="897"/>
      <c r="I1306" s="897"/>
      <c r="J1306" s="897"/>
      <c r="K1306" s="897"/>
      <c r="L1306" s="898"/>
      <c r="M1306" s="898"/>
      <c r="N1306" s="898"/>
      <c r="O1306" s="898"/>
      <c r="P1306" s="898"/>
      <c r="Q1306" s="898"/>
      <c r="R1306" s="898"/>
      <c r="S1306" s="898"/>
      <c r="T1306" s="898"/>
      <c r="U1306" s="898"/>
      <c r="V1306" s="898"/>
      <c r="W1306" s="898"/>
      <c r="X1306" s="898"/>
      <c r="Y1306" s="898"/>
      <c r="Z1306" s="898"/>
      <c r="AA1306" s="898"/>
      <c r="AB1306" s="898"/>
      <c r="AC1306" s="898"/>
      <c r="AD1306" s="898"/>
      <c r="AE1306" s="898"/>
      <c r="AF1306" s="898"/>
      <c r="AG1306" s="898"/>
      <c r="AH1306" s="898"/>
      <c r="AI1306" s="898"/>
      <c r="AJ1306" s="898"/>
      <c r="AK1306" s="897"/>
      <c r="AL1306" s="897"/>
      <c r="AM1306" s="897"/>
      <c r="AN1306" s="897"/>
      <c r="AO1306" s="897"/>
      <c r="AP1306" s="897"/>
      <c r="AQ1306" s="897"/>
      <c r="AR1306" s="897"/>
    </row>
    <row r="1307" spans="1:44" s="930" customFormat="1">
      <c r="A1307" s="892"/>
      <c r="B1307" s="899"/>
      <c r="C1307" s="900"/>
      <c r="D1307" s="894"/>
      <c r="E1307" s="895"/>
      <c r="F1307" s="896"/>
      <c r="G1307" s="897"/>
      <c r="H1307" s="897"/>
      <c r="I1307" s="897"/>
      <c r="J1307" s="897"/>
      <c r="K1307" s="897"/>
      <c r="L1307" s="898"/>
      <c r="M1307" s="898"/>
      <c r="N1307" s="898"/>
      <c r="O1307" s="898"/>
      <c r="P1307" s="898"/>
      <c r="Q1307" s="898"/>
      <c r="R1307" s="898"/>
      <c r="S1307" s="898"/>
      <c r="T1307" s="898"/>
      <c r="U1307" s="898"/>
      <c r="V1307" s="898"/>
      <c r="W1307" s="898"/>
      <c r="X1307" s="898"/>
      <c r="Y1307" s="898"/>
      <c r="Z1307" s="898"/>
      <c r="AA1307" s="898"/>
      <c r="AB1307" s="898"/>
      <c r="AC1307" s="898"/>
      <c r="AD1307" s="898"/>
      <c r="AE1307" s="898"/>
      <c r="AF1307" s="898"/>
      <c r="AG1307" s="898"/>
      <c r="AH1307" s="898"/>
      <c r="AI1307" s="898"/>
      <c r="AJ1307" s="898"/>
      <c r="AK1307" s="897"/>
      <c r="AL1307" s="897"/>
      <c r="AM1307" s="897"/>
      <c r="AN1307" s="897"/>
      <c r="AO1307" s="897"/>
      <c r="AP1307" s="897"/>
      <c r="AQ1307" s="897"/>
      <c r="AR1307" s="897"/>
    </row>
    <row r="1308" spans="1:44">
      <c r="B1308" s="899"/>
      <c r="C1308" s="900"/>
      <c r="D1308" s="894"/>
      <c r="E1308" s="895"/>
      <c r="F1308" s="896"/>
      <c r="G1308" s="897"/>
      <c r="H1308" s="897"/>
      <c r="I1308" s="897"/>
      <c r="J1308" s="897"/>
      <c r="K1308" s="897"/>
    </row>
    <row r="1309" spans="1:44">
      <c r="B1309" s="899"/>
      <c r="C1309" s="900"/>
      <c r="D1309" s="894"/>
      <c r="E1309" s="895"/>
      <c r="F1309" s="896"/>
      <c r="G1309" s="897"/>
      <c r="H1309" s="897"/>
      <c r="I1309" s="897"/>
      <c r="J1309" s="897"/>
      <c r="K1309" s="897"/>
    </row>
  </sheetData>
  <sheetProtection selectLockedCells="1" selectUnlockedCells="1"/>
  <dataConsolidate/>
  <mergeCells count="43">
    <mergeCell ref="A36:F36"/>
    <mergeCell ref="B2:D2"/>
    <mergeCell ref="B3:D3"/>
    <mergeCell ref="B4:D4"/>
    <mergeCell ref="K6:N10"/>
    <mergeCell ref="A12:A13"/>
    <mergeCell ref="B12:B13"/>
    <mergeCell ref="C12:D12"/>
    <mergeCell ref="E12:F12"/>
    <mergeCell ref="B14:F14"/>
    <mergeCell ref="B19:F19"/>
    <mergeCell ref="A21:F21"/>
    <mergeCell ref="A31:F31"/>
    <mergeCell ref="A33:F33"/>
    <mergeCell ref="B85:F85"/>
    <mergeCell ref="A40:F40"/>
    <mergeCell ref="A45:F45"/>
    <mergeCell ref="A50:F50"/>
    <mergeCell ref="B53:F53"/>
    <mergeCell ref="A54:F54"/>
    <mergeCell ref="A58:F58"/>
    <mergeCell ref="A63:F63"/>
    <mergeCell ref="A67:F67"/>
    <mergeCell ref="A74:F74"/>
    <mergeCell ref="A78:F78"/>
    <mergeCell ref="B81:F81"/>
    <mergeCell ref="B138:F138"/>
    <mergeCell ref="A87:F87"/>
    <mergeCell ref="A90:F90"/>
    <mergeCell ref="A96:F96"/>
    <mergeCell ref="A105:F105"/>
    <mergeCell ref="B109:F109"/>
    <mergeCell ref="A118:F118"/>
    <mergeCell ref="B123:F123"/>
    <mergeCell ref="B129:F129"/>
    <mergeCell ref="A130:F130"/>
    <mergeCell ref="A133:F133"/>
    <mergeCell ref="A135:F135"/>
    <mergeCell ref="A139:F139"/>
    <mergeCell ref="A147:F147"/>
    <mergeCell ref="A150:F150"/>
    <mergeCell ref="A157:F157"/>
    <mergeCell ref="B160:F160"/>
  </mergeCells>
  <conditionalFormatting sqref="J161:J163 J158:J159 J151:J156 J140:J146 J136:J137 J148:J149 J134 J131:J132 J124:J128 J110:J117 J119:J122 J97:J104 J91:J95 J88:J89 J86 J82:J84 J79:J80 J75:J77 J68:J73 J64:J66 J59:J62 J55:J57 J46:J49 J51:J52 J41:J44 J34:J35 J37:J39 J32 J20 J22:J30 J15:J18 J106:J108">
    <cfRule type="cellIs" dxfId="6" priority="1" stopIfTrue="1" operator="equal">
      <formula>"No"</formula>
    </cfRule>
  </conditionalFormatting>
  <printOptions horizontalCentered="1"/>
  <pageMargins left="0.75" right="0.75" top="1" bottom="1" header="0.5" footer="0.5"/>
  <pageSetup scale="62" fitToHeight="2" orientation="portrait" r:id="rId1"/>
  <headerFooter alignWithMargins="0">
    <oddHeader>&amp;L&amp;"Arial,Bold"&amp;GSteven Winter Associates Inc.&amp;"Arial,Regular"
          Building Systems Consultants       &amp;C
307 7th Avenue Suite 1701
New York, NY 10001&amp;R
Telephone:  212-564-5800
Website:  www.swinter.com</oddHeader>
    <oddFooter xml:space="preserve">&amp;LConnecticut Office: 
50 Washington Street
Norwalk, CT 06854
&amp;C© 2009 Steven Winter Associates, Inc. All rights reserved.&amp;RTelephone: 212-857-0200
</oddFooter>
  </headerFooter>
</worksheet>
</file>

<file path=xl/worksheets/sheet19.xml><?xml version="1.0" encoding="utf-8"?>
<worksheet xmlns="http://schemas.openxmlformats.org/spreadsheetml/2006/main" xmlns:r="http://schemas.openxmlformats.org/officeDocument/2006/relationships">
  <sheetPr>
    <tabColor theme="5" tint="0.79998168889431442"/>
    <outlinePr summaryBelow="0" summaryRight="0"/>
  </sheetPr>
  <dimension ref="A1:AT1395"/>
  <sheetViews>
    <sheetView showGridLines="0" zoomScaleNormal="100" workbookViewId="0">
      <pane ySplit="7" topLeftCell="A8" activePane="bottomLeft" state="frozen"/>
      <selection pane="bottomLeft" activeCell="C153" sqref="C153"/>
    </sheetView>
  </sheetViews>
  <sheetFormatPr defaultColWidth="8.85546875" defaultRowHeight="12"/>
  <cols>
    <col min="1" max="1" width="6.140625" style="892" bestFit="1" customWidth="1"/>
    <col min="2" max="2" width="45.85546875" style="931" bestFit="1" customWidth="1"/>
    <col min="3" max="3" width="35.140625" style="932" customWidth="1"/>
    <col min="4" max="4" width="34.7109375" style="933" bestFit="1" customWidth="1"/>
    <col min="5" max="5" width="27" style="975" customWidth="1"/>
    <col min="6" max="6" width="17.85546875" style="979" customWidth="1"/>
    <col min="7" max="7" width="8.85546875" style="935" customWidth="1"/>
    <col min="8" max="38" width="9.140625" style="898" customWidth="1"/>
    <col min="39" max="41" width="9.140625" style="897" customWidth="1"/>
    <col min="42" max="42" width="8.85546875" style="897" customWidth="1"/>
    <col min="43" max="253" width="8.85546875" style="897"/>
    <col min="254" max="254" width="20" style="897" customWidth="1"/>
    <col min="255" max="255" width="46.140625" style="897" customWidth="1"/>
    <col min="256" max="256" width="22.28515625" style="897" customWidth="1"/>
    <col min="257" max="257" width="19.28515625" style="897" customWidth="1"/>
    <col min="258" max="258" width="66" style="897" customWidth="1"/>
    <col min="259" max="259" width="8.42578125" style="897" customWidth="1"/>
    <col min="260" max="260" width="14.7109375" style="897" customWidth="1"/>
    <col min="261" max="261" width="47" style="897" customWidth="1"/>
    <col min="262" max="262" width="8.42578125" style="897" customWidth="1"/>
    <col min="263" max="263" width="14.7109375" style="897" customWidth="1"/>
    <col min="264" max="297" width="9.140625" style="897" customWidth="1"/>
    <col min="298" max="298" width="8.85546875" style="897" customWidth="1"/>
    <col min="299" max="509" width="8.85546875" style="897"/>
    <col min="510" max="510" width="20" style="897" customWidth="1"/>
    <col min="511" max="511" width="46.140625" style="897" customWidth="1"/>
    <col min="512" max="512" width="22.28515625" style="897" customWidth="1"/>
    <col min="513" max="513" width="19.28515625" style="897" customWidth="1"/>
    <col min="514" max="514" width="66" style="897" customWidth="1"/>
    <col min="515" max="515" width="8.42578125" style="897" customWidth="1"/>
    <col min="516" max="516" width="14.7109375" style="897" customWidth="1"/>
    <col min="517" max="517" width="47" style="897" customWidth="1"/>
    <col min="518" max="518" width="8.42578125" style="897" customWidth="1"/>
    <col min="519" max="519" width="14.7109375" style="897" customWidth="1"/>
    <col min="520" max="553" width="9.140625" style="897" customWidth="1"/>
    <col min="554" max="554" width="8.85546875" style="897" customWidth="1"/>
    <col min="555" max="765" width="8.85546875" style="897"/>
    <col min="766" max="766" width="20" style="897" customWidth="1"/>
    <col min="767" max="767" width="46.140625" style="897" customWidth="1"/>
    <col min="768" max="768" width="22.28515625" style="897" customWidth="1"/>
    <col min="769" max="769" width="19.28515625" style="897" customWidth="1"/>
    <col min="770" max="770" width="66" style="897" customWidth="1"/>
    <col min="771" max="771" width="8.42578125" style="897" customWidth="1"/>
    <col min="772" max="772" width="14.7109375" style="897" customWidth="1"/>
    <col min="773" max="773" width="47" style="897" customWidth="1"/>
    <col min="774" max="774" width="8.42578125" style="897" customWidth="1"/>
    <col min="775" max="775" width="14.7109375" style="897" customWidth="1"/>
    <col min="776" max="809" width="9.140625" style="897" customWidth="1"/>
    <col min="810" max="810" width="8.85546875" style="897" customWidth="1"/>
    <col min="811" max="1021" width="8.85546875" style="897"/>
    <col min="1022" max="1022" width="20" style="897" customWidth="1"/>
    <col min="1023" max="1023" width="46.140625" style="897" customWidth="1"/>
    <col min="1024" max="1024" width="22.28515625" style="897" customWidth="1"/>
    <col min="1025" max="1025" width="19.28515625" style="897" customWidth="1"/>
    <col min="1026" max="1026" width="66" style="897" customWidth="1"/>
    <col min="1027" max="1027" width="8.42578125" style="897" customWidth="1"/>
    <col min="1028" max="1028" width="14.7109375" style="897" customWidth="1"/>
    <col min="1029" max="1029" width="47" style="897" customWidth="1"/>
    <col min="1030" max="1030" width="8.42578125" style="897" customWidth="1"/>
    <col min="1031" max="1031" width="14.7109375" style="897" customWidth="1"/>
    <col min="1032" max="1065" width="9.140625" style="897" customWidth="1"/>
    <col min="1066" max="1066" width="8.85546875" style="897" customWidth="1"/>
    <col min="1067" max="1277" width="8.85546875" style="897"/>
    <col min="1278" max="1278" width="20" style="897" customWidth="1"/>
    <col min="1279" max="1279" width="46.140625" style="897" customWidth="1"/>
    <col min="1280" max="1280" width="22.28515625" style="897" customWidth="1"/>
    <col min="1281" max="1281" width="19.28515625" style="897" customWidth="1"/>
    <col min="1282" max="1282" width="66" style="897" customWidth="1"/>
    <col min="1283" max="1283" width="8.42578125" style="897" customWidth="1"/>
    <col min="1284" max="1284" width="14.7109375" style="897" customWidth="1"/>
    <col min="1285" max="1285" width="47" style="897" customWidth="1"/>
    <col min="1286" max="1286" width="8.42578125" style="897" customWidth="1"/>
    <col min="1287" max="1287" width="14.7109375" style="897" customWidth="1"/>
    <col min="1288" max="1321" width="9.140625" style="897" customWidth="1"/>
    <col min="1322" max="1322" width="8.85546875" style="897" customWidth="1"/>
    <col min="1323" max="1533" width="8.85546875" style="897"/>
    <col min="1534" max="1534" width="20" style="897" customWidth="1"/>
    <col min="1535" max="1535" width="46.140625" style="897" customWidth="1"/>
    <col min="1536" max="1536" width="22.28515625" style="897" customWidth="1"/>
    <col min="1537" max="1537" width="19.28515625" style="897" customWidth="1"/>
    <col min="1538" max="1538" width="66" style="897" customWidth="1"/>
    <col min="1539" max="1539" width="8.42578125" style="897" customWidth="1"/>
    <col min="1540" max="1540" width="14.7109375" style="897" customWidth="1"/>
    <col min="1541" max="1541" width="47" style="897" customWidth="1"/>
    <col min="1542" max="1542" width="8.42578125" style="897" customWidth="1"/>
    <col min="1543" max="1543" width="14.7109375" style="897" customWidth="1"/>
    <col min="1544" max="1577" width="9.140625" style="897" customWidth="1"/>
    <col min="1578" max="1578" width="8.85546875" style="897" customWidth="1"/>
    <col min="1579" max="1789" width="8.85546875" style="897"/>
    <col min="1790" max="1790" width="20" style="897" customWidth="1"/>
    <col min="1791" max="1791" width="46.140625" style="897" customWidth="1"/>
    <col min="1792" max="1792" width="22.28515625" style="897" customWidth="1"/>
    <col min="1793" max="1793" width="19.28515625" style="897" customWidth="1"/>
    <col min="1794" max="1794" width="66" style="897" customWidth="1"/>
    <col min="1795" max="1795" width="8.42578125" style="897" customWidth="1"/>
    <col min="1796" max="1796" width="14.7109375" style="897" customWidth="1"/>
    <col min="1797" max="1797" width="47" style="897" customWidth="1"/>
    <col min="1798" max="1798" width="8.42578125" style="897" customWidth="1"/>
    <col min="1799" max="1799" width="14.7109375" style="897" customWidth="1"/>
    <col min="1800" max="1833" width="9.140625" style="897" customWidth="1"/>
    <col min="1834" max="1834" width="8.85546875" style="897" customWidth="1"/>
    <col min="1835" max="2045" width="8.85546875" style="897"/>
    <col min="2046" max="2046" width="20" style="897" customWidth="1"/>
    <col min="2047" max="2047" width="46.140625" style="897" customWidth="1"/>
    <col min="2048" max="2048" width="22.28515625" style="897" customWidth="1"/>
    <col min="2049" max="2049" width="19.28515625" style="897" customWidth="1"/>
    <col min="2050" max="2050" width="66" style="897" customWidth="1"/>
    <col min="2051" max="2051" width="8.42578125" style="897" customWidth="1"/>
    <col min="2052" max="2052" width="14.7109375" style="897" customWidth="1"/>
    <col min="2053" max="2053" width="47" style="897" customWidth="1"/>
    <col min="2054" max="2054" width="8.42578125" style="897" customWidth="1"/>
    <col min="2055" max="2055" width="14.7109375" style="897" customWidth="1"/>
    <col min="2056" max="2089" width="9.140625" style="897" customWidth="1"/>
    <col min="2090" max="2090" width="8.85546875" style="897" customWidth="1"/>
    <col min="2091" max="2301" width="8.85546875" style="897"/>
    <col min="2302" max="2302" width="20" style="897" customWidth="1"/>
    <col min="2303" max="2303" width="46.140625" style="897" customWidth="1"/>
    <col min="2304" max="2304" width="22.28515625" style="897" customWidth="1"/>
    <col min="2305" max="2305" width="19.28515625" style="897" customWidth="1"/>
    <col min="2306" max="2306" width="66" style="897" customWidth="1"/>
    <col min="2307" max="2307" width="8.42578125" style="897" customWidth="1"/>
    <col min="2308" max="2308" width="14.7109375" style="897" customWidth="1"/>
    <col min="2309" max="2309" width="47" style="897" customWidth="1"/>
    <col min="2310" max="2310" width="8.42578125" style="897" customWidth="1"/>
    <col min="2311" max="2311" width="14.7109375" style="897" customWidth="1"/>
    <col min="2312" max="2345" width="9.140625" style="897" customWidth="1"/>
    <col min="2346" max="2346" width="8.85546875" style="897" customWidth="1"/>
    <col min="2347" max="2557" width="8.85546875" style="897"/>
    <col min="2558" max="2558" width="20" style="897" customWidth="1"/>
    <col min="2559" max="2559" width="46.140625" style="897" customWidth="1"/>
    <col min="2560" max="2560" width="22.28515625" style="897" customWidth="1"/>
    <col min="2561" max="2561" width="19.28515625" style="897" customWidth="1"/>
    <col min="2562" max="2562" width="66" style="897" customWidth="1"/>
    <col min="2563" max="2563" width="8.42578125" style="897" customWidth="1"/>
    <col min="2564" max="2564" width="14.7109375" style="897" customWidth="1"/>
    <col min="2565" max="2565" width="47" style="897" customWidth="1"/>
    <col min="2566" max="2566" width="8.42578125" style="897" customWidth="1"/>
    <col min="2567" max="2567" width="14.7109375" style="897" customWidth="1"/>
    <col min="2568" max="2601" width="9.140625" style="897" customWidth="1"/>
    <col min="2602" max="2602" width="8.85546875" style="897" customWidth="1"/>
    <col min="2603" max="2813" width="8.85546875" style="897"/>
    <col min="2814" max="2814" width="20" style="897" customWidth="1"/>
    <col min="2815" max="2815" width="46.140625" style="897" customWidth="1"/>
    <col min="2816" max="2816" width="22.28515625" style="897" customWidth="1"/>
    <col min="2817" max="2817" width="19.28515625" style="897" customWidth="1"/>
    <col min="2818" max="2818" width="66" style="897" customWidth="1"/>
    <col min="2819" max="2819" width="8.42578125" style="897" customWidth="1"/>
    <col min="2820" max="2820" width="14.7109375" style="897" customWidth="1"/>
    <col min="2821" max="2821" width="47" style="897" customWidth="1"/>
    <col min="2822" max="2822" width="8.42578125" style="897" customWidth="1"/>
    <col min="2823" max="2823" width="14.7109375" style="897" customWidth="1"/>
    <col min="2824" max="2857" width="9.140625" style="897" customWidth="1"/>
    <col min="2858" max="2858" width="8.85546875" style="897" customWidth="1"/>
    <col min="2859" max="3069" width="8.85546875" style="897"/>
    <col min="3070" max="3070" width="20" style="897" customWidth="1"/>
    <col min="3071" max="3071" width="46.140625" style="897" customWidth="1"/>
    <col min="3072" max="3072" width="22.28515625" style="897" customWidth="1"/>
    <col min="3073" max="3073" width="19.28515625" style="897" customWidth="1"/>
    <col min="3074" max="3074" width="66" style="897" customWidth="1"/>
    <col min="3075" max="3075" width="8.42578125" style="897" customWidth="1"/>
    <col min="3076" max="3076" width="14.7109375" style="897" customWidth="1"/>
    <col min="3077" max="3077" width="47" style="897" customWidth="1"/>
    <col min="3078" max="3078" width="8.42578125" style="897" customWidth="1"/>
    <col min="3079" max="3079" width="14.7109375" style="897" customWidth="1"/>
    <col min="3080" max="3113" width="9.140625" style="897" customWidth="1"/>
    <col min="3114" max="3114" width="8.85546875" style="897" customWidth="1"/>
    <col min="3115" max="3325" width="8.85546875" style="897"/>
    <col min="3326" max="3326" width="20" style="897" customWidth="1"/>
    <col min="3327" max="3327" width="46.140625" style="897" customWidth="1"/>
    <col min="3328" max="3328" width="22.28515625" style="897" customWidth="1"/>
    <col min="3329" max="3329" width="19.28515625" style="897" customWidth="1"/>
    <col min="3330" max="3330" width="66" style="897" customWidth="1"/>
    <col min="3331" max="3331" width="8.42578125" style="897" customWidth="1"/>
    <col min="3332" max="3332" width="14.7109375" style="897" customWidth="1"/>
    <col min="3333" max="3333" width="47" style="897" customWidth="1"/>
    <col min="3334" max="3334" width="8.42578125" style="897" customWidth="1"/>
    <col min="3335" max="3335" width="14.7109375" style="897" customWidth="1"/>
    <col min="3336" max="3369" width="9.140625" style="897" customWidth="1"/>
    <col min="3370" max="3370" width="8.85546875" style="897" customWidth="1"/>
    <col min="3371" max="3581" width="8.85546875" style="897"/>
    <col min="3582" max="3582" width="20" style="897" customWidth="1"/>
    <col min="3583" max="3583" width="46.140625" style="897" customWidth="1"/>
    <col min="3584" max="3584" width="22.28515625" style="897" customWidth="1"/>
    <col min="3585" max="3585" width="19.28515625" style="897" customWidth="1"/>
    <col min="3586" max="3586" width="66" style="897" customWidth="1"/>
    <col min="3587" max="3587" width="8.42578125" style="897" customWidth="1"/>
    <col min="3588" max="3588" width="14.7109375" style="897" customWidth="1"/>
    <col min="3589" max="3589" width="47" style="897" customWidth="1"/>
    <col min="3590" max="3590" width="8.42578125" style="897" customWidth="1"/>
    <col min="3591" max="3591" width="14.7109375" style="897" customWidth="1"/>
    <col min="3592" max="3625" width="9.140625" style="897" customWidth="1"/>
    <col min="3626" max="3626" width="8.85546875" style="897" customWidth="1"/>
    <col min="3627" max="3837" width="8.85546875" style="897"/>
    <col min="3838" max="3838" width="20" style="897" customWidth="1"/>
    <col min="3839" max="3839" width="46.140625" style="897" customWidth="1"/>
    <col min="3840" max="3840" width="22.28515625" style="897" customWidth="1"/>
    <col min="3841" max="3841" width="19.28515625" style="897" customWidth="1"/>
    <col min="3842" max="3842" width="66" style="897" customWidth="1"/>
    <col min="3843" max="3843" width="8.42578125" style="897" customWidth="1"/>
    <col min="3844" max="3844" width="14.7109375" style="897" customWidth="1"/>
    <col min="3845" max="3845" width="47" style="897" customWidth="1"/>
    <col min="3846" max="3846" width="8.42578125" style="897" customWidth="1"/>
    <col min="3847" max="3847" width="14.7109375" style="897" customWidth="1"/>
    <col min="3848" max="3881" width="9.140625" style="897" customWidth="1"/>
    <col min="3882" max="3882" width="8.85546875" style="897" customWidth="1"/>
    <col min="3883" max="4093" width="8.85546875" style="897"/>
    <col min="4094" max="4094" width="20" style="897" customWidth="1"/>
    <col min="4095" max="4095" width="46.140625" style="897" customWidth="1"/>
    <col min="4096" max="4096" width="22.28515625" style="897" customWidth="1"/>
    <col min="4097" max="4097" width="19.28515625" style="897" customWidth="1"/>
    <col min="4098" max="4098" width="66" style="897" customWidth="1"/>
    <col min="4099" max="4099" width="8.42578125" style="897" customWidth="1"/>
    <col min="4100" max="4100" width="14.7109375" style="897" customWidth="1"/>
    <col min="4101" max="4101" width="47" style="897" customWidth="1"/>
    <col min="4102" max="4102" width="8.42578125" style="897" customWidth="1"/>
    <col min="4103" max="4103" width="14.7109375" style="897" customWidth="1"/>
    <col min="4104" max="4137" width="9.140625" style="897" customWidth="1"/>
    <col min="4138" max="4138" width="8.85546875" style="897" customWidth="1"/>
    <col min="4139" max="4349" width="8.85546875" style="897"/>
    <col min="4350" max="4350" width="20" style="897" customWidth="1"/>
    <col min="4351" max="4351" width="46.140625" style="897" customWidth="1"/>
    <col min="4352" max="4352" width="22.28515625" style="897" customWidth="1"/>
    <col min="4353" max="4353" width="19.28515625" style="897" customWidth="1"/>
    <col min="4354" max="4354" width="66" style="897" customWidth="1"/>
    <col min="4355" max="4355" width="8.42578125" style="897" customWidth="1"/>
    <col min="4356" max="4356" width="14.7109375" style="897" customWidth="1"/>
    <col min="4357" max="4357" width="47" style="897" customWidth="1"/>
    <col min="4358" max="4358" width="8.42578125" style="897" customWidth="1"/>
    <col min="4359" max="4359" width="14.7109375" style="897" customWidth="1"/>
    <col min="4360" max="4393" width="9.140625" style="897" customWidth="1"/>
    <col min="4394" max="4394" width="8.85546875" style="897" customWidth="1"/>
    <col min="4395" max="4605" width="8.85546875" style="897"/>
    <col min="4606" max="4606" width="20" style="897" customWidth="1"/>
    <col min="4607" max="4607" width="46.140625" style="897" customWidth="1"/>
    <col min="4608" max="4608" width="22.28515625" style="897" customWidth="1"/>
    <col min="4609" max="4609" width="19.28515625" style="897" customWidth="1"/>
    <col min="4610" max="4610" width="66" style="897" customWidth="1"/>
    <col min="4611" max="4611" width="8.42578125" style="897" customWidth="1"/>
    <col min="4612" max="4612" width="14.7109375" style="897" customWidth="1"/>
    <col min="4613" max="4613" width="47" style="897" customWidth="1"/>
    <col min="4614" max="4614" width="8.42578125" style="897" customWidth="1"/>
    <col min="4615" max="4615" width="14.7109375" style="897" customWidth="1"/>
    <col min="4616" max="4649" width="9.140625" style="897" customWidth="1"/>
    <col min="4650" max="4650" width="8.85546875" style="897" customWidth="1"/>
    <col min="4651" max="4861" width="8.85546875" style="897"/>
    <col min="4862" max="4862" width="20" style="897" customWidth="1"/>
    <col min="4863" max="4863" width="46.140625" style="897" customWidth="1"/>
    <col min="4864" max="4864" width="22.28515625" style="897" customWidth="1"/>
    <col min="4865" max="4865" width="19.28515625" style="897" customWidth="1"/>
    <col min="4866" max="4866" width="66" style="897" customWidth="1"/>
    <col min="4867" max="4867" width="8.42578125" style="897" customWidth="1"/>
    <col min="4868" max="4868" width="14.7109375" style="897" customWidth="1"/>
    <col min="4869" max="4869" width="47" style="897" customWidth="1"/>
    <col min="4870" max="4870" width="8.42578125" style="897" customWidth="1"/>
    <col min="4871" max="4871" width="14.7109375" style="897" customWidth="1"/>
    <col min="4872" max="4905" width="9.140625" style="897" customWidth="1"/>
    <col min="4906" max="4906" width="8.85546875" style="897" customWidth="1"/>
    <col min="4907" max="5117" width="8.85546875" style="897"/>
    <col min="5118" max="5118" width="20" style="897" customWidth="1"/>
    <col min="5119" max="5119" width="46.140625" style="897" customWidth="1"/>
    <col min="5120" max="5120" width="22.28515625" style="897" customWidth="1"/>
    <col min="5121" max="5121" width="19.28515625" style="897" customWidth="1"/>
    <col min="5122" max="5122" width="66" style="897" customWidth="1"/>
    <col min="5123" max="5123" width="8.42578125" style="897" customWidth="1"/>
    <col min="5124" max="5124" width="14.7109375" style="897" customWidth="1"/>
    <col min="5125" max="5125" width="47" style="897" customWidth="1"/>
    <col min="5126" max="5126" width="8.42578125" style="897" customWidth="1"/>
    <col min="5127" max="5127" width="14.7109375" style="897" customWidth="1"/>
    <col min="5128" max="5161" width="9.140625" style="897" customWidth="1"/>
    <col min="5162" max="5162" width="8.85546875" style="897" customWidth="1"/>
    <col min="5163" max="5373" width="8.85546875" style="897"/>
    <col min="5374" max="5374" width="20" style="897" customWidth="1"/>
    <col min="5375" max="5375" width="46.140625" style="897" customWidth="1"/>
    <col min="5376" max="5376" width="22.28515625" style="897" customWidth="1"/>
    <col min="5377" max="5377" width="19.28515625" style="897" customWidth="1"/>
    <col min="5378" max="5378" width="66" style="897" customWidth="1"/>
    <col min="5379" max="5379" width="8.42578125" style="897" customWidth="1"/>
    <col min="5380" max="5380" width="14.7109375" style="897" customWidth="1"/>
    <col min="5381" max="5381" width="47" style="897" customWidth="1"/>
    <col min="5382" max="5382" width="8.42578125" style="897" customWidth="1"/>
    <col min="5383" max="5383" width="14.7109375" style="897" customWidth="1"/>
    <col min="5384" max="5417" width="9.140625" style="897" customWidth="1"/>
    <col min="5418" max="5418" width="8.85546875" style="897" customWidth="1"/>
    <col min="5419" max="5629" width="8.85546875" style="897"/>
    <col min="5630" max="5630" width="20" style="897" customWidth="1"/>
    <col min="5631" max="5631" width="46.140625" style="897" customWidth="1"/>
    <col min="5632" max="5632" width="22.28515625" style="897" customWidth="1"/>
    <col min="5633" max="5633" width="19.28515625" style="897" customWidth="1"/>
    <col min="5634" max="5634" width="66" style="897" customWidth="1"/>
    <col min="5635" max="5635" width="8.42578125" style="897" customWidth="1"/>
    <col min="5636" max="5636" width="14.7109375" style="897" customWidth="1"/>
    <col min="5637" max="5637" width="47" style="897" customWidth="1"/>
    <col min="5638" max="5638" width="8.42578125" style="897" customWidth="1"/>
    <col min="5639" max="5639" width="14.7109375" style="897" customWidth="1"/>
    <col min="5640" max="5673" width="9.140625" style="897" customWidth="1"/>
    <col min="5674" max="5674" width="8.85546875" style="897" customWidth="1"/>
    <col min="5675" max="5885" width="8.85546875" style="897"/>
    <col min="5886" max="5886" width="20" style="897" customWidth="1"/>
    <col min="5887" max="5887" width="46.140625" style="897" customWidth="1"/>
    <col min="5888" max="5888" width="22.28515625" style="897" customWidth="1"/>
    <col min="5889" max="5889" width="19.28515625" style="897" customWidth="1"/>
    <col min="5890" max="5890" width="66" style="897" customWidth="1"/>
    <col min="5891" max="5891" width="8.42578125" style="897" customWidth="1"/>
    <col min="5892" max="5892" width="14.7109375" style="897" customWidth="1"/>
    <col min="5893" max="5893" width="47" style="897" customWidth="1"/>
    <col min="5894" max="5894" width="8.42578125" style="897" customWidth="1"/>
    <col min="5895" max="5895" width="14.7109375" style="897" customWidth="1"/>
    <col min="5896" max="5929" width="9.140625" style="897" customWidth="1"/>
    <col min="5930" max="5930" width="8.85546875" style="897" customWidth="1"/>
    <col min="5931" max="6141" width="8.85546875" style="897"/>
    <col min="6142" max="6142" width="20" style="897" customWidth="1"/>
    <col min="6143" max="6143" width="46.140625" style="897" customWidth="1"/>
    <col min="6144" max="6144" width="22.28515625" style="897" customWidth="1"/>
    <col min="6145" max="6145" width="19.28515625" style="897" customWidth="1"/>
    <col min="6146" max="6146" width="66" style="897" customWidth="1"/>
    <col min="6147" max="6147" width="8.42578125" style="897" customWidth="1"/>
    <col min="6148" max="6148" width="14.7109375" style="897" customWidth="1"/>
    <col min="6149" max="6149" width="47" style="897" customWidth="1"/>
    <col min="6150" max="6150" width="8.42578125" style="897" customWidth="1"/>
    <col min="6151" max="6151" width="14.7109375" style="897" customWidth="1"/>
    <col min="6152" max="6185" width="9.140625" style="897" customWidth="1"/>
    <col min="6186" max="6186" width="8.85546875" style="897" customWidth="1"/>
    <col min="6187" max="6397" width="8.85546875" style="897"/>
    <col min="6398" max="6398" width="20" style="897" customWidth="1"/>
    <col min="6399" max="6399" width="46.140625" style="897" customWidth="1"/>
    <col min="6400" max="6400" width="22.28515625" style="897" customWidth="1"/>
    <col min="6401" max="6401" width="19.28515625" style="897" customWidth="1"/>
    <col min="6402" max="6402" width="66" style="897" customWidth="1"/>
    <col min="6403" max="6403" width="8.42578125" style="897" customWidth="1"/>
    <col min="6404" max="6404" width="14.7109375" style="897" customWidth="1"/>
    <col min="6405" max="6405" width="47" style="897" customWidth="1"/>
    <col min="6406" max="6406" width="8.42578125" style="897" customWidth="1"/>
    <col min="6407" max="6407" width="14.7109375" style="897" customWidth="1"/>
    <col min="6408" max="6441" width="9.140625" style="897" customWidth="1"/>
    <col min="6442" max="6442" width="8.85546875" style="897" customWidth="1"/>
    <col min="6443" max="6653" width="8.85546875" style="897"/>
    <col min="6654" max="6654" width="20" style="897" customWidth="1"/>
    <col min="6655" max="6655" width="46.140625" style="897" customWidth="1"/>
    <col min="6656" max="6656" width="22.28515625" style="897" customWidth="1"/>
    <col min="6657" max="6657" width="19.28515625" style="897" customWidth="1"/>
    <col min="6658" max="6658" width="66" style="897" customWidth="1"/>
    <col min="6659" max="6659" width="8.42578125" style="897" customWidth="1"/>
    <col min="6660" max="6660" width="14.7109375" style="897" customWidth="1"/>
    <col min="6661" max="6661" width="47" style="897" customWidth="1"/>
    <col min="6662" max="6662" width="8.42578125" style="897" customWidth="1"/>
    <col min="6663" max="6663" width="14.7109375" style="897" customWidth="1"/>
    <col min="6664" max="6697" width="9.140625" style="897" customWidth="1"/>
    <col min="6698" max="6698" width="8.85546875" style="897" customWidth="1"/>
    <col min="6699" max="6909" width="8.85546875" style="897"/>
    <col min="6910" max="6910" width="20" style="897" customWidth="1"/>
    <col min="6911" max="6911" width="46.140625" style="897" customWidth="1"/>
    <col min="6912" max="6912" width="22.28515625" style="897" customWidth="1"/>
    <col min="6913" max="6913" width="19.28515625" style="897" customWidth="1"/>
    <col min="6914" max="6914" width="66" style="897" customWidth="1"/>
    <col min="6915" max="6915" width="8.42578125" style="897" customWidth="1"/>
    <col min="6916" max="6916" width="14.7109375" style="897" customWidth="1"/>
    <col min="6917" max="6917" width="47" style="897" customWidth="1"/>
    <col min="6918" max="6918" width="8.42578125" style="897" customWidth="1"/>
    <col min="6919" max="6919" width="14.7109375" style="897" customWidth="1"/>
    <col min="6920" max="6953" width="9.140625" style="897" customWidth="1"/>
    <col min="6954" max="6954" width="8.85546875" style="897" customWidth="1"/>
    <col min="6955" max="7165" width="8.85546875" style="897"/>
    <col min="7166" max="7166" width="20" style="897" customWidth="1"/>
    <col min="7167" max="7167" width="46.140625" style="897" customWidth="1"/>
    <col min="7168" max="7168" width="22.28515625" style="897" customWidth="1"/>
    <col min="7169" max="7169" width="19.28515625" style="897" customWidth="1"/>
    <col min="7170" max="7170" width="66" style="897" customWidth="1"/>
    <col min="7171" max="7171" width="8.42578125" style="897" customWidth="1"/>
    <col min="7172" max="7172" width="14.7109375" style="897" customWidth="1"/>
    <col min="7173" max="7173" width="47" style="897" customWidth="1"/>
    <col min="7174" max="7174" width="8.42578125" style="897" customWidth="1"/>
    <col min="7175" max="7175" width="14.7109375" style="897" customWidth="1"/>
    <col min="7176" max="7209" width="9.140625" style="897" customWidth="1"/>
    <col min="7210" max="7210" width="8.85546875" style="897" customWidth="1"/>
    <col min="7211" max="7421" width="8.85546875" style="897"/>
    <col min="7422" max="7422" width="20" style="897" customWidth="1"/>
    <col min="7423" max="7423" width="46.140625" style="897" customWidth="1"/>
    <col min="7424" max="7424" width="22.28515625" style="897" customWidth="1"/>
    <col min="7425" max="7425" width="19.28515625" style="897" customWidth="1"/>
    <col min="7426" max="7426" width="66" style="897" customWidth="1"/>
    <col min="7427" max="7427" width="8.42578125" style="897" customWidth="1"/>
    <col min="7428" max="7428" width="14.7109375" style="897" customWidth="1"/>
    <col min="7429" max="7429" width="47" style="897" customWidth="1"/>
    <col min="7430" max="7430" width="8.42578125" style="897" customWidth="1"/>
    <col min="7431" max="7431" width="14.7109375" style="897" customWidth="1"/>
    <col min="7432" max="7465" width="9.140625" style="897" customWidth="1"/>
    <col min="7466" max="7466" width="8.85546875" style="897" customWidth="1"/>
    <col min="7467" max="7677" width="8.85546875" style="897"/>
    <col min="7678" max="7678" width="20" style="897" customWidth="1"/>
    <col min="7679" max="7679" width="46.140625" style="897" customWidth="1"/>
    <col min="7680" max="7680" width="22.28515625" style="897" customWidth="1"/>
    <col min="7681" max="7681" width="19.28515625" style="897" customWidth="1"/>
    <col min="7682" max="7682" width="66" style="897" customWidth="1"/>
    <col min="7683" max="7683" width="8.42578125" style="897" customWidth="1"/>
    <col min="7684" max="7684" width="14.7109375" style="897" customWidth="1"/>
    <col min="7685" max="7685" width="47" style="897" customWidth="1"/>
    <col min="7686" max="7686" width="8.42578125" style="897" customWidth="1"/>
    <col min="7687" max="7687" width="14.7109375" style="897" customWidth="1"/>
    <col min="7688" max="7721" width="9.140625" style="897" customWidth="1"/>
    <col min="7722" max="7722" width="8.85546875" style="897" customWidth="1"/>
    <col min="7723" max="7933" width="8.85546875" style="897"/>
    <col min="7934" max="7934" width="20" style="897" customWidth="1"/>
    <col min="7935" max="7935" width="46.140625" style="897" customWidth="1"/>
    <col min="7936" max="7936" width="22.28515625" style="897" customWidth="1"/>
    <col min="7937" max="7937" width="19.28515625" style="897" customWidth="1"/>
    <col min="7938" max="7938" width="66" style="897" customWidth="1"/>
    <col min="7939" max="7939" width="8.42578125" style="897" customWidth="1"/>
    <col min="7940" max="7940" width="14.7109375" style="897" customWidth="1"/>
    <col min="7941" max="7941" width="47" style="897" customWidth="1"/>
    <col min="7942" max="7942" width="8.42578125" style="897" customWidth="1"/>
    <col min="7943" max="7943" width="14.7109375" style="897" customWidth="1"/>
    <col min="7944" max="7977" width="9.140625" style="897" customWidth="1"/>
    <col min="7978" max="7978" width="8.85546875" style="897" customWidth="1"/>
    <col min="7979" max="8189" width="8.85546875" style="897"/>
    <col min="8190" max="8190" width="20" style="897" customWidth="1"/>
    <col min="8191" max="8191" width="46.140625" style="897" customWidth="1"/>
    <col min="8192" max="8192" width="22.28515625" style="897" customWidth="1"/>
    <col min="8193" max="8193" width="19.28515625" style="897" customWidth="1"/>
    <col min="8194" max="8194" width="66" style="897" customWidth="1"/>
    <col min="8195" max="8195" width="8.42578125" style="897" customWidth="1"/>
    <col min="8196" max="8196" width="14.7109375" style="897" customWidth="1"/>
    <col min="8197" max="8197" width="47" style="897" customWidth="1"/>
    <col min="8198" max="8198" width="8.42578125" style="897" customWidth="1"/>
    <col min="8199" max="8199" width="14.7109375" style="897" customWidth="1"/>
    <col min="8200" max="8233" width="9.140625" style="897" customWidth="1"/>
    <col min="8234" max="8234" width="8.85546875" style="897" customWidth="1"/>
    <col min="8235" max="8445" width="8.85546875" style="897"/>
    <col min="8446" max="8446" width="20" style="897" customWidth="1"/>
    <col min="8447" max="8447" width="46.140625" style="897" customWidth="1"/>
    <col min="8448" max="8448" width="22.28515625" style="897" customWidth="1"/>
    <col min="8449" max="8449" width="19.28515625" style="897" customWidth="1"/>
    <col min="8450" max="8450" width="66" style="897" customWidth="1"/>
    <col min="8451" max="8451" width="8.42578125" style="897" customWidth="1"/>
    <col min="8452" max="8452" width="14.7109375" style="897" customWidth="1"/>
    <col min="8453" max="8453" width="47" style="897" customWidth="1"/>
    <col min="8454" max="8454" width="8.42578125" style="897" customWidth="1"/>
    <col min="8455" max="8455" width="14.7109375" style="897" customWidth="1"/>
    <col min="8456" max="8489" width="9.140625" style="897" customWidth="1"/>
    <col min="8490" max="8490" width="8.85546875" style="897" customWidth="1"/>
    <col min="8491" max="8701" width="8.85546875" style="897"/>
    <col min="8702" max="8702" width="20" style="897" customWidth="1"/>
    <col min="8703" max="8703" width="46.140625" style="897" customWidth="1"/>
    <col min="8704" max="8704" width="22.28515625" style="897" customWidth="1"/>
    <col min="8705" max="8705" width="19.28515625" style="897" customWidth="1"/>
    <col min="8706" max="8706" width="66" style="897" customWidth="1"/>
    <col min="8707" max="8707" width="8.42578125" style="897" customWidth="1"/>
    <col min="8708" max="8708" width="14.7109375" style="897" customWidth="1"/>
    <col min="8709" max="8709" width="47" style="897" customWidth="1"/>
    <col min="8710" max="8710" width="8.42578125" style="897" customWidth="1"/>
    <col min="8711" max="8711" width="14.7109375" style="897" customWidth="1"/>
    <col min="8712" max="8745" width="9.140625" style="897" customWidth="1"/>
    <col min="8746" max="8746" width="8.85546875" style="897" customWidth="1"/>
    <col min="8747" max="8957" width="8.85546875" style="897"/>
    <col min="8958" max="8958" width="20" style="897" customWidth="1"/>
    <col min="8959" max="8959" width="46.140625" style="897" customWidth="1"/>
    <col min="8960" max="8960" width="22.28515625" style="897" customWidth="1"/>
    <col min="8961" max="8961" width="19.28515625" style="897" customWidth="1"/>
    <col min="8962" max="8962" width="66" style="897" customWidth="1"/>
    <col min="8963" max="8963" width="8.42578125" style="897" customWidth="1"/>
    <col min="8964" max="8964" width="14.7109375" style="897" customWidth="1"/>
    <col min="8965" max="8965" width="47" style="897" customWidth="1"/>
    <col min="8966" max="8966" width="8.42578125" style="897" customWidth="1"/>
    <col min="8967" max="8967" width="14.7109375" style="897" customWidth="1"/>
    <col min="8968" max="9001" width="9.140625" style="897" customWidth="1"/>
    <col min="9002" max="9002" width="8.85546875" style="897" customWidth="1"/>
    <col min="9003" max="9213" width="8.85546875" style="897"/>
    <col min="9214" max="9214" width="20" style="897" customWidth="1"/>
    <col min="9215" max="9215" width="46.140625" style="897" customWidth="1"/>
    <col min="9216" max="9216" width="22.28515625" style="897" customWidth="1"/>
    <col min="9217" max="9217" width="19.28515625" style="897" customWidth="1"/>
    <col min="9218" max="9218" width="66" style="897" customWidth="1"/>
    <col min="9219" max="9219" width="8.42578125" style="897" customWidth="1"/>
    <col min="9220" max="9220" width="14.7109375" style="897" customWidth="1"/>
    <col min="9221" max="9221" width="47" style="897" customWidth="1"/>
    <col min="9222" max="9222" width="8.42578125" style="897" customWidth="1"/>
    <col min="9223" max="9223" width="14.7109375" style="897" customWidth="1"/>
    <col min="9224" max="9257" width="9.140625" style="897" customWidth="1"/>
    <col min="9258" max="9258" width="8.85546875" style="897" customWidth="1"/>
    <col min="9259" max="9469" width="8.85546875" style="897"/>
    <col min="9470" max="9470" width="20" style="897" customWidth="1"/>
    <col min="9471" max="9471" width="46.140625" style="897" customWidth="1"/>
    <col min="9472" max="9472" width="22.28515625" style="897" customWidth="1"/>
    <col min="9473" max="9473" width="19.28515625" style="897" customWidth="1"/>
    <col min="9474" max="9474" width="66" style="897" customWidth="1"/>
    <col min="9475" max="9475" width="8.42578125" style="897" customWidth="1"/>
    <col min="9476" max="9476" width="14.7109375" style="897" customWidth="1"/>
    <col min="9477" max="9477" width="47" style="897" customWidth="1"/>
    <col min="9478" max="9478" width="8.42578125" style="897" customWidth="1"/>
    <col min="9479" max="9479" width="14.7109375" style="897" customWidth="1"/>
    <col min="9480" max="9513" width="9.140625" style="897" customWidth="1"/>
    <col min="9514" max="9514" width="8.85546875" style="897" customWidth="1"/>
    <col min="9515" max="9725" width="8.85546875" style="897"/>
    <col min="9726" max="9726" width="20" style="897" customWidth="1"/>
    <col min="9727" max="9727" width="46.140625" style="897" customWidth="1"/>
    <col min="9728" max="9728" width="22.28515625" style="897" customWidth="1"/>
    <col min="9729" max="9729" width="19.28515625" style="897" customWidth="1"/>
    <col min="9730" max="9730" width="66" style="897" customWidth="1"/>
    <col min="9731" max="9731" width="8.42578125" style="897" customWidth="1"/>
    <col min="9732" max="9732" width="14.7109375" style="897" customWidth="1"/>
    <col min="9733" max="9733" width="47" style="897" customWidth="1"/>
    <col min="9734" max="9734" width="8.42578125" style="897" customWidth="1"/>
    <col min="9735" max="9735" width="14.7109375" style="897" customWidth="1"/>
    <col min="9736" max="9769" width="9.140625" style="897" customWidth="1"/>
    <col min="9770" max="9770" width="8.85546875" style="897" customWidth="1"/>
    <col min="9771" max="9981" width="8.85546875" style="897"/>
    <col min="9982" max="9982" width="20" style="897" customWidth="1"/>
    <col min="9983" max="9983" width="46.140625" style="897" customWidth="1"/>
    <col min="9984" max="9984" width="22.28515625" style="897" customWidth="1"/>
    <col min="9985" max="9985" width="19.28515625" style="897" customWidth="1"/>
    <col min="9986" max="9986" width="66" style="897" customWidth="1"/>
    <col min="9987" max="9987" width="8.42578125" style="897" customWidth="1"/>
    <col min="9988" max="9988" width="14.7109375" style="897" customWidth="1"/>
    <col min="9989" max="9989" width="47" style="897" customWidth="1"/>
    <col min="9990" max="9990" width="8.42578125" style="897" customWidth="1"/>
    <col min="9991" max="9991" width="14.7109375" style="897" customWidth="1"/>
    <col min="9992" max="10025" width="9.140625" style="897" customWidth="1"/>
    <col min="10026" max="10026" width="8.85546875" style="897" customWidth="1"/>
    <col min="10027" max="10237" width="8.85546875" style="897"/>
    <col min="10238" max="10238" width="20" style="897" customWidth="1"/>
    <col min="10239" max="10239" width="46.140625" style="897" customWidth="1"/>
    <col min="10240" max="10240" width="22.28515625" style="897" customWidth="1"/>
    <col min="10241" max="10241" width="19.28515625" style="897" customWidth="1"/>
    <col min="10242" max="10242" width="66" style="897" customWidth="1"/>
    <col min="10243" max="10243" width="8.42578125" style="897" customWidth="1"/>
    <col min="10244" max="10244" width="14.7109375" style="897" customWidth="1"/>
    <col min="10245" max="10245" width="47" style="897" customWidth="1"/>
    <col min="10246" max="10246" width="8.42578125" style="897" customWidth="1"/>
    <col min="10247" max="10247" width="14.7109375" style="897" customWidth="1"/>
    <col min="10248" max="10281" width="9.140625" style="897" customWidth="1"/>
    <col min="10282" max="10282" width="8.85546875" style="897" customWidth="1"/>
    <col min="10283" max="10493" width="8.85546875" style="897"/>
    <col min="10494" max="10494" width="20" style="897" customWidth="1"/>
    <col min="10495" max="10495" width="46.140625" style="897" customWidth="1"/>
    <col min="10496" max="10496" width="22.28515625" style="897" customWidth="1"/>
    <col min="10497" max="10497" width="19.28515625" style="897" customWidth="1"/>
    <col min="10498" max="10498" width="66" style="897" customWidth="1"/>
    <col min="10499" max="10499" width="8.42578125" style="897" customWidth="1"/>
    <col min="10500" max="10500" width="14.7109375" style="897" customWidth="1"/>
    <col min="10501" max="10501" width="47" style="897" customWidth="1"/>
    <col min="10502" max="10502" width="8.42578125" style="897" customWidth="1"/>
    <col min="10503" max="10503" width="14.7109375" style="897" customWidth="1"/>
    <col min="10504" max="10537" width="9.140625" style="897" customWidth="1"/>
    <col min="10538" max="10538" width="8.85546875" style="897" customWidth="1"/>
    <col min="10539" max="10749" width="8.85546875" style="897"/>
    <col min="10750" max="10750" width="20" style="897" customWidth="1"/>
    <col min="10751" max="10751" width="46.140625" style="897" customWidth="1"/>
    <col min="10752" max="10752" width="22.28515625" style="897" customWidth="1"/>
    <col min="10753" max="10753" width="19.28515625" style="897" customWidth="1"/>
    <col min="10754" max="10754" width="66" style="897" customWidth="1"/>
    <col min="10755" max="10755" width="8.42578125" style="897" customWidth="1"/>
    <col min="10756" max="10756" width="14.7109375" style="897" customWidth="1"/>
    <col min="10757" max="10757" width="47" style="897" customWidth="1"/>
    <col min="10758" max="10758" width="8.42578125" style="897" customWidth="1"/>
    <col min="10759" max="10759" width="14.7109375" style="897" customWidth="1"/>
    <col min="10760" max="10793" width="9.140625" style="897" customWidth="1"/>
    <col min="10794" max="10794" width="8.85546875" style="897" customWidth="1"/>
    <col min="10795" max="11005" width="8.85546875" style="897"/>
    <col min="11006" max="11006" width="20" style="897" customWidth="1"/>
    <col min="11007" max="11007" width="46.140625" style="897" customWidth="1"/>
    <col min="11008" max="11008" width="22.28515625" style="897" customWidth="1"/>
    <col min="11009" max="11009" width="19.28515625" style="897" customWidth="1"/>
    <col min="11010" max="11010" width="66" style="897" customWidth="1"/>
    <col min="11011" max="11011" width="8.42578125" style="897" customWidth="1"/>
    <col min="11012" max="11012" width="14.7109375" style="897" customWidth="1"/>
    <col min="11013" max="11013" width="47" style="897" customWidth="1"/>
    <col min="11014" max="11014" width="8.42578125" style="897" customWidth="1"/>
    <col min="11015" max="11015" width="14.7109375" style="897" customWidth="1"/>
    <col min="11016" max="11049" width="9.140625" style="897" customWidth="1"/>
    <col min="11050" max="11050" width="8.85546875" style="897" customWidth="1"/>
    <col min="11051" max="11261" width="8.85546875" style="897"/>
    <col min="11262" max="11262" width="20" style="897" customWidth="1"/>
    <col min="11263" max="11263" width="46.140625" style="897" customWidth="1"/>
    <col min="11264" max="11264" width="22.28515625" style="897" customWidth="1"/>
    <col min="11265" max="11265" width="19.28515625" style="897" customWidth="1"/>
    <col min="11266" max="11266" width="66" style="897" customWidth="1"/>
    <col min="11267" max="11267" width="8.42578125" style="897" customWidth="1"/>
    <col min="11268" max="11268" width="14.7109375" style="897" customWidth="1"/>
    <col min="11269" max="11269" width="47" style="897" customWidth="1"/>
    <col min="11270" max="11270" width="8.42578125" style="897" customWidth="1"/>
    <col min="11271" max="11271" width="14.7109375" style="897" customWidth="1"/>
    <col min="11272" max="11305" width="9.140625" style="897" customWidth="1"/>
    <col min="11306" max="11306" width="8.85546875" style="897" customWidth="1"/>
    <col min="11307" max="11517" width="8.85546875" style="897"/>
    <col min="11518" max="11518" width="20" style="897" customWidth="1"/>
    <col min="11519" max="11519" width="46.140625" style="897" customWidth="1"/>
    <col min="11520" max="11520" width="22.28515625" style="897" customWidth="1"/>
    <col min="11521" max="11521" width="19.28515625" style="897" customWidth="1"/>
    <col min="11522" max="11522" width="66" style="897" customWidth="1"/>
    <col min="11523" max="11523" width="8.42578125" style="897" customWidth="1"/>
    <col min="11524" max="11524" width="14.7109375" style="897" customWidth="1"/>
    <col min="11525" max="11525" width="47" style="897" customWidth="1"/>
    <col min="11526" max="11526" width="8.42578125" style="897" customWidth="1"/>
    <col min="11527" max="11527" width="14.7109375" style="897" customWidth="1"/>
    <col min="11528" max="11561" width="9.140625" style="897" customWidth="1"/>
    <col min="11562" max="11562" width="8.85546875" style="897" customWidth="1"/>
    <col min="11563" max="11773" width="8.85546875" style="897"/>
    <col min="11774" max="11774" width="20" style="897" customWidth="1"/>
    <col min="11775" max="11775" width="46.140625" style="897" customWidth="1"/>
    <col min="11776" max="11776" width="22.28515625" style="897" customWidth="1"/>
    <col min="11777" max="11777" width="19.28515625" style="897" customWidth="1"/>
    <col min="11778" max="11778" width="66" style="897" customWidth="1"/>
    <col min="11779" max="11779" width="8.42578125" style="897" customWidth="1"/>
    <col min="11780" max="11780" width="14.7109375" style="897" customWidth="1"/>
    <col min="11781" max="11781" width="47" style="897" customWidth="1"/>
    <col min="11782" max="11782" width="8.42578125" style="897" customWidth="1"/>
    <col min="11783" max="11783" width="14.7109375" style="897" customWidth="1"/>
    <col min="11784" max="11817" width="9.140625" style="897" customWidth="1"/>
    <col min="11818" max="11818" width="8.85546875" style="897" customWidth="1"/>
    <col min="11819" max="12029" width="8.85546875" style="897"/>
    <col min="12030" max="12030" width="20" style="897" customWidth="1"/>
    <col min="12031" max="12031" width="46.140625" style="897" customWidth="1"/>
    <col min="12032" max="12032" width="22.28515625" style="897" customWidth="1"/>
    <col min="12033" max="12033" width="19.28515625" style="897" customWidth="1"/>
    <col min="12034" max="12034" width="66" style="897" customWidth="1"/>
    <col min="12035" max="12035" width="8.42578125" style="897" customWidth="1"/>
    <col min="12036" max="12036" width="14.7109375" style="897" customWidth="1"/>
    <col min="12037" max="12037" width="47" style="897" customWidth="1"/>
    <col min="12038" max="12038" width="8.42578125" style="897" customWidth="1"/>
    <col min="12039" max="12039" width="14.7109375" style="897" customWidth="1"/>
    <col min="12040" max="12073" width="9.140625" style="897" customWidth="1"/>
    <col min="12074" max="12074" width="8.85546875" style="897" customWidth="1"/>
    <col min="12075" max="12285" width="8.85546875" style="897"/>
    <col min="12286" max="12286" width="20" style="897" customWidth="1"/>
    <col min="12287" max="12287" width="46.140625" style="897" customWidth="1"/>
    <col min="12288" max="12288" width="22.28515625" style="897" customWidth="1"/>
    <col min="12289" max="12289" width="19.28515625" style="897" customWidth="1"/>
    <col min="12290" max="12290" width="66" style="897" customWidth="1"/>
    <col min="12291" max="12291" width="8.42578125" style="897" customWidth="1"/>
    <col min="12292" max="12292" width="14.7109375" style="897" customWidth="1"/>
    <col min="12293" max="12293" width="47" style="897" customWidth="1"/>
    <col min="12294" max="12294" width="8.42578125" style="897" customWidth="1"/>
    <col min="12295" max="12295" width="14.7109375" style="897" customWidth="1"/>
    <col min="12296" max="12329" width="9.140625" style="897" customWidth="1"/>
    <col min="12330" max="12330" width="8.85546875" style="897" customWidth="1"/>
    <col min="12331" max="12541" width="8.85546875" style="897"/>
    <col min="12542" max="12542" width="20" style="897" customWidth="1"/>
    <col min="12543" max="12543" width="46.140625" style="897" customWidth="1"/>
    <col min="12544" max="12544" width="22.28515625" style="897" customWidth="1"/>
    <col min="12545" max="12545" width="19.28515625" style="897" customWidth="1"/>
    <col min="12546" max="12546" width="66" style="897" customWidth="1"/>
    <col min="12547" max="12547" width="8.42578125" style="897" customWidth="1"/>
    <col min="12548" max="12548" width="14.7109375" style="897" customWidth="1"/>
    <col min="12549" max="12549" width="47" style="897" customWidth="1"/>
    <col min="12550" max="12550" width="8.42578125" style="897" customWidth="1"/>
    <col min="12551" max="12551" width="14.7109375" style="897" customWidth="1"/>
    <col min="12552" max="12585" width="9.140625" style="897" customWidth="1"/>
    <col min="12586" max="12586" width="8.85546875" style="897" customWidth="1"/>
    <col min="12587" max="12797" width="8.85546875" style="897"/>
    <col min="12798" max="12798" width="20" style="897" customWidth="1"/>
    <col min="12799" max="12799" width="46.140625" style="897" customWidth="1"/>
    <col min="12800" max="12800" width="22.28515625" style="897" customWidth="1"/>
    <col min="12801" max="12801" width="19.28515625" style="897" customWidth="1"/>
    <col min="12802" max="12802" width="66" style="897" customWidth="1"/>
    <col min="12803" max="12803" width="8.42578125" style="897" customWidth="1"/>
    <col min="12804" max="12804" width="14.7109375" style="897" customWidth="1"/>
    <col min="12805" max="12805" width="47" style="897" customWidth="1"/>
    <col min="12806" max="12806" width="8.42578125" style="897" customWidth="1"/>
    <col min="12807" max="12807" width="14.7109375" style="897" customWidth="1"/>
    <col min="12808" max="12841" width="9.140625" style="897" customWidth="1"/>
    <col min="12842" max="12842" width="8.85546875" style="897" customWidth="1"/>
    <col min="12843" max="13053" width="8.85546875" style="897"/>
    <col min="13054" max="13054" width="20" style="897" customWidth="1"/>
    <col min="13055" max="13055" width="46.140625" style="897" customWidth="1"/>
    <col min="13056" max="13056" width="22.28515625" style="897" customWidth="1"/>
    <col min="13057" max="13057" width="19.28515625" style="897" customWidth="1"/>
    <col min="13058" max="13058" width="66" style="897" customWidth="1"/>
    <col min="13059" max="13059" width="8.42578125" style="897" customWidth="1"/>
    <col min="13060" max="13060" width="14.7109375" style="897" customWidth="1"/>
    <col min="13061" max="13061" width="47" style="897" customWidth="1"/>
    <col min="13062" max="13062" width="8.42578125" style="897" customWidth="1"/>
    <col min="13063" max="13063" width="14.7109375" style="897" customWidth="1"/>
    <col min="13064" max="13097" width="9.140625" style="897" customWidth="1"/>
    <col min="13098" max="13098" width="8.85546875" style="897" customWidth="1"/>
    <col min="13099" max="13309" width="8.85546875" style="897"/>
    <col min="13310" max="13310" width="20" style="897" customWidth="1"/>
    <col min="13311" max="13311" width="46.140625" style="897" customWidth="1"/>
    <col min="13312" max="13312" width="22.28515625" style="897" customWidth="1"/>
    <col min="13313" max="13313" width="19.28515625" style="897" customWidth="1"/>
    <col min="13314" max="13314" width="66" style="897" customWidth="1"/>
    <col min="13315" max="13315" width="8.42578125" style="897" customWidth="1"/>
    <col min="13316" max="13316" width="14.7109375" style="897" customWidth="1"/>
    <col min="13317" max="13317" width="47" style="897" customWidth="1"/>
    <col min="13318" max="13318" width="8.42578125" style="897" customWidth="1"/>
    <col min="13319" max="13319" width="14.7109375" style="897" customWidth="1"/>
    <col min="13320" max="13353" width="9.140625" style="897" customWidth="1"/>
    <col min="13354" max="13354" width="8.85546875" style="897" customWidth="1"/>
    <col min="13355" max="13565" width="8.85546875" style="897"/>
    <col min="13566" max="13566" width="20" style="897" customWidth="1"/>
    <col min="13567" max="13567" width="46.140625" style="897" customWidth="1"/>
    <col min="13568" max="13568" width="22.28515625" style="897" customWidth="1"/>
    <col min="13569" max="13569" width="19.28515625" style="897" customWidth="1"/>
    <col min="13570" max="13570" width="66" style="897" customWidth="1"/>
    <col min="13571" max="13571" width="8.42578125" style="897" customWidth="1"/>
    <col min="13572" max="13572" width="14.7109375" style="897" customWidth="1"/>
    <col min="13573" max="13573" width="47" style="897" customWidth="1"/>
    <col min="13574" max="13574" width="8.42578125" style="897" customWidth="1"/>
    <col min="13575" max="13575" width="14.7109375" style="897" customWidth="1"/>
    <col min="13576" max="13609" width="9.140625" style="897" customWidth="1"/>
    <col min="13610" max="13610" width="8.85546875" style="897" customWidth="1"/>
    <col min="13611" max="13821" width="8.85546875" style="897"/>
    <col min="13822" max="13822" width="20" style="897" customWidth="1"/>
    <col min="13823" max="13823" width="46.140625" style="897" customWidth="1"/>
    <col min="13824" max="13824" width="22.28515625" style="897" customWidth="1"/>
    <col min="13825" max="13825" width="19.28515625" style="897" customWidth="1"/>
    <col min="13826" max="13826" width="66" style="897" customWidth="1"/>
    <col min="13827" max="13827" width="8.42578125" style="897" customWidth="1"/>
    <col min="13828" max="13828" width="14.7109375" style="897" customWidth="1"/>
    <col min="13829" max="13829" width="47" style="897" customWidth="1"/>
    <col min="13830" max="13830" width="8.42578125" style="897" customWidth="1"/>
    <col min="13831" max="13831" width="14.7109375" style="897" customWidth="1"/>
    <col min="13832" max="13865" width="9.140625" style="897" customWidth="1"/>
    <col min="13866" max="13866" width="8.85546875" style="897" customWidth="1"/>
    <col min="13867" max="14077" width="8.85546875" style="897"/>
    <col min="14078" max="14078" width="20" style="897" customWidth="1"/>
    <col min="14079" max="14079" width="46.140625" style="897" customWidth="1"/>
    <col min="14080" max="14080" width="22.28515625" style="897" customWidth="1"/>
    <col min="14081" max="14081" width="19.28515625" style="897" customWidth="1"/>
    <col min="14082" max="14082" width="66" style="897" customWidth="1"/>
    <col min="14083" max="14083" width="8.42578125" style="897" customWidth="1"/>
    <col min="14084" max="14084" width="14.7109375" style="897" customWidth="1"/>
    <col min="14085" max="14085" width="47" style="897" customWidth="1"/>
    <col min="14086" max="14086" width="8.42578125" style="897" customWidth="1"/>
    <col min="14087" max="14087" width="14.7109375" style="897" customWidth="1"/>
    <col min="14088" max="14121" width="9.140625" style="897" customWidth="1"/>
    <col min="14122" max="14122" width="8.85546875" style="897" customWidth="1"/>
    <col min="14123" max="14333" width="8.85546875" style="897"/>
    <col min="14334" max="14334" width="20" style="897" customWidth="1"/>
    <col min="14335" max="14335" width="46.140625" style="897" customWidth="1"/>
    <col min="14336" max="14336" width="22.28515625" style="897" customWidth="1"/>
    <col min="14337" max="14337" width="19.28515625" style="897" customWidth="1"/>
    <col min="14338" max="14338" width="66" style="897" customWidth="1"/>
    <col min="14339" max="14339" width="8.42578125" style="897" customWidth="1"/>
    <col min="14340" max="14340" width="14.7109375" style="897" customWidth="1"/>
    <col min="14341" max="14341" width="47" style="897" customWidth="1"/>
    <col min="14342" max="14342" width="8.42578125" style="897" customWidth="1"/>
    <col min="14343" max="14343" width="14.7109375" style="897" customWidth="1"/>
    <col min="14344" max="14377" width="9.140625" style="897" customWidth="1"/>
    <col min="14378" max="14378" width="8.85546875" style="897" customWidth="1"/>
    <col min="14379" max="14589" width="8.85546875" style="897"/>
    <col min="14590" max="14590" width="20" style="897" customWidth="1"/>
    <col min="14591" max="14591" width="46.140625" style="897" customWidth="1"/>
    <col min="14592" max="14592" width="22.28515625" style="897" customWidth="1"/>
    <col min="14593" max="14593" width="19.28515625" style="897" customWidth="1"/>
    <col min="14594" max="14594" width="66" style="897" customWidth="1"/>
    <col min="14595" max="14595" width="8.42578125" style="897" customWidth="1"/>
    <col min="14596" max="14596" width="14.7109375" style="897" customWidth="1"/>
    <col min="14597" max="14597" width="47" style="897" customWidth="1"/>
    <col min="14598" max="14598" width="8.42578125" style="897" customWidth="1"/>
    <col min="14599" max="14599" width="14.7109375" style="897" customWidth="1"/>
    <col min="14600" max="14633" width="9.140625" style="897" customWidth="1"/>
    <col min="14634" max="14634" width="8.85546875" style="897" customWidth="1"/>
    <col min="14635" max="14845" width="8.85546875" style="897"/>
    <col min="14846" max="14846" width="20" style="897" customWidth="1"/>
    <col min="14847" max="14847" width="46.140625" style="897" customWidth="1"/>
    <col min="14848" max="14848" width="22.28515625" style="897" customWidth="1"/>
    <col min="14849" max="14849" width="19.28515625" style="897" customWidth="1"/>
    <col min="14850" max="14850" width="66" style="897" customWidth="1"/>
    <col min="14851" max="14851" width="8.42578125" style="897" customWidth="1"/>
    <col min="14852" max="14852" width="14.7109375" style="897" customWidth="1"/>
    <col min="14853" max="14853" width="47" style="897" customWidth="1"/>
    <col min="14854" max="14854" width="8.42578125" style="897" customWidth="1"/>
    <col min="14855" max="14855" width="14.7109375" style="897" customWidth="1"/>
    <col min="14856" max="14889" width="9.140625" style="897" customWidth="1"/>
    <col min="14890" max="14890" width="8.85546875" style="897" customWidth="1"/>
    <col min="14891" max="15101" width="8.85546875" style="897"/>
    <col min="15102" max="15102" width="20" style="897" customWidth="1"/>
    <col min="15103" max="15103" width="46.140625" style="897" customWidth="1"/>
    <col min="15104" max="15104" width="22.28515625" style="897" customWidth="1"/>
    <col min="15105" max="15105" width="19.28515625" style="897" customWidth="1"/>
    <col min="15106" max="15106" width="66" style="897" customWidth="1"/>
    <col min="15107" max="15107" width="8.42578125" style="897" customWidth="1"/>
    <col min="15108" max="15108" width="14.7109375" style="897" customWidth="1"/>
    <col min="15109" max="15109" width="47" style="897" customWidth="1"/>
    <col min="15110" max="15110" width="8.42578125" style="897" customWidth="1"/>
    <col min="15111" max="15111" width="14.7109375" style="897" customWidth="1"/>
    <col min="15112" max="15145" width="9.140625" style="897" customWidth="1"/>
    <col min="15146" max="15146" width="8.85546875" style="897" customWidth="1"/>
    <col min="15147" max="15357" width="8.85546875" style="897"/>
    <col min="15358" max="15358" width="20" style="897" customWidth="1"/>
    <col min="15359" max="15359" width="46.140625" style="897" customWidth="1"/>
    <col min="15360" max="15360" width="22.28515625" style="897" customWidth="1"/>
    <col min="15361" max="15361" width="19.28515625" style="897" customWidth="1"/>
    <col min="15362" max="15362" width="66" style="897" customWidth="1"/>
    <col min="15363" max="15363" width="8.42578125" style="897" customWidth="1"/>
    <col min="15364" max="15364" width="14.7109375" style="897" customWidth="1"/>
    <col min="15365" max="15365" width="47" style="897" customWidth="1"/>
    <col min="15366" max="15366" width="8.42578125" style="897" customWidth="1"/>
    <col min="15367" max="15367" width="14.7109375" style="897" customWidth="1"/>
    <col min="15368" max="15401" width="9.140625" style="897" customWidth="1"/>
    <col min="15402" max="15402" width="8.85546875" style="897" customWidth="1"/>
    <col min="15403" max="15613" width="8.85546875" style="897"/>
    <col min="15614" max="15614" width="20" style="897" customWidth="1"/>
    <col min="15615" max="15615" width="46.140625" style="897" customWidth="1"/>
    <col min="15616" max="15616" width="22.28515625" style="897" customWidth="1"/>
    <col min="15617" max="15617" width="19.28515625" style="897" customWidth="1"/>
    <col min="15618" max="15618" width="66" style="897" customWidth="1"/>
    <col min="15619" max="15619" width="8.42578125" style="897" customWidth="1"/>
    <col min="15620" max="15620" width="14.7109375" style="897" customWidth="1"/>
    <col min="15621" max="15621" width="47" style="897" customWidth="1"/>
    <col min="15622" max="15622" width="8.42578125" style="897" customWidth="1"/>
    <col min="15623" max="15623" width="14.7109375" style="897" customWidth="1"/>
    <col min="15624" max="15657" width="9.140625" style="897" customWidth="1"/>
    <col min="15658" max="15658" width="8.85546875" style="897" customWidth="1"/>
    <col min="15659" max="15869" width="8.85546875" style="897"/>
    <col min="15870" max="15870" width="20" style="897" customWidth="1"/>
    <col min="15871" max="15871" width="46.140625" style="897" customWidth="1"/>
    <col min="15872" max="15872" width="22.28515625" style="897" customWidth="1"/>
    <col min="15873" max="15873" width="19.28515625" style="897" customWidth="1"/>
    <col min="15874" max="15874" width="66" style="897" customWidth="1"/>
    <col min="15875" max="15875" width="8.42578125" style="897" customWidth="1"/>
    <col min="15876" max="15876" width="14.7109375" style="897" customWidth="1"/>
    <col min="15877" max="15877" width="47" style="897" customWidth="1"/>
    <col min="15878" max="15878" width="8.42578125" style="897" customWidth="1"/>
    <col min="15879" max="15879" width="14.7109375" style="897" customWidth="1"/>
    <col min="15880" max="15913" width="9.140625" style="897" customWidth="1"/>
    <col min="15914" max="15914" width="8.85546875" style="897" customWidth="1"/>
    <col min="15915" max="16125" width="8.85546875" style="897"/>
    <col min="16126" max="16126" width="20" style="897" customWidth="1"/>
    <col min="16127" max="16127" width="46.140625" style="897" customWidth="1"/>
    <col min="16128" max="16128" width="22.28515625" style="897" customWidth="1"/>
    <col min="16129" max="16129" width="19.28515625" style="897" customWidth="1"/>
    <col min="16130" max="16130" width="66" style="897" customWidth="1"/>
    <col min="16131" max="16131" width="8.42578125" style="897" customWidth="1"/>
    <col min="16132" max="16132" width="14.7109375" style="897" customWidth="1"/>
    <col min="16133" max="16133" width="47" style="897" customWidth="1"/>
    <col min="16134" max="16134" width="8.42578125" style="897" customWidth="1"/>
    <col min="16135" max="16135" width="14.7109375" style="897" customWidth="1"/>
    <col min="16136" max="16169" width="9.140625" style="897" customWidth="1"/>
    <col min="16170" max="16170" width="8.85546875" style="897" customWidth="1"/>
    <col min="16171" max="16384" width="8.85546875" style="897"/>
  </cols>
  <sheetData>
    <row r="1" spans="1:38" ht="18.75">
      <c r="B1" s="1662" t="s">
        <v>4331</v>
      </c>
      <c r="C1" s="900"/>
      <c r="D1" s="894"/>
      <c r="E1" s="936"/>
      <c r="F1" s="905"/>
      <c r="G1" s="896"/>
      <c r="H1" s="897"/>
      <c r="I1" s="897"/>
      <c r="J1" s="897"/>
    </row>
    <row r="2" spans="1:38" s="902" customFormat="1">
      <c r="A2" s="901"/>
      <c r="B2" s="937" t="s">
        <v>3198</v>
      </c>
      <c r="C2" s="1004">
        <f>'Basic Info'!C29:D29</f>
        <v>0</v>
      </c>
      <c r="D2" s="901"/>
      <c r="E2" s="901"/>
      <c r="F2" s="901"/>
      <c r="G2" s="901"/>
      <c r="H2" s="901"/>
      <c r="I2" s="901"/>
      <c r="J2" s="901"/>
      <c r="K2" s="2312"/>
      <c r="L2" s="2312"/>
      <c r="M2" s="2312"/>
      <c r="N2" s="2312"/>
      <c r="O2" s="901"/>
      <c r="P2" s="901"/>
      <c r="Q2" s="901"/>
      <c r="R2" s="901"/>
      <c r="S2" s="901"/>
      <c r="T2" s="901"/>
      <c r="U2" s="901"/>
      <c r="V2" s="901"/>
      <c r="W2" s="901"/>
      <c r="X2" s="901"/>
      <c r="Y2" s="901"/>
      <c r="Z2" s="901"/>
      <c r="AA2" s="901"/>
      <c r="AB2" s="901"/>
      <c r="AC2" s="901"/>
      <c r="AD2" s="901"/>
      <c r="AE2" s="901"/>
      <c r="AF2" s="901"/>
      <c r="AG2" s="901"/>
      <c r="AH2" s="901"/>
      <c r="AI2" s="901"/>
      <c r="AJ2" s="901"/>
      <c r="AK2" s="893"/>
      <c r="AL2" s="893"/>
    </row>
    <row r="3" spans="1:38" ht="12.75" thickBot="1">
      <c r="A3" s="903"/>
      <c r="B3" s="480" t="s">
        <v>2998</v>
      </c>
      <c r="C3" s="904"/>
      <c r="D3" s="905"/>
      <c r="E3" s="967"/>
      <c r="F3" s="923"/>
      <c r="G3" s="906"/>
    </row>
    <row r="4" spans="1:38" s="909" customFormat="1">
      <c r="A4" s="2363" t="s">
        <v>3202</v>
      </c>
      <c r="B4" s="2366" t="s">
        <v>3203</v>
      </c>
      <c r="C4" s="998" t="s">
        <v>4330</v>
      </c>
      <c r="D4" s="1003"/>
      <c r="E4" s="1001" t="s">
        <v>3916</v>
      </c>
      <c r="F4" s="2369"/>
      <c r="G4" s="2370"/>
      <c r="H4" s="907"/>
      <c r="I4" s="907"/>
      <c r="J4" s="907"/>
      <c r="K4" s="908"/>
      <c r="L4" s="908"/>
      <c r="M4" s="908"/>
      <c r="N4" s="908"/>
      <c r="O4" s="908"/>
      <c r="P4" s="908"/>
      <c r="Q4" s="908"/>
      <c r="R4" s="908"/>
      <c r="S4" s="908"/>
      <c r="T4" s="908"/>
      <c r="U4" s="908"/>
      <c r="V4" s="908"/>
      <c r="W4" s="908"/>
      <c r="X4" s="908"/>
      <c r="Y4" s="908"/>
      <c r="Z4" s="908"/>
      <c r="AA4" s="908"/>
      <c r="AB4" s="908"/>
      <c r="AC4" s="908"/>
      <c r="AD4" s="908"/>
      <c r="AE4" s="908"/>
      <c r="AF4" s="908"/>
      <c r="AG4" s="908"/>
      <c r="AH4" s="908"/>
      <c r="AI4" s="908"/>
      <c r="AJ4" s="908"/>
      <c r="AK4" s="908"/>
      <c r="AL4" s="908"/>
    </row>
    <row r="5" spans="1:38" s="909" customFormat="1">
      <c r="A5" s="2364"/>
      <c r="B5" s="2367"/>
      <c r="C5" s="999" t="s">
        <v>3915</v>
      </c>
      <c r="D5" s="976"/>
      <c r="E5" s="1002" t="s">
        <v>3915</v>
      </c>
      <c r="F5" s="2371"/>
      <c r="G5" s="2372"/>
      <c r="H5" s="907"/>
      <c r="I5" s="907"/>
      <c r="J5" s="907"/>
      <c r="K5" s="908"/>
      <c r="L5" s="908"/>
      <c r="M5" s="908"/>
      <c r="N5" s="908"/>
      <c r="O5" s="908"/>
      <c r="P5" s="908"/>
      <c r="Q5" s="908"/>
      <c r="R5" s="908"/>
      <c r="S5" s="908"/>
      <c r="T5" s="908"/>
      <c r="U5" s="908"/>
      <c r="V5" s="908"/>
      <c r="W5" s="908"/>
      <c r="X5" s="908"/>
      <c r="Y5" s="908"/>
      <c r="Z5" s="908"/>
      <c r="AA5" s="908"/>
      <c r="AB5" s="908"/>
      <c r="AC5" s="908"/>
      <c r="AD5" s="908"/>
      <c r="AE5" s="908"/>
      <c r="AF5" s="908"/>
      <c r="AG5" s="908"/>
      <c r="AH5" s="908"/>
      <c r="AI5" s="908"/>
      <c r="AJ5" s="908"/>
      <c r="AK5" s="908"/>
      <c r="AL5" s="908"/>
    </row>
    <row r="6" spans="1:38" s="909" customFormat="1" ht="12.75" thickBot="1">
      <c r="A6" s="2364"/>
      <c r="B6" s="2367"/>
      <c r="C6" s="1000" t="s">
        <v>2595</v>
      </c>
      <c r="D6" s="977"/>
      <c r="E6" s="1002" t="s">
        <v>2595</v>
      </c>
      <c r="F6" s="2373"/>
      <c r="G6" s="2374"/>
      <c r="H6" s="907"/>
      <c r="I6" s="907"/>
      <c r="J6" s="907"/>
      <c r="K6" s="908"/>
      <c r="L6" s="908"/>
      <c r="M6" s="908"/>
      <c r="N6" s="908"/>
      <c r="O6" s="908"/>
      <c r="P6" s="908"/>
      <c r="Q6" s="908"/>
      <c r="R6" s="908"/>
      <c r="S6" s="908"/>
      <c r="T6" s="908"/>
      <c r="U6" s="908"/>
      <c r="V6" s="908"/>
      <c r="W6" s="908"/>
      <c r="X6" s="908"/>
      <c r="Y6" s="908"/>
      <c r="Z6" s="908"/>
      <c r="AA6" s="908"/>
      <c r="AB6" s="908"/>
      <c r="AC6" s="908"/>
      <c r="AD6" s="908"/>
      <c r="AE6" s="908"/>
      <c r="AF6" s="908"/>
      <c r="AG6" s="908"/>
      <c r="AH6" s="908"/>
      <c r="AI6" s="908"/>
      <c r="AJ6" s="908"/>
      <c r="AK6" s="908"/>
      <c r="AL6" s="908"/>
    </row>
    <row r="7" spans="1:38" s="913" customFormat="1" ht="12.75" thickBot="1">
      <c r="A7" s="2365"/>
      <c r="B7" s="2368"/>
      <c r="C7" s="980" t="s">
        <v>3914</v>
      </c>
      <c r="D7" s="981" t="s">
        <v>3204</v>
      </c>
      <c r="E7" s="982" t="s">
        <v>3143</v>
      </c>
      <c r="F7" s="983"/>
      <c r="G7" s="981" t="s">
        <v>3205</v>
      </c>
      <c r="H7" s="911"/>
      <c r="I7" s="911"/>
      <c r="J7" s="911"/>
      <c r="K7" s="912"/>
      <c r="L7" s="912"/>
      <c r="M7" s="912"/>
      <c r="N7" s="912"/>
      <c r="O7" s="912"/>
      <c r="P7" s="912"/>
      <c r="Q7" s="912"/>
      <c r="R7" s="912"/>
      <c r="S7" s="912"/>
      <c r="T7" s="912"/>
      <c r="U7" s="912"/>
      <c r="V7" s="912"/>
      <c r="W7" s="912"/>
      <c r="X7" s="912"/>
      <c r="Y7" s="912"/>
      <c r="Z7" s="912"/>
      <c r="AA7" s="912"/>
      <c r="AB7" s="912"/>
      <c r="AC7" s="912"/>
      <c r="AD7" s="912"/>
      <c r="AE7" s="912"/>
      <c r="AF7" s="912"/>
      <c r="AG7" s="912"/>
      <c r="AH7" s="912"/>
      <c r="AI7" s="912"/>
      <c r="AJ7" s="912"/>
      <c r="AK7" s="912"/>
      <c r="AL7" s="912"/>
    </row>
    <row r="8" spans="1:38" s="913" customFormat="1" ht="12.75" thickBot="1">
      <c r="A8" s="953">
        <v>1</v>
      </c>
      <c r="B8" s="2336" t="s">
        <v>3206</v>
      </c>
      <c r="C8" s="2336"/>
      <c r="D8" s="2336"/>
      <c r="E8" s="2336"/>
      <c r="F8" s="2336"/>
      <c r="G8" s="2337"/>
      <c r="H8" s="911"/>
      <c r="I8" s="911"/>
      <c r="J8" s="911"/>
      <c r="K8" s="912"/>
      <c r="L8" s="912"/>
      <c r="M8" s="912"/>
      <c r="N8" s="912"/>
      <c r="O8" s="912"/>
      <c r="P8" s="912"/>
      <c r="Q8" s="912"/>
      <c r="R8" s="912"/>
      <c r="S8" s="912"/>
      <c r="T8" s="912"/>
      <c r="U8" s="912"/>
      <c r="V8" s="912"/>
      <c r="W8" s="912"/>
      <c r="X8" s="912"/>
      <c r="Y8" s="912"/>
      <c r="Z8" s="912"/>
      <c r="AA8" s="912"/>
      <c r="AB8" s="912"/>
      <c r="AC8" s="912"/>
      <c r="AD8" s="912"/>
      <c r="AE8" s="912"/>
      <c r="AF8" s="912"/>
      <c r="AG8" s="912"/>
      <c r="AH8" s="912"/>
      <c r="AI8" s="912"/>
      <c r="AJ8" s="912"/>
      <c r="AK8" s="912"/>
      <c r="AL8" s="912"/>
    </row>
    <row r="9" spans="1:38" s="918" customFormat="1">
      <c r="A9" s="952" t="s">
        <v>3207</v>
      </c>
      <c r="B9" s="944" t="str">
        <f>'1.1 - APPLIANCES'!D24</f>
        <v>Refrigerators</v>
      </c>
      <c r="C9" s="945" t="str">
        <f>'1.1 - APPLIANCES'!E24</f>
        <v>N/A</v>
      </c>
      <c r="D9" s="946" t="str">
        <f>'1.1 - APPLIANCES'!F24</f>
        <v>N/A</v>
      </c>
      <c r="E9" s="2375">
        <f>'1.1 - APPLIANCES'!P24</f>
        <v>0</v>
      </c>
      <c r="F9" s="2376"/>
      <c r="G9" s="946">
        <f>'1.1 - APPLIANCES'!O24</f>
        <v>0</v>
      </c>
      <c r="H9" s="916"/>
      <c r="I9" s="916"/>
      <c r="J9" s="916"/>
      <c r="K9" s="917"/>
      <c r="L9" s="917"/>
      <c r="M9" s="917"/>
      <c r="N9" s="917"/>
      <c r="O9" s="917"/>
      <c r="P9" s="917"/>
      <c r="Q9" s="917"/>
      <c r="R9" s="917"/>
      <c r="S9" s="917"/>
      <c r="T9" s="917"/>
      <c r="U9" s="917"/>
      <c r="V9" s="917"/>
      <c r="W9" s="917"/>
      <c r="X9" s="917"/>
      <c r="Y9" s="917"/>
      <c r="Z9" s="917"/>
      <c r="AA9" s="917"/>
      <c r="AB9" s="917"/>
      <c r="AC9" s="917"/>
      <c r="AD9" s="917"/>
      <c r="AE9" s="917"/>
      <c r="AF9" s="917"/>
      <c r="AG9" s="917"/>
      <c r="AH9" s="917"/>
      <c r="AI9" s="917"/>
      <c r="AJ9" s="917"/>
      <c r="AK9" s="917"/>
      <c r="AL9" s="917"/>
    </row>
    <row r="10" spans="1:38" s="918" customFormat="1">
      <c r="A10" s="943" t="s">
        <v>3208</v>
      </c>
      <c r="B10" s="925" t="str">
        <f>'1.1 - APPLIANCES'!D25</f>
        <v>Dishwashers</v>
      </c>
      <c r="C10" s="919" t="str">
        <f>'1.1 - APPLIANCES'!E25</f>
        <v>N/A</v>
      </c>
      <c r="D10" s="920" t="str">
        <f>'1.1 - APPLIANCES'!F25</f>
        <v>N/A</v>
      </c>
      <c r="E10" s="2321">
        <f>'1.1 - APPLIANCES'!P25</f>
        <v>0</v>
      </c>
      <c r="F10" s="2322"/>
      <c r="G10" s="920">
        <f>'1.1 - APPLIANCES'!O25</f>
        <v>0</v>
      </c>
      <c r="H10" s="916"/>
      <c r="I10" s="916"/>
      <c r="J10" s="916"/>
      <c r="K10" s="917"/>
      <c r="L10" s="917"/>
      <c r="M10" s="917"/>
      <c r="N10" s="917"/>
      <c r="O10" s="917"/>
      <c r="P10" s="917"/>
      <c r="Q10" s="917"/>
      <c r="R10" s="917"/>
      <c r="S10" s="917"/>
      <c r="T10" s="917"/>
      <c r="U10" s="917"/>
      <c r="V10" s="917"/>
      <c r="W10" s="917"/>
      <c r="X10" s="917"/>
      <c r="Y10" s="917"/>
      <c r="Z10" s="917"/>
      <c r="AA10" s="917"/>
      <c r="AB10" s="917"/>
      <c r="AC10" s="917"/>
      <c r="AD10" s="917"/>
      <c r="AE10" s="917"/>
      <c r="AF10" s="917"/>
      <c r="AG10" s="917"/>
      <c r="AH10" s="917"/>
      <c r="AI10" s="917"/>
      <c r="AJ10" s="917"/>
      <c r="AK10" s="917"/>
      <c r="AL10" s="917"/>
    </row>
    <row r="11" spans="1:38" s="918" customFormat="1">
      <c r="A11" s="943" t="s">
        <v>3209</v>
      </c>
      <c r="B11" s="925" t="str">
        <f>'1.1 - APPLIANCES'!D26</f>
        <v>Clothes Washers</v>
      </c>
      <c r="C11" s="919" t="str">
        <f>'1.1 - APPLIANCES'!E26</f>
        <v>N/A</v>
      </c>
      <c r="D11" s="920" t="str">
        <f>'1.1 - APPLIANCES'!F26</f>
        <v>N/A</v>
      </c>
      <c r="E11" s="2321">
        <f>'1.1 - APPLIANCES'!P26</f>
        <v>0</v>
      </c>
      <c r="F11" s="2322"/>
      <c r="G11" s="920">
        <f>'1.1 - APPLIANCES'!O26</f>
        <v>0</v>
      </c>
      <c r="H11" s="916"/>
      <c r="I11" s="916"/>
      <c r="J11" s="916"/>
      <c r="K11" s="917"/>
      <c r="L11" s="917"/>
      <c r="M11" s="917"/>
      <c r="N11" s="917"/>
      <c r="O11" s="917"/>
      <c r="P11" s="917"/>
      <c r="Q11" s="917"/>
      <c r="R11" s="917"/>
      <c r="S11" s="917"/>
      <c r="T11" s="917"/>
      <c r="U11" s="917"/>
      <c r="V11" s="917"/>
      <c r="W11" s="917"/>
      <c r="X11" s="917"/>
      <c r="Y11" s="917"/>
      <c r="Z11" s="917"/>
      <c r="AA11" s="917"/>
      <c r="AB11" s="917"/>
      <c r="AC11" s="917"/>
      <c r="AD11" s="917"/>
      <c r="AE11" s="917"/>
      <c r="AF11" s="917"/>
      <c r="AG11" s="917"/>
      <c r="AH11" s="917"/>
      <c r="AI11" s="917"/>
      <c r="AJ11" s="917"/>
      <c r="AK11" s="917"/>
      <c r="AL11" s="917"/>
    </row>
    <row r="12" spans="1:38" s="918" customFormat="1">
      <c r="A12" s="943" t="s">
        <v>3210</v>
      </c>
      <c r="B12" s="925" t="s">
        <v>3211</v>
      </c>
      <c r="C12" s="919" t="str">
        <f>'1.1 - APPLIANCES'!E30</f>
        <v>N/A</v>
      </c>
      <c r="D12" s="920" t="str">
        <f>'1.1 - APPLIANCES'!F30</f>
        <v>N/A</v>
      </c>
      <c r="E12" s="2321">
        <f>'1.1 - APPLIANCES'!P30</f>
        <v>0</v>
      </c>
      <c r="F12" s="2322"/>
      <c r="G12" s="920">
        <f>'1.1 - APPLIANCES'!O30</f>
        <v>0</v>
      </c>
      <c r="H12" s="916"/>
      <c r="I12" s="916"/>
      <c r="J12" s="916"/>
      <c r="K12" s="917"/>
      <c r="L12" s="917"/>
      <c r="M12" s="917"/>
      <c r="N12" s="917"/>
      <c r="O12" s="917"/>
      <c r="P12" s="917"/>
      <c r="Q12" s="917"/>
      <c r="R12" s="917"/>
      <c r="S12" s="917"/>
      <c r="T12" s="917"/>
      <c r="U12" s="917"/>
      <c r="V12" s="917"/>
      <c r="W12" s="917"/>
      <c r="X12" s="917"/>
      <c r="Y12" s="917"/>
      <c r="Z12" s="917"/>
      <c r="AA12" s="917"/>
      <c r="AB12" s="917"/>
      <c r="AC12" s="917"/>
      <c r="AD12" s="917"/>
      <c r="AE12" s="917"/>
      <c r="AF12" s="917"/>
      <c r="AG12" s="917"/>
      <c r="AH12" s="917"/>
      <c r="AI12" s="917"/>
      <c r="AJ12" s="917"/>
      <c r="AK12" s="917"/>
      <c r="AL12" s="917"/>
    </row>
    <row r="13" spans="1:38" s="918" customFormat="1">
      <c r="A13" s="943" t="s">
        <v>3212</v>
      </c>
      <c r="B13" s="925" t="s">
        <v>3213</v>
      </c>
      <c r="C13" s="919" t="str">
        <f>'1.1 - APPLIANCES'!E31</f>
        <v>N/A</v>
      </c>
      <c r="D13" s="920" t="str">
        <f>'1.1 - APPLIANCES'!F31</f>
        <v>N/A</v>
      </c>
      <c r="E13" s="2321">
        <f>'1.1 - APPLIANCES'!P31</f>
        <v>0</v>
      </c>
      <c r="F13" s="2322"/>
      <c r="G13" s="920">
        <f>'1.1 - APPLIANCES'!O31</f>
        <v>0</v>
      </c>
      <c r="H13" s="916"/>
      <c r="I13" s="916"/>
      <c r="J13" s="916"/>
      <c r="K13" s="917"/>
      <c r="L13" s="917"/>
      <c r="M13" s="917"/>
      <c r="N13" s="917"/>
      <c r="O13" s="917"/>
      <c r="P13" s="917"/>
      <c r="Q13" s="917"/>
      <c r="R13" s="917"/>
      <c r="S13" s="917"/>
      <c r="T13" s="917"/>
      <c r="U13" s="917"/>
      <c r="V13" s="917"/>
      <c r="W13" s="917"/>
      <c r="X13" s="917"/>
      <c r="Y13" s="917"/>
      <c r="Z13" s="917"/>
      <c r="AA13" s="917"/>
      <c r="AB13" s="917"/>
      <c r="AC13" s="917"/>
      <c r="AD13" s="917"/>
      <c r="AE13" s="917"/>
      <c r="AF13" s="917"/>
      <c r="AG13" s="917"/>
      <c r="AH13" s="917"/>
      <c r="AI13" s="917"/>
      <c r="AJ13" s="917"/>
      <c r="AK13" s="917"/>
      <c r="AL13" s="917"/>
    </row>
    <row r="14" spans="1:38" s="918" customFormat="1">
      <c r="A14" s="947" t="s">
        <v>3214</v>
      </c>
      <c r="B14" s="948" t="s">
        <v>3513</v>
      </c>
      <c r="C14" s="949" t="s">
        <v>2677</v>
      </c>
      <c r="D14" s="950" t="s">
        <v>2677</v>
      </c>
      <c r="E14" s="2321">
        <f>'1.1 - APPLIANCES'!P32</f>
        <v>0</v>
      </c>
      <c r="F14" s="2326"/>
      <c r="G14" s="950">
        <f>'1.1 - APPLIANCES'!O32</f>
        <v>0</v>
      </c>
      <c r="H14" s="916"/>
      <c r="I14" s="916"/>
      <c r="J14" s="916"/>
      <c r="K14" s="917"/>
      <c r="L14" s="917"/>
      <c r="M14" s="917"/>
      <c r="N14" s="917"/>
      <c r="O14" s="917"/>
      <c r="P14" s="917"/>
      <c r="Q14" s="917"/>
      <c r="R14" s="917"/>
      <c r="S14" s="917"/>
      <c r="T14" s="917"/>
      <c r="U14" s="917"/>
      <c r="V14" s="917"/>
      <c r="W14" s="917"/>
      <c r="X14" s="917"/>
      <c r="Y14" s="917"/>
      <c r="Z14" s="917"/>
      <c r="AA14" s="917"/>
      <c r="AB14" s="917"/>
      <c r="AC14" s="917"/>
      <c r="AD14" s="917"/>
      <c r="AE14" s="917"/>
      <c r="AF14" s="917"/>
      <c r="AG14" s="917"/>
      <c r="AH14" s="917"/>
      <c r="AI14" s="917"/>
      <c r="AJ14" s="917"/>
      <c r="AK14" s="917"/>
      <c r="AL14" s="917"/>
    </row>
    <row r="15" spans="1:38" s="918" customFormat="1" ht="12.75" thickBot="1">
      <c r="A15" s="947" t="s">
        <v>4550</v>
      </c>
      <c r="B15" s="948" t="s">
        <v>3215</v>
      </c>
      <c r="C15" s="949" t="s">
        <v>2677</v>
      </c>
      <c r="D15" s="950" t="s">
        <v>2677</v>
      </c>
      <c r="E15" s="2321">
        <f>'1.1 - APPLIANCES'!P33</f>
        <v>0</v>
      </c>
      <c r="F15" s="2322"/>
      <c r="G15" s="950">
        <f>'1.1 - APPLIANCES'!O33</f>
        <v>0</v>
      </c>
      <c r="H15" s="916"/>
      <c r="I15" s="916"/>
      <c r="J15" s="916"/>
      <c r="K15" s="917"/>
      <c r="L15" s="917"/>
      <c r="M15" s="917"/>
      <c r="N15" s="917"/>
      <c r="O15" s="917"/>
      <c r="P15" s="917"/>
      <c r="Q15" s="917"/>
      <c r="R15" s="917"/>
      <c r="S15" s="917"/>
      <c r="T15" s="917"/>
      <c r="U15" s="917"/>
      <c r="V15" s="917"/>
      <c r="W15" s="917"/>
      <c r="X15" s="917"/>
      <c r="Y15" s="917"/>
      <c r="Z15" s="917"/>
      <c r="AA15" s="917"/>
      <c r="AB15" s="917"/>
      <c r="AC15" s="917"/>
      <c r="AD15" s="917"/>
      <c r="AE15" s="917"/>
      <c r="AF15" s="917"/>
      <c r="AG15" s="917"/>
      <c r="AH15" s="917"/>
      <c r="AI15" s="917"/>
      <c r="AJ15" s="917"/>
      <c r="AK15" s="917"/>
      <c r="AL15" s="917"/>
    </row>
    <row r="16" spans="1:38" s="913" customFormat="1" ht="12.75" thickBot="1">
      <c r="A16" s="953">
        <v>2</v>
      </c>
      <c r="B16" s="2336" t="s">
        <v>3216</v>
      </c>
      <c r="C16" s="2336"/>
      <c r="D16" s="2336"/>
      <c r="E16" s="2336"/>
      <c r="F16" s="2336"/>
      <c r="G16" s="2337"/>
      <c r="H16" s="911"/>
      <c r="I16" s="911"/>
      <c r="J16" s="911"/>
      <c r="K16" s="912"/>
      <c r="L16" s="912"/>
      <c r="M16" s="912"/>
      <c r="N16" s="912"/>
      <c r="O16" s="912"/>
      <c r="P16" s="912"/>
      <c r="Q16" s="912"/>
      <c r="R16" s="912"/>
      <c r="S16" s="912"/>
      <c r="T16" s="912"/>
      <c r="U16" s="912"/>
      <c r="V16" s="912"/>
      <c r="W16" s="912"/>
      <c r="X16" s="912"/>
      <c r="Y16" s="912"/>
      <c r="Z16" s="912"/>
      <c r="AA16" s="912"/>
      <c r="AB16" s="912"/>
      <c r="AC16" s="912"/>
      <c r="AD16" s="912"/>
      <c r="AE16" s="912"/>
      <c r="AF16" s="912"/>
      <c r="AG16" s="912"/>
      <c r="AH16" s="912"/>
      <c r="AI16" s="912"/>
      <c r="AJ16" s="912"/>
      <c r="AK16" s="912"/>
      <c r="AL16" s="912"/>
    </row>
    <row r="17" spans="1:38" ht="12.75" thickBot="1">
      <c r="A17" s="968" t="s">
        <v>3217</v>
      </c>
      <c r="B17" s="955" t="s">
        <v>3218</v>
      </c>
      <c r="C17" s="956" t="str">
        <f>'2.1-2.2, 5.1, 5.3 - HEATING&amp;DHW'!I44</f>
        <v>See below</v>
      </c>
      <c r="D17" s="957" t="str">
        <f>'2.1-2.2, 5.1, 5.3 - HEATING&amp;DHW'!K44</f>
        <v>See below</v>
      </c>
      <c r="E17" s="2377">
        <f>'2.1-2.2, 5.1, 5.3 - HEATING&amp;DHW'!N44</f>
        <v>0</v>
      </c>
      <c r="F17" s="2378"/>
      <c r="G17" s="957">
        <f>'2.1-2.2, 5.1, 5.3 - HEATING&amp;DHW'!M44</f>
        <v>0</v>
      </c>
      <c r="H17" s="923"/>
      <c r="I17" s="923"/>
      <c r="J17" s="923"/>
    </row>
    <row r="18" spans="1:38" ht="12.75" thickBot="1">
      <c r="A18" s="2354" t="s">
        <v>3219</v>
      </c>
      <c r="B18" s="2355"/>
      <c r="C18" s="2355"/>
      <c r="D18" s="2355"/>
      <c r="E18" s="2355"/>
      <c r="F18" s="2355"/>
      <c r="G18" s="2356"/>
      <c r="H18" s="923"/>
      <c r="I18" s="923"/>
      <c r="J18" s="923"/>
    </row>
    <row r="19" spans="1:38" ht="36" customHeight="1">
      <c r="A19" s="969" t="s">
        <v>3220</v>
      </c>
      <c r="B19" s="954" t="s">
        <v>3164</v>
      </c>
      <c r="C19" s="2329" t="str">
        <f>ERMs!C35</f>
        <v>Primary system:   (0% AFUE); Tertiary System:   (0% Et)</v>
      </c>
      <c r="D19" s="2331" t="str">
        <f>ERMs!D35</f>
        <v>Baseline: 0% AFUE
Proposed (Primary): 0% AFUE
Proposed (Tertiary): 0% Et</v>
      </c>
      <c r="E19" s="2379">
        <f>'2.1-2.2, 5.1, 5.3 - HEATING&amp;DHW'!N47</f>
        <v>0</v>
      </c>
      <c r="F19" s="2380"/>
      <c r="G19" s="944">
        <f>'2.1-2.2, 5.1, 5.3 - HEATING&amp;DHW'!M47</f>
        <v>0</v>
      </c>
      <c r="H19" s="923"/>
      <c r="I19" s="923"/>
      <c r="J19" s="923"/>
    </row>
    <row r="20" spans="1:38">
      <c r="A20" s="969" t="s">
        <v>4560</v>
      </c>
      <c r="B20" s="1840" t="s">
        <v>4561</v>
      </c>
      <c r="C20" s="2330"/>
      <c r="D20" s="2332"/>
      <c r="E20" s="2327">
        <f>'2.1-2.2, 5.1, 5.3 - HEATING&amp;DHW'!N46</f>
        <v>0</v>
      </c>
      <c r="F20" s="2328"/>
      <c r="G20" s="944">
        <f>'2.1-2.2, 5.1, 5.3 - HEATING&amp;DHW'!M46</f>
        <v>0</v>
      </c>
      <c r="H20" s="923"/>
      <c r="I20" s="923"/>
      <c r="J20" s="923"/>
    </row>
    <row r="21" spans="1:38" ht="24">
      <c r="A21" s="970" t="s">
        <v>3221</v>
      </c>
      <c r="B21" s="940" t="s">
        <v>3222</v>
      </c>
      <c r="C21" s="924" t="str">
        <f>'2.1-2.2, 5.1, 5.3 - HEATING&amp;DHW'!I48</f>
        <v>N/A</v>
      </c>
      <c r="D21" s="925" t="str">
        <f>'2.1-2.2, 5.1, 5.3 - HEATING&amp;DHW'!K48</f>
        <v>N/A</v>
      </c>
      <c r="E21" s="2321">
        <f>'2.1-2.2, 5.1, 5.3 - HEATING&amp;DHW'!N48</f>
        <v>0</v>
      </c>
      <c r="F21" s="2322"/>
      <c r="G21" s="925">
        <f>'2.1-2.2, 5.1, 5.3 - HEATING&amp;DHW'!M48</f>
        <v>0</v>
      </c>
      <c r="H21" s="923"/>
      <c r="I21" s="923"/>
      <c r="J21" s="923"/>
    </row>
    <row r="22" spans="1:38" ht="24">
      <c r="A22" s="970" t="s">
        <v>3223</v>
      </c>
      <c r="B22" s="940" t="s">
        <v>3224</v>
      </c>
      <c r="C22" s="924" t="str">
        <f>'2.1-2.2, 5.1, 5.3 - HEATING&amp;DHW'!I49</f>
        <v xml:space="preserve"> kW/CFM</v>
      </c>
      <c r="D22" s="925" t="str">
        <f>'2.1-2.2, 5.1, 5.3 - HEATING&amp;DHW'!K49</f>
        <v>Baseline: 0.0003 kW/CFM
Proposed:  kW/CFM</v>
      </c>
      <c r="E22" s="2321">
        <f>'2.1-2.2, 5.1, 5.3 - HEATING&amp;DHW'!N49</f>
        <v>0</v>
      </c>
      <c r="F22" s="2322"/>
      <c r="G22" s="925">
        <f>'2.1-2.2, 5.1, 5.3 - HEATING&amp;DHW'!M49</f>
        <v>0</v>
      </c>
      <c r="H22" s="923"/>
      <c r="I22" s="923"/>
      <c r="J22" s="923"/>
    </row>
    <row r="23" spans="1:38" ht="36">
      <c r="A23" s="970" t="s">
        <v>3225</v>
      </c>
      <c r="B23" s="940" t="s">
        <v>3167</v>
      </c>
      <c r="C23" s="924" t="str">
        <f>'2.1-2.2, 5.1, 5.3 - HEATING&amp;DHW'!I50</f>
        <v>Primary System:  kBtu
Secondary System:  kBtu
Tertiary System:  kBtu</v>
      </c>
      <c r="D23" s="925" t="str">
        <f>'2.1-2.2, 5.1, 5.3 - HEATING&amp;DHW'!K50</f>
        <v>Baseline:  kBtu
Proposed: 0 kBtu</v>
      </c>
      <c r="E23" s="2321">
        <f>'2.1-2.2, 5.1, 5.3 - HEATING&amp;DHW'!N50</f>
        <v>0</v>
      </c>
      <c r="F23" s="2322"/>
      <c r="G23" s="925">
        <f>'2.1-2.2, 5.1, 5.3 - HEATING&amp;DHW'!M50</f>
        <v>0</v>
      </c>
      <c r="H23" s="923"/>
      <c r="I23" s="923"/>
      <c r="J23" s="923"/>
    </row>
    <row r="24" spans="1:38" ht="24">
      <c r="A24" s="970" t="s">
        <v>3226</v>
      </c>
      <c r="B24" s="940" t="s">
        <v>3168</v>
      </c>
      <c r="C24" s="924" t="str">
        <f>'2.1-2.2, 5.1, 5.3 - HEATING&amp;DHW'!I51</f>
        <v>Hot Water Design Supply Temperature:  °F
Hot Water Design Return Temperature:   °F</v>
      </c>
      <c r="D24" s="925" t="str">
        <f>'2.1-2.2, 5.1, 5.3 - HEATING&amp;DHW'!K51</f>
        <v>Baseline: 180°F, DELTA_T: 50°F
Proposed: °F, DELTA_T: 0°F</v>
      </c>
      <c r="E24" s="2321">
        <f>'2.1-2.2, 5.1, 5.3 - HEATING&amp;DHW'!N51</f>
        <v>0</v>
      </c>
      <c r="F24" s="2322"/>
      <c r="G24" s="925">
        <f>'2.1-2.2, 5.1, 5.3 - HEATING&amp;DHW'!M51</f>
        <v>0</v>
      </c>
      <c r="H24" s="923"/>
      <c r="I24" s="923"/>
      <c r="J24" s="923"/>
    </row>
    <row r="25" spans="1:38" ht="48">
      <c r="A25" s="970" t="s">
        <v>3227</v>
      </c>
      <c r="B25" s="940" t="s">
        <v>3169</v>
      </c>
      <c r="C25" s="924" t="str">
        <f>'2.1-2.2, 5.1, 5.3 - HEATING&amp;DHW'!I52</f>
        <v xml:space="preserve">, </v>
      </c>
      <c r="D25" s="925" t="str">
        <f>'2.1-2.2, 5.1, 5.3 - HEATING&amp;DHW'!K52</f>
        <v xml:space="preserve">Baseline :OA Reset, 180°F at 20°F and below, 
150°F at 50°F and above
Proposed: , </v>
      </c>
      <c r="E25" s="2321">
        <f>'2.1-2.2, 5.1, 5.3 - HEATING&amp;DHW'!N52</f>
        <v>0</v>
      </c>
      <c r="F25" s="2322"/>
      <c r="G25" s="925">
        <f>'2.1-2.2, 5.1, 5.3 - HEATING&amp;DHW'!M52</f>
        <v>0</v>
      </c>
      <c r="H25" s="923"/>
      <c r="I25" s="923"/>
      <c r="J25" s="923"/>
    </row>
    <row r="26" spans="1:38" ht="24">
      <c r="A26" s="970" t="s">
        <v>3228</v>
      </c>
      <c r="B26" s="940" t="s">
        <v>3229</v>
      </c>
      <c r="C26" s="924" t="str">
        <f>'2.1-2.2, 5.1, 5.3 - HEATING&amp;DHW'!I53</f>
        <v xml:space="preserve">  ( kBtu)
Et- 0%</v>
      </c>
      <c r="D26" s="925" t="str">
        <f>'2.1-2.2, 5.1, 5.3 - HEATING&amp;DHW'!K53</f>
        <v>Baseline: Et-0%,  kBtu
Proposed: Et-0%,  kBtu</v>
      </c>
      <c r="E26" s="2321">
        <f>'2.1-2.2, 5.1, 5.3 - HEATING&amp;DHW'!N53</f>
        <v>0</v>
      </c>
      <c r="F26" s="2322"/>
      <c r="G26" s="925">
        <f>'2.1-2.2, 5.1, 5.3 - HEATING&amp;DHW'!M53</f>
        <v>0</v>
      </c>
      <c r="H26" s="923"/>
      <c r="I26" s="923"/>
      <c r="J26" s="923"/>
    </row>
    <row r="27" spans="1:38" ht="24">
      <c r="A27" s="970" t="s">
        <v>3230</v>
      </c>
      <c r="B27" s="940" t="s">
        <v>3231</v>
      </c>
      <c r="C27" s="924" t="str">
        <f>'2.1-2.2, 5.1, 5.3 - HEATING&amp;DHW'!I54</f>
        <v xml:space="preserve"> gal Storage Tank, R-</v>
      </c>
      <c r="D27" s="925" t="str">
        <f>'2.1-2.2, 5.1, 5.3 - HEATING&amp;DHW'!K54</f>
        <v>Baseline: R-12.5,  gal
Proposed: R-,  gal</v>
      </c>
      <c r="E27" s="2321">
        <f>'2.1-2.2, 5.1, 5.3 - HEATING&amp;DHW'!N54</f>
        <v>0</v>
      </c>
      <c r="F27" s="2322"/>
      <c r="G27" s="925">
        <f>'2.1-2.2, 5.1, 5.3 - HEATING&amp;DHW'!M54</f>
        <v>0</v>
      </c>
      <c r="H27" s="923"/>
      <c r="I27" s="923"/>
      <c r="J27" s="923"/>
      <c r="K27" s="897"/>
      <c r="L27" s="897"/>
      <c r="M27" s="897"/>
      <c r="N27" s="897"/>
      <c r="O27" s="897"/>
      <c r="P27" s="897"/>
      <c r="Q27" s="897"/>
      <c r="R27" s="897"/>
      <c r="S27" s="897"/>
      <c r="T27" s="897"/>
      <c r="U27" s="897"/>
      <c r="V27" s="897"/>
      <c r="W27" s="897"/>
      <c r="X27" s="897"/>
      <c r="Y27" s="897"/>
      <c r="Z27" s="897"/>
      <c r="AA27" s="897"/>
      <c r="AB27" s="897"/>
      <c r="AC27" s="897"/>
      <c r="AD27" s="897"/>
      <c r="AE27" s="897"/>
      <c r="AF27" s="897"/>
      <c r="AG27" s="897"/>
      <c r="AH27" s="897"/>
      <c r="AI27" s="897"/>
      <c r="AJ27" s="897"/>
      <c r="AK27" s="897"/>
      <c r="AL27" s="897"/>
    </row>
    <row r="28" spans="1:38" ht="48.75" thickBot="1">
      <c r="A28" s="971" t="s">
        <v>3232</v>
      </c>
      <c r="B28" s="960" t="s">
        <v>3233</v>
      </c>
      <c r="C28" s="961" t="str">
        <f>'2.1-2.2, 5.1, 5.3 - HEATING&amp;DHW'!I55</f>
        <v>Showerheads:  gpm
Kitchen Faucets:  gpm
Lavatory Faucets:  gpm
Toilets:  gpf</v>
      </c>
      <c r="D28" s="948" t="str">
        <f>'2.1-2.2, 5.1, 5.3 - HEATING&amp;DHW'!K55</f>
        <v>Baseline: 0 gpm
Proposed: 0 gpm</v>
      </c>
      <c r="E28" s="2321">
        <f>'2.1-2.2, 5.1, 5.3 - HEATING&amp;DHW'!N55</f>
        <v>0</v>
      </c>
      <c r="F28" s="2322"/>
      <c r="G28" s="948">
        <f>'2.1-2.2, 5.1, 5.3 - HEATING&amp;DHW'!M55</f>
        <v>0</v>
      </c>
      <c r="H28" s="923"/>
      <c r="I28" s="923"/>
      <c r="J28" s="923"/>
      <c r="K28" s="897"/>
      <c r="L28" s="897"/>
      <c r="M28" s="897"/>
      <c r="N28" s="897"/>
      <c r="O28" s="897"/>
      <c r="P28" s="897"/>
      <c r="Q28" s="897"/>
      <c r="R28" s="897"/>
      <c r="S28" s="897"/>
      <c r="T28" s="897"/>
      <c r="U28" s="897"/>
      <c r="V28" s="897"/>
      <c r="W28" s="897"/>
      <c r="X28" s="897"/>
      <c r="Y28" s="897"/>
      <c r="Z28" s="897"/>
      <c r="AA28" s="897"/>
      <c r="AB28" s="897"/>
      <c r="AC28" s="897"/>
      <c r="AD28" s="897"/>
      <c r="AE28" s="897"/>
      <c r="AF28" s="897"/>
      <c r="AG28" s="897"/>
      <c r="AH28" s="897"/>
      <c r="AI28" s="897"/>
      <c r="AJ28" s="897"/>
      <c r="AK28" s="897"/>
      <c r="AL28" s="897"/>
    </row>
    <row r="29" spans="1:38" s="898" customFormat="1" ht="12.75" thickBot="1">
      <c r="A29" s="2354" t="s">
        <v>3234</v>
      </c>
      <c r="B29" s="2355"/>
      <c r="C29" s="2355"/>
      <c r="D29" s="2355"/>
      <c r="E29" s="2355"/>
      <c r="F29" s="2355"/>
      <c r="G29" s="2356"/>
      <c r="H29" s="923"/>
      <c r="I29" s="923"/>
      <c r="J29" s="923"/>
    </row>
    <row r="30" spans="1:38" s="898" customFormat="1" ht="24">
      <c r="A30" s="969" t="s">
        <v>3235</v>
      </c>
      <c r="B30" s="954" t="s">
        <v>3236</v>
      </c>
      <c r="C30" s="958" t="s">
        <v>2677</v>
      </c>
      <c r="D30" s="944" t="s">
        <v>2677</v>
      </c>
      <c r="E30" s="2321">
        <f>'2.1-2.2, 5.1, 5.3 - HEATING&amp;DHW'!N57</f>
        <v>0</v>
      </c>
      <c r="F30" s="2322"/>
      <c r="G30" s="944">
        <f>'2.1-2.2, 5.1, 5.3 - HEATING&amp;DHW'!M57</f>
        <v>0</v>
      </c>
      <c r="H30" s="923"/>
      <c r="I30" s="923"/>
      <c r="J30" s="923"/>
    </row>
    <row r="31" spans="1:38" s="898" customFormat="1" ht="12.75" thickBot="1">
      <c r="A31" s="971" t="s">
        <v>3237</v>
      </c>
      <c r="B31" s="960" t="s">
        <v>3238</v>
      </c>
      <c r="C31" s="961" t="s">
        <v>2677</v>
      </c>
      <c r="D31" s="948" t="s">
        <v>2677</v>
      </c>
      <c r="E31" s="2321">
        <f>'2.1-2.2, 5.1, 5.3 - HEATING&amp;DHW'!N58</f>
        <v>0</v>
      </c>
      <c r="F31" s="2322"/>
      <c r="G31" s="948">
        <f>'2.1-2.2, 5.1, 5.3 - HEATING&amp;DHW'!M58</f>
        <v>0</v>
      </c>
      <c r="H31" s="923"/>
      <c r="I31" s="923"/>
      <c r="J31" s="923"/>
    </row>
    <row r="32" spans="1:38" s="898" customFormat="1" ht="12.75" thickBot="1">
      <c r="A32" s="2354" t="s">
        <v>3239</v>
      </c>
      <c r="B32" s="2355"/>
      <c r="C32" s="2355"/>
      <c r="D32" s="2355"/>
      <c r="E32" s="2355"/>
      <c r="F32" s="2355"/>
      <c r="G32" s="2356"/>
      <c r="H32" s="923"/>
      <c r="I32" s="923"/>
      <c r="J32" s="923"/>
    </row>
    <row r="33" spans="1:10" s="898" customFormat="1">
      <c r="A33" s="969" t="s">
        <v>3240</v>
      </c>
      <c r="B33" s="954" t="s">
        <v>3241</v>
      </c>
      <c r="C33" s="958" t="s">
        <v>2677</v>
      </c>
      <c r="D33" s="944" t="s">
        <v>2677</v>
      </c>
      <c r="E33" s="2321">
        <f>'2.1-2.2, 5.1, 5.3 - HEATING&amp;DHW'!N60</f>
        <v>0</v>
      </c>
      <c r="F33" s="2322"/>
      <c r="G33" s="944">
        <f>'2.1-2.2, 5.1, 5.3 - HEATING&amp;DHW'!M60</f>
        <v>0</v>
      </c>
      <c r="H33" s="923"/>
      <c r="I33" s="923"/>
      <c r="J33" s="923"/>
    </row>
    <row r="34" spans="1:10" s="898" customFormat="1" ht="12.75" thickBot="1">
      <c r="A34" s="971" t="s">
        <v>3242</v>
      </c>
      <c r="B34" s="960" t="s">
        <v>3019</v>
      </c>
      <c r="C34" s="961" t="s">
        <v>2677</v>
      </c>
      <c r="D34" s="948" t="s">
        <v>2677</v>
      </c>
      <c r="E34" s="2321">
        <f>'2.1-2.2, 5.1, 5.3 - HEATING&amp;DHW'!N61</f>
        <v>0</v>
      </c>
      <c r="F34" s="2322"/>
      <c r="G34" s="948">
        <f>'2.1-2.2, 5.1, 5.3 - HEATING&amp;DHW'!M61</f>
        <v>0</v>
      </c>
      <c r="H34" s="923"/>
      <c r="I34" s="923"/>
      <c r="J34" s="923"/>
    </row>
    <row r="35" spans="1:10" s="898" customFormat="1" ht="12.75" thickBot="1">
      <c r="A35" s="2354" t="s">
        <v>3243</v>
      </c>
      <c r="B35" s="2355"/>
      <c r="C35" s="2355"/>
      <c r="D35" s="2355"/>
      <c r="E35" s="2355"/>
      <c r="F35" s="2355"/>
      <c r="G35" s="2356"/>
      <c r="H35" s="923"/>
      <c r="I35" s="923"/>
      <c r="J35" s="923"/>
    </row>
    <row r="36" spans="1:10" s="898" customFormat="1">
      <c r="A36" s="969" t="s">
        <v>3244</v>
      </c>
      <c r="B36" s="954" t="s">
        <v>4476</v>
      </c>
      <c r="C36" s="958" t="s">
        <v>2677</v>
      </c>
      <c r="D36" s="944" t="s">
        <v>2677</v>
      </c>
      <c r="E36" s="2321">
        <f>'2.1-2.2, 5.1, 5.3 - HEATING&amp;DHW'!N63</f>
        <v>0</v>
      </c>
      <c r="F36" s="2322"/>
      <c r="G36" s="944">
        <f>'2.1-2.2, 5.1, 5.3 - HEATING&amp;DHW'!M63</f>
        <v>0</v>
      </c>
      <c r="H36" s="923"/>
      <c r="I36" s="923"/>
      <c r="J36" s="923"/>
    </row>
    <row r="37" spans="1:10" s="898" customFormat="1">
      <c r="A37" s="969" t="s">
        <v>3246</v>
      </c>
      <c r="B37" s="954" t="s">
        <v>3245</v>
      </c>
      <c r="C37" s="958" t="s">
        <v>2677</v>
      </c>
      <c r="D37" s="944" t="s">
        <v>2677</v>
      </c>
      <c r="E37" s="2321">
        <f>'2.1-2.2, 5.1, 5.3 - HEATING&amp;DHW'!N64</f>
        <v>0</v>
      </c>
      <c r="F37" s="2322"/>
      <c r="G37" s="944">
        <f>'2.1-2.2, 5.1, 5.3 - HEATING&amp;DHW'!M64</f>
        <v>0</v>
      </c>
      <c r="H37" s="923"/>
      <c r="I37" s="923"/>
      <c r="J37" s="923"/>
    </row>
    <row r="38" spans="1:10" s="898" customFormat="1">
      <c r="A38" s="970" t="s">
        <v>3248</v>
      </c>
      <c r="B38" s="940" t="s">
        <v>3247</v>
      </c>
      <c r="C38" s="924" t="s">
        <v>2677</v>
      </c>
      <c r="D38" s="925" t="s">
        <v>2677</v>
      </c>
      <c r="E38" s="2321">
        <f>'2.1-2.2, 5.1, 5.3 - HEATING&amp;DHW'!N65</f>
        <v>0</v>
      </c>
      <c r="F38" s="2322"/>
      <c r="G38" s="925">
        <f>'2.1-2.2, 5.1, 5.3 - HEATING&amp;DHW'!M65</f>
        <v>0</v>
      </c>
      <c r="H38" s="923"/>
      <c r="I38" s="923"/>
      <c r="J38" s="923"/>
    </row>
    <row r="39" spans="1:10" s="898" customFormat="1">
      <c r="A39" s="970" t="s">
        <v>3250</v>
      </c>
      <c r="B39" s="940" t="s">
        <v>3249</v>
      </c>
      <c r="C39" s="924" t="s">
        <v>2677</v>
      </c>
      <c r="D39" s="925" t="s">
        <v>2677</v>
      </c>
      <c r="E39" s="2321">
        <f>'2.1-2.2, 5.1, 5.3 - HEATING&amp;DHW'!N66</f>
        <v>0</v>
      </c>
      <c r="F39" s="2322"/>
      <c r="G39" s="925">
        <f>'2.1-2.2, 5.1, 5.3 - HEATING&amp;DHW'!M66</f>
        <v>0</v>
      </c>
      <c r="H39" s="923"/>
      <c r="I39" s="923"/>
      <c r="J39" s="923"/>
    </row>
    <row r="40" spans="1:10" s="898" customFormat="1" ht="12.75" thickBot="1">
      <c r="A40" s="971" t="s">
        <v>4475</v>
      </c>
      <c r="B40" s="960" t="s">
        <v>3251</v>
      </c>
      <c r="C40" s="961" t="s">
        <v>2677</v>
      </c>
      <c r="D40" s="948" t="s">
        <v>2677</v>
      </c>
      <c r="E40" s="2321">
        <f>'2.1-2.2, 5.1, 5.3 - HEATING&amp;DHW'!N67</f>
        <v>0</v>
      </c>
      <c r="F40" s="2322"/>
      <c r="G40" s="948">
        <f>'2.1-2.2, 5.1, 5.3 - HEATING&amp;DHW'!M67</f>
        <v>0</v>
      </c>
      <c r="H40" s="923"/>
      <c r="I40" s="923"/>
      <c r="J40" s="923"/>
    </row>
    <row r="41" spans="1:10" s="898" customFormat="1" ht="12.75" thickBot="1">
      <c r="A41" s="2354" t="s">
        <v>3252</v>
      </c>
      <c r="B41" s="2355"/>
      <c r="C41" s="2355"/>
      <c r="D41" s="2355"/>
      <c r="E41" s="2355"/>
      <c r="F41" s="2355"/>
      <c r="G41" s="2356"/>
      <c r="H41" s="923"/>
      <c r="I41" s="923"/>
      <c r="J41" s="923"/>
    </row>
    <row r="42" spans="1:10" s="898" customFormat="1">
      <c r="A42" s="969" t="s">
        <v>3253</v>
      </c>
      <c r="B42" s="954" t="s">
        <v>3254</v>
      </c>
      <c r="C42" s="958" t="s">
        <v>2677</v>
      </c>
      <c r="D42" s="944" t="s">
        <v>2677</v>
      </c>
      <c r="E42" s="2321">
        <f>'2.1-2.2, 5.1, 5.3 - HEATING&amp;DHW'!N69</f>
        <v>0</v>
      </c>
      <c r="F42" s="2322"/>
      <c r="G42" s="944">
        <f>'2.1-2.2, 5.1, 5.3 - HEATING&amp;DHW'!M69</f>
        <v>0</v>
      </c>
      <c r="H42" s="923"/>
      <c r="I42" s="923"/>
      <c r="J42" s="923"/>
    </row>
    <row r="43" spans="1:10" s="898" customFormat="1">
      <c r="A43" s="970" t="s">
        <v>3255</v>
      </c>
      <c r="B43" s="940" t="s">
        <v>3256</v>
      </c>
      <c r="C43" s="924" t="s">
        <v>2677</v>
      </c>
      <c r="D43" s="925" t="s">
        <v>2677</v>
      </c>
      <c r="E43" s="2321">
        <f>'2.1-2.2, 5.1, 5.3 - HEATING&amp;DHW'!N70</f>
        <v>0</v>
      </c>
      <c r="F43" s="2322"/>
      <c r="G43" s="925">
        <f>'2.1-2.2, 5.1, 5.3 - HEATING&amp;DHW'!M70</f>
        <v>0</v>
      </c>
      <c r="H43" s="923"/>
      <c r="I43" s="923"/>
      <c r="J43" s="923"/>
    </row>
    <row r="44" spans="1:10" s="898" customFormat="1">
      <c r="A44" s="970" t="s">
        <v>3257</v>
      </c>
      <c r="B44" s="940" t="s">
        <v>3258</v>
      </c>
      <c r="C44" s="924" t="s">
        <v>2677</v>
      </c>
      <c r="D44" s="925" t="s">
        <v>2677</v>
      </c>
      <c r="E44" s="2321">
        <f>'2.1-2.2, 5.1, 5.3 - HEATING&amp;DHW'!N71</f>
        <v>0</v>
      </c>
      <c r="F44" s="2322"/>
      <c r="G44" s="925">
        <f>'2.1-2.2, 5.1, 5.3 - HEATING&amp;DHW'!M71</f>
        <v>0</v>
      </c>
      <c r="H44" s="923"/>
      <c r="I44" s="923"/>
      <c r="J44" s="923"/>
    </row>
    <row r="45" spans="1:10" s="898" customFormat="1">
      <c r="A45" s="970" t="s">
        <v>3259</v>
      </c>
      <c r="B45" s="940" t="s">
        <v>3260</v>
      </c>
      <c r="C45" s="924" t="s">
        <v>2677</v>
      </c>
      <c r="D45" s="925" t="s">
        <v>2677</v>
      </c>
      <c r="E45" s="2321">
        <f>'2.1-2.2, 5.1, 5.3 - HEATING&amp;DHW'!N72</f>
        <v>0</v>
      </c>
      <c r="F45" s="2322"/>
      <c r="G45" s="925">
        <f>'2.1-2.2, 5.1, 5.3 - HEATING&amp;DHW'!M72</f>
        <v>0</v>
      </c>
      <c r="H45" s="923"/>
      <c r="I45" s="923"/>
      <c r="J45" s="923"/>
    </row>
    <row r="46" spans="1:10" ht="12.75" thickBot="1">
      <c r="A46" s="971" t="s">
        <v>3261</v>
      </c>
      <c r="B46" s="960" t="s">
        <v>3262</v>
      </c>
      <c r="C46" s="961" t="s">
        <v>2677</v>
      </c>
      <c r="D46" s="948" t="s">
        <v>2677</v>
      </c>
      <c r="E46" s="2321">
        <f>'2.1-2.2, 5.1, 5.3 - HEATING&amp;DHW'!N73</f>
        <v>0</v>
      </c>
      <c r="F46" s="2322"/>
      <c r="G46" s="948">
        <f>'2.1-2.2, 5.1, 5.3 - HEATING&amp;DHW'!M73</f>
        <v>0</v>
      </c>
      <c r="H46" s="923"/>
      <c r="I46" s="923"/>
      <c r="J46" s="923"/>
    </row>
    <row r="47" spans="1:10" ht="12.75" thickBot="1">
      <c r="A47" s="2354" t="s">
        <v>3263</v>
      </c>
      <c r="B47" s="2355"/>
      <c r="C47" s="2355"/>
      <c r="D47" s="2355"/>
      <c r="E47" s="2355"/>
      <c r="F47" s="2355"/>
      <c r="G47" s="2356"/>
      <c r="H47" s="923"/>
      <c r="I47" s="923"/>
      <c r="J47" s="923"/>
    </row>
    <row r="48" spans="1:10">
      <c r="A48" s="969" t="s">
        <v>3264</v>
      </c>
      <c r="B48" s="954" t="s">
        <v>3265</v>
      </c>
      <c r="C48" s="958" t="s">
        <v>2677</v>
      </c>
      <c r="D48" s="944" t="s">
        <v>2677</v>
      </c>
      <c r="E48" s="2321">
        <f>'2.1-2.2, 5.1, 5.3 - HEATING&amp;DHW'!N75</f>
        <v>0</v>
      </c>
      <c r="F48" s="2322"/>
      <c r="G48" s="944">
        <f>'2.1-2.2, 5.1, 5.3 - HEATING&amp;DHW'!M75</f>
        <v>0</v>
      </c>
      <c r="H48" s="923"/>
      <c r="I48" s="923"/>
      <c r="J48" s="923"/>
    </row>
    <row r="49" spans="1:38">
      <c r="A49" s="970" t="s">
        <v>3266</v>
      </c>
      <c r="B49" s="1840" t="s">
        <v>4577</v>
      </c>
      <c r="C49" s="958" t="s">
        <v>2677</v>
      </c>
      <c r="D49" s="944" t="s">
        <v>2677</v>
      </c>
      <c r="E49" s="2321">
        <f>'2.1-2.2, 5.1, 5.3 - HEATING&amp;DHW'!N76</f>
        <v>0</v>
      </c>
      <c r="F49" s="2322"/>
      <c r="G49" s="944">
        <f>'2.1-2.2, 5.1, 5.3 - HEATING&amp;DHW'!M76</f>
        <v>0</v>
      </c>
      <c r="H49" s="923"/>
      <c r="I49" s="923"/>
      <c r="J49" s="923"/>
    </row>
    <row r="50" spans="1:38">
      <c r="A50" s="970" t="s">
        <v>3268</v>
      </c>
      <c r="B50" s="940" t="s">
        <v>3267</v>
      </c>
      <c r="C50" s="924" t="s">
        <v>2677</v>
      </c>
      <c r="D50" s="925" t="s">
        <v>2677</v>
      </c>
      <c r="E50" s="2321">
        <f>'2.1-2.2, 5.1, 5.3 - HEATING&amp;DHW'!N77</f>
        <v>0</v>
      </c>
      <c r="F50" s="2322"/>
      <c r="G50" s="925">
        <f>'2.1-2.2, 5.1, 5.3 - HEATING&amp;DHW'!M77</f>
        <v>0</v>
      </c>
      <c r="H50" s="923"/>
      <c r="I50" s="923"/>
      <c r="J50" s="923"/>
    </row>
    <row r="51" spans="1:38">
      <c r="A51" s="971" t="s">
        <v>3270</v>
      </c>
      <c r="B51" s="940" t="s">
        <v>3269</v>
      </c>
      <c r="C51" s="924" t="s">
        <v>2677</v>
      </c>
      <c r="D51" s="925" t="s">
        <v>2677</v>
      </c>
      <c r="E51" s="2321">
        <f>'2.1-2.2, 5.1, 5.3 - HEATING&amp;DHW'!N78</f>
        <v>0</v>
      </c>
      <c r="F51" s="2322"/>
      <c r="G51" s="925">
        <f>'2.1-2.2, 5.1, 5.3 - HEATING&amp;DHW'!M78</f>
        <v>0</v>
      </c>
      <c r="H51" s="923"/>
      <c r="I51" s="923"/>
      <c r="J51" s="923"/>
    </row>
    <row r="52" spans="1:38" ht="12.75" thickBot="1">
      <c r="A52" s="971" t="s">
        <v>4576</v>
      </c>
      <c r="B52" s="960" t="s">
        <v>3271</v>
      </c>
      <c r="C52" s="961" t="s">
        <v>2677</v>
      </c>
      <c r="D52" s="948" t="s">
        <v>2677</v>
      </c>
      <c r="E52" s="2321">
        <f>'2.1-2.2, 5.1, 5.3 - HEATING&amp;DHW'!N79</f>
        <v>0</v>
      </c>
      <c r="F52" s="2322"/>
      <c r="G52" s="948">
        <f>'2.1-2.2, 5.1, 5.3 - HEATING&amp;DHW'!M79</f>
        <v>0</v>
      </c>
      <c r="H52" s="923"/>
      <c r="I52" s="923"/>
      <c r="J52" s="923"/>
    </row>
    <row r="53" spans="1:38" ht="12.75" thickBot="1">
      <c r="A53" s="2354" t="s">
        <v>3272</v>
      </c>
      <c r="B53" s="2355"/>
      <c r="C53" s="2355"/>
      <c r="D53" s="2355"/>
      <c r="E53" s="2355"/>
      <c r="F53" s="2355"/>
      <c r="G53" s="2356"/>
      <c r="H53" s="923"/>
      <c r="I53" s="923"/>
      <c r="J53" s="923"/>
    </row>
    <row r="54" spans="1:38">
      <c r="A54" s="969" t="s">
        <v>3273</v>
      </c>
      <c r="B54" s="954" t="s">
        <v>3274</v>
      </c>
      <c r="C54" s="958" t="s">
        <v>2677</v>
      </c>
      <c r="D54" s="944" t="s">
        <v>2677</v>
      </c>
      <c r="E54" s="2321">
        <f>'2.1-2.2, 5.1, 5.3 - HEATING&amp;DHW'!N81</f>
        <v>0</v>
      </c>
      <c r="F54" s="2322"/>
      <c r="G54" s="944">
        <f>'2.1-2.2, 5.1, 5.3 - HEATING&amp;DHW'!M81</f>
        <v>0</v>
      </c>
      <c r="H54" s="923"/>
      <c r="I54" s="923"/>
      <c r="J54" s="923"/>
    </row>
    <row r="55" spans="1:38">
      <c r="A55" s="970" t="s">
        <v>3275</v>
      </c>
      <c r="B55" s="940" t="s">
        <v>3276</v>
      </c>
      <c r="C55" s="924" t="s">
        <v>2677</v>
      </c>
      <c r="D55" s="925" t="s">
        <v>2677</v>
      </c>
      <c r="E55" s="2321">
        <f>'2.1-2.2, 5.1, 5.3 - HEATING&amp;DHW'!N82</f>
        <v>0</v>
      </c>
      <c r="F55" s="2322"/>
      <c r="G55" s="925">
        <f>'2.1-2.2, 5.1, 5.3 - HEATING&amp;DHW'!M82</f>
        <v>0</v>
      </c>
      <c r="H55" s="923"/>
      <c r="I55" s="923"/>
      <c r="J55" s="923"/>
    </row>
    <row r="56" spans="1:38">
      <c r="A56" s="970" t="s">
        <v>3277</v>
      </c>
      <c r="B56" s="940" t="s">
        <v>3278</v>
      </c>
      <c r="C56" s="924" t="s">
        <v>2677</v>
      </c>
      <c r="D56" s="925" t="s">
        <v>2677</v>
      </c>
      <c r="E56" s="2321">
        <f>'2.1-2.2, 5.1, 5.3 - HEATING&amp;DHW'!N83</f>
        <v>0</v>
      </c>
      <c r="F56" s="2322"/>
      <c r="G56" s="925">
        <f>'2.1-2.2, 5.1, 5.3 - HEATING&amp;DHW'!M83</f>
        <v>0</v>
      </c>
      <c r="H56" s="923"/>
      <c r="I56" s="923"/>
      <c r="J56" s="923"/>
    </row>
    <row r="57" spans="1:38" ht="12.75" thickBot="1">
      <c r="A57" s="971" t="s">
        <v>3279</v>
      </c>
      <c r="B57" s="960" t="s">
        <v>3280</v>
      </c>
      <c r="C57" s="961" t="s">
        <v>2677</v>
      </c>
      <c r="D57" s="948" t="s">
        <v>2677</v>
      </c>
      <c r="E57" s="2321">
        <f>'2.1-2.2, 5.1, 5.3 - HEATING&amp;DHW'!N84</f>
        <v>0</v>
      </c>
      <c r="F57" s="2322"/>
      <c r="G57" s="948">
        <f>'2.1-2.2, 5.1, 5.3 - HEATING&amp;DHW'!M84</f>
        <v>0</v>
      </c>
      <c r="H57" s="923"/>
      <c r="I57" s="923"/>
      <c r="J57" s="923"/>
    </row>
    <row r="58" spans="1:38" s="913" customFormat="1" ht="12.75" thickBot="1">
      <c r="A58" s="953">
        <v>3</v>
      </c>
      <c r="B58" s="2336" t="s">
        <v>3152</v>
      </c>
      <c r="C58" s="2336"/>
      <c r="D58" s="2336"/>
      <c r="E58" s="2336"/>
      <c r="F58" s="2336"/>
      <c r="G58" s="2337"/>
      <c r="H58" s="911"/>
      <c r="I58" s="911"/>
      <c r="J58" s="911"/>
      <c r="K58" s="912"/>
      <c r="L58" s="912"/>
      <c r="M58" s="912"/>
      <c r="N58" s="912"/>
      <c r="O58" s="912"/>
      <c r="P58" s="912"/>
      <c r="Q58" s="912"/>
      <c r="R58" s="912"/>
      <c r="S58" s="912"/>
      <c r="T58" s="912"/>
      <c r="U58" s="912"/>
      <c r="V58" s="912"/>
      <c r="W58" s="912"/>
      <c r="X58" s="912"/>
      <c r="Y58" s="912"/>
      <c r="Z58" s="912"/>
      <c r="AA58" s="912"/>
      <c r="AB58" s="912"/>
      <c r="AC58" s="912"/>
      <c r="AD58" s="912"/>
      <c r="AE58" s="912"/>
      <c r="AF58" s="912"/>
      <c r="AG58" s="912"/>
      <c r="AH58" s="912"/>
      <c r="AI58" s="912"/>
      <c r="AJ58" s="912"/>
      <c r="AK58" s="912"/>
      <c r="AL58" s="912"/>
    </row>
    <row r="59" spans="1:38" ht="12.75" thickBot="1">
      <c r="A59" s="2354" t="s">
        <v>3281</v>
      </c>
      <c r="B59" s="2355"/>
      <c r="C59" s="2355"/>
      <c r="D59" s="2355"/>
      <c r="E59" s="2355"/>
      <c r="F59" s="2355"/>
      <c r="G59" s="2356"/>
      <c r="H59" s="923"/>
      <c r="I59" s="923"/>
      <c r="J59" s="923"/>
    </row>
    <row r="60" spans="1:38">
      <c r="A60" s="969" t="s">
        <v>3282</v>
      </c>
      <c r="B60" s="938" t="s">
        <v>3283</v>
      </c>
      <c r="C60" s="945" t="str">
        <f>'3.1 - ENV_BELOW GRADE WALLS'!F39</f>
        <v>see below</v>
      </c>
      <c r="D60" s="946" t="str">
        <f>'3.1 - ENV_BELOW GRADE WALLS'!G39</f>
        <v>see below</v>
      </c>
      <c r="E60" s="2321">
        <f>'3.1 - ENV_BELOW GRADE WALLS'!I39</f>
        <v>0</v>
      </c>
      <c r="F60" s="2322"/>
      <c r="G60" s="946">
        <f>'3.1 - ENV_BELOW GRADE WALLS'!H39</f>
        <v>0</v>
      </c>
      <c r="H60" s="923"/>
      <c r="I60" s="923"/>
      <c r="J60" s="923"/>
    </row>
    <row r="61" spans="1:38" ht="24">
      <c r="A61" s="970" t="s">
        <v>3284</v>
      </c>
      <c r="B61" s="941" t="s">
        <v>3285</v>
      </c>
      <c r="C61" s="919" t="str">
        <f>'3.1 - ENV_BELOW GRADE WALLS'!F40</f>
        <v>, C-</v>
      </c>
      <c r="D61" s="920" t="str">
        <f>'3.1 - ENV_BELOW GRADE WALLS'!G40</f>
        <v>Baseline: C- (res) &amp; C- (non-res)
Proposed: C-</v>
      </c>
      <c r="E61" s="2321">
        <f>'3.1 - ENV_BELOW GRADE WALLS'!I40</f>
        <v>0</v>
      </c>
      <c r="F61" s="2322"/>
      <c r="G61" s="920">
        <f>'3.1 - ENV_BELOW GRADE WALLS'!H40</f>
        <v>0</v>
      </c>
      <c r="H61" s="923"/>
      <c r="I61" s="923"/>
      <c r="J61" s="923"/>
      <c r="K61" s="897"/>
      <c r="L61" s="897"/>
      <c r="M61" s="897"/>
      <c r="N61" s="897"/>
      <c r="O61" s="897"/>
      <c r="P61" s="897"/>
      <c r="Q61" s="897"/>
      <c r="R61" s="897"/>
      <c r="S61" s="897"/>
      <c r="T61" s="897"/>
      <c r="U61" s="897"/>
      <c r="V61" s="897"/>
      <c r="W61" s="897"/>
      <c r="X61" s="897"/>
      <c r="Y61" s="897"/>
      <c r="Z61" s="897"/>
      <c r="AA61" s="897"/>
      <c r="AB61" s="897"/>
      <c r="AC61" s="897"/>
      <c r="AD61" s="897"/>
      <c r="AE61" s="897"/>
      <c r="AF61" s="897"/>
      <c r="AG61" s="897"/>
      <c r="AH61" s="897"/>
      <c r="AI61" s="897"/>
      <c r="AJ61" s="897"/>
      <c r="AK61" s="897"/>
      <c r="AL61" s="897"/>
    </row>
    <row r="62" spans="1:38">
      <c r="A62" s="970" t="s">
        <v>3286</v>
      </c>
      <c r="B62" s="941" t="s">
        <v>3287</v>
      </c>
      <c r="C62" s="919" t="s">
        <v>2677</v>
      </c>
      <c r="D62" s="920" t="s">
        <v>2677</v>
      </c>
      <c r="E62" s="2321">
        <f>'3.1 - ENV_BELOW GRADE WALLS'!I41</f>
        <v>0</v>
      </c>
      <c r="F62" s="2322"/>
      <c r="G62" s="920">
        <f>'3.1 - ENV_BELOW GRADE WALLS'!H41</f>
        <v>0</v>
      </c>
      <c r="H62" s="923"/>
      <c r="I62" s="923"/>
      <c r="J62" s="923"/>
      <c r="K62" s="897"/>
      <c r="L62" s="897"/>
      <c r="M62" s="897"/>
      <c r="N62" s="897"/>
      <c r="O62" s="897"/>
      <c r="P62" s="897"/>
      <c r="Q62" s="897"/>
      <c r="R62" s="897"/>
      <c r="S62" s="897"/>
      <c r="T62" s="897"/>
      <c r="U62" s="897"/>
      <c r="V62" s="897"/>
      <c r="W62" s="897"/>
      <c r="X62" s="897"/>
      <c r="Y62" s="897"/>
      <c r="Z62" s="897"/>
      <c r="AA62" s="897"/>
      <c r="AB62" s="897"/>
      <c r="AC62" s="897"/>
      <c r="AD62" s="897"/>
      <c r="AE62" s="897"/>
      <c r="AF62" s="897"/>
      <c r="AG62" s="897"/>
      <c r="AH62" s="897"/>
      <c r="AI62" s="897"/>
      <c r="AJ62" s="897"/>
      <c r="AK62" s="897"/>
      <c r="AL62" s="897"/>
    </row>
    <row r="63" spans="1:38" s="898" customFormat="1" ht="12.75" thickBot="1">
      <c r="A63" s="971" t="s">
        <v>3288</v>
      </c>
      <c r="B63" s="962" t="s">
        <v>3289</v>
      </c>
      <c r="C63" s="949" t="s">
        <v>2677</v>
      </c>
      <c r="D63" s="950" t="s">
        <v>2677</v>
      </c>
      <c r="E63" s="2321">
        <f>'3.1 - ENV_BELOW GRADE WALLS'!I42</f>
        <v>0</v>
      </c>
      <c r="F63" s="2322"/>
      <c r="G63" s="950">
        <f>'3.1 - ENV_BELOW GRADE WALLS'!H42</f>
        <v>0</v>
      </c>
      <c r="H63" s="923"/>
      <c r="I63" s="923"/>
      <c r="J63" s="923"/>
    </row>
    <row r="64" spans="1:38" s="898" customFormat="1" ht="12.75" thickBot="1">
      <c r="A64" s="2354" t="s">
        <v>3290</v>
      </c>
      <c r="B64" s="2355"/>
      <c r="C64" s="2355"/>
      <c r="D64" s="2355"/>
      <c r="E64" s="2355"/>
      <c r="F64" s="2355"/>
      <c r="G64" s="2356"/>
      <c r="H64" s="923"/>
      <c r="I64" s="923"/>
      <c r="J64" s="923"/>
    </row>
    <row r="65" spans="1:10" s="898" customFormat="1">
      <c r="A65" s="969" t="s">
        <v>3291</v>
      </c>
      <c r="B65" s="963" t="s">
        <v>3292</v>
      </c>
      <c r="C65" s="945" t="str">
        <f>'3.1 - ENV_ABOVE GRADE WALLS'!F68</f>
        <v>see below</v>
      </c>
      <c r="D65" s="946" t="str">
        <f>'3.1 - ENV_ABOVE GRADE WALLS'!G68</f>
        <v>see below</v>
      </c>
      <c r="E65" s="2321">
        <f>'3.1 - ENV_ABOVE GRADE WALLS'!I68</f>
        <v>0</v>
      </c>
      <c r="F65" s="2322"/>
      <c r="G65" s="946">
        <f>'3.1 - ENV_ABOVE GRADE WALLS'!H68</f>
        <v>0</v>
      </c>
      <c r="H65" s="923"/>
      <c r="I65" s="923"/>
      <c r="J65" s="923"/>
    </row>
    <row r="66" spans="1:10" s="898" customFormat="1">
      <c r="A66" s="970" t="s">
        <v>3293</v>
      </c>
      <c r="B66" s="1841" t="s">
        <v>4564</v>
      </c>
      <c r="C66" s="945" t="str">
        <f>C65</f>
        <v>see below</v>
      </c>
      <c r="D66" s="946" t="str">
        <f>D65</f>
        <v>see below</v>
      </c>
      <c r="E66" s="2321">
        <f>'3.1 - ENV_ABOVE GRADE WALLS'!I69</f>
        <v>0</v>
      </c>
      <c r="F66" s="2322"/>
      <c r="G66" s="946">
        <f>'3.1 - ENV_ABOVE GRADE WALLS'!H69</f>
        <v>0</v>
      </c>
      <c r="H66" s="923"/>
      <c r="I66" s="923"/>
      <c r="J66" s="923"/>
    </row>
    <row r="67" spans="1:10" s="898" customFormat="1">
      <c r="A67" s="970" t="s">
        <v>3295</v>
      </c>
      <c r="B67" s="1841" t="s">
        <v>4565</v>
      </c>
      <c r="C67" s="945" t="str">
        <f>C66</f>
        <v>see below</v>
      </c>
      <c r="D67" s="946" t="str">
        <f>D66</f>
        <v>see below</v>
      </c>
      <c r="E67" s="2321">
        <f>'3.1 - ENV_ABOVE GRADE WALLS'!I70</f>
        <v>0</v>
      </c>
      <c r="F67" s="2322"/>
      <c r="G67" s="946">
        <f>'3.1 - ENV_ABOVE GRADE WALLS'!H70</f>
        <v>0</v>
      </c>
      <c r="H67" s="923"/>
      <c r="I67" s="923"/>
      <c r="J67" s="923"/>
    </row>
    <row r="68" spans="1:10" s="898" customFormat="1" ht="24">
      <c r="A68" s="970" t="s">
        <v>3297</v>
      </c>
      <c r="B68" s="941" t="s">
        <v>3294</v>
      </c>
      <c r="C68" s="919" t="str">
        <f>'3.1 - ENV_ABOVE GRADE WALLS'!F71</f>
        <v>, U-</v>
      </c>
      <c r="D68" s="920" t="str">
        <f>'3.1 - ENV_ABOVE GRADE WALLS'!G71</f>
        <v>Baseline: U- (res) &amp; U- (non-res)
Proposed: U-</v>
      </c>
      <c r="E68" s="2321">
        <f>'3.1 - ENV_ABOVE GRADE WALLS'!I71</f>
        <v>0</v>
      </c>
      <c r="F68" s="2322"/>
      <c r="G68" s="920">
        <f>'3.1 - ENV_ABOVE GRADE WALLS'!H71</f>
        <v>0</v>
      </c>
      <c r="H68" s="923"/>
      <c r="I68" s="923"/>
      <c r="J68" s="923"/>
    </row>
    <row r="69" spans="1:10" s="898" customFormat="1" ht="24">
      <c r="A69" s="971" t="s">
        <v>3299</v>
      </c>
      <c r="B69" s="941" t="s">
        <v>3296</v>
      </c>
      <c r="C69" s="919" t="str">
        <f>'3.1 - ENV_ABOVE GRADE WALLS'!F72</f>
        <v>, U-</v>
      </c>
      <c r="D69" s="920" t="str">
        <f>'3.1 - ENV_ABOVE GRADE WALLS'!G72</f>
        <v>Baseline: U- (res) &amp; U- (non-res)
Proposed: U-</v>
      </c>
      <c r="E69" s="2321">
        <f>'3.1 - ENV_ABOVE GRADE WALLS'!I72</f>
        <v>0</v>
      </c>
      <c r="F69" s="2322"/>
      <c r="G69" s="920">
        <f>'3.1 - ENV_ABOVE GRADE WALLS'!H72</f>
        <v>0</v>
      </c>
      <c r="H69" s="923"/>
      <c r="I69" s="923"/>
      <c r="J69" s="923"/>
    </row>
    <row r="70" spans="1:10" s="898" customFormat="1">
      <c r="A70" s="970" t="s">
        <v>4562</v>
      </c>
      <c r="B70" s="941" t="s">
        <v>3298</v>
      </c>
      <c r="C70" s="919" t="s">
        <v>2677</v>
      </c>
      <c r="D70" s="920" t="s">
        <v>2677</v>
      </c>
      <c r="E70" s="2321">
        <f>'3.1 - ENV_ABOVE GRADE WALLS'!I73</f>
        <v>0</v>
      </c>
      <c r="F70" s="2322"/>
      <c r="G70" s="920">
        <f>'3.1 - ENV_ABOVE GRADE WALLS'!H73</f>
        <v>0</v>
      </c>
      <c r="H70" s="923"/>
      <c r="I70" s="923"/>
      <c r="J70" s="923"/>
    </row>
    <row r="71" spans="1:10" s="898" customFormat="1" ht="12.75" thickBot="1">
      <c r="A71" s="971" t="s">
        <v>4563</v>
      </c>
      <c r="B71" s="962" t="s">
        <v>3300</v>
      </c>
      <c r="C71" s="949" t="s">
        <v>2677</v>
      </c>
      <c r="D71" s="950" t="s">
        <v>2677</v>
      </c>
      <c r="E71" s="2321">
        <f>'3.1 - ENV_ABOVE GRADE WALLS'!I74</f>
        <v>0</v>
      </c>
      <c r="F71" s="2322"/>
      <c r="G71" s="950">
        <f>'3.1 - ENV_ABOVE GRADE WALLS'!H74</f>
        <v>0</v>
      </c>
      <c r="H71" s="923"/>
      <c r="I71" s="923"/>
      <c r="J71" s="923"/>
    </row>
    <row r="72" spans="1:10" s="898" customFormat="1" ht="12.75" thickBot="1">
      <c r="A72" s="2354" t="s">
        <v>3301</v>
      </c>
      <c r="B72" s="2355"/>
      <c r="C72" s="2355"/>
      <c r="D72" s="2355"/>
      <c r="E72" s="2355"/>
      <c r="F72" s="2355"/>
      <c r="G72" s="2356"/>
      <c r="H72" s="923"/>
      <c r="I72" s="923"/>
      <c r="J72" s="923"/>
    </row>
    <row r="73" spans="1:10" s="898" customFormat="1">
      <c r="A73" s="969" t="s">
        <v>3302</v>
      </c>
      <c r="B73" s="963" t="s">
        <v>3303</v>
      </c>
      <c r="C73" s="945" t="str">
        <f>'3.2 - ENV_ROOF'!F46</f>
        <v>see below</v>
      </c>
      <c r="D73" s="946" t="str">
        <f>'3.2 - ENV_ROOF'!G46</f>
        <v>see below</v>
      </c>
      <c r="E73" s="2321">
        <f>'3.2 - ENV_ROOF'!I46</f>
        <v>0</v>
      </c>
      <c r="F73" s="2322"/>
      <c r="G73" s="946">
        <f>'3.2 - ENV_ROOF'!H46</f>
        <v>0</v>
      </c>
      <c r="H73" s="923"/>
      <c r="I73" s="923"/>
      <c r="J73" s="923"/>
    </row>
    <row r="74" spans="1:10" s="898" customFormat="1">
      <c r="A74" s="970" t="s">
        <v>3304</v>
      </c>
      <c r="B74" s="1841" t="s">
        <v>4568</v>
      </c>
      <c r="C74" s="945" t="str">
        <f>C73</f>
        <v>see below</v>
      </c>
      <c r="D74" s="946" t="str">
        <f>D73</f>
        <v>see below</v>
      </c>
      <c r="E74" s="2321">
        <f>'3.2 - ENV_ROOF'!I47</f>
        <v>0</v>
      </c>
      <c r="F74" s="2322"/>
      <c r="G74" s="946">
        <f>'3.2 - ENV_ROOF'!H47</f>
        <v>0</v>
      </c>
      <c r="H74" s="923"/>
      <c r="I74" s="923"/>
      <c r="J74" s="923"/>
    </row>
    <row r="75" spans="1:10" s="898" customFormat="1" ht="24">
      <c r="A75" s="970" t="s">
        <v>3306</v>
      </c>
      <c r="B75" s="941" t="s">
        <v>3305</v>
      </c>
      <c r="C75" s="919" t="str">
        <f>'3.2 - ENV_ROOF'!F48</f>
        <v>, U-</v>
      </c>
      <c r="D75" s="920" t="str">
        <f>'3.2 - ENV_ROOF'!G48</f>
        <v>Baseline: U-
Proposed: U-</v>
      </c>
      <c r="E75" s="2321">
        <f>'3.2 - ENV_ROOF'!I48</f>
        <v>0</v>
      </c>
      <c r="F75" s="2322"/>
      <c r="G75" s="920">
        <f>'3.2 - ENV_ROOF'!H48</f>
        <v>0</v>
      </c>
      <c r="H75" s="923"/>
      <c r="I75" s="923"/>
      <c r="J75" s="923"/>
    </row>
    <row r="76" spans="1:10" s="898" customFormat="1">
      <c r="A76" s="971" t="s">
        <v>3308</v>
      </c>
      <c r="B76" s="941" t="s">
        <v>3307</v>
      </c>
      <c r="C76" s="919" t="s">
        <v>2677</v>
      </c>
      <c r="D76" s="920" t="s">
        <v>2677</v>
      </c>
      <c r="E76" s="2321">
        <f>'3.2 - ENV_ROOF'!I49</f>
        <v>0</v>
      </c>
      <c r="F76" s="2322"/>
      <c r="G76" s="920">
        <f>'3.2 - ENV_ROOF'!H49</f>
        <v>0</v>
      </c>
      <c r="H76" s="923"/>
      <c r="I76" s="923"/>
      <c r="J76" s="923"/>
    </row>
    <row r="77" spans="1:10" s="898" customFormat="1" ht="12.75" thickBot="1">
      <c r="A77" s="971" t="s">
        <v>4567</v>
      </c>
      <c r="B77" s="962" t="s">
        <v>3309</v>
      </c>
      <c r="C77" s="949" t="s">
        <v>2677</v>
      </c>
      <c r="D77" s="950" t="s">
        <v>2677</v>
      </c>
      <c r="E77" s="2321">
        <f>'3.2 - ENV_ROOF'!I50</f>
        <v>0</v>
      </c>
      <c r="F77" s="2322"/>
      <c r="G77" s="950">
        <f>'3.2 - ENV_ROOF'!H50</f>
        <v>0</v>
      </c>
      <c r="H77" s="923"/>
      <c r="I77" s="923"/>
      <c r="J77" s="923"/>
    </row>
    <row r="78" spans="1:10" s="898" customFormat="1" ht="12.75" thickBot="1">
      <c r="A78" s="2354" t="s">
        <v>3310</v>
      </c>
      <c r="B78" s="2355"/>
      <c r="C78" s="2355"/>
      <c r="D78" s="2355"/>
      <c r="E78" s="2355"/>
      <c r="F78" s="2355"/>
      <c r="G78" s="2356"/>
      <c r="H78" s="923"/>
      <c r="I78" s="923"/>
      <c r="J78" s="923"/>
    </row>
    <row r="79" spans="1:10" s="898" customFormat="1">
      <c r="A79" s="969" t="s">
        <v>3311</v>
      </c>
      <c r="B79" s="963" t="s">
        <v>3312</v>
      </c>
      <c r="C79" s="945" t="str">
        <f>'3.3 - ENV_FLOORS'!F49</f>
        <v>see below</v>
      </c>
      <c r="D79" s="946" t="str">
        <f>'3.3 - ENV_FLOORS'!G49</f>
        <v>see below</v>
      </c>
      <c r="E79" s="2321">
        <f>'3.3 - ENV_FLOORS'!I49</f>
        <v>0</v>
      </c>
      <c r="F79" s="2322"/>
      <c r="G79" s="946">
        <f>'3.3 - ENV_FLOORS'!H49</f>
        <v>0</v>
      </c>
      <c r="H79" s="923"/>
      <c r="I79" s="923"/>
      <c r="J79" s="923"/>
    </row>
    <row r="80" spans="1:10" s="898" customFormat="1">
      <c r="A80" s="970" t="s">
        <v>3313</v>
      </c>
      <c r="B80" s="1841" t="s">
        <v>4571</v>
      </c>
      <c r="C80" s="945" t="str">
        <f>C79</f>
        <v>see below</v>
      </c>
      <c r="D80" s="946" t="str">
        <f>D79</f>
        <v>see below</v>
      </c>
      <c r="E80" s="2321">
        <f>'3.3 - ENV_FLOORS'!I50</f>
        <v>0</v>
      </c>
      <c r="F80" s="2322"/>
      <c r="G80" s="946">
        <f>'3.3 - ENV_FLOORS'!H50</f>
        <v>0</v>
      </c>
      <c r="H80" s="923"/>
      <c r="I80" s="923"/>
      <c r="J80" s="923"/>
    </row>
    <row r="81" spans="1:10" s="898" customFormat="1" ht="24">
      <c r="A81" s="970" t="s">
        <v>3315</v>
      </c>
      <c r="B81" s="941" t="s">
        <v>3314</v>
      </c>
      <c r="C81" s="919" t="str">
        <f>'3.3 - ENV_FLOORS'!F51</f>
        <v>, U-</v>
      </c>
      <c r="D81" s="920" t="str">
        <f>'3.3 - ENV_FLOORS'!G51</f>
        <v>Baseline: U- (res) &amp; U- (non-res)
Proposed: U-</v>
      </c>
      <c r="E81" s="2321">
        <f>'3.3 - ENV_FLOORS'!I51</f>
        <v>0</v>
      </c>
      <c r="F81" s="2322"/>
      <c r="G81" s="920">
        <f>'3.3 - ENV_FLOORS'!H51</f>
        <v>0</v>
      </c>
      <c r="H81" s="923"/>
      <c r="I81" s="923"/>
      <c r="J81" s="923"/>
    </row>
    <row r="82" spans="1:10" s="898" customFormat="1" ht="24">
      <c r="A82" s="970" t="s">
        <v>3317</v>
      </c>
      <c r="B82" s="941" t="s">
        <v>3316</v>
      </c>
      <c r="C82" s="919" t="str">
        <f>'3.3 - ENV_FLOORS'!F52</f>
        <v>, C-</v>
      </c>
      <c r="D82" s="920" t="str">
        <f>'3.3 - ENV_FLOORS'!G52</f>
        <v>Baseline: C-
Proposed: C-</v>
      </c>
      <c r="E82" s="2321">
        <f>'3.3 - ENV_FLOORS'!I52</f>
        <v>0</v>
      </c>
      <c r="F82" s="2322"/>
      <c r="G82" s="920">
        <f>'3.3 - ENV_FLOORS'!H52</f>
        <v>0</v>
      </c>
      <c r="H82" s="923"/>
      <c r="I82" s="923"/>
      <c r="J82" s="923"/>
    </row>
    <row r="83" spans="1:10" s="898" customFormat="1" ht="24">
      <c r="A83" s="970" t="s">
        <v>3319</v>
      </c>
      <c r="B83" s="941" t="s">
        <v>3318</v>
      </c>
      <c r="C83" s="919" t="str">
        <f>'3.3 - ENV_FLOORS'!F53</f>
        <v>, F-</v>
      </c>
      <c r="D83" s="920" t="str">
        <f>'3.3 - ENV_FLOORS'!G53</f>
        <v>Baseline: F- (res) &amp; F- (non-res)
Proposed: F-</v>
      </c>
      <c r="E83" s="2321">
        <f>'3.3 - ENV_FLOORS'!I53</f>
        <v>0</v>
      </c>
      <c r="F83" s="2322"/>
      <c r="G83" s="920">
        <f>'3.3 - ENV_FLOORS'!H53</f>
        <v>0</v>
      </c>
      <c r="H83" s="923"/>
      <c r="I83" s="923"/>
      <c r="J83" s="923"/>
    </row>
    <row r="84" spans="1:10" s="898" customFormat="1" ht="24">
      <c r="A84" s="970" t="s">
        <v>3321</v>
      </c>
      <c r="B84" s="941" t="s">
        <v>3320</v>
      </c>
      <c r="C84" s="919" t="str">
        <f>'3.3 - ENV_FLOORS'!F54</f>
        <v>, F-</v>
      </c>
      <c r="D84" s="920" t="str">
        <f>'3.3 - ENV_FLOORS'!G54</f>
        <v>Baseline: F- (res) &amp; F- (non-res)
Proposed: F-</v>
      </c>
      <c r="E84" s="2321">
        <f>'3.3 - ENV_FLOORS'!I54</f>
        <v>0</v>
      </c>
      <c r="F84" s="2322"/>
      <c r="G84" s="920">
        <f>'3.3 - ENV_FLOORS'!H54</f>
        <v>0</v>
      </c>
      <c r="H84" s="923"/>
      <c r="I84" s="923"/>
      <c r="J84" s="923"/>
    </row>
    <row r="85" spans="1:10" s="898" customFormat="1">
      <c r="A85" s="971" t="s">
        <v>3322</v>
      </c>
      <c r="B85" s="941" t="s">
        <v>3307</v>
      </c>
      <c r="C85" s="919" t="s">
        <v>2677</v>
      </c>
      <c r="D85" s="920" t="s">
        <v>2677</v>
      </c>
      <c r="E85" s="2321">
        <f>'3.3 - ENV_FLOORS'!I55</f>
        <v>0</v>
      </c>
      <c r="F85" s="2322"/>
      <c r="G85" s="920">
        <f>'3.3 - ENV_FLOORS'!H55</f>
        <v>0</v>
      </c>
      <c r="H85" s="923"/>
      <c r="I85" s="923"/>
      <c r="J85" s="923"/>
    </row>
    <row r="86" spans="1:10" s="898" customFormat="1" ht="12.75" thickBot="1">
      <c r="A86" s="971" t="s">
        <v>4570</v>
      </c>
      <c r="B86" s="962" t="s">
        <v>3309</v>
      </c>
      <c r="C86" s="949" t="s">
        <v>2677</v>
      </c>
      <c r="D86" s="950" t="s">
        <v>2677</v>
      </c>
      <c r="E86" s="2321">
        <f>'3.3 - ENV_FLOORS'!I56</f>
        <v>0</v>
      </c>
      <c r="F86" s="2322"/>
      <c r="G86" s="950">
        <f>'3.3 - ENV_FLOORS'!H56</f>
        <v>0</v>
      </c>
      <c r="H86" s="923"/>
      <c r="I86" s="923"/>
      <c r="J86" s="923"/>
    </row>
    <row r="87" spans="1:10" s="898" customFormat="1" ht="12.75" thickBot="1">
      <c r="A87" s="2354" t="s">
        <v>3323</v>
      </c>
      <c r="B87" s="2355"/>
      <c r="C87" s="2355"/>
      <c r="D87" s="2355"/>
      <c r="E87" s="2355"/>
      <c r="F87" s="2355"/>
      <c r="G87" s="2356"/>
      <c r="H87" s="923"/>
      <c r="I87" s="923"/>
      <c r="J87" s="923"/>
    </row>
    <row r="88" spans="1:10" s="898" customFormat="1" ht="24">
      <c r="A88" s="969" t="s">
        <v>3324</v>
      </c>
      <c r="B88" s="963" t="s">
        <v>3325</v>
      </c>
      <c r="C88" s="945" t="str">
        <f>'3.4 - ENV_WINDOWS'!I41</f>
        <v>, , U-, SHGC-</v>
      </c>
      <c r="D88" s="946" t="str">
        <f>'3.4 - ENV_WINDOWS'!K41</f>
        <v>Baseline: U-, SHGC-
Proposed: U-, SHGC-</v>
      </c>
      <c r="E88" s="2321">
        <f>'3.4 - ENV_WINDOWS'!N41</f>
        <v>0</v>
      </c>
      <c r="F88" s="2322"/>
      <c r="G88" s="946">
        <f>'3.4 - ENV_WINDOWS'!M41</f>
        <v>0</v>
      </c>
      <c r="H88" s="923"/>
      <c r="I88" s="923"/>
      <c r="J88" s="923"/>
    </row>
    <row r="89" spans="1:10" s="898" customFormat="1">
      <c r="A89" s="969" t="s">
        <v>3326</v>
      </c>
      <c r="B89" s="963" t="s">
        <v>4479</v>
      </c>
      <c r="C89" s="919" t="s">
        <v>2677</v>
      </c>
      <c r="D89" s="920" t="s">
        <v>2677</v>
      </c>
      <c r="E89" s="2321">
        <f>'3.4 - ENV_WINDOWS'!N42</f>
        <v>0</v>
      </c>
      <c r="F89" s="2322"/>
      <c r="G89" s="920">
        <f>'3.4 - ENV_WINDOWS'!M42</f>
        <v>0</v>
      </c>
      <c r="H89" s="923"/>
      <c r="I89" s="923"/>
      <c r="J89" s="923"/>
    </row>
    <row r="90" spans="1:10" s="898" customFormat="1">
      <c r="A90" s="970" t="s">
        <v>3328</v>
      </c>
      <c r="B90" s="941" t="s">
        <v>3327</v>
      </c>
      <c r="C90" s="919" t="s">
        <v>2677</v>
      </c>
      <c r="D90" s="920" t="s">
        <v>2677</v>
      </c>
      <c r="E90" s="2321">
        <f>'3.4 - ENV_WINDOWS'!N43</f>
        <v>0</v>
      </c>
      <c r="F90" s="2322"/>
      <c r="G90" s="920">
        <f>'3.4 - ENV_WINDOWS'!M43</f>
        <v>0</v>
      </c>
      <c r="H90" s="923"/>
      <c r="I90" s="923"/>
      <c r="J90" s="923"/>
    </row>
    <row r="91" spans="1:10" s="898" customFormat="1">
      <c r="A91" s="970" t="s">
        <v>3330</v>
      </c>
      <c r="B91" s="941" t="s">
        <v>3329</v>
      </c>
      <c r="C91" s="919" t="s">
        <v>2677</v>
      </c>
      <c r="D91" s="920" t="s">
        <v>2677</v>
      </c>
      <c r="E91" s="2321">
        <f>'3.4 - ENV_WINDOWS'!N44</f>
        <v>0</v>
      </c>
      <c r="F91" s="2322"/>
      <c r="G91" s="920">
        <f>'3.4 - ENV_WINDOWS'!M44</f>
        <v>0</v>
      </c>
      <c r="H91" s="923"/>
      <c r="I91" s="923"/>
      <c r="J91" s="923"/>
    </row>
    <row r="92" spans="1:10" s="898" customFormat="1">
      <c r="A92" s="970" t="s">
        <v>3332</v>
      </c>
      <c r="B92" s="941" t="s">
        <v>3331</v>
      </c>
      <c r="C92" s="919" t="s">
        <v>2677</v>
      </c>
      <c r="D92" s="920" t="s">
        <v>2677</v>
      </c>
      <c r="E92" s="2321">
        <f>'3.4 - ENV_WINDOWS'!N45</f>
        <v>0</v>
      </c>
      <c r="F92" s="2322"/>
      <c r="G92" s="920">
        <f>'3.4 - ENV_WINDOWS'!M45</f>
        <v>0</v>
      </c>
      <c r="H92" s="923"/>
      <c r="I92" s="923"/>
      <c r="J92" s="923"/>
    </row>
    <row r="93" spans="1:10" s="898" customFormat="1">
      <c r="A93" s="970" t="s">
        <v>3334</v>
      </c>
      <c r="B93" s="941" t="s">
        <v>3333</v>
      </c>
      <c r="C93" s="919" t="s">
        <v>2677</v>
      </c>
      <c r="D93" s="920" t="s">
        <v>2677</v>
      </c>
      <c r="E93" s="2321">
        <f>'3.4 - ENV_WINDOWS'!N46</f>
        <v>0</v>
      </c>
      <c r="F93" s="2322"/>
      <c r="G93" s="920">
        <f>'3.4 - ENV_WINDOWS'!M46</f>
        <v>0</v>
      </c>
      <c r="H93" s="923"/>
      <c r="I93" s="923"/>
      <c r="J93" s="923"/>
    </row>
    <row r="94" spans="1:10" s="898" customFormat="1">
      <c r="A94" s="970" t="s">
        <v>3336</v>
      </c>
      <c r="B94" s="941" t="s">
        <v>3335</v>
      </c>
      <c r="C94" s="919" t="s">
        <v>2677</v>
      </c>
      <c r="D94" s="920" t="s">
        <v>2677</v>
      </c>
      <c r="E94" s="2321">
        <f>'3.4 - ENV_WINDOWS'!N47</f>
        <v>0</v>
      </c>
      <c r="F94" s="2322"/>
      <c r="G94" s="920">
        <f>'3.4 - ENV_WINDOWS'!M47</f>
        <v>0</v>
      </c>
      <c r="H94" s="923"/>
      <c r="I94" s="923"/>
      <c r="J94" s="923"/>
    </row>
    <row r="95" spans="1:10" s="898" customFormat="1" ht="12.75" thickBot="1">
      <c r="A95" s="970" t="s">
        <v>4480</v>
      </c>
      <c r="B95" s="941" t="s">
        <v>3215</v>
      </c>
      <c r="C95" s="921" t="s">
        <v>2677</v>
      </c>
      <c r="D95" s="922" t="s">
        <v>2677</v>
      </c>
      <c r="E95" s="2321">
        <f>'3.4 - ENV_WINDOWS'!N48</f>
        <v>0</v>
      </c>
      <c r="F95" s="2322"/>
      <c r="G95" s="922">
        <f>'3.4 - ENV_WINDOWS'!M48</f>
        <v>0</v>
      </c>
      <c r="H95" s="923"/>
      <c r="I95" s="923"/>
      <c r="J95" s="923"/>
    </row>
    <row r="96" spans="1:10" s="898" customFormat="1" ht="12.75" thickBot="1">
      <c r="A96" s="2350" t="s">
        <v>3337</v>
      </c>
      <c r="B96" s="2351"/>
      <c r="C96" s="2352"/>
      <c r="D96" s="2352"/>
      <c r="E96" s="2352"/>
      <c r="F96" s="2352"/>
      <c r="G96" s="2353"/>
      <c r="H96" s="923"/>
      <c r="I96" s="923"/>
      <c r="J96" s="923"/>
    </row>
    <row r="97" spans="1:38" s="898" customFormat="1" ht="24">
      <c r="A97" s="970" t="s">
        <v>3338</v>
      </c>
      <c r="B97" s="941" t="s">
        <v>3339</v>
      </c>
      <c r="C97" s="914" t="str">
        <f>'3.5 - ENV_EXTERIOR DOORS'!F39</f>
        <v>, U-</v>
      </c>
      <c r="D97" s="915" t="str">
        <f>'3.5 - ENV_EXTERIOR DOORS'!H39</f>
        <v>Baseline: U-
Proposed: U-</v>
      </c>
      <c r="E97" s="2321">
        <f>'3.5 - ENV_EXTERIOR DOORS'!K39</f>
        <v>0</v>
      </c>
      <c r="F97" s="2322"/>
      <c r="G97" s="915">
        <f>'3.5 - ENV_EXTERIOR DOORS'!J39</f>
        <v>0</v>
      </c>
      <c r="H97" s="923"/>
      <c r="I97" s="923"/>
      <c r="J97" s="923"/>
    </row>
    <row r="98" spans="1:38" s="898" customFormat="1">
      <c r="A98" s="970" t="s">
        <v>3340</v>
      </c>
      <c r="B98" s="941" t="s">
        <v>3341</v>
      </c>
      <c r="C98" s="919" t="s">
        <v>2677</v>
      </c>
      <c r="D98" s="920" t="s">
        <v>2677</v>
      </c>
      <c r="E98" s="2321">
        <f>'3.5 - ENV_EXTERIOR DOORS'!K40</f>
        <v>0</v>
      </c>
      <c r="F98" s="2322"/>
      <c r="G98" s="920">
        <f>'3.5 - ENV_EXTERIOR DOORS'!J40</f>
        <v>0</v>
      </c>
      <c r="H98" s="923"/>
      <c r="I98" s="923"/>
      <c r="J98" s="923"/>
    </row>
    <row r="99" spans="1:38" s="898" customFormat="1">
      <c r="A99" s="970" t="s">
        <v>3342</v>
      </c>
      <c r="B99" s="941" t="s">
        <v>3343</v>
      </c>
      <c r="C99" s="919" t="s">
        <v>2677</v>
      </c>
      <c r="D99" s="920" t="s">
        <v>2677</v>
      </c>
      <c r="E99" s="2321">
        <f>'3.5 - ENV_EXTERIOR DOORS'!K41</f>
        <v>0</v>
      </c>
      <c r="F99" s="2322"/>
      <c r="G99" s="920">
        <f>'3.5 - ENV_EXTERIOR DOORS'!J41</f>
        <v>0</v>
      </c>
      <c r="H99" s="923"/>
      <c r="I99" s="923"/>
      <c r="J99" s="923"/>
    </row>
    <row r="100" spans="1:38">
      <c r="A100" s="970" t="s">
        <v>3344</v>
      </c>
      <c r="B100" s="941" t="s">
        <v>3345</v>
      </c>
      <c r="C100" s="919" t="s">
        <v>2677</v>
      </c>
      <c r="D100" s="920" t="s">
        <v>2677</v>
      </c>
      <c r="E100" s="2321">
        <f>'3.5 - ENV_EXTERIOR DOORS'!K42</f>
        <v>0</v>
      </c>
      <c r="F100" s="2322"/>
      <c r="G100" s="920">
        <f>'3.5 - ENV_EXTERIOR DOORS'!J42</f>
        <v>0</v>
      </c>
      <c r="H100" s="923"/>
      <c r="I100" s="923"/>
      <c r="J100" s="923"/>
    </row>
    <row r="101" spans="1:38">
      <c r="A101" s="970" t="s">
        <v>3346</v>
      </c>
      <c r="B101" s="941" t="s">
        <v>3347</v>
      </c>
      <c r="C101" s="919" t="s">
        <v>2677</v>
      </c>
      <c r="D101" s="920" t="s">
        <v>2677</v>
      </c>
      <c r="E101" s="2321">
        <f>'3.5 - ENV_EXTERIOR DOORS'!K43</f>
        <v>0</v>
      </c>
      <c r="F101" s="2322"/>
      <c r="G101" s="920">
        <f>'3.5 - ENV_EXTERIOR DOORS'!J43</f>
        <v>0</v>
      </c>
      <c r="H101" s="923"/>
      <c r="I101" s="923"/>
      <c r="J101" s="923"/>
    </row>
    <row r="102" spans="1:38" ht="12.75" thickBot="1">
      <c r="A102" s="971" t="s">
        <v>3348</v>
      </c>
      <c r="B102" s="962" t="s">
        <v>3215</v>
      </c>
      <c r="C102" s="949" t="s">
        <v>2677</v>
      </c>
      <c r="D102" s="950" t="s">
        <v>2677</v>
      </c>
      <c r="E102" s="2321">
        <f>'3.5 - ENV_EXTERIOR DOORS'!K44</f>
        <v>0</v>
      </c>
      <c r="F102" s="2322"/>
      <c r="G102" s="950">
        <f>'3.5 - ENV_EXTERIOR DOORS'!J44</f>
        <v>0</v>
      </c>
      <c r="H102" s="923"/>
      <c r="I102" s="923"/>
      <c r="J102" s="923"/>
    </row>
    <row r="103" spans="1:38" s="913" customFormat="1" ht="12.75" thickBot="1">
      <c r="A103" s="953">
        <v>4</v>
      </c>
      <c r="B103" s="2336" t="s">
        <v>3349</v>
      </c>
      <c r="C103" s="2336"/>
      <c r="D103" s="2336"/>
      <c r="E103" s="2336"/>
      <c r="F103" s="2336"/>
      <c r="G103" s="2337"/>
      <c r="H103" s="911"/>
      <c r="I103" s="911"/>
      <c r="J103" s="911"/>
      <c r="K103" s="912"/>
      <c r="L103" s="912"/>
      <c r="M103" s="912"/>
      <c r="N103" s="912"/>
      <c r="O103" s="912"/>
      <c r="P103" s="912"/>
      <c r="Q103" s="912"/>
      <c r="R103" s="912"/>
      <c r="S103" s="912"/>
      <c r="T103" s="912"/>
      <c r="U103" s="912"/>
      <c r="V103" s="912"/>
      <c r="W103" s="912"/>
      <c r="X103" s="912"/>
      <c r="Y103" s="912"/>
      <c r="Z103" s="912"/>
      <c r="AA103" s="912"/>
      <c r="AB103" s="912"/>
      <c r="AC103" s="912"/>
      <c r="AD103" s="912"/>
      <c r="AE103" s="912"/>
      <c r="AF103" s="912"/>
      <c r="AG103" s="912"/>
      <c r="AH103" s="912"/>
      <c r="AI103" s="912"/>
      <c r="AJ103" s="912"/>
      <c r="AK103" s="912"/>
      <c r="AL103" s="912"/>
    </row>
    <row r="104" spans="1:38">
      <c r="A104" s="969" t="s">
        <v>3350</v>
      </c>
      <c r="B104" s="938" t="s">
        <v>3351</v>
      </c>
      <c r="C104" s="958" t="s">
        <v>2677</v>
      </c>
      <c r="D104" s="944" t="s">
        <v>2677</v>
      </c>
      <c r="E104" s="2321">
        <f>'4.2 - GARAGES_CMPTZ &amp; HEATING '!J23</f>
        <v>0</v>
      </c>
      <c r="F104" s="2322"/>
      <c r="G104" s="944">
        <f>'4.2 - GARAGES_CMPTZ &amp; HEATING '!I23</f>
        <v>0</v>
      </c>
      <c r="H104" s="923"/>
      <c r="I104" s="923"/>
      <c r="J104" s="923"/>
    </row>
    <row r="105" spans="1:38">
      <c r="A105" s="970" t="s">
        <v>3352</v>
      </c>
      <c r="B105" s="939" t="s">
        <v>3353</v>
      </c>
      <c r="C105" s="924" t="s">
        <v>2677</v>
      </c>
      <c r="D105" s="925" t="s">
        <v>2677</v>
      </c>
      <c r="E105" s="2321">
        <f>'4.2 - GARAGES_CMPTZ &amp; HEATING '!J24</f>
        <v>0</v>
      </c>
      <c r="F105" s="2322"/>
      <c r="G105" s="925">
        <f>'4.2 - GARAGES_CMPTZ &amp; HEATING '!I24</f>
        <v>0</v>
      </c>
      <c r="H105" s="923"/>
      <c r="I105" s="923"/>
      <c r="J105" s="923"/>
    </row>
    <row r="106" spans="1:38">
      <c r="A106" s="970" t="s">
        <v>3354</v>
      </c>
      <c r="B106" s="939" t="s">
        <v>3307</v>
      </c>
      <c r="C106" s="924" t="s">
        <v>2677</v>
      </c>
      <c r="D106" s="925" t="s">
        <v>2677</v>
      </c>
      <c r="E106" s="2321">
        <f>'4.2 - GARAGES_CMPTZ &amp; HEATING '!J25</f>
        <v>0</v>
      </c>
      <c r="F106" s="2322"/>
      <c r="G106" s="925">
        <f>'4.2 - GARAGES_CMPTZ &amp; HEATING '!I25</f>
        <v>0</v>
      </c>
      <c r="H106" s="923"/>
      <c r="I106" s="923"/>
      <c r="J106" s="923"/>
    </row>
    <row r="107" spans="1:38" ht="12.75" thickBot="1">
      <c r="A107" s="971" t="s">
        <v>3355</v>
      </c>
      <c r="B107" s="964" t="s">
        <v>3356</v>
      </c>
      <c r="C107" s="961" t="s">
        <v>2677</v>
      </c>
      <c r="D107" s="948" t="s">
        <v>2677</v>
      </c>
      <c r="E107" s="2321">
        <f>'4.2 - GARAGES_CMPTZ &amp; HEATING '!J26</f>
        <v>0</v>
      </c>
      <c r="F107" s="2322"/>
      <c r="G107" s="948">
        <f>'4.2 - GARAGES_CMPTZ &amp; HEATING '!I26</f>
        <v>0</v>
      </c>
      <c r="H107" s="923"/>
      <c r="I107" s="923"/>
      <c r="J107" s="923"/>
    </row>
    <row r="108" spans="1:38" s="913" customFormat="1" ht="12.75" thickBot="1">
      <c r="A108" s="953">
        <v>5</v>
      </c>
      <c r="B108" s="2336" t="s">
        <v>3357</v>
      </c>
      <c r="C108" s="2336"/>
      <c r="D108" s="2336"/>
      <c r="E108" s="2336"/>
      <c r="F108" s="2336"/>
      <c r="G108" s="2337"/>
      <c r="H108" s="911"/>
      <c r="I108" s="911"/>
      <c r="J108" s="911"/>
      <c r="K108" s="912"/>
      <c r="L108" s="912"/>
      <c r="M108" s="912"/>
      <c r="N108" s="912"/>
      <c r="O108" s="912"/>
      <c r="P108" s="912"/>
      <c r="Q108" s="912"/>
      <c r="R108" s="912"/>
      <c r="S108" s="912"/>
      <c r="T108" s="912"/>
      <c r="U108" s="912"/>
      <c r="V108" s="912"/>
      <c r="W108" s="912"/>
      <c r="X108" s="912"/>
      <c r="Y108" s="912"/>
      <c r="Z108" s="912"/>
      <c r="AA108" s="912"/>
      <c r="AB108" s="912"/>
      <c r="AC108" s="912"/>
      <c r="AD108" s="912"/>
      <c r="AE108" s="912"/>
      <c r="AF108" s="912"/>
      <c r="AG108" s="912"/>
      <c r="AH108" s="912"/>
      <c r="AI108" s="912"/>
      <c r="AJ108" s="912"/>
      <c r="AK108" s="912"/>
      <c r="AL108" s="912"/>
    </row>
    <row r="109" spans="1:38" ht="12.75" thickBot="1">
      <c r="A109" s="968" t="s">
        <v>3358</v>
      </c>
      <c r="B109" s="965" t="s">
        <v>3218</v>
      </c>
      <c r="C109" s="956" t="str">
        <f>'5.2, 5.4 - COOLING'!I33</f>
        <v>see below</v>
      </c>
      <c r="D109" s="957" t="str">
        <f>'5.2, 5.4 - COOLING'!K33</f>
        <v>see below</v>
      </c>
      <c r="E109" s="2321">
        <f>'5.2, 5.4 - COOLING'!N33</f>
        <v>0</v>
      </c>
      <c r="F109" s="2322"/>
      <c r="G109" s="957">
        <f>'5.2, 5.4 - COOLING'!M33</f>
        <v>0</v>
      </c>
      <c r="H109" s="923"/>
      <c r="I109" s="923"/>
      <c r="J109" s="923"/>
    </row>
    <row r="110" spans="1:38" ht="12.75" thickBot="1">
      <c r="A110" s="2323" t="s">
        <v>3219</v>
      </c>
      <c r="B110" s="2324"/>
      <c r="C110" s="2324"/>
      <c r="D110" s="2324"/>
      <c r="E110" s="2324"/>
      <c r="F110" s="2324"/>
      <c r="G110" s="2325"/>
      <c r="H110" s="923"/>
      <c r="I110" s="923"/>
      <c r="J110" s="923"/>
    </row>
    <row r="111" spans="1:38" ht="36">
      <c r="A111" s="969" t="s">
        <v>3359</v>
      </c>
      <c r="B111" s="938" t="s">
        <v>3171</v>
      </c>
      <c r="C111" s="958" t="str">
        <f>'5.2, 5.4 - COOLING'!I35</f>
        <v>Primary System:   serving ,  SEER 
Secondary system:   serving ,  SEER</v>
      </c>
      <c r="D111" s="944" t="str">
        <f>'5.2, 5.4 - COOLING'!K35</f>
        <v>Baseline:  SEER
Proposed (Primary):  SEER
Proposed (Secondary):  SEER</v>
      </c>
      <c r="E111" s="2321">
        <f>'5.2, 5.4 - COOLING'!N35</f>
        <v>0</v>
      </c>
      <c r="F111" s="2322"/>
      <c r="G111" s="944">
        <f>'5.2, 5.4 - COOLING'!M35</f>
        <v>0</v>
      </c>
      <c r="H111" s="923"/>
      <c r="I111" s="923"/>
      <c r="J111" s="923"/>
    </row>
    <row r="112" spans="1:38" ht="36">
      <c r="A112" s="970" t="s">
        <v>3360</v>
      </c>
      <c r="B112" s="939" t="s">
        <v>3361</v>
      </c>
      <c r="C112" s="924" t="str">
        <f>'5.2, 5.4 - COOLING'!I36</f>
        <v>Primary system:  tons
Secondary system:  tons</v>
      </c>
      <c r="D112" s="925" t="str">
        <f>'5.2, 5.4 - COOLING'!K36</f>
        <v>Baseline:  tons
Proposed (primary):  tons
Proposed (secondary):  tons</v>
      </c>
      <c r="E112" s="2321">
        <f>'5.2, 5.4 - COOLING'!N36</f>
        <v>0</v>
      </c>
      <c r="F112" s="2322"/>
      <c r="G112" s="925">
        <f>'5.2, 5.4 - COOLING'!M36</f>
        <v>0</v>
      </c>
      <c r="H112" s="923"/>
      <c r="I112" s="923"/>
      <c r="J112" s="923"/>
    </row>
    <row r="113" spans="1:38" ht="24.75" thickBot="1">
      <c r="A113" s="971" t="s">
        <v>3362</v>
      </c>
      <c r="B113" s="964" t="s">
        <v>3363</v>
      </c>
      <c r="C113" s="961" t="str">
        <f>'5.2, 5.4 - COOLING'!I37</f>
        <v>None</v>
      </c>
      <c r="D113" s="948" t="str">
        <f>'5.2, 5.4 - COOLING'!K37</f>
        <v xml:space="preserve">Baseline: None
Proposed: </v>
      </c>
      <c r="E113" s="2321">
        <f>'5.2, 5.4 - COOLING'!N37</f>
        <v>0</v>
      </c>
      <c r="F113" s="2322"/>
      <c r="G113" s="948">
        <f>'5.2, 5.4 - COOLING'!M37</f>
        <v>0</v>
      </c>
      <c r="H113" s="923"/>
      <c r="I113" s="923"/>
      <c r="J113" s="923"/>
    </row>
    <row r="114" spans="1:38" ht="12.75" thickBot="1">
      <c r="A114" s="2323" t="s">
        <v>3243</v>
      </c>
      <c r="B114" s="2324"/>
      <c r="C114" s="2324"/>
      <c r="D114" s="2324"/>
      <c r="E114" s="2324"/>
      <c r="F114" s="2324"/>
      <c r="G114" s="2325"/>
      <c r="H114" s="923"/>
      <c r="I114" s="923"/>
      <c r="J114" s="923"/>
      <c r="K114" s="897"/>
      <c r="L114" s="897"/>
      <c r="M114" s="897"/>
      <c r="N114" s="897"/>
      <c r="O114" s="897"/>
      <c r="P114" s="897"/>
      <c r="Q114" s="897"/>
      <c r="R114" s="897"/>
      <c r="S114" s="897"/>
      <c r="T114" s="897"/>
      <c r="U114" s="897"/>
      <c r="V114" s="897"/>
      <c r="W114" s="897"/>
      <c r="X114" s="897"/>
      <c r="Y114" s="897"/>
      <c r="Z114" s="897"/>
      <c r="AA114" s="897"/>
      <c r="AB114" s="897"/>
      <c r="AC114" s="897"/>
      <c r="AD114" s="897"/>
      <c r="AE114" s="897"/>
      <c r="AF114" s="897"/>
      <c r="AG114" s="897"/>
      <c r="AH114" s="897"/>
      <c r="AI114" s="897"/>
      <c r="AJ114" s="897"/>
      <c r="AK114" s="897"/>
      <c r="AL114" s="897"/>
    </row>
    <row r="115" spans="1:38">
      <c r="A115" s="969" t="s">
        <v>3364</v>
      </c>
      <c r="B115" s="938" t="s">
        <v>3365</v>
      </c>
      <c r="C115" s="958" t="s">
        <v>2677</v>
      </c>
      <c r="D115" s="944" t="s">
        <v>2677</v>
      </c>
      <c r="E115" s="2321">
        <f>'5.2, 5.4 - COOLING'!N39</f>
        <v>0</v>
      </c>
      <c r="F115" s="2322"/>
      <c r="G115" s="944">
        <f>'5.2, 5.4 - COOLING'!M39</f>
        <v>0</v>
      </c>
      <c r="H115" s="923"/>
      <c r="I115" s="923"/>
      <c r="J115" s="923"/>
      <c r="K115" s="897"/>
      <c r="L115" s="897"/>
      <c r="M115" s="897"/>
      <c r="N115" s="897"/>
      <c r="O115" s="897"/>
      <c r="P115" s="897"/>
      <c r="Q115" s="897"/>
      <c r="R115" s="897"/>
      <c r="S115" s="897"/>
      <c r="T115" s="897"/>
      <c r="U115" s="897"/>
      <c r="V115" s="897"/>
      <c r="W115" s="897"/>
      <c r="X115" s="897"/>
      <c r="Y115" s="897"/>
      <c r="Z115" s="897"/>
      <c r="AA115" s="897"/>
      <c r="AB115" s="897"/>
      <c r="AC115" s="897"/>
      <c r="AD115" s="897"/>
      <c r="AE115" s="897"/>
      <c r="AF115" s="897"/>
      <c r="AG115" s="897"/>
      <c r="AH115" s="897"/>
      <c r="AI115" s="897"/>
      <c r="AJ115" s="897"/>
      <c r="AK115" s="897"/>
      <c r="AL115" s="897"/>
    </row>
    <row r="116" spans="1:38" s="898" customFormat="1">
      <c r="A116" s="970" t="s">
        <v>3366</v>
      </c>
      <c r="B116" s="939" t="s">
        <v>3367</v>
      </c>
      <c r="C116" s="924" t="s">
        <v>2677</v>
      </c>
      <c r="D116" s="925" t="s">
        <v>2677</v>
      </c>
      <c r="E116" s="2321">
        <f>'5.2, 5.4 - COOLING'!N40</f>
        <v>0</v>
      </c>
      <c r="F116" s="2322"/>
      <c r="G116" s="925">
        <f>'5.2, 5.4 - COOLING'!M40</f>
        <v>0</v>
      </c>
      <c r="H116" s="923"/>
      <c r="I116" s="923"/>
      <c r="J116" s="923"/>
    </row>
    <row r="117" spans="1:38" s="898" customFormat="1">
      <c r="A117" s="970" t="s">
        <v>3368</v>
      </c>
      <c r="B117" s="939" t="s">
        <v>3369</v>
      </c>
      <c r="C117" s="924" t="s">
        <v>2677</v>
      </c>
      <c r="D117" s="925" t="s">
        <v>2677</v>
      </c>
      <c r="E117" s="2321">
        <f>'5.2, 5.4 - COOLING'!N41</f>
        <v>0</v>
      </c>
      <c r="F117" s="2322"/>
      <c r="G117" s="925">
        <f>'5.2, 5.4 - COOLING'!M41</f>
        <v>0</v>
      </c>
      <c r="H117" s="923"/>
      <c r="I117" s="923"/>
      <c r="J117" s="923"/>
    </row>
    <row r="118" spans="1:38" s="898" customFormat="1">
      <c r="A118" s="970" t="s">
        <v>3370</v>
      </c>
      <c r="B118" s="939" t="s">
        <v>3371</v>
      </c>
      <c r="C118" s="924" t="s">
        <v>2677</v>
      </c>
      <c r="D118" s="925" t="s">
        <v>2677</v>
      </c>
      <c r="E118" s="2321">
        <f>'5.2, 5.4 - COOLING'!N42</f>
        <v>0</v>
      </c>
      <c r="F118" s="2322"/>
      <c r="G118" s="925">
        <f>'5.2, 5.4 - COOLING'!M42</f>
        <v>0</v>
      </c>
      <c r="H118" s="923"/>
      <c r="I118" s="923"/>
      <c r="J118" s="923"/>
    </row>
    <row r="119" spans="1:38" s="898" customFormat="1">
      <c r="A119" s="970" t="s">
        <v>3372</v>
      </c>
      <c r="B119" s="939" t="s">
        <v>3373</v>
      </c>
      <c r="C119" s="924" t="s">
        <v>2677</v>
      </c>
      <c r="D119" s="925" t="s">
        <v>2677</v>
      </c>
      <c r="E119" s="2321">
        <f>'5.2, 5.4 - COOLING'!N43</f>
        <v>0</v>
      </c>
      <c r="F119" s="2322"/>
      <c r="G119" s="925">
        <f>'5.2, 5.4 - COOLING'!M43</f>
        <v>0</v>
      </c>
      <c r="H119" s="923"/>
      <c r="I119" s="923"/>
      <c r="J119" s="923"/>
    </row>
    <row r="120" spans="1:38" s="898" customFormat="1" ht="12.75" thickBot="1">
      <c r="A120" s="971" t="s">
        <v>3374</v>
      </c>
      <c r="B120" s="964" t="s">
        <v>3375</v>
      </c>
      <c r="C120" s="961" t="s">
        <v>2677</v>
      </c>
      <c r="D120" s="948" t="s">
        <v>2677</v>
      </c>
      <c r="E120" s="2321">
        <f>'5.2, 5.4 - COOLING'!N44</f>
        <v>0</v>
      </c>
      <c r="F120" s="2322"/>
      <c r="G120" s="948">
        <f>'5.2, 5.4 - COOLING'!M44</f>
        <v>0</v>
      </c>
      <c r="H120" s="923"/>
      <c r="I120" s="923"/>
      <c r="J120" s="923"/>
    </row>
    <row r="121" spans="1:38" s="898" customFormat="1" ht="12.75" thickBot="1">
      <c r="A121" s="2323" t="s">
        <v>3376</v>
      </c>
      <c r="B121" s="2324"/>
      <c r="C121" s="2324"/>
      <c r="D121" s="2324"/>
      <c r="E121" s="2324"/>
      <c r="F121" s="2324"/>
      <c r="G121" s="2325"/>
      <c r="H121" s="923"/>
      <c r="I121" s="923"/>
      <c r="J121" s="923"/>
    </row>
    <row r="122" spans="1:38" s="898" customFormat="1">
      <c r="A122" s="969" t="s">
        <v>3377</v>
      </c>
      <c r="B122" s="938" t="s">
        <v>3378</v>
      </c>
      <c r="C122" s="958" t="s">
        <v>2677</v>
      </c>
      <c r="D122" s="944" t="s">
        <v>2677</v>
      </c>
      <c r="E122" s="2321">
        <f>'5.2, 5.4 - COOLING'!N46</f>
        <v>0</v>
      </c>
      <c r="F122" s="2322"/>
      <c r="G122" s="944">
        <f>'5.2, 5.4 - COOLING'!M46</f>
        <v>0</v>
      </c>
      <c r="H122" s="923"/>
      <c r="I122" s="923"/>
      <c r="J122" s="923"/>
    </row>
    <row r="123" spans="1:38" s="898" customFormat="1">
      <c r="A123" s="970" t="s">
        <v>3379</v>
      </c>
      <c r="B123" s="1831" t="s">
        <v>4574</v>
      </c>
      <c r="C123" s="958" t="s">
        <v>2677</v>
      </c>
      <c r="D123" s="944" t="s">
        <v>2677</v>
      </c>
      <c r="E123" s="2321">
        <f>'5.2, 5.4 - COOLING'!N47</f>
        <v>0</v>
      </c>
      <c r="F123" s="2322"/>
      <c r="G123" s="944">
        <f>'5.2, 5.4 - COOLING'!M47</f>
        <v>0</v>
      </c>
      <c r="H123" s="923"/>
      <c r="I123" s="923"/>
      <c r="J123" s="923"/>
    </row>
    <row r="124" spans="1:38" s="898" customFormat="1">
      <c r="A124" s="970" t="s">
        <v>3381</v>
      </c>
      <c r="B124" s="939" t="s">
        <v>3380</v>
      </c>
      <c r="C124" s="924" t="s">
        <v>2677</v>
      </c>
      <c r="D124" s="925" t="s">
        <v>2677</v>
      </c>
      <c r="E124" s="2321">
        <f>'5.2, 5.4 - COOLING'!N48</f>
        <v>0</v>
      </c>
      <c r="F124" s="2322"/>
      <c r="G124" s="925">
        <f>'5.2, 5.4 - COOLING'!M48</f>
        <v>0</v>
      </c>
      <c r="H124" s="923"/>
      <c r="I124" s="923"/>
      <c r="J124" s="923"/>
    </row>
    <row r="125" spans="1:38" s="898" customFormat="1">
      <c r="A125" s="970" t="s">
        <v>3383</v>
      </c>
      <c r="B125" s="939" t="s">
        <v>3382</v>
      </c>
      <c r="C125" s="924" t="s">
        <v>2677</v>
      </c>
      <c r="D125" s="925" t="s">
        <v>2677</v>
      </c>
      <c r="E125" s="2321">
        <f>'5.2, 5.4 - COOLING'!N49</f>
        <v>0</v>
      </c>
      <c r="F125" s="2322"/>
      <c r="G125" s="925">
        <f>'5.2, 5.4 - COOLING'!M49</f>
        <v>0</v>
      </c>
      <c r="H125" s="923"/>
      <c r="I125" s="923"/>
      <c r="J125" s="923"/>
    </row>
    <row r="126" spans="1:38" s="898" customFormat="1">
      <c r="A126" s="970" t="s">
        <v>3385</v>
      </c>
      <c r="B126" s="939" t="s">
        <v>3384</v>
      </c>
      <c r="C126" s="924" t="s">
        <v>2677</v>
      </c>
      <c r="D126" s="925" t="s">
        <v>2677</v>
      </c>
      <c r="E126" s="2321">
        <f>'5.2, 5.4 - COOLING'!N50</f>
        <v>0</v>
      </c>
      <c r="F126" s="2322"/>
      <c r="G126" s="925">
        <f>'5.2, 5.4 - COOLING'!M50</f>
        <v>0</v>
      </c>
      <c r="H126" s="923"/>
      <c r="I126" s="923"/>
      <c r="J126" s="923"/>
    </row>
    <row r="127" spans="1:38" s="898" customFormat="1">
      <c r="A127" s="970" t="s">
        <v>3387</v>
      </c>
      <c r="B127" s="939" t="s">
        <v>3386</v>
      </c>
      <c r="C127" s="924" t="s">
        <v>2677</v>
      </c>
      <c r="D127" s="925" t="s">
        <v>2677</v>
      </c>
      <c r="E127" s="2321">
        <f>'5.2, 5.4 - COOLING'!N51</f>
        <v>0</v>
      </c>
      <c r="F127" s="2322"/>
      <c r="G127" s="925">
        <f>'5.2, 5.4 - COOLING'!M51</f>
        <v>0</v>
      </c>
      <c r="H127" s="923"/>
      <c r="I127" s="923"/>
      <c r="J127" s="923"/>
    </row>
    <row r="128" spans="1:38" s="898" customFormat="1">
      <c r="A128" s="970" t="s">
        <v>3389</v>
      </c>
      <c r="B128" s="939" t="s">
        <v>3388</v>
      </c>
      <c r="C128" s="924" t="s">
        <v>2677</v>
      </c>
      <c r="D128" s="925" t="s">
        <v>2677</v>
      </c>
      <c r="E128" s="2321">
        <f>'5.2, 5.4 - COOLING'!N52</f>
        <v>0</v>
      </c>
      <c r="F128" s="2322"/>
      <c r="G128" s="925">
        <f>'5.2, 5.4 - COOLING'!M52</f>
        <v>0</v>
      </c>
      <c r="H128" s="923"/>
      <c r="I128" s="923"/>
      <c r="J128" s="923"/>
    </row>
    <row r="129" spans="1:38" s="898" customFormat="1">
      <c r="A129" s="971" t="s">
        <v>3391</v>
      </c>
      <c r="B129" s="939" t="s">
        <v>3390</v>
      </c>
      <c r="C129" s="924" t="s">
        <v>2677</v>
      </c>
      <c r="D129" s="925" t="s">
        <v>2677</v>
      </c>
      <c r="E129" s="2321">
        <f>'5.2, 5.4 - COOLING'!N53</f>
        <v>0</v>
      </c>
      <c r="F129" s="2322"/>
      <c r="G129" s="925">
        <f>'5.2, 5.4 - COOLING'!M53</f>
        <v>0</v>
      </c>
      <c r="H129" s="923"/>
      <c r="I129" s="923"/>
      <c r="J129" s="923"/>
    </row>
    <row r="130" spans="1:38" s="898" customFormat="1" ht="12.75" thickBot="1">
      <c r="A130" s="971" t="s">
        <v>4575</v>
      </c>
      <c r="B130" s="964" t="s">
        <v>3392</v>
      </c>
      <c r="C130" s="961" t="s">
        <v>2677</v>
      </c>
      <c r="D130" s="948" t="s">
        <v>2677</v>
      </c>
      <c r="E130" s="2321">
        <f>'5.2, 5.4 - COOLING'!N54</f>
        <v>0</v>
      </c>
      <c r="F130" s="2322"/>
      <c r="G130" s="948">
        <f>'5.2, 5.4 - COOLING'!M54</f>
        <v>0</v>
      </c>
      <c r="H130" s="923"/>
      <c r="I130" s="923"/>
      <c r="J130" s="923"/>
    </row>
    <row r="131" spans="1:38" s="898" customFormat="1" ht="12.75" thickBot="1">
      <c r="A131" s="2323" t="s">
        <v>3393</v>
      </c>
      <c r="B131" s="2324"/>
      <c r="C131" s="2324"/>
      <c r="D131" s="2324"/>
      <c r="E131" s="2324"/>
      <c r="F131" s="2324"/>
      <c r="G131" s="2325"/>
      <c r="H131" s="923"/>
      <c r="I131" s="923"/>
      <c r="J131" s="923"/>
    </row>
    <row r="132" spans="1:38" s="898" customFormat="1">
      <c r="A132" s="969" t="s">
        <v>3394</v>
      </c>
      <c r="B132" s="938" t="s">
        <v>3395</v>
      </c>
      <c r="C132" s="958" t="s">
        <v>2677</v>
      </c>
      <c r="D132" s="944" t="s">
        <v>2677</v>
      </c>
      <c r="E132" s="2321">
        <f>'5.2, 5.4 - COOLING'!N56</f>
        <v>0</v>
      </c>
      <c r="F132" s="2322"/>
      <c r="G132" s="944">
        <f>'5.2, 5.4 - COOLING'!M56</f>
        <v>0</v>
      </c>
      <c r="H132" s="923"/>
      <c r="I132" s="923"/>
      <c r="J132" s="923"/>
    </row>
    <row r="133" spans="1:38">
      <c r="A133" s="970" t="s">
        <v>3396</v>
      </c>
      <c r="B133" s="939" t="s">
        <v>3397</v>
      </c>
      <c r="C133" s="924" t="s">
        <v>2677</v>
      </c>
      <c r="D133" s="925" t="s">
        <v>2677</v>
      </c>
      <c r="E133" s="2321">
        <f>'5.2, 5.4 - COOLING'!N57</f>
        <v>0</v>
      </c>
      <c r="F133" s="2322"/>
      <c r="G133" s="925">
        <f>'5.2, 5.4 - COOLING'!M57</f>
        <v>0</v>
      </c>
      <c r="H133" s="923"/>
      <c r="I133" s="923"/>
      <c r="J133" s="923"/>
    </row>
    <row r="134" spans="1:38">
      <c r="A134" s="970" t="s">
        <v>3398</v>
      </c>
      <c r="B134" s="939" t="s">
        <v>3399</v>
      </c>
      <c r="C134" s="924" t="s">
        <v>2677</v>
      </c>
      <c r="D134" s="925" t="s">
        <v>2677</v>
      </c>
      <c r="E134" s="2321">
        <f>'5.2, 5.4 - COOLING'!N58</f>
        <v>0</v>
      </c>
      <c r="F134" s="2322"/>
      <c r="G134" s="925">
        <f>'5.2, 5.4 - COOLING'!M58</f>
        <v>0</v>
      </c>
      <c r="H134" s="923"/>
      <c r="I134" s="923"/>
      <c r="J134" s="923"/>
    </row>
    <row r="135" spans="1:38">
      <c r="A135" s="970" t="s">
        <v>3400</v>
      </c>
      <c r="B135" s="939" t="s">
        <v>3401</v>
      </c>
      <c r="C135" s="924" t="s">
        <v>2677</v>
      </c>
      <c r="D135" s="925" t="s">
        <v>2677</v>
      </c>
      <c r="E135" s="2321">
        <f>'5.2, 5.4 - COOLING'!N59</f>
        <v>0</v>
      </c>
      <c r="F135" s="2322"/>
      <c r="G135" s="925">
        <f>'5.2, 5.4 - COOLING'!M59</f>
        <v>0</v>
      </c>
      <c r="H135" s="923"/>
      <c r="I135" s="923"/>
      <c r="J135" s="923"/>
    </row>
    <row r="136" spans="1:38" ht="12.75" thickBot="1">
      <c r="A136" s="971" t="s">
        <v>3402</v>
      </c>
      <c r="B136" s="960" t="s">
        <v>3280</v>
      </c>
      <c r="C136" s="961" t="s">
        <v>2677</v>
      </c>
      <c r="D136" s="948" t="s">
        <v>2677</v>
      </c>
      <c r="E136" s="2321">
        <f>'5.2, 5.4 - COOLING'!N60</f>
        <v>0</v>
      </c>
      <c r="F136" s="2322"/>
      <c r="G136" s="948">
        <f>'5.2, 5.4 - COOLING'!M60</f>
        <v>0</v>
      </c>
      <c r="H136" s="923"/>
      <c r="I136" s="923"/>
      <c r="J136" s="923"/>
    </row>
    <row r="137" spans="1:38" s="913" customFormat="1" ht="12.75" thickBot="1">
      <c r="A137" s="953">
        <v>6</v>
      </c>
      <c r="B137" s="2336" t="s">
        <v>3403</v>
      </c>
      <c r="C137" s="2336"/>
      <c r="D137" s="2336"/>
      <c r="E137" s="2336"/>
      <c r="F137" s="2336"/>
      <c r="G137" s="2337"/>
      <c r="H137" s="911"/>
      <c r="I137" s="911"/>
      <c r="J137" s="911"/>
      <c r="K137" s="912"/>
      <c r="L137" s="912"/>
      <c r="M137" s="912"/>
      <c r="N137" s="912"/>
      <c r="O137" s="912"/>
      <c r="P137" s="912"/>
      <c r="Q137" s="912"/>
      <c r="R137" s="912"/>
      <c r="S137" s="912"/>
      <c r="T137" s="912"/>
      <c r="U137" s="912"/>
      <c r="V137" s="912"/>
      <c r="W137" s="912"/>
      <c r="X137" s="912"/>
      <c r="Y137" s="912"/>
      <c r="Z137" s="912"/>
      <c r="AA137" s="912"/>
      <c r="AB137" s="912"/>
      <c r="AC137" s="912"/>
      <c r="AD137" s="912"/>
      <c r="AE137" s="912"/>
      <c r="AF137" s="912"/>
      <c r="AG137" s="912"/>
      <c r="AH137" s="912"/>
      <c r="AI137" s="912"/>
      <c r="AJ137" s="912"/>
      <c r="AK137" s="912"/>
      <c r="AL137" s="912"/>
    </row>
    <row r="138" spans="1:38">
      <c r="A138" s="969" t="s">
        <v>3404</v>
      </c>
      <c r="B138" s="954" t="s">
        <v>3405</v>
      </c>
      <c r="C138" s="958" t="s">
        <v>2677</v>
      </c>
      <c r="D138" s="944" t="s">
        <v>2677</v>
      </c>
      <c r="E138" s="2321">
        <f>'6.1, 6.2, 6.3 - LIGHTING'!L96</f>
        <v>0</v>
      </c>
      <c r="F138" s="2322"/>
      <c r="G138" s="944">
        <f>'6.1, 6.2, 6.3 - LIGHTING'!K96</f>
        <v>0</v>
      </c>
      <c r="H138" s="923"/>
      <c r="I138" s="923"/>
      <c r="J138" s="923"/>
    </row>
    <row r="139" spans="1:38">
      <c r="A139" s="970" t="s">
        <v>3406</v>
      </c>
      <c r="B139" s="940" t="s">
        <v>4483</v>
      </c>
      <c r="C139" s="924" t="str">
        <f>'6.1, 6.2, 6.3 - LIGHTING'!H99</f>
        <v>See below</v>
      </c>
      <c r="D139" s="925" t="str">
        <f>'6.1, 6.2, 6.3 - LIGHTING'!J99</f>
        <v>See below</v>
      </c>
      <c r="E139" s="2321">
        <f>'6.1, 6.2, 6.3 - LIGHTING'!L99</f>
        <v>0</v>
      </c>
      <c r="F139" s="2322"/>
      <c r="G139" s="925">
        <f>'6.1, 6.2, 6.3 - LIGHTING'!K99</f>
        <v>0</v>
      </c>
      <c r="H139" s="923"/>
      <c r="I139" s="923"/>
      <c r="J139" s="923"/>
    </row>
    <row r="140" spans="1:38" ht="24">
      <c r="A140" s="970" t="s">
        <v>3408</v>
      </c>
      <c r="B140" s="940" t="s">
        <v>3407</v>
      </c>
      <c r="C140" s="924">
        <f>'6.1, 6.2, 6.3 - LIGHTING'!H100</f>
        <v>0</v>
      </c>
      <c r="D140" s="925" t="str">
        <f>'6.1, 6.2, 6.3 - LIGHTING'!J100</f>
        <v xml:space="preserve">Baseline: N/A
Proposed: </v>
      </c>
      <c r="E140" s="2321">
        <f>'6.1, 6.2, 6.3 - LIGHTING'!L100</f>
        <v>0</v>
      </c>
      <c r="F140" s="2322"/>
      <c r="G140" s="925">
        <f>'6.1, 6.2, 6.3 - LIGHTING'!K100</f>
        <v>0</v>
      </c>
      <c r="H140" s="923"/>
      <c r="I140" s="923"/>
      <c r="J140" s="923"/>
    </row>
    <row r="141" spans="1:38" ht="24">
      <c r="A141" s="970" t="s">
        <v>3410</v>
      </c>
      <c r="B141" s="940" t="s">
        <v>3409</v>
      </c>
      <c r="C141" s="924">
        <f>'6.1, 6.2, 6.3 - LIGHTING'!H101</f>
        <v>0</v>
      </c>
      <c r="D141" s="925" t="str">
        <f>'6.1, 6.2, 6.3 - LIGHTING'!J101</f>
        <v xml:space="preserve">Baseline: 
Proposed: </v>
      </c>
      <c r="E141" s="2321">
        <f>'6.1, 6.2, 6.3 - LIGHTING'!L101</f>
        <v>0</v>
      </c>
      <c r="F141" s="2322"/>
      <c r="G141" s="925">
        <f>'6.1, 6.2, 6.3 - LIGHTING'!K101</f>
        <v>0</v>
      </c>
      <c r="H141" s="923"/>
      <c r="I141" s="923"/>
      <c r="J141" s="923"/>
    </row>
    <row r="142" spans="1:38" ht="24">
      <c r="A142" s="970" t="s">
        <v>3412</v>
      </c>
      <c r="B142" s="940" t="s">
        <v>3413</v>
      </c>
      <c r="C142" s="924" t="str">
        <f>'6.1, 6.2, 6.3 - LIGHTING'!H102</f>
        <v xml:space="preserve"> kW</v>
      </c>
      <c r="D142" s="925" t="str">
        <f>'6.1, 6.2, 6.3 - LIGHTING'!J102</f>
        <v>Baseline:  kW
Proposed:  kW</v>
      </c>
      <c r="E142" s="2321">
        <f>'6.1, 6.2, 6.3 - LIGHTING'!L102</f>
        <v>0</v>
      </c>
      <c r="F142" s="2322"/>
      <c r="G142" s="925">
        <f>'6.1, 6.2, 6.3 - LIGHTING'!K102</f>
        <v>0</v>
      </c>
      <c r="H142" s="923"/>
      <c r="I142" s="923"/>
      <c r="J142" s="923"/>
    </row>
    <row r="143" spans="1:38" ht="24">
      <c r="A143" s="970" t="s">
        <v>3414</v>
      </c>
      <c r="B143" s="940" t="s">
        <v>3415</v>
      </c>
      <c r="C143" s="924" t="str">
        <f>'6.1, 6.2, 6.3 - LIGHTING'!H103</f>
        <v xml:space="preserve"> kW</v>
      </c>
      <c r="D143" s="925" t="str">
        <f>'6.1, 6.2, 6.3 - LIGHTING'!J103</f>
        <v>Baseline:  kW, 12 hr/day
Proposed:  kW, 12 hr/day</v>
      </c>
      <c r="E143" s="2321">
        <f>'6.1, 6.2, 6.3 - LIGHTING'!L103</f>
        <v>0</v>
      </c>
      <c r="F143" s="2322"/>
      <c r="G143" s="925">
        <f>'6.1, 6.2, 6.3 - LIGHTING'!K103</f>
        <v>0</v>
      </c>
      <c r="H143" s="923"/>
      <c r="I143" s="923"/>
      <c r="J143" s="923"/>
    </row>
    <row r="144" spans="1:38" ht="24">
      <c r="A144" s="970" t="s">
        <v>3416</v>
      </c>
      <c r="B144" s="940" t="s">
        <v>3178</v>
      </c>
      <c r="C144" s="924" t="str">
        <f>'6.1, 6.2, 6.3 - LIGHTING'!H104</f>
        <v xml:space="preserve"> W/SF</v>
      </c>
      <c r="D144" s="925" t="str">
        <f>'6.1, 6.2, 6.3 - LIGHTING'!J104</f>
        <v>Baseline:  W/SF, 24 hr/day
Proposed:  W/SF, 24 hr/day</v>
      </c>
      <c r="E144" s="2321">
        <f>'6.1, 6.2, 6.3 - LIGHTING'!L104</f>
        <v>0</v>
      </c>
      <c r="F144" s="2322"/>
      <c r="G144" s="925">
        <f>'6.1, 6.2, 6.3 - LIGHTING'!K104</f>
        <v>0</v>
      </c>
      <c r="H144" s="923"/>
      <c r="I144" s="923"/>
      <c r="J144" s="923"/>
    </row>
    <row r="145" spans="1:38" ht="24.75" thickBot="1">
      <c r="A145" s="970" t="s">
        <v>3417</v>
      </c>
      <c r="B145" s="960" t="s">
        <v>3418</v>
      </c>
      <c r="C145" s="961" t="str">
        <f>'6.1, 6.2, 6.3 - LIGHTING'!H105</f>
        <v xml:space="preserve"> W/SF</v>
      </c>
      <c r="D145" s="948" t="str">
        <f>'6.1, 6.2, 6.3 - LIGHTING'!J105</f>
        <v>Baseline: 0.7 W/SF, 2.34 hr/day
Proposed:  W/SF, 2.34 hr/day</v>
      </c>
      <c r="E145" s="2321">
        <f>'6.1, 6.2, 6.3 - LIGHTING'!L105</f>
        <v>0</v>
      </c>
      <c r="F145" s="2322"/>
      <c r="G145" s="948">
        <f>'6.1, 6.2, 6.3 - LIGHTING'!K105</f>
        <v>0</v>
      </c>
      <c r="H145" s="923"/>
      <c r="I145" s="923"/>
      <c r="J145" s="923"/>
    </row>
    <row r="146" spans="1:38" ht="12.75" thickBot="1">
      <c r="A146" s="2323" t="s">
        <v>3419</v>
      </c>
      <c r="B146" s="2324"/>
      <c r="C146" s="2324"/>
      <c r="D146" s="2324"/>
      <c r="E146" s="2324"/>
      <c r="F146" s="2324"/>
      <c r="G146" s="2325"/>
      <c r="H146" s="923"/>
      <c r="I146" s="923"/>
      <c r="J146" s="923"/>
    </row>
    <row r="147" spans="1:38">
      <c r="A147" s="969" t="s">
        <v>3420</v>
      </c>
      <c r="B147" s="954" t="s">
        <v>3421</v>
      </c>
      <c r="C147" s="958" t="s">
        <v>2677</v>
      </c>
      <c r="D147" s="944" t="s">
        <v>2677</v>
      </c>
      <c r="E147" s="2321">
        <f>'6.1, 6.2, 6.3 - LIGHTING'!L106</f>
        <v>0</v>
      </c>
      <c r="F147" s="2322"/>
      <c r="G147" s="944">
        <f>'6.1, 6.2, 6.3 - LIGHTING'!K106</f>
        <v>0</v>
      </c>
      <c r="H147" s="923"/>
      <c r="I147" s="923"/>
      <c r="J147" s="923"/>
    </row>
    <row r="148" spans="1:38">
      <c r="A148" s="970" t="s">
        <v>3422</v>
      </c>
      <c r="B148" s="940" t="s">
        <v>3423</v>
      </c>
      <c r="C148" s="924" t="s">
        <v>2677</v>
      </c>
      <c r="D148" s="925" t="s">
        <v>2677</v>
      </c>
      <c r="E148" s="2321">
        <f>'6.1, 6.2, 6.3 - LIGHTING'!L107</f>
        <v>0</v>
      </c>
      <c r="F148" s="2322"/>
      <c r="G148" s="925">
        <f>'6.1, 6.2, 6.3 - LIGHTING'!K107</f>
        <v>0</v>
      </c>
      <c r="H148" s="923"/>
      <c r="I148" s="923"/>
      <c r="J148" s="923"/>
    </row>
    <row r="149" spans="1:38" ht="24">
      <c r="A149" s="970" t="s">
        <v>3424</v>
      </c>
      <c r="B149" s="940" t="s">
        <v>3425</v>
      </c>
      <c r="C149" s="924" t="s">
        <v>2677</v>
      </c>
      <c r="D149" s="925" t="s">
        <v>2677</v>
      </c>
      <c r="E149" s="2321">
        <f>'6.1, 6.2, 6.3 - LIGHTING'!L108</f>
        <v>0</v>
      </c>
      <c r="F149" s="2322"/>
      <c r="G149" s="925">
        <f>'6.1, 6.2, 6.3 - LIGHTING'!K108</f>
        <v>0</v>
      </c>
      <c r="H149" s="923"/>
      <c r="I149" s="923"/>
      <c r="J149" s="923"/>
    </row>
    <row r="150" spans="1:38" ht="24.75" thickBot="1">
      <c r="A150" s="971" t="s">
        <v>3426</v>
      </c>
      <c r="B150" s="960" t="s">
        <v>3427</v>
      </c>
      <c r="C150" s="961" t="s">
        <v>2677</v>
      </c>
      <c r="D150" s="948" t="s">
        <v>2677</v>
      </c>
      <c r="E150" s="2321">
        <f>'6.1, 6.2, 6.3 - LIGHTING'!L109</f>
        <v>0</v>
      </c>
      <c r="F150" s="2322"/>
      <c r="G150" s="948">
        <f>'6.1, 6.2, 6.3 - LIGHTING'!K109</f>
        <v>0</v>
      </c>
      <c r="H150" s="923"/>
      <c r="I150" s="923"/>
      <c r="J150" s="923"/>
    </row>
    <row r="151" spans="1:38" s="913" customFormat="1" ht="12.75" thickBot="1">
      <c r="A151" s="953">
        <v>7</v>
      </c>
      <c r="B151" s="2336" t="s">
        <v>3428</v>
      </c>
      <c r="C151" s="2336"/>
      <c r="D151" s="2336"/>
      <c r="E151" s="2336"/>
      <c r="F151" s="2336"/>
      <c r="G151" s="2337"/>
      <c r="H151" s="911"/>
      <c r="I151" s="911"/>
      <c r="J151" s="911"/>
      <c r="K151" s="912"/>
      <c r="L151" s="912"/>
      <c r="M151" s="912"/>
      <c r="N151" s="912"/>
      <c r="O151" s="912"/>
      <c r="P151" s="912"/>
      <c r="Q151" s="912"/>
      <c r="R151" s="912"/>
      <c r="S151" s="912"/>
      <c r="T151" s="912"/>
      <c r="U151" s="912"/>
      <c r="V151" s="912"/>
      <c r="W151" s="912"/>
      <c r="X151" s="912"/>
      <c r="Y151" s="912"/>
      <c r="Z151" s="912"/>
      <c r="AA151" s="912"/>
      <c r="AB151" s="912"/>
      <c r="AC151" s="912"/>
      <c r="AD151" s="912"/>
      <c r="AE151" s="912"/>
      <c r="AF151" s="912"/>
      <c r="AG151" s="912"/>
      <c r="AH151" s="912"/>
      <c r="AI151" s="912"/>
      <c r="AJ151" s="912"/>
      <c r="AK151" s="912"/>
      <c r="AL151" s="912"/>
    </row>
    <row r="152" spans="1:38">
      <c r="A152" s="969" t="s">
        <v>3429</v>
      </c>
      <c r="B152" s="938" t="s">
        <v>3218</v>
      </c>
      <c r="C152" s="958" t="str">
        <f>'7.1 - MOTORS'!H35</f>
        <v>See below</v>
      </c>
      <c r="D152" s="944" t="str">
        <f>'7.1 - MOTORS'!I35</f>
        <v>See below</v>
      </c>
      <c r="E152" s="2321">
        <f>'7.1 - MOTORS'!K35</f>
        <v>0</v>
      </c>
      <c r="F152" s="2322"/>
      <c r="G152" s="944">
        <f>'7.1 - MOTORS'!J35</f>
        <v>0</v>
      </c>
      <c r="H152" s="923"/>
      <c r="I152" s="923"/>
      <c r="J152" s="923"/>
    </row>
    <row r="153" spans="1:38" ht="24">
      <c r="A153" s="970" t="s">
        <v>3430</v>
      </c>
      <c r="B153" s="939" t="s">
        <v>3431</v>
      </c>
      <c r="C153" s="924" t="str">
        <f>'7.1 - MOTORS'!H36</f>
        <v xml:space="preserve"> hp NEMA Standard Motor, 19 W/GPM</v>
      </c>
      <c r="D153" s="925" t="str">
        <f>'7.1 - MOTORS'!I36</f>
        <v>Baseline: 19 W/GPM
Proposed:  W/GPM</v>
      </c>
      <c r="E153" s="2321">
        <f>'7.1 - MOTORS'!K36</f>
        <v>0</v>
      </c>
      <c r="F153" s="2322"/>
      <c r="G153" s="925">
        <f>'7.1 - MOTORS'!J36</f>
        <v>0</v>
      </c>
      <c r="H153" s="923"/>
      <c r="I153" s="923"/>
      <c r="J153" s="923"/>
    </row>
    <row r="154" spans="1:38" ht="24">
      <c r="A154" s="970" t="s">
        <v>3432</v>
      </c>
      <c r="B154" s="939" t="s">
        <v>3433</v>
      </c>
      <c r="C154" s="924" t="str">
        <f>'7.1 - MOTORS'!H37</f>
        <v xml:space="preserve">  hp NEMA  efficiency motor, 0.0% efficient</v>
      </c>
      <c r="D154" s="925" t="str">
        <f>'7.1 - MOTORS'!I37</f>
        <v>Baseline: 0.0%
Proposed: 0.0%</v>
      </c>
      <c r="E154" s="2321">
        <f>'7.1 - MOTORS'!K37</f>
        <v>0</v>
      </c>
      <c r="F154" s="2322"/>
      <c r="G154" s="925">
        <f>'7.1 - MOTORS'!J37</f>
        <v>0</v>
      </c>
      <c r="H154" s="923"/>
      <c r="I154" s="923"/>
      <c r="J154" s="923"/>
    </row>
    <row r="155" spans="1:38">
      <c r="A155" s="970" t="s">
        <v>3434</v>
      </c>
      <c r="B155" s="939" t="s">
        <v>3435</v>
      </c>
      <c r="C155" s="924" t="s">
        <v>2677</v>
      </c>
      <c r="D155" s="925" t="s">
        <v>2677</v>
      </c>
      <c r="E155" s="2321">
        <f>'7.1 - MOTORS'!K38</f>
        <v>0</v>
      </c>
      <c r="F155" s="2322"/>
      <c r="G155" s="925">
        <f>'7.1 - MOTORS'!J38</f>
        <v>0</v>
      </c>
      <c r="H155" s="923"/>
      <c r="I155" s="923"/>
      <c r="J155" s="923"/>
    </row>
    <row r="156" spans="1:38">
      <c r="A156" s="970" t="s">
        <v>3436</v>
      </c>
      <c r="B156" s="939" t="s">
        <v>3437</v>
      </c>
      <c r="C156" s="924" t="s">
        <v>2677</v>
      </c>
      <c r="D156" s="925" t="s">
        <v>2677</v>
      </c>
      <c r="E156" s="2321">
        <f>'7.1 - MOTORS'!K39</f>
        <v>0</v>
      </c>
      <c r="F156" s="2322"/>
      <c r="G156" s="925">
        <f>'7.1 - MOTORS'!J39</f>
        <v>0</v>
      </c>
      <c r="H156" s="923"/>
      <c r="I156" s="923"/>
      <c r="J156" s="923"/>
    </row>
    <row r="157" spans="1:38">
      <c r="A157" s="970" t="s">
        <v>3438</v>
      </c>
      <c r="B157" s="939" t="s">
        <v>3439</v>
      </c>
      <c r="C157" s="924" t="s">
        <v>2677</v>
      </c>
      <c r="D157" s="925" t="s">
        <v>2677</v>
      </c>
      <c r="E157" s="2321">
        <f>'7.1 - MOTORS'!K40</f>
        <v>0</v>
      </c>
      <c r="F157" s="2322"/>
      <c r="G157" s="925">
        <f>'7.1 - MOTORS'!J40</f>
        <v>0</v>
      </c>
      <c r="H157" s="923"/>
      <c r="I157" s="923"/>
      <c r="J157" s="923"/>
    </row>
    <row r="158" spans="1:38" ht="12.75" thickBot="1">
      <c r="A158" s="970" t="s">
        <v>3440</v>
      </c>
      <c r="B158" s="939" t="s">
        <v>3215</v>
      </c>
      <c r="C158" s="927" t="s">
        <v>2677</v>
      </c>
      <c r="D158" s="928" t="s">
        <v>2677</v>
      </c>
      <c r="E158" s="2321">
        <f>'7.1 - MOTORS'!K41</f>
        <v>0</v>
      </c>
      <c r="F158" s="2322"/>
      <c r="G158" s="928">
        <f>'7.1 - MOTORS'!J41</f>
        <v>0</v>
      </c>
      <c r="H158" s="923"/>
      <c r="I158" s="923"/>
      <c r="J158" s="923"/>
    </row>
    <row r="159" spans="1:38" s="913" customFormat="1" ht="12.75" thickBot="1">
      <c r="A159" s="972">
        <v>8.1</v>
      </c>
      <c r="B159" s="2347" t="s">
        <v>3441</v>
      </c>
      <c r="C159" s="2348"/>
      <c r="D159" s="2348"/>
      <c r="E159" s="2348"/>
      <c r="F159" s="2348"/>
      <c r="G159" s="2349"/>
      <c r="H159" s="911"/>
      <c r="I159" s="911"/>
      <c r="J159" s="911"/>
      <c r="K159" s="912"/>
      <c r="L159" s="912"/>
      <c r="M159" s="912"/>
      <c r="N159" s="912"/>
      <c r="O159" s="912"/>
      <c r="P159" s="912"/>
      <c r="Q159" s="912"/>
      <c r="R159" s="912"/>
      <c r="S159" s="912"/>
      <c r="T159" s="912"/>
      <c r="U159" s="912"/>
      <c r="V159" s="912"/>
      <c r="W159" s="912"/>
      <c r="X159" s="912"/>
      <c r="Y159" s="912"/>
      <c r="Z159" s="912"/>
      <c r="AA159" s="912"/>
      <c r="AB159" s="912"/>
      <c r="AC159" s="912"/>
      <c r="AD159" s="912"/>
      <c r="AE159" s="912"/>
      <c r="AF159" s="912"/>
      <c r="AG159" s="912"/>
      <c r="AH159" s="912"/>
      <c r="AI159" s="912"/>
      <c r="AJ159" s="912"/>
      <c r="AK159" s="912"/>
      <c r="AL159" s="912"/>
    </row>
    <row r="160" spans="1:38" ht="12.75" thickBot="1">
      <c r="A160" s="2323" t="s">
        <v>3442</v>
      </c>
      <c r="B160" s="2324"/>
      <c r="C160" s="2324"/>
      <c r="D160" s="2324"/>
      <c r="E160" s="2324"/>
      <c r="F160" s="2324"/>
      <c r="G160" s="2325"/>
      <c r="H160" s="923"/>
      <c r="I160" s="923"/>
      <c r="J160" s="923"/>
    </row>
    <row r="161" spans="1:38">
      <c r="A161" s="969" t="s">
        <v>3443</v>
      </c>
      <c r="B161" s="938" t="s">
        <v>3444</v>
      </c>
      <c r="C161" s="958" t="s">
        <v>2677</v>
      </c>
      <c r="D161" s="944" t="s">
        <v>2677</v>
      </c>
      <c r="E161" s="2321">
        <f>'8.1 - INF_EXT AIR BARRIER'!I45</f>
        <v>0</v>
      </c>
      <c r="F161" s="2322"/>
      <c r="G161" s="944">
        <f>'8.1 - INF_EXT AIR BARRIER'!H45</f>
        <v>0</v>
      </c>
      <c r="H161" s="923"/>
      <c r="I161" s="923"/>
      <c r="J161" s="923"/>
    </row>
    <row r="162" spans="1:38">
      <c r="A162" s="970" t="s">
        <v>3445</v>
      </c>
      <c r="B162" s="939" t="s">
        <v>3307</v>
      </c>
      <c r="C162" s="924" t="s">
        <v>2677</v>
      </c>
      <c r="D162" s="925" t="s">
        <v>2677</v>
      </c>
      <c r="E162" s="2321">
        <f>'8.1 - INF_EXT AIR BARRIER'!I46</f>
        <v>0</v>
      </c>
      <c r="F162" s="2322"/>
      <c r="G162" s="925">
        <f>'8.1 - INF_EXT AIR BARRIER'!H46</f>
        <v>0</v>
      </c>
      <c r="H162" s="923"/>
      <c r="I162" s="923"/>
      <c r="J162" s="923"/>
    </row>
    <row r="163" spans="1:38">
      <c r="A163" s="970" t="s">
        <v>3446</v>
      </c>
      <c r="B163" s="942" t="s">
        <v>3447</v>
      </c>
      <c r="C163" s="924" t="s">
        <v>2677</v>
      </c>
      <c r="D163" s="925" t="s">
        <v>2677</v>
      </c>
      <c r="E163" s="2321">
        <f>'8.1 - INF_EXT AIR BARRIER'!I47</f>
        <v>0</v>
      </c>
      <c r="F163" s="2322"/>
      <c r="G163" s="925">
        <f>'8.1 - INF_EXT AIR BARRIER'!H47</f>
        <v>0</v>
      </c>
      <c r="H163" s="923"/>
      <c r="I163" s="923"/>
      <c r="J163" s="923"/>
      <c r="K163" s="897"/>
      <c r="L163" s="897"/>
      <c r="M163" s="897"/>
      <c r="N163" s="897"/>
      <c r="O163" s="897"/>
      <c r="P163" s="897"/>
      <c r="Q163" s="897"/>
      <c r="R163" s="897"/>
      <c r="S163" s="897"/>
      <c r="T163" s="897"/>
      <c r="U163" s="897"/>
      <c r="V163" s="897"/>
      <c r="W163" s="897"/>
      <c r="X163" s="897"/>
      <c r="Y163" s="897"/>
      <c r="Z163" s="897"/>
      <c r="AA163" s="897"/>
      <c r="AB163" s="897"/>
      <c r="AC163" s="897"/>
      <c r="AD163" s="897"/>
      <c r="AE163" s="897"/>
      <c r="AF163" s="897"/>
      <c r="AG163" s="897"/>
      <c r="AH163" s="897"/>
      <c r="AI163" s="897"/>
      <c r="AJ163" s="897"/>
      <c r="AK163" s="897"/>
      <c r="AL163" s="897"/>
    </row>
    <row r="164" spans="1:38">
      <c r="A164" s="970" t="s">
        <v>3448</v>
      </c>
      <c r="B164" s="942" t="s">
        <v>3449</v>
      </c>
      <c r="C164" s="924" t="s">
        <v>2677</v>
      </c>
      <c r="D164" s="925" t="s">
        <v>2677</v>
      </c>
      <c r="E164" s="2321">
        <f>'8.1 - INF_EXT AIR BARRIER'!I48</f>
        <v>0</v>
      </c>
      <c r="F164" s="2322"/>
      <c r="G164" s="925">
        <f>'8.1 - INF_EXT AIR BARRIER'!H48</f>
        <v>0</v>
      </c>
      <c r="H164" s="923"/>
      <c r="I164" s="923"/>
      <c r="J164" s="923"/>
      <c r="K164" s="897"/>
      <c r="L164" s="897"/>
      <c r="M164" s="897"/>
      <c r="N164" s="897"/>
      <c r="O164" s="897"/>
      <c r="P164" s="897"/>
      <c r="Q164" s="897"/>
      <c r="R164" s="897"/>
      <c r="S164" s="897"/>
      <c r="T164" s="897"/>
      <c r="U164" s="897"/>
      <c r="V164" s="897"/>
      <c r="W164" s="897"/>
      <c r="X164" s="897"/>
      <c r="Y164" s="897"/>
      <c r="Z164" s="897"/>
      <c r="AA164" s="897"/>
      <c r="AB164" s="897"/>
      <c r="AC164" s="897"/>
      <c r="AD164" s="897"/>
      <c r="AE164" s="897"/>
      <c r="AF164" s="897"/>
      <c r="AG164" s="897"/>
      <c r="AH164" s="897"/>
      <c r="AI164" s="897"/>
      <c r="AJ164" s="897"/>
      <c r="AK164" s="897"/>
      <c r="AL164" s="897"/>
    </row>
    <row r="165" spans="1:38" s="898" customFormat="1" ht="24">
      <c r="A165" s="970" t="s">
        <v>3450</v>
      </c>
      <c r="B165" s="942" t="s">
        <v>3451</v>
      </c>
      <c r="C165" s="924" t="s">
        <v>2677</v>
      </c>
      <c r="D165" s="925" t="s">
        <v>2677</v>
      </c>
      <c r="E165" s="2321">
        <f>'8.1 - INF_EXT AIR BARRIER'!I49</f>
        <v>0</v>
      </c>
      <c r="F165" s="2322"/>
      <c r="G165" s="925">
        <f>'8.1 - INF_EXT AIR BARRIER'!H49</f>
        <v>0</v>
      </c>
      <c r="H165" s="923"/>
      <c r="I165" s="923"/>
      <c r="J165" s="923"/>
    </row>
    <row r="166" spans="1:38" s="898" customFormat="1">
      <c r="A166" s="970" t="s">
        <v>3452</v>
      </c>
      <c r="B166" s="942" t="s">
        <v>3453</v>
      </c>
      <c r="C166" s="924" t="s">
        <v>2677</v>
      </c>
      <c r="D166" s="925" t="s">
        <v>2677</v>
      </c>
      <c r="E166" s="2321">
        <f>'8.1 - INF_EXT AIR BARRIER'!I50</f>
        <v>0</v>
      </c>
      <c r="F166" s="2322"/>
      <c r="G166" s="925">
        <f>'8.1 - INF_EXT AIR BARRIER'!H50</f>
        <v>0</v>
      </c>
      <c r="H166" s="923"/>
      <c r="I166" s="923"/>
      <c r="J166" s="923"/>
    </row>
    <row r="167" spans="1:38" s="898" customFormat="1">
      <c r="A167" s="970" t="s">
        <v>3454</v>
      </c>
      <c r="B167" s="942" t="s">
        <v>3455</v>
      </c>
      <c r="C167" s="924" t="s">
        <v>2677</v>
      </c>
      <c r="D167" s="925" t="s">
        <v>2677</v>
      </c>
      <c r="E167" s="2321">
        <f>'8.1 - INF_EXT AIR BARRIER'!I51</f>
        <v>0</v>
      </c>
      <c r="F167" s="2322"/>
      <c r="G167" s="925">
        <f>'8.1 - INF_EXT AIR BARRIER'!H51</f>
        <v>0</v>
      </c>
      <c r="H167" s="923"/>
      <c r="I167" s="923"/>
      <c r="J167" s="923"/>
    </row>
    <row r="168" spans="1:38" s="898" customFormat="1" ht="24">
      <c r="A168" s="970" t="s">
        <v>3456</v>
      </c>
      <c r="B168" s="942" t="s">
        <v>3457</v>
      </c>
      <c r="C168" s="924" t="s">
        <v>2677</v>
      </c>
      <c r="D168" s="925" t="s">
        <v>2677</v>
      </c>
      <c r="E168" s="2321">
        <f>'8.1 - INF_EXT AIR BARRIER'!I52</f>
        <v>0</v>
      </c>
      <c r="F168" s="2322"/>
      <c r="G168" s="925">
        <f>'8.1 - INF_EXT AIR BARRIER'!H52</f>
        <v>0</v>
      </c>
      <c r="H168" s="923"/>
      <c r="I168" s="923"/>
      <c r="J168" s="923"/>
    </row>
    <row r="169" spans="1:38" s="898" customFormat="1" ht="24">
      <c r="A169" s="970" t="s">
        <v>3458</v>
      </c>
      <c r="B169" s="942" t="s">
        <v>3459</v>
      </c>
      <c r="C169" s="924" t="s">
        <v>2677</v>
      </c>
      <c r="D169" s="925" t="s">
        <v>2677</v>
      </c>
      <c r="E169" s="2321">
        <f>'8.1 - INF_EXT AIR BARRIER'!I53</f>
        <v>0</v>
      </c>
      <c r="F169" s="2322"/>
      <c r="G169" s="925">
        <f>'8.1 - INF_EXT AIR BARRIER'!H53</f>
        <v>0</v>
      </c>
      <c r="H169" s="923"/>
      <c r="I169" s="923"/>
      <c r="J169" s="923"/>
    </row>
    <row r="170" spans="1:38" s="898" customFormat="1">
      <c r="A170" s="970" t="s">
        <v>3460</v>
      </c>
      <c r="B170" s="942" t="s">
        <v>3461</v>
      </c>
      <c r="C170" s="924" t="s">
        <v>2677</v>
      </c>
      <c r="D170" s="925" t="s">
        <v>2677</v>
      </c>
      <c r="E170" s="2321">
        <f>'8.1 - INF_EXT AIR BARRIER'!I54</f>
        <v>0</v>
      </c>
      <c r="F170" s="2322"/>
      <c r="G170" s="925">
        <f>'8.1 - INF_EXT AIR BARRIER'!H54</f>
        <v>0</v>
      </c>
      <c r="H170" s="923"/>
      <c r="I170" s="923"/>
      <c r="J170" s="923"/>
    </row>
    <row r="171" spans="1:38" s="898" customFormat="1">
      <c r="A171" s="970" t="s">
        <v>3462</v>
      </c>
      <c r="B171" s="942" t="s">
        <v>3463</v>
      </c>
      <c r="C171" s="924" t="s">
        <v>2677</v>
      </c>
      <c r="D171" s="925" t="s">
        <v>2677</v>
      </c>
      <c r="E171" s="2321">
        <f>'8.1 - INF_EXT AIR BARRIER'!I55</f>
        <v>0</v>
      </c>
      <c r="F171" s="2322"/>
      <c r="G171" s="925">
        <f>'8.1 - INF_EXT AIR BARRIER'!H55</f>
        <v>0</v>
      </c>
      <c r="H171" s="923"/>
      <c r="I171" s="923"/>
      <c r="J171" s="923"/>
    </row>
    <row r="172" spans="1:38" s="898" customFormat="1">
      <c r="A172" s="970" t="s">
        <v>3464</v>
      </c>
      <c r="B172" s="942" t="s">
        <v>3465</v>
      </c>
      <c r="C172" s="924" t="s">
        <v>2677</v>
      </c>
      <c r="D172" s="925" t="s">
        <v>2677</v>
      </c>
      <c r="E172" s="2321">
        <f>'8.1 - INF_EXT AIR BARRIER'!I56</f>
        <v>0</v>
      </c>
      <c r="F172" s="2322"/>
      <c r="G172" s="925">
        <f>'8.1 - INF_EXT AIR BARRIER'!H56</f>
        <v>0</v>
      </c>
      <c r="H172" s="923"/>
      <c r="I172" s="923"/>
      <c r="J172" s="923"/>
    </row>
    <row r="173" spans="1:38" s="898" customFormat="1">
      <c r="A173" s="970" t="s">
        <v>3466</v>
      </c>
      <c r="B173" s="942" t="s">
        <v>3467</v>
      </c>
      <c r="C173" s="924" t="s">
        <v>2677</v>
      </c>
      <c r="D173" s="925" t="s">
        <v>2677</v>
      </c>
      <c r="E173" s="2321">
        <f>'8.1 - INF_EXT AIR BARRIER'!I57</f>
        <v>0</v>
      </c>
      <c r="F173" s="2322"/>
      <c r="G173" s="925">
        <f>'8.1 - INF_EXT AIR BARRIER'!H57</f>
        <v>0</v>
      </c>
      <c r="H173" s="923"/>
      <c r="I173" s="923"/>
      <c r="J173" s="923"/>
    </row>
    <row r="174" spans="1:38" s="898" customFormat="1">
      <c r="A174" s="970" t="s">
        <v>3468</v>
      </c>
      <c r="B174" s="942" t="s">
        <v>3469</v>
      </c>
      <c r="C174" s="924" t="s">
        <v>2677</v>
      </c>
      <c r="D174" s="925" t="s">
        <v>2677</v>
      </c>
      <c r="E174" s="2321">
        <f>'8.1 - INF_EXT AIR BARRIER'!I58</f>
        <v>0</v>
      </c>
      <c r="F174" s="2322"/>
      <c r="G174" s="925">
        <f>'8.1 - INF_EXT AIR BARRIER'!H58</f>
        <v>0</v>
      </c>
      <c r="H174" s="923"/>
      <c r="I174" s="923"/>
      <c r="J174" s="923"/>
    </row>
    <row r="175" spans="1:38" s="898" customFormat="1" ht="24">
      <c r="A175" s="970" t="s">
        <v>3470</v>
      </c>
      <c r="B175" s="942" t="s">
        <v>3471</v>
      </c>
      <c r="C175" s="924" t="s">
        <v>2677</v>
      </c>
      <c r="D175" s="925" t="s">
        <v>2677</v>
      </c>
      <c r="E175" s="2321">
        <f>'8.1 - INF_EXT AIR BARRIER'!I59</f>
        <v>0</v>
      </c>
      <c r="F175" s="2322"/>
      <c r="G175" s="925">
        <f>'8.1 - INF_EXT AIR BARRIER'!H59</f>
        <v>0</v>
      </c>
      <c r="H175" s="923"/>
      <c r="I175" s="923"/>
      <c r="J175" s="923"/>
    </row>
    <row r="176" spans="1:38" s="898" customFormat="1" ht="24">
      <c r="A176" s="970" t="s">
        <v>3472</v>
      </c>
      <c r="B176" s="942" t="s">
        <v>3473</v>
      </c>
      <c r="C176" s="924" t="s">
        <v>2677</v>
      </c>
      <c r="D176" s="925" t="s">
        <v>2677</v>
      </c>
      <c r="E176" s="2321">
        <f>'8.1 - INF_EXT AIR BARRIER'!I60</f>
        <v>0</v>
      </c>
      <c r="F176" s="2322"/>
      <c r="G176" s="925">
        <f>'8.1 - INF_EXT AIR BARRIER'!H60</f>
        <v>0</v>
      </c>
      <c r="H176" s="923"/>
      <c r="I176" s="923"/>
      <c r="J176" s="923"/>
    </row>
    <row r="177" spans="1:10" s="898" customFormat="1">
      <c r="A177" s="970" t="s">
        <v>3474</v>
      </c>
      <c r="B177" s="942" t="s">
        <v>3475</v>
      </c>
      <c r="C177" s="924" t="s">
        <v>2677</v>
      </c>
      <c r="D177" s="925" t="s">
        <v>2677</v>
      </c>
      <c r="E177" s="2321">
        <f>'8.1 - INF_EXT AIR BARRIER'!I61</f>
        <v>0</v>
      </c>
      <c r="F177" s="2322"/>
      <c r="G177" s="925">
        <f>'8.1 - INF_EXT AIR BARRIER'!H61</f>
        <v>0</v>
      </c>
      <c r="H177" s="923"/>
      <c r="I177" s="923"/>
      <c r="J177" s="923"/>
    </row>
    <row r="178" spans="1:10" s="898" customFormat="1">
      <c r="A178" s="970" t="s">
        <v>3476</v>
      </c>
      <c r="B178" s="942" t="s">
        <v>3477</v>
      </c>
      <c r="C178" s="924" t="s">
        <v>2677</v>
      </c>
      <c r="D178" s="925" t="s">
        <v>2677</v>
      </c>
      <c r="E178" s="2321">
        <f>'8.1 - INF_EXT AIR BARRIER'!I62</f>
        <v>0</v>
      </c>
      <c r="F178" s="2322"/>
      <c r="G178" s="925">
        <f>'8.1 - INF_EXT AIR BARRIER'!H62</f>
        <v>0</v>
      </c>
      <c r="H178" s="923"/>
      <c r="I178" s="923"/>
      <c r="J178" s="923"/>
    </row>
    <row r="179" spans="1:10" s="898" customFormat="1" ht="12.75" thickBot="1">
      <c r="A179" s="971" t="s">
        <v>3478</v>
      </c>
      <c r="B179" s="966" t="s">
        <v>3479</v>
      </c>
      <c r="C179" s="961" t="s">
        <v>2677</v>
      </c>
      <c r="D179" s="948" t="s">
        <v>2677</v>
      </c>
      <c r="E179" s="2321">
        <f>'8.1 - INF_EXT AIR BARRIER'!I63</f>
        <v>0</v>
      </c>
      <c r="F179" s="2322"/>
      <c r="G179" s="948">
        <f>'8.1 - INF_EXT AIR BARRIER'!H63</f>
        <v>0</v>
      </c>
      <c r="H179" s="923"/>
      <c r="I179" s="923"/>
      <c r="J179" s="923"/>
    </row>
    <row r="180" spans="1:10" s="898" customFormat="1" ht="12.75" thickBot="1">
      <c r="A180" s="2323" t="s">
        <v>3480</v>
      </c>
      <c r="B180" s="2324"/>
      <c r="C180" s="2324"/>
      <c r="D180" s="2324"/>
      <c r="E180" s="2324"/>
      <c r="F180" s="2324"/>
      <c r="G180" s="2325"/>
      <c r="H180" s="923"/>
      <c r="I180" s="923"/>
      <c r="J180" s="923"/>
    </row>
    <row r="181" spans="1:10" s="898" customFormat="1">
      <c r="A181" s="969" t="s">
        <v>3481</v>
      </c>
      <c r="B181" s="1765" t="s">
        <v>4463</v>
      </c>
      <c r="C181" s="958" t="s">
        <v>2677</v>
      </c>
      <c r="D181" s="944" t="s">
        <v>2677</v>
      </c>
      <c r="E181" s="2321">
        <f>'8.1-INF_COMPTZN VIS INSPECTION'!J31</f>
        <v>0</v>
      </c>
      <c r="F181" s="2322"/>
      <c r="G181" s="944">
        <f>'8.1-INF_COMPTZN VIS INSPECTION'!I31</f>
        <v>0</v>
      </c>
      <c r="H181" s="923"/>
      <c r="I181" s="923"/>
      <c r="J181" s="923"/>
    </row>
    <row r="182" spans="1:10" s="898" customFormat="1">
      <c r="A182" s="970" t="s">
        <v>3482</v>
      </c>
      <c r="B182" s="938" t="s">
        <v>3483</v>
      </c>
      <c r="C182" s="924" t="s">
        <v>2677</v>
      </c>
      <c r="D182" s="925" t="s">
        <v>2677</v>
      </c>
      <c r="E182" s="2321">
        <f>'8.1-INF_COMPTZN VIS INSPECTION'!J32</f>
        <v>0</v>
      </c>
      <c r="F182" s="2322"/>
      <c r="G182" s="925">
        <f>'8.1-INF_COMPTZN VIS INSPECTION'!I32</f>
        <v>0</v>
      </c>
      <c r="H182" s="923"/>
      <c r="I182" s="923"/>
      <c r="J182" s="923"/>
    </row>
    <row r="183" spans="1:10" s="898" customFormat="1">
      <c r="A183" s="970" t="s">
        <v>3484</v>
      </c>
      <c r="B183" s="938" t="s">
        <v>3485</v>
      </c>
      <c r="C183" s="924" t="s">
        <v>2677</v>
      </c>
      <c r="D183" s="925" t="s">
        <v>2677</v>
      </c>
      <c r="E183" s="2321">
        <f>'8.1-INF_COMPTZN VIS INSPECTION'!J33</f>
        <v>0</v>
      </c>
      <c r="F183" s="2322"/>
      <c r="G183" s="925">
        <f>'8.1-INF_COMPTZN VIS INSPECTION'!I33</f>
        <v>0</v>
      </c>
      <c r="H183" s="923"/>
      <c r="I183" s="923"/>
      <c r="J183" s="923"/>
    </row>
    <row r="184" spans="1:10" s="898" customFormat="1">
      <c r="A184" s="970" t="s">
        <v>3486</v>
      </c>
      <c r="B184" s="938" t="s">
        <v>3487</v>
      </c>
      <c r="C184" s="924" t="s">
        <v>2677</v>
      </c>
      <c r="D184" s="925" t="s">
        <v>2677</v>
      </c>
      <c r="E184" s="2321">
        <f>'8.1-INF_COMPTZN VIS INSPECTION'!J35</f>
        <v>0</v>
      </c>
      <c r="F184" s="2322"/>
      <c r="G184" s="925">
        <f>'8.1-INF_COMPTZN VIS INSPECTION'!I35</f>
        <v>0</v>
      </c>
      <c r="H184" s="923"/>
      <c r="I184" s="923"/>
      <c r="J184" s="923"/>
    </row>
    <row r="185" spans="1:10" s="898" customFormat="1">
      <c r="A185" s="970" t="s">
        <v>3488</v>
      </c>
      <c r="B185" s="938" t="s">
        <v>3489</v>
      </c>
      <c r="C185" s="924" t="s">
        <v>2677</v>
      </c>
      <c r="D185" s="925" t="s">
        <v>2677</v>
      </c>
      <c r="E185" s="2321">
        <f>'8.1-INF_COMPTZN VIS INSPECTION'!J34</f>
        <v>0</v>
      </c>
      <c r="F185" s="2322"/>
      <c r="G185" s="925">
        <f>'8.1-INF_COMPTZN VIS INSPECTION'!I34</f>
        <v>0</v>
      </c>
      <c r="H185" s="923"/>
      <c r="I185" s="923"/>
      <c r="J185" s="923"/>
    </row>
    <row r="186" spans="1:10" s="898" customFormat="1">
      <c r="A186" s="970" t="s">
        <v>3490</v>
      </c>
      <c r="B186" s="938" t="s">
        <v>3491</v>
      </c>
      <c r="C186" s="924" t="s">
        <v>2677</v>
      </c>
      <c r="D186" s="925" t="s">
        <v>2677</v>
      </c>
      <c r="E186" s="2321">
        <f>'8.1-INF_COMPTZN VIS INSPECTION'!J37</f>
        <v>0</v>
      </c>
      <c r="F186" s="2322"/>
      <c r="G186" s="925">
        <f>'8.1-INF_COMPTZN VIS INSPECTION'!I37</f>
        <v>0</v>
      </c>
      <c r="H186" s="923"/>
      <c r="I186" s="923"/>
      <c r="J186" s="923"/>
    </row>
    <row r="187" spans="1:10" s="898" customFormat="1">
      <c r="A187" s="970" t="s">
        <v>3492</v>
      </c>
      <c r="B187" s="938" t="s">
        <v>3493</v>
      </c>
      <c r="C187" s="924" t="s">
        <v>2677</v>
      </c>
      <c r="D187" s="925" t="s">
        <v>2677</v>
      </c>
      <c r="E187" s="2321">
        <f>'8.1-INF_COMPTZN VIS INSPECTION'!J36</f>
        <v>0</v>
      </c>
      <c r="F187" s="2322"/>
      <c r="G187" s="925">
        <f>'8.1-INF_COMPTZN VIS INSPECTION'!I36</f>
        <v>0</v>
      </c>
      <c r="H187" s="923"/>
      <c r="I187" s="923"/>
      <c r="J187" s="923"/>
    </row>
    <row r="188" spans="1:10" s="898" customFormat="1">
      <c r="A188" s="970" t="s">
        <v>3494</v>
      </c>
      <c r="B188" s="938" t="s">
        <v>3495</v>
      </c>
      <c r="C188" s="924" t="s">
        <v>2677</v>
      </c>
      <c r="D188" s="925" t="s">
        <v>2677</v>
      </c>
      <c r="E188" s="2321">
        <f>'8.1-INF_COMPTZN VIS INSPECTION'!J38</f>
        <v>0</v>
      </c>
      <c r="F188" s="2322"/>
      <c r="G188" s="925">
        <f>'8.1-INF_COMPTZN VIS INSPECTION'!I38</f>
        <v>0</v>
      </c>
      <c r="H188" s="923"/>
      <c r="I188" s="923"/>
      <c r="J188" s="923"/>
    </row>
    <row r="189" spans="1:10" s="898" customFormat="1">
      <c r="A189" s="970" t="s">
        <v>3496</v>
      </c>
      <c r="B189" s="938" t="s">
        <v>3497</v>
      </c>
      <c r="C189" s="924" t="s">
        <v>2677</v>
      </c>
      <c r="D189" s="925" t="s">
        <v>2677</v>
      </c>
      <c r="E189" s="2321">
        <f>'8.1-INF_COMPTZN VIS INSPECTION'!J39</f>
        <v>0</v>
      </c>
      <c r="F189" s="2322"/>
      <c r="G189" s="925">
        <f>'8.1-INF_COMPTZN VIS INSPECTION'!I39</f>
        <v>0</v>
      </c>
      <c r="H189" s="923"/>
      <c r="I189" s="923"/>
      <c r="J189" s="923"/>
    </row>
    <row r="190" spans="1:10" s="898" customFormat="1">
      <c r="A190" s="970" t="s">
        <v>3498</v>
      </c>
      <c r="B190" s="938" t="s">
        <v>3499</v>
      </c>
      <c r="C190" s="924" t="s">
        <v>2677</v>
      </c>
      <c r="D190" s="925" t="s">
        <v>2677</v>
      </c>
      <c r="E190" s="2321">
        <f>'8.1-INF_COMPTZN VIS INSPECTION'!J40</f>
        <v>0</v>
      </c>
      <c r="F190" s="2322"/>
      <c r="G190" s="925">
        <f>'8.1-INF_COMPTZN VIS INSPECTION'!I40</f>
        <v>0</v>
      </c>
      <c r="H190" s="923"/>
      <c r="I190" s="923"/>
      <c r="J190" s="923"/>
    </row>
    <row r="191" spans="1:10" s="898" customFormat="1">
      <c r="A191" s="970" t="s">
        <v>3500</v>
      </c>
      <c r="B191" s="938" t="s">
        <v>3501</v>
      </c>
      <c r="C191" s="924" t="s">
        <v>2677</v>
      </c>
      <c r="D191" s="925" t="s">
        <v>2677</v>
      </c>
      <c r="E191" s="2321">
        <f>'8.1-INF_COMPTZN VIS INSPECTION'!J41</f>
        <v>0</v>
      </c>
      <c r="F191" s="2322"/>
      <c r="G191" s="925">
        <f>'8.1-INF_COMPTZN VIS INSPECTION'!I41</f>
        <v>0</v>
      </c>
      <c r="H191" s="923"/>
      <c r="I191" s="923"/>
      <c r="J191" s="923"/>
    </row>
    <row r="192" spans="1:10" s="898" customFormat="1">
      <c r="A192" s="970" t="s">
        <v>3502</v>
      </c>
      <c r="B192" s="938" t="s">
        <v>3503</v>
      </c>
      <c r="C192" s="924" t="s">
        <v>2677</v>
      </c>
      <c r="D192" s="925" t="s">
        <v>2677</v>
      </c>
      <c r="E192" s="2321">
        <f>'8.1-INF_COMPTZN VIS INSPECTION'!J42</f>
        <v>0</v>
      </c>
      <c r="F192" s="2322"/>
      <c r="G192" s="925">
        <f>'8.1-INF_COMPTZN VIS INSPECTION'!I42</f>
        <v>0</v>
      </c>
      <c r="H192" s="923"/>
      <c r="I192" s="923"/>
      <c r="J192" s="923"/>
    </row>
    <row r="193" spans="1:38" s="898" customFormat="1">
      <c r="A193" s="970" t="s">
        <v>3504</v>
      </c>
      <c r="B193" s="938" t="s">
        <v>3505</v>
      </c>
      <c r="C193" s="924" t="s">
        <v>2677</v>
      </c>
      <c r="D193" s="925" t="s">
        <v>2677</v>
      </c>
      <c r="E193" s="2321">
        <f>'8.1-INF_COMPTZN VIS INSPECTION'!J43</f>
        <v>0</v>
      </c>
      <c r="F193" s="2322"/>
      <c r="G193" s="925">
        <f>'8.1-INF_COMPTZN VIS INSPECTION'!I43</f>
        <v>0</v>
      </c>
      <c r="H193" s="923"/>
      <c r="I193" s="923"/>
      <c r="J193" s="923"/>
    </row>
    <row r="194" spans="1:38" s="898" customFormat="1">
      <c r="A194" s="970" t="s">
        <v>3506</v>
      </c>
      <c r="B194" s="938" t="s">
        <v>3507</v>
      </c>
      <c r="C194" s="924" t="s">
        <v>2677</v>
      </c>
      <c r="D194" s="925" t="s">
        <v>2677</v>
      </c>
      <c r="E194" s="2321">
        <f>'8.1-INF_COMPTZN VIS INSPECTION'!J44</f>
        <v>0</v>
      </c>
      <c r="F194" s="2322"/>
      <c r="G194" s="925">
        <f>'8.1-INF_COMPTZN VIS INSPECTION'!I44</f>
        <v>0</v>
      </c>
      <c r="H194" s="923"/>
      <c r="I194" s="923"/>
      <c r="J194" s="923"/>
    </row>
    <row r="195" spans="1:38" s="898" customFormat="1">
      <c r="A195" s="970" t="s">
        <v>3508</v>
      </c>
      <c r="B195" s="938" t="s">
        <v>3509</v>
      </c>
      <c r="C195" s="924" t="s">
        <v>2677</v>
      </c>
      <c r="D195" s="925" t="s">
        <v>2677</v>
      </c>
      <c r="E195" s="2321">
        <f>'8.1-INF_COMPTZN VIS INSPECTION'!J45</f>
        <v>0</v>
      </c>
      <c r="F195" s="2322"/>
      <c r="G195" s="925">
        <f>'8.1-INF_COMPTZN VIS INSPECTION'!I45</f>
        <v>0</v>
      </c>
      <c r="H195" s="923"/>
      <c r="I195" s="923"/>
      <c r="J195" s="923"/>
    </row>
    <row r="196" spans="1:38" s="898" customFormat="1">
      <c r="A196" s="970" t="s">
        <v>3510</v>
      </c>
      <c r="B196" s="938" t="s">
        <v>3511</v>
      </c>
      <c r="C196" s="924" t="s">
        <v>2677</v>
      </c>
      <c r="D196" s="925" t="s">
        <v>2677</v>
      </c>
      <c r="E196" s="2321">
        <f>'8.1-INF_COMPTZN VIS INSPECTION'!J46</f>
        <v>0</v>
      </c>
      <c r="F196" s="2322"/>
      <c r="G196" s="925">
        <f>'8.1-INF_COMPTZN VIS INSPECTION'!I46</f>
        <v>0</v>
      </c>
      <c r="H196" s="923"/>
      <c r="I196" s="923"/>
      <c r="J196" s="923"/>
    </row>
    <row r="197" spans="1:38">
      <c r="A197" s="970" t="s">
        <v>3512</v>
      </c>
      <c r="B197" s="938" t="s">
        <v>3513</v>
      </c>
      <c r="C197" s="924" t="s">
        <v>2677</v>
      </c>
      <c r="D197" s="925" t="s">
        <v>2677</v>
      </c>
      <c r="E197" s="2321">
        <f>'8.1-INF_COMPTZN VIS INSPECTION'!J47</f>
        <v>0</v>
      </c>
      <c r="F197" s="2322"/>
      <c r="G197" s="925">
        <f>'8.1-INF_COMPTZN VIS INSPECTION'!I47</f>
        <v>0</v>
      </c>
      <c r="H197" s="923"/>
      <c r="I197" s="923"/>
      <c r="J197" s="923"/>
    </row>
    <row r="198" spans="1:38">
      <c r="A198" s="970" t="s">
        <v>3514</v>
      </c>
      <c r="B198" s="938" t="s">
        <v>3515</v>
      </c>
      <c r="C198" s="924" t="s">
        <v>2677</v>
      </c>
      <c r="D198" s="925" t="s">
        <v>2677</v>
      </c>
      <c r="E198" s="2321">
        <f>'8.1-INF_COMPTZN VIS INSPECTION'!J48</f>
        <v>0</v>
      </c>
      <c r="F198" s="2322"/>
      <c r="G198" s="925">
        <f>'8.1-INF_COMPTZN VIS INSPECTION'!I48</f>
        <v>0</v>
      </c>
      <c r="H198" s="923"/>
      <c r="I198" s="923"/>
      <c r="J198" s="923"/>
    </row>
    <row r="199" spans="1:38">
      <c r="A199" s="970" t="s">
        <v>3516</v>
      </c>
      <c r="B199" s="938" t="s">
        <v>3517</v>
      </c>
      <c r="C199" s="924" t="s">
        <v>2677</v>
      </c>
      <c r="D199" s="925" t="s">
        <v>2677</v>
      </c>
      <c r="E199" s="2321">
        <f>'8.1-INF_COMPTZN VIS INSPECTION'!J49</f>
        <v>0</v>
      </c>
      <c r="F199" s="2322"/>
      <c r="G199" s="925">
        <f>'8.1-INF_COMPTZN VIS INSPECTION'!I49</f>
        <v>0</v>
      </c>
      <c r="H199" s="923"/>
      <c r="I199" s="923"/>
      <c r="J199" s="923"/>
    </row>
    <row r="200" spans="1:38">
      <c r="A200" s="970" t="s">
        <v>3518</v>
      </c>
      <c r="B200" s="938" t="s">
        <v>3519</v>
      </c>
      <c r="C200" s="924" t="s">
        <v>2677</v>
      </c>
      <c r="D200" s="925" t="s">
        <v>2677</v>
      </c>
      <c r="E200" s="2321">
        <f>'8.1-INF_COMPTZN VIS INSPECTION'!J50</f>
        <v>0</v>
      </c>
      <c r="F200" s="2322"/>
      <c r="G200" s="925">
        <f>'8.1-INF_COMPTZN VIS INSPECTION'!I50</f>
        <v>0</v>
      </c>
      <c r="H200" s="923"/>
      <c r="I200" s="923"/>
      <c r="J200" s="923"/>
    </row>
    <row r="201" spans="1:38" ht="12.75" thickBot="1">
      <c r="A201" s="971" t="s">
        <v>3520</v>
      </c>
      <c r="B201" s="965" t="s">
        <v>3521</v>
      </c>
      <c r="C201" s="961" t="s">
        <v>2677</v>
      </c>
      <c r="D201" s="948" t="s">
        <v>2677</v>
      </c>
      <c r="E201" s="2321">
        <f>'8.1-INF_COMPTZN VIS INSPECTION'!J51</f>
        <v>0</v>
      </c>
      <c r="F201" s="2322"/>
      <c r="G201" s="948">
        <f>'8.1-INF_COMPTZN VIS INSPECTION'!I51</f>
        <v>0</v>
      </c>
      <c r="H201" s="923"/>
      <c r="I201" s="923"/>
      <c r="J201" s="923"/>
    </row>
    <row r="202" spans="1:38" ht="12.75" thickBot="1">
      <c r="A202" s="2323" t="s">
        <v>3522</v>
      </c>
      <c r="B202" s="2324"/>
      <c r="C202" s="2324"/>
      <c r="D202" s="2324"/>
      <c r="E202" s="2324"/>
      <c r="F202" s="2324"/>
      <c r="G202" s="2325"/>
      <c r="H202" s="923"/>
      <c r="I202" s="923"/>
      <c r="J202" s="923"/>
    </row>
    <row r="203" spans="1:38">
      <c r="A203" s="969" t="s">
        <v>3523</v>
      </c>
      <c r="B203" s="938" t="s">
        <v>3524</v>
      </c>
      <c r="C203" s="958" t="s">
        <v>2677</v>
      </c>
      <c r="D203" s="944" t="s">
        <v>2677</v>
      </c>
      <c r="E203" s="2321">
        <f>'8.1 - INF_BLOWER DOOR TEST'!J37</f>
        <v>0</v>
      </c>
      <c r="F203" s="2322"/>
      <c r="G203" s="944">
        <f>'8.1 - INF_BLOWER DOOR TEST'!I37</f>
        <v>0</v>
      </c>
      <c r="H203" s="923"/>
      <c r="I203" s="923"/>
      <c r="J203" s="923"/>
    </row>
    <row r="204" spans="1:38" ht="12.75" thickBot="1">
      <c r="A204" s="971" t="s">
        <v>3525</v>
      </c>
      <c r="B204" s="965" t="s">
        <v>3526</v>
      </c>
      <c r="C204" s="961" t="s">
        <v>2677</v>
      </c>
      <c r="D204" s="948" t="s">
        <v>2677</v>
      </c>
      <c r="E204" s="2321">
        <f>'8.1 - INF_BLOWER DOOR TEST'!J38</f>
        <v>0</v>
      </c>
      <c r="F204" s="2322"/>
      <c r="G204" s="948">
        <f>'8.1 - INF_BLOWER DOOR TEST'!I38</f>
        <v>0</v>
      </c>
      <c r="H204" s="923"/>
      <c r="I204" s="923"/>
      <c r="J204" s="923"/>
    </row>
    <row r="205" spans="1:38" s="913" customFormat="1" ht="12.75" thickBot="1">
      <c r="A205" s="953">
        <v>8.1999999999999993</v>
      </c>
      <c r="B205" s="2336" t="s">
        <v>3184</v>
      </c>
      <c r="C205" s="2336"/>
      <c r="D205" s="2336"/>
      <c r="E205" s="2336"/>
      <c r="F205" s="2336"/>
      <c r="G205" s="2337"/>
      <c r="H205" s="911"/>
      <c r="I205" s="911"/>
      <c r="J205" s="911"/>
      <c r="K205" s="912"/>
      <c r="L205" s="912"/>
      <c r="M205" s="912"/>
      <c r="N205" s="912"/>
      <c r="O205" s="912"/>
      <c r="P205" s="912"/>
      <c r="Q205" s="912"/>
      <c r="R205" s="912"/>
      <c r="S205" s="912"/>
      <c r="T205" s="912"/>
      <c r="U205" s="912"/>
      <c r="V205" s="912"/>
      <c r="W205" s="912"/>
      <c r="X205" s="912"/>
      <c r="Y205" s="912"/>
      <c r="Z205" s="912"/>
      <c r="AA205" s="912"/>
      <c r="AB205" s="912"/>
      <c r="AC205" s="912"/>
      <c r="AD205" s="912"/>
      <c r="AE205" s="912"/>
      <c r="AF205" s="912"/>
      <c r="AG205" s="912"/>
      <c r="AH205" s="912"/>
      <c r="AI205" s="912"/>
      <c r="AJ205" s="912"/>
      <c r="AK205" s="912"/>
      <c r="AL205" s="912"/>
    </row>
    <row r="206" spans="1:38" ht="12.75" thickBot="1">
      <c r="A206" s="2323" t="s">
        <v>3527</v>
      </c>
      <c r="B206" s="2324"/>
      <c r="C206" s="2324"/>
      <c r="D206" s="2324"/>
      <c r="E206" s="2324"/>
      <c r="F206" s="2324"/>
      <c r="G206" s="2325"/>
      <c r="H206" s="923"/>
      <c r="I206" s="923"/>
      <c r="J206" s="923"/>
    </row>
    <row r="207" spans="1:38" ht="24">
      <c r="A207" s="969" t="s">
        <v>3528</v>
      </c>
      <c r="B207" s="938" t="s">
        <v>3529</v>
      </c>
      <c r="C207" s="958" t="str">
        <f>'8.2,4.1 - VENT_SCHEDULE&amp;TAB'!I62</f>
        <v xml:space="preserve"> non-apt ventilation fans,  CFM,  hp, 0%</v>
      </c>
      <c r="D207" s="944" t="str">
        <f>'8.2,4.1 - VENT_SCHEDULE&amp;TAB'!K62</f>
        <v>Baseline:  kW
Proposed:  kW</v>
      </c>
      <c r="E207" s="2321">
        <f>'8.2,4.1 - VENT_SCHEDULE&amp;TAB'!M62</f>
        <v>0</v>
      </c>
      <c r="F207" s="2322"/>
      <c r="G207" s="944">
        <f>'8.2,4.1 - VENT_SCHEDULE&amp;TAB'!L62</f>
        <v>0</v>
      </c>
      <c r="H207" s="923"/>
      <c r="I207" s="923"/>
      <c r="J207" s="923"/>
    </row>
    <row r="208" spans="1:38" ht="24">
      <c r="A208" s="970" t="s">
        <v>3530</v>
      </c>
      <c r="B208" s="939" t="s">
        <v>3531</v>
      </c>
      <c r="C208" s="924" t="str">
        <f>'8.2,4.1 - VENT_SCHEDULE&amp;TAB'!I63</f>
        <v xml:space="preserve">  hp fans, 0% ( CFM per fan)</v>
      </c>
      <c r="D208" s="925" t="str">
        <f>'8.2,4.1 - VENT_SCHEDULE&amp;TAB'!K63</f>
        <v>Baseline:  kW
Proposed:  kW</v>
      </c>
      <c r="E208" s="2321">
        <f>'8.2,4.1 - VENT_SCHEDULE&amp;TAB'!M63</f>
        <v>0</v>
      </c>
      <c r="F208" s="2322"/>
      <c r="G208" s="925">
        <f>'8.2,4.1 - VENT_SCHEDULE&amp;TAB'!L63</f>
        <v>0</v>
      </c>
      <c r="H208" s="923"/>
      <c r="I208" s="923"/>
      <c r="J208" s="923"/>
    </row>
    <row r="209" spans="1:38" ht="24">
      <c r="A209" s="970" t="s">
        <v>3532</v>
      </c>
      <c r="B209" s="939" t="s">
        <v>3533</v>
      </c>
      <c r="C209" s="924" t="str">
        <f>'8.2,4.1 - VENT_SCHEDULE&amp;TAB'!I64</f>
        <v xml:space="preserve"> ,  CFM/W</v>
      </c>
      <c r="D209" s="925" t="str">
        <f>'8.2,4.1 - VENT_SCHEDULE&amp;TAB'!K64</f>
        <v>Baseline:  CFM/W
Proposed:  CFM/W</v>
      </c>
      <c r="E209" s="2321">
        <f>'8.2,4.1 - VENT_SCHEDULE&amp;TAB'!M64</f>
        <v>0</v>
      </c>
      <c r="F209" s="2322"/>
      <c r="G209" s="925">
        <f>'8.2,4.1 - VENT_SCHEDULE&amp;TAB'!L64</f>
        <v>0</v>
      </c>
      <c r="H209" s="923"/>
      <c r="I209" s="923"/>
      <c r="J209" s="923"/>
    </row>
    <row r="210" spans="1:38" ht="24">
      <c r="A210" s="970" t="s">
        <v>3534</v>
      </c>
      <c r="B210" s="939" t="s">
        <v>3535</v>
      </c>
      <c r="C210" s="924" t="str">
        <f>'8.2,4.1 - VENT_SCHEDULE&amp;TAB'!I65</f>
        <v>Kitchen:  CFM ()
Bathroom:  CFM ()</v>
      </c>
      <c r="D210" s="925" t="str">
        <f>'8.2,4.1 - VENT_SCHEDULE&amp;TAB'!K65</f>
        <v>Baseline: 0 CFM
Proposed: 0 CFM</v>
      </c>
      <c r="E210" s="2321">
        <f>'8.2,4.1 - VENT_SCHEDULE&amp;TAB'!M65</f>
        <v>0</v>
      </c>
      <c r="F210" s="2322"/>
      <c r="G210" s="925">
        <f>'8.2,4.1 - VENT_SCHEDULE&amp;TAB'!L65</f>
        <v>0</v>
      </c>
      <c r="H210" s="923"/>
      <c r="I210" s="923"/>
      <c r="J210" s="923"/>
    </row>
    <row r="211" spans="1:38" ht="24">
      <c r="A211" s="970" t="s">
        <v>3536</v>
      </c>
      <c r="B211" s="939" t="s">
        <v>3537</v>
      </c>
      <c r="C211" s="924" t="str">
        <f>'8.2,4.1 - VENT_SCHEDULE&amp;TAB'!I67</f>
        <v xml:space="preserve">Demand control ventilation: </v>
      </c>
      <c r="D211" s="925" t="str">
        <f>'8.2,4.1 - VENT_SCHEDULE&amp;TAB'!K67</f>
        <v>Baseline:  kW,  hr/day
Proposed:  kW,  hr/day</v>
      </c>
      <c r="E211" s="2321">
        <f>'8.2,4.1 - VENT_SCHEDULE&amp;TAB'!M67</f>
        <v>0</v>
      </c>
      <c r="F211" s="2322"/>
      <c r="G211" s="925">
        <f>'8.2,4.1 - VENT_SCHEDULE&amp;TAB'!L67</f>
        <v>0</v>
      </c>
      <c r="H211" s="923"/>
      <c r="I211" s="923"/>
      <c r="J211" s="923"/>
      <c r="K211" s="897"/>
      <c r="L211" s="897"/>
      <c r="M211" s="897"/>
      <c r="N211" s="897"/>
      <c r="O211" s="897"/>
      <c r="P211" s="897"/>
      <c r="Q211" s="897"/>
      <c r="R211" s="897"/>
      <c r="S211" s="897"/>
      <c r="T211" s="897"/>
      <c r="U211" s="897"/>
      <c r="V211" s="897"/>
      <c r="W211" s="897"/>
      <c r="X211" s="897"/>
      <c r="Y211" s="897"/>
      <c r="Z211" s="897"/>
      <c r="AA211" s="897"/>
      <c r="AB211" s="897"/>
      <c r="AC211" s="897"/>
      <c r="AD211" s="897"/>
      <c r="AE211" s="897"/>
      <c r="AF211" s="897"/>
      <c r="AG211" s="897"/>
      <c r="AH211" s="897"/>
      <c r="AI211" s="897"/>
      <c r="AJ211" s="897"/>
      <c r="AK211" s="897"/>
      <c r="AL211" s="897"/>
    </row>
    <row r="212" spans="1:38" ht="24">
      <c r="A212" s="970" t="s">
        <v>3538</v>
      </c>
      <c r="B212" s="939" t="s">
        <v>3539</v>
      </c>
      <c r="C212" s="924" t="str">
        <f>'8.2,4.1 - VENT_SCHEDULE&amp;TAB'!I68</f>
        <v xml:space="preserve"> CFM</v>
      </c>
      <c r="D212" s="925" t="str">
        <f>'8.2,4.1 - VENT_SCHEDULE&amp;TAB'!K68</f>
        <v>Baseline:  CFM
Proposed:  CFM</v>
      </c>
      <c r="E212" s="2321">
        <f>'8.2,4.1 - VENT_SCHEDULE&amp;TAB'!M68</f>
        <v>0</v>
      </c>
      <c r="F212" s="2322"/>
      <c r="G212" s="925">
        <f>'8.2,4.1 - VENT_SCHEDULE&amp;TAB'!L68</f>
        <v>0</v>
      </c>
      <c r="H212" s="923"/>
      <c r="I212" s="923"/>
      <c r="J212" s="923"/>
      <c r="K212" s="897"/>
      <c r="L212" s="897"/>
      <c r="M212" s="897"/>
      <c r="N212" s="897"/>
      <c r="O212" s="897"/>
      <c r="P212" s="897"/>
      <c r="Q212" s="897"/>
      <c r="R212" s="897"/>
      <c r="S212" s="897"/>
      <c r="T212" s="897"/>
      <c r="U212" s="897"/>
      <c r="V212" s="897"/>
      <c r="W212" s="897"/>
      <c r="X212" s="897"/>
      <c r="Y212" s="897"/>
      <c r="Z212" s="897"/>
      <c r="AA212" s="897"/>
      <c r="AB212" s="897"/>
      <c r="AC212" s="897"/>
      <c r="AD212" s="897"/>
      <c r="AE212" s="897"/>
      <c r="AF212" s="897"/>
      <c r="AG212" s="897"/>
      <c r="AH212" s="897"/>
      <c r="AI212" s="897"/>
      <c r="AJ212" s="897"/>
      <c r="AK212" s="897"/>
      <c r="AL212" s="897"/>
    </row>
    <row r="213" spans="1:38" ht="24">
      <c r="A213" s="971" t="s">
        <v>3540</v>
      </c>
      <c r="B213" s="1817" t="s">
        <v>4519</v>
      </c>
      <c r="C213" s="961">
        <f>'8.2,4.1 - VENT_SCHEDULE&amp;TAB'!I69</f>
        <v>0</v>
      </c>
      <c r="D213" s="948" t="str">
        <f>'8.2,4.1 - VENT_SCHEDULE&amp;TAB'!K69</f>
        <v xml:space="preserve">Baseline: 0
Proposed: </v>
      </c>
      <c r="E213" s="2321">
        <f>'8.2,4.1 - VENT_SCHEDULE&amp;TAB'!M69</f>
        <v>0</v>
      </c>
      <c r="F213" s="2326"/>
      <c r="G213" s="948">
        <f>'8.2,4.1 - VENT_SCHEDULE&amp;TAB'!L69</f>
        <v>0</v>
      </c>
      <c r="H213" s="923"/>
      <c r="I213" s="923"/>
      <c r="J213" s="923"/>
      <c r="K213" s="897"/>
      <c r="L213" s="897"/>
      <c r="M213" s="897"/>
      <c r="N213" s="897"/>
      <c r="O213" s="897"/>
      <c r="P213" s="897"/>
      <c r="Q213" s="897"/>
      <c r="R213" s="897"/>
      <c r="S213" s="897"/>
      <c r="T213" s="897"/>
      <c r="U213" s="897"/>
      <c r="V213" s="897"/>
      <c r="W213" s="897"/>
      <c r="X213" s="897"/>
      <c r="Y213" s="897"/>
      <c r="Z213" s="897"/>
      <c r="AA213" s="897"/>
      <c r="AB213" s="897"/>
      <c r="AC213" s="897"/>
      <c r="AD213" s="897"/>
      <c r="AE213" s="897"/>
      <c r="AF213" s="897"/>
      <c r="AG213" s="897"/>
      <c r="AH213" s="897"/>
      <c r="AI213" s="897"/>
      <c r="AJ213" s="897"/>
      <c r="AK213" s="897"/>
      <c r="AL213" s="897"/>
    </row>
    <row r="214" spans="1:38" s="898" customFormat="1" ht="24.75" thickBot="1">
      <c r="A214" s="971" t="s">
        <v>4518</v>
      </c>
      <c r="B214" s="964" t="s">
        <v>3541</v>
      </c>
      <c r="C214" s="961" t="str">
        <f>'8.2,4.1 - VENT_SCHEDULE&amp;TAB'!I70</f>
        <v>HRV/ERV: , 0%</v>
      </c>
      <c r="D214" s="928" t="str">
        <f>'8.2,4.1 - VENT_SCHEDULE&amp;TAB'!K70</f>
        <v>Baseline: N/A
Proposed: 0%</v>
      </c>
      <c r="E214" s="2321">
        <f>'8.2,4.1 - VENT_SCHEDULE&amp;TAB'!M70</f>
        <v>0</v>
      </c>
      <c r="F214" s="2322"/>
      <c r="G214" s="948">
        <f>'8.2,4.1 - VENT_SCHEDULE&amp;TAB'!L70</f>
        <v>0</v>
      </c>
      <c r="H214" s="923"/>
      <c r="I214" s="923"/>
      <c r="J214" s="923"/>
    </row>
    <row r="215" spans="1:38" s="898" customFormat="1" ht="12.75" thickBot="1">
      <c r="A215" s="2323" t="s">
        <v>3542</v>
      </c>
      <c r="B215" s="2324"/>
      <c r="C215" s="2324"/>
      <c r="D215" s="2346"/>
      <c r="E215" s="2324"/>
      <c r="F215" s="2324"/>
      <c r="G215" s="2325"/>
      <c r="H215" s="923"/>
      <c r="I215" s="923"/>
      <c r="J215" s="923"/>
    </row>
    <row r="216" spans="1:38" s="898" customFormat="1">
      <c r="A216" s="969" t="s">
        <v>3543</v>
      </c>
      <c r="B216" s="938" t="s">
        <v>3544</v>
      </c>
      <c r="C216" s="958" t="str">
        <f>'8.2,4.1 - VENT_SCHEDULE&amp;TAB'!I72</f>
        <v>N/A</v>
      </c>
      <c r="D216" s="944" t="str">
        <f>'8.2,4.1 - VENT_SCHEDULE&amp;TAB'!K72</f>
        <v>N/A</v>
      </c>
      <c r="E216" s="2321">
        <f>'8.2,4.1 - VENT_SCHEDULE&amp;TAB'!M72</f>
        <v>0</v>
      </c>
      <c r="F216" s="2322"/>
      <c r="G216" s="944">
        <f>'8.2,4.1 - VENT_SCHEDULE&amp;TAB'!L72</f>
        <v>0</v>
      </c>
      <c r="H216" s="923"/>
      <c r="I216" s="923"/>
      <c r="J216" s="923"/>
    </row>
    <row r="217" spans="1:38" s="898" customFormat="1" ht="24">
      <c r="A217" s="970" t="s">
        <v>3545</v>
      </c>
      <c r="B217" s="939" t="s">
        <v>3546</v>
      </c>
      <c r="C217" s="924" t="s">
        <v>2677</v>
      </c>
      <c r="D217" s="925" t="s">
        <v>2677</v>
      </c>
      <c r="E217" s="2321">
        <f>'8.2,4.1 - VENT_SCHEDULE&amp;TAB'!M73</f>
        <v>0</v>
      </c>
      <c r="F217" s="2322"/>
      <c r="G217" s="925">
        <f>'8.2,4.1 - VENT_SCHEDULE&amp;TAB'!L73</f>
        <v>0</v>
      </c>
      <c r="H217" s="923"/>
      <c r="I217" s="923"/>
      <c r="J217" s="923"/>
    </row>
    <row r="218" spans="1:38" s="898" customFormat="1">
      <c r="A218" s="970" t="s">
        <v>3547</v>
      </c>
      <c r="B218" s="939" t="s">
        <v>3548</v>
      </c>
      <c r="C218" s="924" t="s">
        <v>2677</v>
      </c>
      <c r="D218" s="925" t="s">
        <v>2677</v>
      </c>
      <c r="E218" s="2321">
        <f>'8.2,4.1 - VENT_SCHEDULE&amp;TAB'!M74</f>
        <v>0</v>
      </c>
      <c r="F218" s="2322"/>
      <c r="G218" s="925">
        <f>'8.2,4.1 - VENT_SCHEDULE&amp;TAB'!L74</f>
        <v>0</v>
      </c>
      <c r="H218" s="923"/>
      <c r="I218" s="923"/>
      <c r="J218" s="923"/>
    </row>
    <row r="219" spans="1:38" s="898" customFormat="1" ht="24.75" thickBot="1">
      <c r="A219" s="971" t="s">
        <v>3549</v>
      </c>
      <c r="B219" s="964" t="s">
        <v>3550</v>
      </c>
      <c r="C219" s="961" t="s">
        <v>2677</v>
      </c>
      <c r="D219" s="948" t="s">
        <v>2677</v>
      </c>
      <c r="E219" s="2321">
        <f>'8.2,4.1 - VENT_SCHEDULE&amp;TAB'!M75</f>
        <v>0</v>
      </c>
      <c r="F219" s="2322"/>
      <c r="G219" s="948">
        <f>'8.2,4.1 - VENT_SCHEDULE&amp;TAB'!L75</f>
        <v>0</v>
      </c>
      <c r="H219" s="923"/>
      <c r="I219" s="923"/>
      <c r="J219" s="923"/>
    </row>
    <row r="220" spans="1:38" s="898" customFormat="1" ht="12.75" thickBot="1">
      <c r="A220" s="2323" t="s">
        <v>3551</v>
      </c>
      <c r="B220" s="2324"/>
      <c r="C220" s="2324"/>
      <c r="D220" s="2324"/>
      <c r="E220" s="2324"/>
      <c r="F220" s="2324"/>
      <c r="G220" s="2325"/>
      <c r="H220" s="923"/>
      <c r="I220" s="923"/>
      <c r="J220" s="923"/>
    </row>
    <row r="221" spans="1:38" s="898" customFormat="1" ht="24">
      <c r="A221" s="969" t="s">
        <v>3552</v>
      </c>
      <c r="B221" s="938" t="s">
        <v>3553</v>
      </c>
      <c r="C221" s="958" t="s">
        <v>2677</v>
      </c>
      <c r="D221" s="944" t="s">
        <v>2677</v>
      </c>
      <c r="E221" s="2321">
        <f>'8.2,4.1 - VENT_SCHEDULE&amp;TAB'!M77</f>
        <v>0</v>
      </c>
      <c r="F221" s="2322"/>
      <c r="G221" s="944">
        <f>'8.2,4.1 - VENT_SCHEDULE&amp;TAB'!L77</f>
        <v>0</v>
      </c>
      <c r="H221" s="923"/>
      <c r="I221" s="923"/>
      <c r="J221" s="923"/>
    </row>
    <row r="222" spans="1:38" s="898" customFormat="1">
      <c r="A222" s="970" t="s">
        <v>3554</v>
      </c>
      <c r="B222" s="939" t="s">
        <v>3555</v>
      </c>
      <c r="C222" s="924" t="s">
        <v>2677</v>
      </c>
      <c r="D222" s="925" t="s">
        <v>2677</v>
      </c>
      <c r="E222" s="2321">
        <f>'8.2,4.1 - VENT_SCHEDULE&amp;TAB'!M78</f>
        <v>0</v>
      </c>
      <c r="F222" s="2322"/>
      <c r="G222" s="925">
        <f>'8.2,4.1 - VENT_SCHEDULE&amp;TAB'!L78</f>
        <v>0</v>
      </c>
      <c r="H222" s="923"/>
      <c r="I222" s="923"/>
      <c r="J222" s="923"/>
    </row>
    <row r="223" spans="1:38" s="898" customFormat="1">
      <c r="A223" s="970" t="s">
        <v>3556</v>
      </c>
      <c r="B223" s="939" t="s">
        <v>3557</v>
      </c>
      <c r="C223" s="924" t="s">
        <v>2677</v>
      </c>
      <c r="D223" s="925" t="s">
        <v>2677</v>
      </c>
      <c r="E223" s="2321">
        <f>'8.2,4.1 - VENT_SCHEDULE&amp;TAB'!M79</f>
        <v>0</v>
      </c>
      <c r="F223" s="2322"/>
      <c r="G223" s="925">
        <f>'8.2,4.1 - VENT_SCHEDULE&amp;TAB'!L79</f>
        <v>0</v>
      </c>
      <c r="H223" s="923"/>
      <c r="I223" s="923"/>
      <c r="J223" s="923"/>
    </row>
    <row r="224" spans="1:38" s="898" customFormat="1">
      <c r="A224" s="970" t="s">
        <v>3558</v>
      </c>
      <c r="B224" s="939" t="s">
        <v>3559</v>
      </c>
      <c r="C224" s="924" t="s">
        <v>2677</v>
      </c>
      <c r="D224" s="925" t="s">
        <v>2677</v>
      </c>
      <c r="E224" s="2321">
        <f>'8.2,4.1 - VENT_SCHEDULE&amp;TAB'!M80</f>
        <v>0</v>
      </c>
      <c r="F224" s="2322"/>
      <c r="G224" s="925">
        <f>'8.2,4.1 - VENT_SCHEDULE&amp;TAB'!L80</f>
        <v>0</v>
      </c>
      <c r="H224" s="923"/>
      <c r="I224" s="923"/>
      <c r="J224" s="923"/>
    </row>
    <row r="225" spans="1:10" s="898" customFormat="1">
      <c r="A225" s="970" t="s">
        <v>3560</v>
      </c>
      <c r="B225" s="939" t="s">
        <v>3561</v>
      </c>
      <c r="C225" s="924" t="s">
        <v>2677</v>
      </c>
      <c r="D225" s="925" t="s">
        <v>2677</v>
      </c>
      <c r="E225" s="2321">
        <f>'8.2,4.1 - VENT_SCHEDULE&amp;TAB'!M81</f>
        <v>0</v>
      </c>
      <c r="F225" s="2322"/>
      <c r="G225" s="925">
        <f>'8.2,4.1 - VENT_SCHEDULE&amp;TAB'!L81</f>
        <v>0</v>
      </c>
      <c r="H225" s="923"/>
      <c r="I225" s="923"/>
      <c r="J225" s="923"/>
    </row>
    <row r="226" spans="1:10" s="898" customFormat="1">
      <c r="A226" s="970" t="s">
        <v>3562</v>
      </c>
      <c r="B226" s="939" t="s">
        <v>3563</v>
      </c>
      <c r="C226" s="924" t="s">
        <v>2677</v>
      </c>
      <c r="D226" s="925" t="s">
        <v>2677</v>
      </c>
      <c r="E226" s="2321">
        <f>'8.2,4.1 - VENT_SCHEDULE&amp;TAB'!M82</f>
        <v>0</v>
      </c>
      <c r="F226" s="2322"/>
      <c r="G226" s="925">
        <f>'8.2,4.1 - VENT_SCHEDULE&amp;TAB'!L82</f>
        <v>0</v>
      </c>
      <c r="H226" s="923"/>
      <c r="I226" s="923"/>
      <c r="J226" s="923"/>
    </row>
    <row r="227" spans="1:10" s="898" customFormat="1">
      <c r="A227" s="970" t="s">
        <v>3564</v>
      </c>
      <c r="B227" s="939" t="s">
        <v>3565</v>
      </c>
      <c r="C227" s="924" t="s">
        <v>2677</v>
      </c>
      <c r="D227" s="925" t="s">
        <v>2677</v>
      </c>
      <c r="E227" s="2321">
        <f>'8.2,4.1 - VENT_SCHEDULE&amp;TAB'!M83</f>
        <v>0</v>
      </c>
      <c r="F227" s="2322"/>
      <c r="G227" s="925">
        <f>'8.2,4.1 - VENT_SCHEDULE&amp;TAB'!L83</f>
        <v>0</v>
      </c>
      <c r="H227" s="923"/>
      <c r="I227" s="923"/>
      <c r="J227" s="923"/>
    </row>
    <row r="228" spans="1:10" s="898" customFormat="1" ht="12.75" thickBot="1">
      <c r="A228" s="971" t="s">
        <v>3566</v>
      </c>
      <c r="B228" s="964" t="s">
        <v>3567</v>
      </c>
      <c r="C228" s="961" t="s">
        <v>2677</v>
      </c>
      <c r="D228" s="948" t="s">
        <v>2677</v>
      </c>
      <c r="E228" s="2321">
        <f>'8.2,4.1 - VENT_SCHEDULE&amp;TAB'!M84</f>
        <v>0</v>
      </c>
      <c r="F228" s="2322"/>
      <c r="G228" s="948">
        <f>'8.2,4.1 - VENT_SCHEDULE&amp;TAB'!L84</f>
        <v>0</v>
      </c>
      <c r="H228" s="923"/>
      <c r="I228" s="923"/>
      <c r="J228" s="923"/>
    </row>
    <row r="229" spans="1:10" s="898" customFormat="1" ht="12.75" thickBot="1">
      <c r="A229" s="2323" t="s">
        <v>3568</v>
      </c>
      <c r="B229" s="2324"/>
      <c r="C229" s="2324"/>
      <c r="D229" s="2324"/>
      <c r="E229" s="2324"/>
      <c r="F229" s="2324"/>
      <c r="G229" s="2325"/>
      <c r="H229" s="923"/>
      <c r="I229" s="923"/>
      <c r="J229" s="923"/>
    </row>
    <row r="230" spans="1:10" ht="24">
      <c r="A230" s="969" t="s">
        <v>3569</v>
      </c>
      <c r="B230" s="938" t="s">
        <v>3570</v>
      </c>
      <c r="C230" s="958" t="str">
        <f>'8.2 - VENT_DUCT TIGHTNESS'!G42</f>
        <v xml:space="preserve"> CFM</v>
      </c>
      <c r="D230" s="944" t="str">
        <f>'8.2 - VENT_DUCT TIGHTNESS'!H42</f>
        <v>Baseline:  CFM
Proposed:  CFM</v>
      </c>
      <c r="E230" s="2321">
        <f>'8.2 - VENT_DUCT TIGHTNESS'!J42</f>
        <v>0</v>
      </c>
      <c r="F230" s="2322"/>
      <c r="G230" s="944">
        <f>'8.2 - VENT_DUCT TIGHTNESS'!I42</f>
        <v>0</v>
      </c>
      <c r="H230" s="923"/>
      <c r="I230" s="923"/>
      <c r="J230" s="923"/>
    </row>
    <row r="231" spans="1:10">
      <c r="A231" s="969" t="s">
        <v>3571</v>
      </c>
      <c r="B231" s="1831" t="s">
        <v>4559</v>
      </c>
      <c r="C231" s="924" t="s">
        <v>2677</v>
      </c>
      <c r="D231" s="925" t="s">
        <v>2677</v>
      </c>
      <c r="E231" s="2321">
        <f>'8.2 - VENT_DUCT TIGHTNESS'!J43</f>
        <v>0</v>
      </c>
      <c r="F231" s="2326"/>
      <c r="G231" s="944">
        <f>'8.2 - VENT_DUCT TIGHTNESS'!I43</f>
        <v>0</v>
      </c>
      <c r="H231" s="923"/>
      <c r="I231" s="923"/>
      <c r="J231" s="923"/>
    </row>
    <row r="232" spans="1:10">
      <c r="A232" s="970" t="s">
        <v>3573</v>
      </c>
      <c r="B232" s="939" t="s">
        <v>3572</v>
      </c>
      <c r="C232" s="924" t="s">
        <v>2677</v>
      </c>
      <c r="D232" s="925" t="s">
        <v>2677</v>
      </c>
      <c r="E232" s="2321">
        <f>'8.2 - VENT_DUCT TIGHTNESS'!J44</f>
        <v>0</v>
      </c>
      <c r="F232" s="2322"/>
      <c r="G232" s="925">
        <f>'8.2 - VENT_DUCT TIGHTNESS'!I44</f>
        <v>0</v>
      </c>
      <c r="H232" s="923"/>
      <c r="I232" s="923"/>
      <c r="J232" s="923"/>
    </row>
    <row r="233" spans="1:10">
      <c r="A233" s="970" t="s">
        <v>3575</v>
      </c>
      <c r="B233" s="939" t="s">
        <v>3574</v>
      </c>
      <c r="C233" s="924" t="s">
        <v>2677</v>
      </c>
      <c r="D233" s="925" t="s">
        <v>2677</v>
      </c>
      <c r="E233" s="2321">
        <f>'8.2 - VENT_DUCT TIGHTNESS'!J45</f>
        <v>0</v>
      </c>
      <c r="F233" s="2322"/>
      <c r="G233" s="925">
        <f>'8.2 - VENT_DUCT TIGHTNESS'!I45</f>
        <v>0</v>
      </c>
      <c r="H233" s="923"/>
      <c r="I233" s="923"/>
      <c r="J233" s="923"/>
    </row>
    <row r="234" spans="1:10">
      <c r="A234" s="970" t="s">
        <v>3577</v>
      </c>
      <c r="B234" s="939" t="s">
        <v>3576</v>
      </c>
      <c r="C234" s="924" t="s">
        <v>2677</v>
      </c>
      <c r="D234" s="925" t="s">
        <v>2677</v>
      </c>
      <c r="E234" s="2321">
        <f>'8.2 - VENT_DUCT TIGHTNESS'!J46</f>
        <v>0</v>
      </c>
      <c r="F234" s="2322"/>
      <c r="G234" s="925">
        <f>'8.2 - VENT_DUCT TIGHTNESS'!I46</f>
        <v>0</v>
      </c>
      <c r="H234" s="923"/>
      <c r="I234" s="923"/>
      <c r="J234" s="923"/>
    </row>
    <row r="235" spans="1:10">
      <c r="A235" s="970" t="s">
        <v>3579</v>
      </c>
      <c r="B235" s="939" t="s">
        <v>3578</v>
      </c>
      <c r="C235" s="924" t="s">
        <v>2677</v>
      </c>
      <c r="D235" s="925" t="s">
        <v>2677</v>
      </c>
      <c r="E235" s="2321">
        <f>'8.2 - VENT_DUCT TIGHTNESS'!J47</f>
        <v>0</v>
      </c>
      <c r="F235" s="2322"/>
      <c r="G235" s="925">
        <f>'8.2 - VENT_DUCT TIGHTNESS'!I47</f>
        <v>0</v>
      </c>
      <c r="H235" s="923"/>
      <c r="I235" s="923"/>
      <c r="J235" s="923"/>
    </row>
    <row r="236" spans="1:10">
      <c r="A236" s="970" t="s">
        <v>3581</v>
      </c>
      <c r="B236" s="939" t="s">
        <v>3580</v>
      </c>
      <c r="C236" s="924" t="s">
        <v>2677</v>
      </c>
      <c r="D236" s="925" t="s">
        <v>2677</v>
      </c>
      <c r="E236" s="2321">
        <f>'8.2 - VENT_DUCT TIGHTNESS'!J48</f>
        <v>0</v>
      </c>
      <c r="F236" s="2322"/>
      <c r="G236" s="925">
        <f>'8.2 - VENT_DUCT TIGHTNESS'!I48</f>
        <v>0</v>
      </c>
      <c r="H236" s="923"/>
      <c r="I236" s="923"/>
      <c r="J236" s="923"/>
    </row>
    <row r="237" spans="1:10">
      <c r="A237" s="971" t="s">
        <v>3583</v>
      </c>
      <c r="B237" s="939" t="s">
        <v>3582</v>
      </c>
      <c r="C237" s="924" t="s">
        <v>2677</v>
      </c>
      <c r="D237" s="925" t="s">
        <v>2677</v>
      </c>
      <c r="E237" s="2321">
        <f>'8.2 - VENT_DUCT TIGHTNESS'!J49</f>
        <v>0</v>
      </c>
      <c r="F237" s="2322"/>
      <c r="G237" s="925">
        <f>'8.2 - VENT_DUCT TIGHTNESS'!I49</f>
        <v>0</v>
      </c>
      <c r="H237" s="923"/>
      <c r="I237" s="923"/>
      <c r="J237" s="923"/>
    </row>
    <row r="238" spans="1:10" ht="12.75" thickBot="1">
      <c r="A238" s="1838" t="s">
        <v>4558</v>
      </c>
      <c r="B238" s="964" t="s">
        <v>3584</v>
      </c>
      <c r="C238" s="961" t="s">
        <v>2677</v>
      </c>
      <c r="D238" s="948" t="s">
        <v>2677</v>
      </c>
      <c r="E238" s="2321">
        <f>'8.2 - VENT_DUCT TIGHTNESS'!J50</f>
        <v>0</v>
      </c>
      <c r="F238" s="2322"/>
      <c r="G238" s="948">
        <f>'8.2 - VENT_DUCT TIGHTNESS'!I50</f>
        <v>0</v>
      </c>
      <c r="H238" s="923"/>
      <c r="I238" s="923"/>
      <c r="J238" s="923"/>
    </row>
    <row r="239" spans="1:10" ht="12.75" thickBot="1">
      <c r="A239" s="953">
        <v>9</v>
      </c>
      <c r="B239" s="2336" t="s">
        <v>4505</v>
      </c>
      <c r="C239" s="2336"/>
      <c r="D239" s="2336"/>
      <c r="E239" s="2336"/>
      <c r="F239" s="2336"/>
      <c r="G239" s="2337"/>
      <c r="H239" s="923"/>
      <c r="I239" s="923"/>
      <c r="J239" s="923"/>
    </row>
    <row r="240" spans="1:10">
      <c r="A240" s="1658" t="s">
        <v>3586</v>
      </c>
      <c r="B240" s="1659" t="s">
        <v>3587</v>
      </c>
      <c r="C240" s="914" t="s">
        <v>2677</v>
      </c>
      <c r="D240" s="915" t="s">
        <v>2677</v>
      </c>
      <c r="E240" s="2340">
        <f>'9.1- H&amp;S'!J23</f>
        <v>0</v>
      </c>
      <c r="F240" s="2341"/>
      <c r="G240" s="915">
        <f>'9.1- H&amp;S'!I23</f>
        <v>0</v>
      </c>
      <c r="H240" s="923"/>
      <c r="I240" s="923"/>
      <c r="J240" s="923"/>
    </row>
    <row r="241" spans="1:38">
      <c r="A241" s="970" t="s">
        <v>3588</v>
      </c>
      <c r="B241" s="1660" t="s">
        <v>3589</v>
      </c>
      <c r="C241" s="919" t="s">
        <v>2677</v>
      </c>
      <c r="D241" s="920" t="s">
        <v>2677</v>
      </c>
      <c r="E241" s="2342">
        <f>'9.1- H&amp;S'!J24</f>
        <v>0</v>
      </c>
      <c r="F241" s="2343"/>
      <c r="G241" s="920">
        <f>'9.1- H&amp;S'!I24</f>
        <v>0</v>
      </c>
      <c r="H241" s="923"/>
      <c r="I241" s="923"/>
      <c r="J241" s="923"/>
    </row>
    <row r="242" spans="1:38" ht="12.75" thickBot="1">
      <c r="A242" s="951" t="s">
        <v>3590</v>
      </c>
      <c r="B242" s="973" t="s">
        <v>3215</v>
      </c>
      <c r="C242" s="919" t="s">
        <v>2677</v>
      </c>
      <c r="D242" s="920" t="s">
        <v>2677</v>
      </c>
      <c r="E242" s="2338">
        <f>'9.1- H&amp;S'!J25</f>
        <v>0</v>
      </c>
      <c r="F242" s="2339"/>
      <c r="G242" s="922">
        <f>'9.1- H&amp;S'!I25</f>
        <v>0</v>
      </c>
      <c r="H242" s="923"/>
      <c r="I242" s="923"/>
      <c r="J242" s="923"/>
    </row>
    <row r="243" spans="1:38" s="913" customFormat="1" ht="12.75" thickBot="1">
      <c r="A243" s="953">
        <v>10</v>
      </c>
      <c r="B243" s="2336" t="s">
        <v>3585</v>
      </c>
      <c r="C243" s="2336"/>
      <c r="D243" s="2336"/>
      <c r="E243" s="2336"/>
      <c r="F243" s="2336"/>
      <c r="G243" s="2337"/>
      <c r="H243" s="911"/>
      <c r="I243" s="911"/>
      <c r="J243" s="911"/>
      <c r="K243" s="912"/>
      <c r="L243" s="912"/>
      <c r="M243" s="912"/>
      <c r="N243" s="912"/>
      <c r="O243" s="912"/>
      <c r="P243" s="912"/>
      <c r="Q243" s="912"/>
      <c r="R243" s="912"/>
      <c r="S243" s="912"/>
      <c r="T243" s="912"/>
      <c r="U243" s="912"/>
      <c r="V243" s="912"/>
      <c r="W243" s="912"/>
      <c r="X243" s="912"/>
      <c r="Y243" s="912"/>
      <c r="Z243" s="912"/>
      <c r="AA243" s="912"/>
      <c r="AB243" s="912"/>
      <c r="AC243" s="912"/>
      <c r="AD243" s="912"/>
      <c r="AE243" s="912"/>
      <c r="AF243" s="912"/>
      <c r="AG243" s="912"/>
      <c r="AH243" s="912"/>
      <c r="AI243" s="912"/>
      <c r="AJ243" s="912"/>
      <c r="AK243" s="912"/>
      <c r="AL243" s="912"/>
    </row>
    <row r="244" spans="1:38">
      <c r="A244" s="1658" t="s">
        <v>4499</v>
      </c>
      <c r="B244" s="1659" t="s">
        <v>3587</v>
      </c>
      <c r="C244" s="914" t="s">
        <v>2677</v>
      </c>
      <c r="D244" s="915" t="s">
        <v>2677</v>
      </c>
      <c r="E244" s="2344">
        <f>'10.1 - METERS'!J30</f>
        <v>0</v>
      </c>
      <c r="F244" s="2345"/>
      <c r="G244" s="915">
        <f>'10.1 - METERS'!I30</f>
        <v>0</v>
      </c>
      <c r="H244" s="923"/>
      <c r="I244" s="923"/>
      <c r="J244" s="923"/>
    </row>
    <row r="245" spans="1:38">
      <c r="A245" s="970" t="s">
        <v>4500</v>
      </c>
      <c r="B245" s="1660" t="s">
        <v>3589</v>
      </c>
      <c r="C245" s="919" t="s">
        <v>2677</v>
      </c>
      <c r="D245" s="920" t="s">
        <v>2677</v>
      </c>
      <c r="E245" s="2321">
        <f>'10.1 - METERS'!J31</f>
        <v>0</v>
      </c>
      <c r="F245" s="2333"/>
      <c r="G245" s="920">
        <f>'10.1 - METERS'!I31</f>
        <v>0</v>
      </c>
      <c r="H245" s="923"/>
      <c r="I245" s="923"/>
      <c r="J245" s="923"/>
    </row>
    <row r="246" spans="1:38">
      <c r="A246" s="970" t="s">
        <v>4501</v>
      </c>
      <c r="B246" s="1661" t="s">
        <v>1058</v>
      </c>
      <c r="C246" s="919" t="s">
        <v>2677</v>
      </c>
      <c r="D246" s="920" t="s">
        <v>2677</v>
      </c>
      <c r="E246" s="2321">
        <f>'10.1 - METERS'!J32</f>
        <v>0</v>
      </c>
      <c r="F246" s="2333"/>
      <c r="G246" s="920">
        <f>'10.1 - METERS'!I32</f>
        <v>0</v>
      </c>
      <c r="H246" s="923"/>
      <c r="I246" s="923"/>
      <c r="J246" s="923"/>
    </row>
    <row r="247" spans="1:38">
      <c r="A247" s="970" t="s">
        <v>4502</v>
      </c>
      <c r="B247" s="1661" t="s">
        <v>3591</v>
      </c>
      <c r="C247" s="919" t="s">
        <v>2677</v>
      </c>
      <c r="D247" s="920" t="s">
        <v>2677</v>
      </c>
      <c r="E247" s="2321">
        <f>'10.1 - METERS'!J33</f>
        <v>0</v>
      </c>
      <c r="F247" s="2333"/>
      <c r="G247" s="920">
        <f>'10.1 - METERS'!I33</f>
        <v>0</v>
      </c>
      <c r="H247" s="923"/>
      <c r="I247" s="923"/>
      <c r="J247" s="923"/>
    </row>
    <row r="248" spans="1:38">
      <c r="A248" s="970" t="s">
        <v>4503</v>
      </c>
      <c r="B248" s="1661" t="s">
        <v>3593</v>
      </c>
      <c r="C248" s="919" t="s">
        <v>2677</v>
      </c>
      <c r="D248" s="920" t="s">
        <v>2677</v>
      </c>
      <c r="E248" s="2321">
        <f>'10.1 - METERS'!J34</f>
        <v>0</v>
      </c>
      <c r="F248" s="2333"/>
      <c r="G248" s="920">
        <f>'10.1 - METERS'!I34</f>
        <v>0</v>
      </c>
      <c r="H248" s="923"/>
      <c r="I248" s="923"/>
      <c r="J248" s="923"/>
    </row>
    <row r="249" spans="1:38" ht="12.75" thickBot="1">
      <c r="A249" s="951" t="s">
        <v>4504</v>
      </c>
      <c r="B249" s="973" t="s">
        <v>3215</v>
      </c>
      <c r="C249" s="921" t="s">
        <v>2677</v>
      </c>
      <c r="D249" s="922" t="s">
        <v>2677</v>
      </c>
      <c r="E249" s="2334">
        <f>'10.1 - METERS'!J35</f>
        <v>0</v>
      </c>
      <c r="F249" s="2335"/>
      <c r="G249" s="922">
        <f>'10.1 - METERS'!I35</f>
        <v>0</v>
      </c>
      <c r="H249" s="923"/>
      <c r="I249" s="923"/>
      <c r="J249" s="923"/>
      <c r="K249" s="897"/>
      <c r="L249" s="897"/>
      <c r="M249" s="897"/>
      <c r="N249" s="897"/>
      <c r="O249" s="897"/>
      <c r="P249" s="897"/>
      <c r="Q249" s="897"/>
      <c r="R249" s="897"/>
      <c r="S249" s="897"/>
      <c r="T249" s="897"/>
      <c r="U249" s="897"/>
      <c r="V249" s="897"/>
      <c r="W249" s="897"/>
      <c r="X249" s="897"/>
      <c r="Y249" s="897"/>
      <c r="Z249" s="897"/>
      <c r="AA249" s="897"/>
      <c r="AB249" s="897"/>
      <c r="AC249" s="897"/>
      <c r="AD249" s="897"/>
      <c r="AE249" s="897"/>
      <c r="AF249" s="897"/>
      <c r="AG249" s="897"/>
      <c r="AH249" s="897"/>
      <c r="AI249" s="897"/>
      <c r="AJ249" s="897"/>
      <c r="AK249" s="897"/>
      <c r="AL249" s="897"/>
    </row>
    <row r="250" spans="1:38">
      <c r="A250" s="929"/>
      <c r="B250" s="899"/>
      <c r="C250" s="900"/>
      <c r="D250" s="894"/>
      <c r="E250" s="936"/>
      <c r="F250" s="905"/>
      <c r="G250" s="896"/>
      <c r="H250" s="897"/>
      <c r="I250" s="897"/>
      <c r="J250" s="923"/>
      <c r="K250" s="897"/>
      <c r="L250" s="897"/>
      <c r="M250" s="897"/>
      <c r="N250" s="897"/>
      <c r="O250" s="897"/>
      <c r="P250" s="897"/>
      <c r="Q250" s="897"/>
      <c r="R250" s="897"/>
      <c r="S250" s="897"/>
      <c r="T250" s="897"/>
      <c r="U250" s="897"/>
      <c r="V250" s="897"/>
      <c r="W250" s="897"/>
      <c r="X250" s="897"/>
      <c r="Y250" s="897"/>
      <c r="Z250" s="897"/>
      <c r="AA250" s="897"/>
      <c r="AB250" s="897"/>
      <c r="AC250" s="897"/>
      <c r="AD250" s="897"/>
      <c r="AE250" s="897"/>
      <c r="AF250" s="897"/>
      <c r="AG250" s="897"/>
      <c r="AH250" s="897"/>
      <c r="AI250" s="897"/>
      <c r="AJ250" s="897"/>
      <c r="AK250" s="897"/>
      <c r="AL250" s="897"/>
    </row>
    <row r="251" spans="1:38" s="898" customFormat="1" ht="12.75" thickBot="1">
      <c r="A251" s="929"/>
      <c r="B251" s="899"/>
      <c r="C251" s="900"/>
      <c r="D251" s="894"/>
      <c r="E251" s="936"/>
      <c r="F251" s="905"/>
      <c r="G251" s="896"/>
      <c r="H251" s="897"/>
      <c r="I251" s="897"/>
      <c r="J251" s="923"/>
    </row>
    <row r="252" spans="1:38" s="898" customFormat="1" ht="17.25" customHeight="1">
      <c r="A252" s="929"/>
      <c r="B252" s="1654" t="s">
        <v>2996</v>
      </c>
      <c r="C252" s="1655"/>
      <c r="D252" s="1656"/>
      <c r="E252" s="1657"/>
      <c r="F252" s="905"/>
      <c r="G252" s="896"/>
      <c r="H252" s="897"/>
      <c r="I252" s="897"/>
      <c r="J252" s="923"/>
    </row>
    <row r="253" spans="1:38" s="898" customFormat="1" ht="29.25" customHeight="1">
      <c r="A253" s="929"/>
      <c r="B253" s="2357" t="s">
        <v>4414</v>
      </c>
      <c r="C253" s="2358"/>
      <c r="D253" s="2358"/>
      <c r="E253" s="2359"/>
      <c r="F253" s="905"/>
      <c r="G253" s="896"/>
      <c r="H253" s="897"/>
      <c r="I253" s="897"/>
      <c r="J253" s="923"/>
    </row>
    <row r="254" spans="1:38" s="898" customFormat="1" ht="16.5" customHeight="1">
      <c r="A254" s="929"/>
      <c r="B254" s="2357" t="s">
        <v>4412</v>
      </c>
      <c r="C254" s="2358"/>
      <c r="D254" s="2358"/>
      <c r="E254" s="2359"/>
      <c r="F254" s="905"/>
      <c r="G254" s="896"/>
      <c r="H254" s="897"/>
      <c r="I254" s="897"/>
      <c r="J254" s="923"/>
    </row>
    <row r="255" spans="1:38" s="898" customFormat="1" ht="29.25" customHeight="1" thickBot="1">
      <c r="A255" s="929"/>
      <c r="B255" s="2360" t="s">
        <v>4415</v>
      </c>
      <c r="C255" s="2361"/>
      <c r="D255" s="2361"/>
      <c r="E255" s="2362"/>
      <c r="F255" s="905"/>
      <c r="G255" s="896"/>
      <c r="H255" s="897"/>
      <c r="I255" s="897"/>
      <c r="J255" s="923"/>
    </row>
    <row r="256" spans="1:38" s="898" customFormat="1">
      <c r="A256" s="929"/>
      <c r="B256" s="899"/>
      <c r="C256" s="900"/>
      <c r="D256" s="894"/>
      <c r="E256" s="936"/>
      <c r="F256" s="905"/>
      <c r="G256" s="896"/>
      <c r="H256" s="897"/>
      <c r="I256" s="897"/>
      <c r="J256" s="923"/>
    </row>
    <row r="257" spans="1:46" s="898" customFormat="1">
      <c r="A257" s="929"/>
      <c r="B257" s="899"/>
      <c r="C257" s="900"/>
      <c r="D257" s="894"/>
      <c r="E257" s="936"/>
      <c r="F257" s="905"/>
      <c r="G257" s="896"/>
      <c r="H257" s="897"/>
      <c r="I257" s="897"/>
      <c r="J257" s="923"/>
    </row>
    <row r="258" spans="1:46" s="898" customFormat="1">
      <c r="A258" s="929"/>
      <c r="B258" s="899"/>
      <c r="C258" s="900"/>
      <c r="D258" s="894"/>
      <c r="E258" s="936"/>
      <c r="F258" s="905"/>
      <c r="G258" s="896"/>
      <c r="H258" s="897"/>
      <c r="I258" s="897"/>
      <c r="J258" s="923"/>
    </row>
    <row r="259" spans="1:46" s="898" customFormat="1">
      <c r="A259" s="929"/>
      <c r="B259" s="899"/>
      <c r="C259" s="900"/>
      <c r="D259" s="894"/>
      <c r="E259" s="936"/>
      <c r="F259" s="905"/>
      <c r="G259" s="896"/>
      <c r="H259" s="897"/>
      <c r="I259" s="897"/>
      <c r="J259" s="923"/>
    </row>
    <row r="260" spans="1:46" s="898" customFormat="1">
      <c r="A260" s="892"/>
      <c r="B260" s="899"/>
      <c r="C260" s="900"/>
      <c r="D260" s="894"/>
      <c r="E260" s="936"/>
      <c r="F260" s="905"/>
      <c r="G260" s="896"/>
      <c r="H260" s="897"/>
      <c r="I260" s="897"/>
      <c r="J260" s="923"/>
    </row>
    <row r="261" spans="1:46" s="898" customFormat="1">
      <c r="A261" s="892"/>
      <c r="B261" s="899"/>
      <c r="C261" s="900"/>
      <c r="D261" s="894"/>
      <c r="E261" s="936"/>
      <c r="F261" s="905"/>
      <c r="G261" s="896"/>
      <c r="H261" s="897"/>
      <c r="I261" s="897"/>
      <c r="J261" s="923"/>
    </row>
    <row r="262" spans="1:46" s="898" customFormat="1">
      <c r="A262" s="892"/>
      <c r="B262" s="899"/>
      <c r="C262" s="900"/>
      <c r="D262" s="894"/>
      <c r="E262" s="936"/>
      <c r="F262" s="905"/>
      <c r="G262" s="896"/>
      <c r="H262" s="897"/>
      <c r="I262" s="897"/>
      <c r="J262" s="923"/>
    </row>
    <row r="263" spans="1:46" s="898" customFormat="1">
      <c r="A263" s="892"/>
      <c r="B263" s="899"/>
      <c r="C263" s="900"/>
      <c r="D263" s="894"/>
      <c r="E263" s="936"/>
      <c r="F263" s="905"/>
      <c r="G263" s="896"/>
      <c r="H263" s="897"/>
      <c r="I263" s="897"/>
    </row>
    <row r="264" spans="1:46" s="898" customFormat="1">
      <c r="A264" s="892"/>
      <c r="B264" s="899"/>
      <c r="C264" s="900"/>
      <c r="D264" s="894"/>
      <c r="E264" s="936"/>
      <c r="F264" s="905"/>
      <c r="G264" s="896"/>
      <c r="H264" s="897"/>
      <c r="I264" s="897"/>
    </row>
    <row r="265" spans="1:46" s="898" customFormat="1">
      <c r="A265" s="892"/>
      <c r="B265" s="899"/>
      <c r="C265" s="900"/>
      <c r="D265" s="894"/>
      <c r="E265" s="936"/>
      <c r="F265" s="905"/>
      <c r="G265" s="896"/>
      <c r="H265" s="897"/>
      <c r="I265" s="897"/>
    </row>
    <row r="266" spans="1:46" s="898" customFormat="1">
      <c r="A266" s="892"/>
      <c r="B266" s="899"/>
      <c r="C266" s="900"/>
      <c r="D266" s="894"/>
      <c r="E266" s="936"/>
      <c r="F266" s="905"/>
      <c r="G266" s="896"/>
      <c r="H266" s="897"/>
      <c r="I266" s="897"/>
    </row>
    <row r="267" spans="1:46">
      <c r="B267" s="899"/>
      <c r="C267" s="900"/>
      <c r="D267" s="894"/>
      <c r="E267" s="936"/>
      <c r="F267" s="905"/>
      <c r="G267" s="896"/>
      <c r="H267" s="897"/>
      <c r="I267" s="897"/>
    </row>
    <row r="268" spans="1:46" s="930" customFormat="1">
      <c r="A268" s="892"/>
      <c r="B268" s="899"/>
      <c r="C268" s="900"/>
      <c r="D268" s="894"/>
      <c r="E268" s="936"/>
      <c r="F268" s="905"/>
      <c r="G268" s="896"/>
      <c r="H268" s="897"/>
      <c r="I268" s="897"/>
      <c r="J268" s="898"/>
      <c r="K268" s="898"/>
      <c r="L268" s="898"/>
      <c r="M268" s="898"/>
      <c r="N268" s="898"/>
      <c r="O268" s="898"/>
      <c r="P268" s="898"/>
      <c r="Q268" s="898"/>
      <c r="R268" s="898"/>
      <c r="S268" s="898"/>
      <c r="T268" s="898"/>
      <c r="U268" s="898"/>
      <c r="V268" s="898"/>
      <c r="W268" s="898"/>
      <c r="X268" s="898"/>
      <c r="Y268" s="898"/>
      <c r="Z268" s="898"/>
      <c r="AA268" s="898"/>
      <c r="AB268" s="898"/>
      <c r="AC268" s="898"/>
      <c r="AD268" s="898"/>
      <c r="AE268" s="898"/>
      <c r="AF268" s="898"/>
      <c r="AG268" s="898"/>
      <c r="AH268" s="898"/>
      <c r="AI268" s="898"/>
      <c r="AJ268" s="898"/>
      <c r="AK268" s="898"/>
      <c r="AL268" s="898"/>
      <c r="AM268" s="897"/>
      <c r="AN268" s="897"/>
      <c r="AO268" s="897"/>
      <c r="AP268" s="897"/>
      <c r="AQ268" s="897"/>
      <c r="AR268" s="897"/>
      <c r="AS268" s="897"/>
      <c r="AT268" s="897"/>
    </row>
    <row r="269" spans="1:46" s="930" customFormat="1">
      <c r="A269" s="892"/>
      <c r="B269" s="899"/>
      <c r="C269" s="900"/>
      <c r="D269" s="894"/>
      <c r="E269" s="936"/>
      <c r="F269" s="905"/>
      <c r="G269" s="896"/>
      <c r="H269" s="897"/>
      <c r="I269" s="897"/>
      <c r="J269" s="898"/>
      <c r="K269" s="898"/>
      <c r="L269" s="898"/>
      <c r="M269" s="898"/>
      <c r="N269" s="898"/>
      <c r="O269" s="898"/>
      <c r="P269" s="898"/>
      <c r="Q269" s="898"/>
      <c r="R269" s="898"/>
      <c r="S269" s="898"/>
      <c r="T269" s="898"/>
      <c r="U269" s="898"/>
      <c r="V269" s="898"/>
      <c r="W269" s="898"/>
      <c r="X269" s="898"/>
      <c r="Y269" s="898"/>
      <c r="Z269" s="898"/>
      <c r="AA269" s="898"/>
      <c r="AB269" s="898"/>
      <c r="AC269" s="898"/>
      <c r="AD269" s="898"/>
      <c r="AE269" s="898"/>
      <c r="AF269" s="898"/>
      <c r="AG269" s="898"/>
      <c r="AH269" s="898"/>
      <c r="AI269" s="898"/>
      <c r="AJ269" s="898"/>
      <c r="AK269" s="898"/>
      <c r="AL269" s="898"/>
      <c r="AM269" s="897"/>
      <c r="AN269" s="897"/>
      <c r="AO269" s="897"/>
      <c r="AP269" s="897"/>
      <c r="AQ269" s="897"/>
      <c r="AR269" s="897"/>
      <c r="AS269" s="897"/>
      <c r="AT269" s="897"/>
    </row>
    <row r="270" spans="1:46" s="930" customFormat="1">
      <c r="A270" s="892"/>
      <c r="B270" s="899"/>
      <c r="C270" s="900"/>
      <c r="D270" s="894"/>
      <c r="E270" s="936"/>
      <c r="F270" s="905"/>
      <c r="G270" s="896"/>
      <c r="H270" s="897"/>
      <c r="I270" s="897"/>
      <c r="J270" s="898"/>
      <c r="K270" s="898"/>
      <c r="L270" s="898"/>
      <c r="M270" s="898"/>
      <c r="N270" s="898"/>
      <c r="O270" s="898"/>
      <c r="P270" s="898"/>
      <c r="Q270" s="898"/>
      <c r="R270" s="898"/>
      <c r="S270" s="898"/>
      <c r="T270" s="898"/>
      <c r="U270" s="898"/>
      <c r="V270" s="898"/>
      <c r="W270" s="898"/>
      <c r="X270" s="898"/>
      <c r="Y270" s="898"/>
      <c r="Z270" s="898"/>
      <c r="AA270" s="898"/>
      <c r="AB270" s="898"/>
      <c r="AC270" s="898"/>
      <c r="AD270" s="898"/>
      <c r="AE270" s="898"/>
      <c r="AF270" s="898"/>
      <c r="AG270" s="898"/>
      <c r="AH270" s="898"/>
      <c r="AI270" s="898"/>
      <c r="AJ270" s="898"/>
      <c r="AK270" s="898"/>
      <c r="AL270" s="898"/>
      <c r="AM270" s="897"/>
      <c r="AN270" s="897"/>
      <c r="AO270" s="897"/>
      <c r="AP270" s="897"/>
      <c r="AQ270" s="897"/>
      <c r="AR270" s="897"/>
      <c r="AS270" s="897"/>
      <c r="AT270" s="897"/>
    </row>
    <row r="271" spans="1:46" s="930" customFormat="1">
      <c r="A271" s="892"/>
      <c r="B271" s="899"/>
      <c r="C271" s="900"/>
      <c r="D271" s="894"/>
      <c r="E271" s="936"/>
      <c r="F271" s="905"/>
      <c r="G271" s="896"/>
      <c r="H271" s="897"/>
      <c r="I271" s="897"/>
      <c r="J271" s="898"/>
      <c r="K271" s="898"/>
      <c r="L271" s="898"/>
      <c r="M271" s="898"/>
      <c r="N271" s="898"/>
      <c r="O271" s="898"/>
      <c r="P271" s="898"/>
      <c r="Q271" s="898"/>
      <c r="R271" s="898"/>
      <c r="S271" s="898"/>
      <c r="T271" s="898"/>
      <c r="U271" s="898"/>
      <c r="V271" s="898"/>
      <c r="W271" s="898"/>
      <c r="X271" s="898"/>
      <c r="Y271" s="898"/>
      <c r="Z271" s="898"/>
      <c r="AA271" s="898"/>
      <c r="AB271" s="898"/>
      <c r="AC271" s="898"/>
      <c r="AD271" s="898"/>
      <c r="AE271" s="898"/>
      <c r="AF271" s="898"/>
      <c r="AG271" s="898"/>
      <c r="AH271" s="898"/>
      <c r="AI271" s="898"/>
      <c r="AJ271" s="898"/>
      <c r="AK271" s="898"/>
      <c r="AL271" s="898"/>
      <c r="AM271" s="897"/>
      <c r="AN271" s="897"/>
      <c r="AO271" s="897"/>
      <c r="AP271" s="897"/>
      <c r="AQ271" s="897"/>
      <c r="AR271" s="897"/>
      <c r="AS271" s="897"/>
      <c r="AT271" s="897"/>
    </row>
    <row r="272" spans="1:46" s="930" customFormat="1">
      <c r="A272" s="892"/>
      <c r="B272" s="899"/>
      <c r="C272" s="900"/>
      <c r="D272" s="894"/>
      <c r="E272" s="936"/>
      <c r="F272" s="905"/>
      <c r="G272" s="896"/>
      <c r="H272" s="897"/>
      <c r="I272" s="897"/>
      <c r="J272" s="898"/>
      <c r="K272" s="898"/>
      <c r="L272" s="898"/>
      <c r="M272" s="898"/>
      <c r="N272" s="898"/>
      <c r="O272" s="898"/>
      <c r="P272" s="898"/>
      <c r="Q272" s="898"/>
      <c r="R272" s="898"/>
      <c r="S272" s="898"/>
      <c r="T272" s="898"/>
      <c r="U272" s="898"/>
      <c r="V272" s="898"/>
      <c r="W272" s="898"/>
      <c r="X272" s="898"/>
      <c r="Y272" s="898"/>
      <c r="Z272" s="898"/>
      <c r="AA272" s="898"/>
      <c r="AB272" s="898"/>
      <c r="AC272" s="898"/>
      <c r="AD272" s="898"/>
      <c r="AE272" s="898"/>
      <c r="AF272" s="898"/>
      <c r="AG272" s="898"/>
      <c r="AH272" s="898"/>
      <c r="AI272" s="898"/>
      <c r="AJ272" s="898"/>
      <c r="AK272" s="898"/>
      <c r="AL272" s="898"/>
      <c r="AM272" s="897"/>
      <c r="AN272" s="897"/>
      <c r="AO272" s="897"/>
      <c r="AP272" s="897"/>
      <c r="AQ272" s="897"/>
      <c r="AR272" s="897"/>
      <c r="AS272" s="897"/>
      <c r="AT272" s="897"/>
    </row>
    <row r="273" spans="1:46" s="930" customFormat="1">
      <c r="A273" s="892"/>
      <c r="B273" s="899"/>
      <c r="C273" s="900"/>
      <c r="D273" s="894"/>
      <c r="E273" s="936"/>
      <c r="F273" s="905"/>
      <c r="G273" s="896"/>
      <c r="H273" s="897"/>
      <c r="I273" s="897"/>
      <c r="J273" s="898"/>
      <c r="K273" s="898"/>
      <c r="L273" s="898"/>
      <c r="M273" s="898"/>
      <c r="N273" s="898"/>
      <c r="O273" s="898"/>
      <c r="P273" s="898"/>
      <c r="Q273" s="898"/>
      <c r="R273" s="898"/>
      <c r="S273" s="898"/>
      <c r="T273" s="898"/>
      <c r="U273" s="898"/>
      <c r="V273" s="898"/>
      <c r="W273" s="898"/>
      <c r="X273" s="898"/>
      <c r="Y273" s="898"/>
      <c r="Z273" s="898"/>
      <c r="AA273" s="898"/>
      <c r="AB273" s="898"/>
      <c r="AC273" s="898"/>
      <c r="AD273" s="898"/>
      <c r="AE273" s="898"/>
      <c r="AF273" s="898"/>
      <c r="AG273" s="898"/>
      <c r="AH273" s="898"/>
      <c r="AI273" s="898"/>
      <c r="AJ273" s="898"/>
      <c r="AK273" s="898"/>
      <c r="AL273" s="898"/>
      <c r="AM273" s="897"/>
      <c r="AN273" s="897"/>
      <c r="AO273" s="897"/>
      <c r="AP273" s="897"/>
      <c r="AQ273" s="897"/>
      <c r="AR273" s="897"/>
      <c r="AS273" s="897"/>
      <c r="AT273" s="897"/>
    </row>
    <row r="274" spans="1:46" s="930" customFormat="1">
      <c r="A274" s="892"/>
      <c r="B274" s="899"/>
      <c r="C274" s="900"/>
      <c r="D274" s="894"/>
      <c r="E274" s="936"/>
      <c r="F274" s="905"/>
      <c r="G274" s="896"/>
      <c r="H274" s="897"/>
      <c r="I274" s="897"/>
      <c r="J274" s="898"/>
      <c r="K274" s="898"/>
      <c r="L274" s="898"/>
      <c r="M274" s="898"/>
      <c r="N274" s="898"/>
      <c r="O274" s="898"/>
      <c r="P274" s="898"/>
      <c r="Q274" s="898"/>
      <c r="R274" s="898"/>
      <c r="S274" s="898"/>
      <c r="T274" s="898"/>
      <c r="U274" s="898"/>
      <c r="V274" s="898"/>
      <c r="W274" s="898"/>
      <c r="X274" s="898"/>
      <c r="Y274" s="898"/>
      <c r="Z274" s="898"/>
      <c r="AA274" s="898"/>
      <c r="AB274" s="898"/>
      <c r="AC274" s="898"/>
      <c r="AD274" s="898"/>
      <c r="AE274" s="898"/>
      <c r="AF274" s="898"/>
      <c r="AG274" s="898"/>
      <c r="AH274" s="898"/>
      <c r="AI274" s="898"/>
      <c r="AJ274" s="898"/>
      <c r="AK274" s="898"/>
      <c r="AL274" s="898"/>
      <c r="AM274" s="897"/>
      <c r="AN274" s="897"/>
      <c r="AO274" s="897"/>
      <c r="AP274" s="897"/>
      <c r="AQ274" s="897"/>
      <c r="AR274" s="897"/>
      <c r="AS274" s="897"/>
      <c r="AT274" s="897"/>
    </row>
    <row r="275" spans="1:46" s="930" customFormat="1">
      <c r="A275" s="892"/>
      <c r="B275" s="899"/>
      <c r="C275" s="900"/>
      <c r="D275" s="894"/>
      <c r="E275" s="936"/>
      <c r="F275" s="905"/>
      <c r="G275" s="896"/>
      <c r="H275" s="897"/>
      <c r="I275" s="897"/>
      <c r="J275" s="898"/>
      <c r="K275" s="898"/>
      <c r="L275" s="898"/>
      <c r="M275" s="898"/>
      <c r="N275" s="898"/>
      <c r="O275" s="898"/>
      <c r="P275" s="898"/>
      <c r="Q275" s="898"/>
      <c r="R275" s="898"/>
      <c r="S275" s="898"/>
      <c r="T275" s="898"/>
      <c r="U275" s="898"/>
      <c r="V275" s="898"/>
      <c r="W275" s="898"/>
      <c r="X275" s="898"/>
      <c r="Y275" s="898"/>
      <c r="Z275" s="898"/>
      <c r="AA275" s="898"/>
      <c r="AB275" s="898"/>
      <c r="AC275" s="898"/>
      <c r="AD275" s="898"/>
      <c r="AE275" s="898"/>
      <c r="AF275" s="898"/>
      <c r="AG275" s="898"/>
      <c r="AH275" s="898"/>
      <c r="AI275" s="898"/>
      <c r="AJ275" s="898"/>
      <c r="AK275" s="898"/>
      <c r="AL275" s="898"/>
      <c r="AM275" s="897"/>
      <c r="AN275" s="897"/>
      <c r="AO275" s="897"/>
      <c r="AP275" s="897"/>
      <c r="AQ275" s="897"/>
      <c r="AR275" s="897"/>
      <c r="AS275" s="897"/>
      <c r="AT275" s="897"/>
    </row>
    <row r="276" spans="1:46" s="930" customFormat="1">
      <c r="A276" s="892"/>
      <c r="B276" s="899"/>
      <c r="C276" s="900"/>
      <c r="D276" s="894"/>
      <c r="E276" s="936"/>
      <c r="F276" s="905"/>
      <c r="G276" s="896"/>
      <c r="H276" s="897"/>
      <c r="I276" s="897"/>
      <c r="J276" s="898"/>
      <c r="K276" s="898"/>
      <c r="L276" s="898"/>
      <c r="M276" s="898"/>
      <c r="N276" s="898"/>
      <c r="O276" s="898"/>
      <c r="P276" s="898"/>
      <c r="Q276" s="898"/>
      <c r="R276" s="898"/>
      <c r="S276" s="898"/>
      <c r="T276" s="898"/>
      <c r="U276" s="898"/>
      <c r="V276" s="898"/>
      <c r="W276" s="898"/>
      <c r="X276" s="898"/>
      <c r="Y276" s="898"/>
      <c r="Z276" s="898"/>
      <c r="AA276" s="898"/>
      <c r="AB276" s="898"/>
      <c r="AC276" s="898"/>
      <c r="AD276" s="898"/>
      <c r="AE276" s="898"/>
      <c r="AF276" s="898"/>
      <c r="AG276" s="898"/>
      <c r="AH276" s="898"/>
      <c r="AI276" s="898"/>
      <c r="AJ276" s="898"/>
      <c r="AK276" s="898"/>
      <c r="AL276" s="898"/>
      <c r="AM276" s="897"/>
      <c r="AN276" s="897"/>
      <c r="AO276" s="897"/>
      <c r="AP276" s="897"/>
      <c r="AQ276" s="897"/>
      <c r="AR276" s="897"/>
      <c r="AS276" s="897"/>
      <c r="AT276" s="897"/>
    </row>
    <row r="277" spans="1:46" s="930" customFormat="1">
      <c r="A277" s="892"/>
      <c r="B277" s="899"/>
      <c r="C277" s="900"/>
      <c r="D277" s="894"/>
      <c r="E277" s="936"/>
      <c r="F277" s="905"/>
      <c r="G277" s="896"/>
      <c r="H277" s="897"/>
      <c r="I277" s="897"/>
      <c r="J277" s="898"/>
      <c r="K277" s="898"/>
      <c r="L277" s="898"/>
      <c r="M277" s="898"/>
      <c r="N277" s="898"/>
      <c r="O277" s="898"/>
      <c r="P277" s="898"/>
      <c r="Q277" s="898"/>
      <c r="R277" s="898"/>
      <c r="S277" s="898"/>
      <c r="T277" s="898"/>
      <c r="U277" s="898"/>
      <c r="V277" s="898"/>
      <c r="W277" s="898"/>
      <c r="X277" s="898"/>
      <c r="Y277" s="898"/>
      <c r="Z277" s="898"/>
      <c r="AA277" s="898"/>
      <c r="AB277" s="898"/>
      <c r="AC277" s="898"/>
      <c r="AD277" s="898"/>
      <c r="AE277" s="898"/>
      <c r="AF277" s="898"/>
      <c r="AG277" s="898"/>
      <c r="AH277" s="898"/>
      <c r="AI277" s="898"/>
      <c r="AJ277" s="898"/>
      <c r="AK277" s="898"/>
      <c r="AL277" s="898"/>
      <c r="AM277" s="897"/>
      <c r="AN277" s="897"/>
      <c r="AO277" s="897"/>
      <c r="AP277" s="897"/>
      <c r="AQ277" s="897"/>
      <c r="AR277" s="897"/>
      <c r="AS277" s="897"/>
      <c r="AT277" s="897"/>
    </row>
    <row r="278" spans="1:46" s="930" customFormat="1">
      <c r="A278" s="892"/>
      <c r="B278" s="899"/>
      <c r="C278" s="900"/>
      <c r="D278" s="894"/>
      <c r="E278" s="936"/>
      <c r="F278" s="905"/>
      <c r="G278" s="896"/>
      <c r="H278" s="897"/>
      <c r="I278" s="897"/>
      <c r="J278" s="898"/>
      <c r="K278" s="898"/>
      <c r="L278" s="898"/>
      <c r="M278" s="898"/>
      <c r="N278" s="898"/>
      <c r="O278" s="898"/>
      <c r="P278" s="898"/>
      <c r="Q278" s="898"/>
      <c r="R278" s="898"/>
      <c r="S278" s="898"/>
      <c r="T278" s="898"/>
      <c r="U278" s="898"/>
      <c r="V278" s="898"/>
      <c r="W278" s="898"/>
      <c r="X278" s="898"/>
      <c r="Y278" s="898"/>
      <c r="Z278" s="898"/>
      <c r="AA278" s="898"/>
      <c r="AB278" s="898"/>
      <c r="AC278" s="898"/>
      <c r="AD278" s="898"/>
      <c r="AE278" s="898"/>
      <c r="AF278" s="898"/>
      <c r="AG278" s="898"/>
      <c r="AH278" s="898"/>
      <c r="AI278" s="898"/>
      <c r="AJ278" s="898"/>
      <c r="AK278" s="898"/>
      <c r="AL278" s="898"/>
      <c r="AM278" s="897"/>
      <c r="AN278" s="897"/>
      <c r="AO278" s="897"/>
      <c r="AP278" s="897"/>
      <c r="AQ278" s="897"/>
      <c r="AR278" s="897"/>
      <c r="AS278" s="897"/>
      <c r="AT278" s="897"/>
    </row>
    <row r="279" spans="1:46" s="930" customFormat="1">
      <c r="A279" s="892"/>
      <c r="B279" s="899"/>
      <c r="C279" s="900"/>
      <c r="D279" s="894"/>
      <c r="E279" s="936"/>
      <c r="F279" s="905"/>
      <c r="G279" s="896"/>
      <c r="H279" s="897"/>
      <c r="I279" s="897"/>
      <c r="J279" s="898"/>
      <c r="K279" s="898"/>
      <c r="L279" s="898"/>
      <c r="M279" s="898"/>
      <c r="N279" s="898"/>
      <c r="O279" s="898"/>
      <c r="P279" s="898"/>
      <c r="Q279" s="898"/>
      <c r="R279" s="898"/>
      <c r="S279" s="898"/>
      <c r="T279" s="898"/>
      <c r="U279" s="898"/>
      <c r="V279" s="898"/>
      <c r="W279" s="898"/>
      <c r="X279" s="898"/>
      <c r="Y279" s="898"/>
      <c r="Z279" s="898"/>
      <c r="AA279" s="898"/>
      <c r="AB279" s="898"/>
      <c r="AC279" s="898"/>
      <c r="AD279" s="898"/>
      <c r="AE279" s="898"/>
      <c r="AF279" s="898"/>
      <c r="AG279" s="898"/>
      <c r="AH279" s="898"/>
      <c r="AI279" s="898"/>
      <c r="AJ279" s="898"/>
      <c r="AK279" s="898"/>
      <c r="AL279" s="898"/>
      <c r="AM279" s="897"/>
      <c r="AN279" s="897"/>
      <c r="AO279" s="897"/>
      <c r="AP279" s="897"/>
      <c r="AQ279" s="897"/>
      <c r="AR279" s="897"/>
      <c r="AS279" s="897"/>
      <c r="AT279" s="897"/>
    </row>
    <row r="280" spans="1:46" s="930" customFormat="1">
      <c r="A280" s="892"/>
      <c r="B280" s="899"/>
      <c r="C280" s="900"/>
      <c r="D280" s="894"/>
      <c r="E280" s="936"/>
      <c r="F280" s="905"/>
      <c r="G280" s="896"/>
      <c r="H280" s="897"/>
      <c r="I280" s="897"/>
      <c r="J280" s="898"/>
      <c r="K280" s="898"/>
      <c r="L280" s="898"/>
      <c r="M280" s="898"/>
      <c r="N280" s="898"/>
      <c r="O280" s="898"/>
      <c r="P280" s="898"/>
      <c r="Q280" s="898"/>
      <c r="R280" s="898"/>
      <c r="S280" s="898"/>
      <c r="T280" s="898"/>
      <c r="U280" s="898"/>
      <c r="V280" s="898"/>
      <c r="W280" s="898"/>
      <c r="X280" s="898"/>
      <c r="Y280" s="898"/>
      <c r="Z280" s="898"/>
      <c r="AA280" s="898"/>
      <c r="AB280" s="898"/>
      <c r="AC280" s="898"/>
      <c r="AD280" s="898"/>
      <c r="AE280" s="898"/>
      <c r="AF280" s="898"/>
      <c r="AG280" s="898"/>
      <c r="AH280" s="898"/>
      <c r="AI280" s="898"/>
      <c r="AJ280" s="898"/>
      <c r="AK280" s="898"/>
      <c r="AL280" s="898"/>
      <c r="AM280" s="897"/>
      <c r="AN280" s="897"/>
      <c r="AO280" s="897"/>
      <c r="AP280" s="897"/>
      <c r="AQ280" s="897"/>
      <c r="AR280" s="897"/>
      <c r="AS280" s="897"/>
      <c r="AT280" s="897"/>
    </row>
    <row r="281" spans="1:46" s="930" customFormat="1">
      <c r="A281" s="892"/>
      <c r="B281" s="899"/>
      <c r="C281" s="900"/>
      <c r="D281" s="894"/>
      <c r="E281" s="936"/>
      <c r="F281" s="905"/>
      <c r="G281" s="896"/>
      <c r="H281" s="897"/>
      <c r="I281" s="897"/>
      <c r="J281" s="898"/>
      <c r="K281" s="898"/>
      <c r="L281" s="898"/>
      <c r="M281" s="898"/>
      <c r="N281" s="898"/>
      <c r="O281" s="898"/>
      <c r="P281" s="898"/>
      <c r="Q281" s="898"/>
      <c r="R281" s="898"/>
      <c r="S281" s="898"/>
      <c r="T281" s="898"/>
      <c r="U281" s="898"/>
      <c r="V281" s="898"/>
      <c r="W281" s="898"/>
      <c r="X281" s="898"/>
      <c r="Y281" s="898"/>
      <c r="Z281" s="898"/>
      <c r="AA281" s="898"/>
      <c r="AB281" s="898"/>
      <c r="AC281" s="898"/>
      <c r="AD281" s="898"/>
      <c r="AE281" s="898"/>
      <c r="AF281" s="898"/>
      <c r="AG281" s="898"/>
      <c r="AH281" s="898"/>
      <c r="AI281" s="898"/>
      <c r="AJ281" s="898"/>
      <c r="AK281" s="898"/>
      <c r="AL281" s="898"/>
      <c r="AM281" s="897"/>
      <c r="AN281" s="897"/>
      <c r="AO281" s="897"/>
      <c r="AP281" s="897"/>
      <c r="AQ281" s="897"/>
      <c r="AR281" s="897"/>
      <c r="AS281" s="897"/>
      <c r="AT281" s="897"/>
    </row>
    <row r="282" spans="1:46" s="930" customFormat="1">
      <c r="A282" s="892"/>
      <c r="B282" s="899"/>
      <c r="C282" s="900"/>
      <c r="D282" s="894"/>
      <c r="E282" s="936"/>
      <c r="F282" s="905"/>
      <c r="G282" s="896"/>
      <c r="H282" s="897"/>
      <c r="I282" s="897"/>
      <c r="J282" s="898"/>
      <c r="K282" s="898"/>
      <c r="L282" s="898"/>
      <c r="M282" s="898"/>
      <c r="N282" s="898"/>
      <c r="O282" s="898"/>
      <c r="P282" s="898"/>
      <c r="Q282" s="898"/>
      <c r="R282" s="898"/>
      <c r="S282" s="898"/>
      <c r="T282" s="898"/>
      <c r="U282" s="898"/>
      <c r="V282" s="898"/>
      <c r="W282" s="898"/>
      <c r="X282" s="898"/>
      <c r="Y282" s="898"/>
      <c r="Z282" s="898"/>
      <c r="AA282" s="898"/>
      <c r="AB282" s="898"/>
      <c r="AC282" s="898"/>
      <c r="AD282" s="898"/>
      <c r="AE282" s="898"/>
      <c r="AF282" s="898"/>
      <c r="AG282" s="898"/>
      <c r="AH282" s="898"/>
      <c r="AI282" s="898"/>
      <c r="AJ282" s="898"/>
      <c r="AK282" s="898"/>
      <c r="AL282" s="898"/>
      <c r="AM282" s="897"/>
      <c r="AN282" s="897"/>
      <c r="AO282" s="897"/>
      <c r="AP282" s="897"/>
      <c r="AQ282" s="897"/>
      <c r="AR282" s="897"/>
      <c r="AS282" s="897"/>
      <c r="AT282" s="897"/>
    </row>
    <row r="283" spans="1:46" s="930" customFormat="1">
      <c r="A283" s="892"/>
      <c r="B283" s="899"/>
      <c r="C283" s="900"/>
      <c r="D283" s="894"/>
      <c r="E283" s="936"/>
      <c r="F283" s="905"/>
      <c r="G283" s="896"/>
      <c r="H283" s="897"/>
      <c r="I283" s="897"/>
      <c r="J283" s="898"/>
      <c r="K283" s="898"/>
      <c r="L283" s="898"/>
      <c r="M283" s="898"/>
      <c r="N283" s="898"/>
      <c r="O283" s="898"/>
      <c r="P283" s="898"/>
      <c r="Q283" s="898"/>
      <c r="R283" s="898"/>
      <c r="S283" s="898"/>
      <c r="T283" s="898"/>
      <c r="U283" s="898"/>
      <c r="V283" s="898"/>
      <c r="W283" s="898"/>
      <c r="X283" s="898"/>
      <c r="Y283" s="898"/>
      <c r="Z283" s="898"/>
      <c r="AA283" s="898"/>
      <c r="AB283" s="898"/>
      <c r="AC283" s="898"/>
      <c r="AD283" s="898"/>
      <c r="AE283" s="898"/>
      <c r="AF283" s="898"/>
      <c r="AG283" s="898"/>
      <c r="AH283" s="898"/>
      <c r="AI283" s="898"/>
      <c r="AJ283" s="898"/>
      <c r="AK283" s="898"/>
      <c r="AL283" s="898"/>
      <c r="AM283" s="897"/>
      <c r="AN283" s="897"/>
      <c r="AO283" s="897"/>
      <c r="AP283" s="897"/>
      <c r="AQ283" s="897"/>
      <c r="AR283" s="897"/>
      <c r="AS283" s="897"/>
      <c r="AT283" s="897"/>
    </row>
    <row r="284" spans="1:46" s="930" customFormat="1">
      <c r="A284" s="892"/>
      <c r="B284" s="899"/>
      <c r="C284" s="900"/>
      <c r="D284" s="894"/>
      <c r="E284" s="936"/>
      <c r="F284" s="905"/>
      <c r="G284" s="896"/>
      <c r="H284" s="897"/>
      <c r="I284" s="897"/>
      <c r="J284" s="898"/>
      <c r="K284" s="898"/>
      <c r="L284" s="898"/>
      <c r="M284" s="898"/>
      <c r="N284" s="898"/>
      <c r="O284" s="898"/>
      <c r="P284" s="898"/>
      <c r="Q284" s="898"/>
      <c r="R284" s="898"/>
      <c r="S284" s="898"/>
      <c r="T284" s="898"/>
      <c r="U284" s="898"/>
      <c r="V284" s="898"/>
      <c r="W284" s="898"/>
      <c r="X284" s="898"/>
      <c r="Y284" s="898"/>
      <c r="Z284" s="898"/>
      <c r="AA284" s="898"/>
      <c r="AB284" s="898"/>
      <c r="AC284" s="898"/>
      <c r="AD284" s="898"/>
      <c r="AE284" s="898"/>
      <c r="AF284" s="898"/>
      <c r="AG284" s="898"/>
      <c r="AH284" s="898"/>
      <c r="AI284" s="898"/>
      <c r="AJ284" s="898"/>
      <c r="AK284" s="898"/>
      <c r="AL284" s="898"/>
      <c r="AM284" s="897"/>
      <c r="AN284" s="897"/>
      <c r="AO284" s="897"/>
      <c r="AP284" s="897"/>
      <c r="AQ284" s="897"/>
      <c r="AR284" s="897"/>
      <c r="AS284" s="897"/>
      <c r="AT284" s="897"/>
    </row>
    <row r="285" spans="1:46" s="930" customFormat="1">
      <c r="A285" s="892"/>
      <c r="B285" s="899"/>
      <c r="C285" s="900"/>
      <c r="D285" s="894"/>
      <c r="E285" s="936"/>
      <c r="F285" s="905"/>
      <c r="G285" s="896"/>
      <c r="H285" s="897"/>
      <c r="I285" s="897"/>
      <c r="J285" s="898"/>
      <c r="K285" s="898"/>
      <c r="L285" s="898"/>
      <c r="M285" s="898"/>
      <c r="N285" s="898"/>
      <c r="O285" s="898"/>
      <c r="P285" s="898"/>
      <c r="Q285" s="898"/>
      <c r="R285" s="898"/>
      <c r="S285" s="898"/>
      <c r="T285" s="898"/>
      <c r="U285" s="898"/>
      <c r="V285" s="898"/>
      <c r="W285" s="898"/>
      <c r="X285" s="898"/>
      <c r="Y285" s="898"/>
      <c r="Z285" s="898"/>
      <c r="AA285" s="898"/>
      <c r="AB285" s="898"/>
      <c r="AC285" s="898"/>
      <c r="AD285" s="898"/>
      <c r="AE285" s="898"/>
      <c r="AF285" s="898"/>
      <c r="AG285" s="898"/>
      <c r="AH285" s="898"/>
      <c r="AI285" s="898"/>
      <c r="AJ285" s="898"/>
      <c r="AK285" s="898"/>
      <c r="AL285" s="898"/>
      <c r="AM285" s="897"/>
      <c r="AN285" s="897"/>
      <c r="AO285" s="897"/>
      <c r="AP285" s="897"/>
      <c r="AQ285" s="897"/>
      <c r="AR285" s="897"/>
      <c r="AS285" s="897"/>
      <c r="AT285" s="897"/>
    </row>
    <row r="286" spans="1:46" s="930" customFormat="1">
      <c r="A286" s="892"/>
      <c r="B286" s="899"/>
      <c r="C286" s="900"/>
      <c r="D286" s="894"/>
      <c r="E286" s="936"/>
      <c r="F286" s="905"/>
      <c r="G286" s="896"/>
      <c r="H286" s="897"/>
      <c r="I286" s="897"/>
      <c r="J286" s="898"/>
      <c r="K286" s="898"/>
      <c r="L286" s="898"/>
      <c r="M286" s="898"/>
      <c r="N286" s="898"/>
      <c r="O286" s="898"/>
      <c r="P286" s="898"/>
      <c r="Q286" s="898"/>
      <c r="R286" s="898"/>
      <c r="S286" s="898"/>
      <c r="T286" s="898"/>
      <c r="U286" s="898"/>
      <c r="V286" s="898"/>
      <c r="W286" s="898"/>
      <c r="X286" s="898"/>
      <c r="Y286" s="898"/>
      <c r="Z286" s="898"/>
      <c r="AA286" s="898"/>
      <c r="AB286" s="898"/>
      <c r="AC286" s="898"/>
      <c r="AD286" s="898"/>
      <c r="AE286" s="898"/>
      <c r="AF286" s="898"/>
      <c r="AG286" s="898"/>
      <c r="AH286" s="898"/>
      <c r="AI286" s="898"/>
      <c r="AJ286" s="898"/>
      <c r="AK286" s="898"/>
      <c r="AL286" s="898"/>
      <c r="AM286" s="897"/>
      <c r="AN286" s="897"/>
      <c r="AO286" s="897"/>
      <c r="AP286" s="897"/>
      <c r="AQ286" s="897"/>
      <c r="AR286" s="897"/>
      <c r="AS286" s="897"/>
      <c r="AT286" s="897"/>
    </row>
    <row r="287" spans="1:46" s="930" customFormat="1">
      <c r="A287" s="892"/>
      <c r="B287" s="899"/>
      <c r="C287" s="900"/>
      <c r="D287" s="894"/>
      <c r="E287" s="936"/>
      <c r="F287" s="905"/>
      <c r="G287" s="896"/>
      <c r="H287" s="897"/>
      <c r="I287" s="897"/>
      <c r="J287" s="898"/>
      <c r="K287" s="898"/>
      <c r="L287" s="898"/>
      <c r="M287" s="898"/>
      <c r="N287" s="898"/>
      <c r="O287" s="898"/>
      <c r="P287" s="898"/>
      <c r="Q287" s="898"/>
      <c r="R287" s="898"/>
      <c r="S287" s="898"/>
      <c r="T287" s="898"/>
      <c r="U287" s="898"/>
      <c r="V287" s="898"/>
      <c r="W287" s="898"/>
      <c r="X287" s="898"/>
      <c r="Y287" s="898"/>
      <c r="Z287" s="898"/>
      <c r="AA287" s="898"/>
      <c r="AB287" s="898"/>
      <c r="AC287" s="898"/>
      <c r="AD287" s="898"/>
      <c r="AE287" s="898"/>
      <c r="AF287" s="898"/>
      <c r="AG287" s="898"/>
      <c r="AH287" s="898"/>
      <c r="AI287" s="898"/>
      <c r="AJ287" s="898"/>
      <c r="AK287" s="898"/>
      <c r="AL287" s="898"/>
      <c r="AM287" s="897"/>
      <c r="AN287" s="897"/>
      <c r="AO287" s="897"/>
      <c r="AP287" s="897"/>
      <c r="AQ287" s="897"/>
      <c r="AR287" s="897"/>
      <c r="AS287" s="897"/>
      <c r="AT287" s="897"/>
    </row>
    <row r="288" spans="1:46" s="930" customFormat="1">
      <c r="A288" s="892"/>
      <c r="B288" s="899"/>
      <c r="C288" s="900"/>
      <c r="D288" s="894"/>
      <c r="E288" s="936"/>
      <c r="F288" s="905"/>
      <c r="G288" s="896"/>
      <c r="H288" s="897"/>
      <c r="I288" s="897"/>
      <c r="J288" s="898"/>
      <c r="K288" s="898"/>
      <c r="L288" s="898"/>
      <c r="M288" s="898"/>
      <c r="N288" s="898"/>
      <c r="O288" s="898"/>
      <c r="P288" s="898"/>
      <c r="Q288" s="898"/>
      <c r="R288" s="898"/>
      <c r="S288" s="898"/>
      <c r="T288" s="898"/>
      <c r="U288" s="898"/>
      <c r="V288" s="898"/>
      <c r="W288" s="898"/>
      <c r="X288" s="898"/>
      <c r="Y288" s="898"/>
      <c r="Z288" s="898"/>
      <c r="AA288" s="898"/>
      <c r="AB288" s="898"/>
      <c r="AC288" s="898"/>
      <c r="AD288" s="898"/>
      <c r="AE288" s="898"/>
      <c r="AF288" s="898"/>
      <c r="AG288" s="898"/>
      <c r="AH288" s="898"/>
      <c r="AI288" s="898"/>
      <c r="AJ288" s="898"/>
      <c r="AK288" s="898"/>
      <c r="AL288" s="898"/>
      <c r="AM288" s="897"/>
      <c r="AN288" s="897"/>
      <c r="AO288" s="897"/>
      <c r="AP288" s="897"/>
      <c r="AQ288" s="897"/>
      <c r="AR288" s="897"/>
      <c r="AS288" s="897"/>
      <c r="AT288" s="897"/>
    </row>
    <row r="289" spans="1:46" s="930" customFormat="1">
      <c r="A289" s="892"/>
      <c r="B289" s="899"/>
      <c r="C289" s="900"/>
      <c r="D289" s="894"/>
      <c r="E289" s="936"/>
      <c r="F289" s="905"/>
      <c r="G289" s="896"/>
      <c r="H289" s="897"/>
      <c r="I289" s="897"/>
      <c r="J289" s="898"/>
      <c r="K289" s="898"/>
      <c r="L289" s="898"/>
      <c r="M289" s="898"/>
      <c r="N289" s="898"/>
      <c r="O289" s="898"/>
      <c r="P289" s="898"/>
      <c r="Q289" s="898"/>
      <c r="R289" s="898"/>
      <c r="S289" s="898"/>
      <c r="T289" s="898"/>
      <c r="U289" s="898"/>
      <c r="V289" s="898"/>
      <c r="W289" s="898"/>
      <c r="X289" s="898"/>
      <c r="Y289" s="898"/>
      <c r="Z289" s="898"/>
      <c r="AA289" s="898"/>
      <c r="AB289" s="898"/>
      <c r="AC289" s="898"/>
      <c r="AD289" s="898"/>
      <c r="AE289" s="898"/>
      <c r="AF289" s="898"/>
      <c r="AG289" s="898"/>
      <c r="AH289" s="898"/>
      <c r="AI289" s="898"/>
      <c r="AJ289" s="898"/>
      <c r="AK289" s="898"/>
      <c r="AL289" s="898"/>
      <c r="AM289" s="897"/>
      <c r="AN289" s="897"/>
      <c r="AO289" s="897"/>
      <c r="AP289" s="897"/>
      <c r="AQ289" s="897"/>
      <c r="AR289" s="897"/>
      <c r="AS289" s="897"/>
      <c r="AT289" s="897"/>
    </row>
    <row r="290" spans="1:46" s="930" customFormat="1">
      <c r="A290" s="892"/>
      <c r="B290" s="899"/>
      <c r="C290" s="900"/>
      <c r="D290" s="894"/>
      <c r="E290" s="936"/>
      <c r="F290" s="905"/>
      <c r="G290" s="896"/>
      <c r="H290" s="897"/>
      <c r="I290" s="897"/>
      <c r="J290" s="898"/>
      <c r="K290" s="898"/>
      <c r="L290" s="898"/>
      <c r="M290" s="898"/>
      <c r="N290" s="898"/>
      <c r="O290" s="898"/>
      <c r="P290" s="898"/>
      <c r="Q290" s="898"/>
      <c r="R290" s="898"/>
      <c r="S290" s="898"/>
      <c r="T290" s="898"/>
      <c r="U290" s="898"/>
      <c r="V290" s="898"/>
      <c r="W290" s="898"/>
      <c r="X290" s="898"/>
      <c r="Y290" s="898"/>
      <c r="Z290" s="898"/>
      <c r="AA290" s="898"/>
      <c r="AB290" s="898"/>
      <c r="AC290" s="898"/>
      <c r="AD290" s="898"/>
      <c r="AE290" s="898"/>
      <c r="AF290" s="898"/>
      <c r="AG290" s="898"/>
      <c r="AH290" s="898"/>
      <c r="AI290" s="898"/>
      <c r="AJ290" s="898"/>
      <c r="AK290" s="898"/>
      <c r="AL290" s="898"/>
      <c r="AM290" s="897"/>
      <c r="AN290" s="897"/>
      <c r="AO290" s="897"/>
      <c r="AP290" s="897"/>
      <c r="AQ290" s="897"/>
      <c r="AR290" s="897"/>
      <c r="AS290" s="897"/>
      <c r="AT290" s="897"/>
    </row>
    <row r="291" spans="1:46" s="930" customFormat="1">
      <c r="A291" s="892"/>
      <c r="B291" s="899"/>
      <c r="C291" s="900"/>
      <c r="D291" s="894"/>
      <c r="E291" s="936"/>
      <c r="F291" s="905"/>
      <c r="G291" s="896"/>
      <c r="H291" s="897"/>
      <c r="I291" s="897"/>
      <c r="J291" s="898"/>
      <c r="K291" s="898"/>
      <c r="L291" s="898"/>
      <c r="M291" s="898"/>
      <c r="N291" s="898"/>
      <c r="O291" s="898"/>
      <c r="P291" s="898"/>
      <c r="Q291" s="898"/>
      <c r="R291" s="898"/>
      <c r="S291" s="898"/>
      <c r="T291" s="898"/>
      <c r="U291" s="898"/>
      <c r="V291" s="898"/>
      <c r="W291" s="898"/>
      <c r="X291" s="898"/>
      <c r="Y291" s="898"/>
      <c r="Z291" s="898"/>
      <c r="AA291" s="898"/>
      <c r="AB291" s="898"/>
      <c r="AC291" s="898"/>
      <c r="AD291" s="898"/>
      <c r="AE291" s="898"/>
      <c r="AF291" s="898"/>
      <c r="AG291" s="898"/>
      <c r="AH291" s="898"/>
      <c r="AI291" s="898"/>
      <c r="AJ291" s="898"/>
      <c r="AK291" s="898"/>
      <c r="AL291" s="898"/>
      <c r="AM291" s="897"/>
      <c r="AN291" s="897"/>
      <c r="AO291" s="897"/>
      <c r="AP291" s="897"/>
      <c r="AQ291" s="897"/>
      <c r="AR291" s="897"/>
      <c r="AS291" s="897"/>
      <c r="AT291" s="897"/>
    </row>
    <row r="292" spans="1:46" s="930" customFormat="1">
      <c r="A292" s="892"/>
      <c r="B292" s="899"/>
      <c r="C292" s="900"/>
      <c r="D292" s="894"/>
      <c r="E292" s="936"/>
      <c r="F292" s="905"/>
      <c r="G292" s="896"/>
      <c r="H292" s="897"/>
      <c r="I292" s="897"/>
      <c r="J292" s="898"/>
      <c r="K292" s="898"/>
      <c r="L292" s="898"/>
      <c r="M292" s="898"/>
      <c r="N292" s="898"/>
      <c r="O292" s="898"/>
      <c r="P292" s="898"/>
      <c r="Q292" s="898"/>
      <c r="R292" s="898"/>
      <c r="S292" s="898"/>
      <c r="T292" s="898"/>
      <c r="U292" s="898"/>
      <c r="V292" s="898"/>
      <c r="W292" s="898"/>
      <c r="X292" s="898"/>
      <c r="Y292" s="898"/>
      <c r="Z292" s="898"/>
      <c r="AA292" s="898"/>
      <c r="AB292" s="898"/>
      <c r="AC292" s="898"/>
      <c r="AD292" s="898"/>
      <c r="AE292" s="898"/>
      <c r="AF292" s="898"/>
      <c r="AG292" s="898"/>
      <c r="AH292" s="898"/>
      <c r="AI292" s="898"/>
      <c r="AJ292" s="898"/>
      <c r="AK292" s="898"/>
      <c r="AL292" s="898"/>
      <c r="AM292" s="897"/>
      <c r="AN292" s="897"/>
      <c r="AO292" s="897"/>
      <c r="AP292" s="897"/>
      <c r="AQ292" s="897"/>
      <c r="AR292" s="897"/>
      <c r="AS292" s="897"/>
      <c r="AT292" s="897"/>
    </row>
    <row r="293" spans="1:46" s="930" customFormat="1">
      <c r="A293" s="892"/>
      <c r="B293" s="899"/>
      <c r="C293" s="900"/>
      <c r="D293" s="894"/>
      <c r="E293" s="936"/>
      <c r="F293" s="905"/>
      <c r="G293" s="896"/>
      <c r="H293" s="897"/>
      <c r="I293" s="897"/>
      <c r="J293" s="898"/>
      <c r="K293" s="898"/>
      <c r="L293" s="898"/>
      <c r="M293" s="898"/>
      <c r="N293" s="898"/>
      <c r="O293" s="898"/>
      <c r="P293" s="898"/>
      <c r="Q293" s="898"/>
      <c r="R293" s="898"/>
      <c r="S293" s="898"/>
      <c r="T293" s="898"/>
      <c r="U293" s="898"/>
      <c r="V293" s="898"/>
      <c r="W293" s="898"/>
      <c r="X293" s="898"/>
      <c r="Y293" s="898"/>
      <c r="Z293" s="898"/>
      <c r="AA293" s="898"/>
      <c r="AB293" s="898"/>
      <c r="AC293" s="898"/>
      <c r="AD293" s="898"/>
      <c r="AE293" s="898"/>
      <c r="AF293" s="898"/>
      <c r="AG293" s="898"/>
      <c r="AH293" s="898"/>
      <c r="AI293" s="898"/>
      <c r="AJ293" s="898"/>
      <c r="AK293" s="898"/>
      <c r="AL293" s="898"/>
      <c r="AM293" s="897"/>
      <c r="AN293" s="897"/>
      <c r="AO293" s="897"/>
      <c r="AP293" s="897"/>
      <c r="AQ293" s="897"/>
      <c r="AR293" s="897"/>
      <c r="AS293" s="897"/>
      <c r="AT293" s="897"/>
    </row>
    <row r="294" spans="1:46" s="930" customFormat="1">
      <c r="A294" s="892"/>
      <c r="B294" s="899"/>
      <c r="C294" s="900"/>
      <c r="D294" s="894"/>
      <c r="E294" s="936"/>
      <c r="F294" s="905"/>
      <c r="G294" s="896"/>
      <c r="H294" s="897"/>
      <c r="I294" s="897"/>
      <c r="J294" s="898"/>
      <c r="K294" s="898"/>
      <c r="L294" s="898"/>
      <c r="M294" s="898"/>
      <c r="N294" s="898"/>
      <c r="O294" s="898"/>
      <c r="P294" s="898"/>
      <c r="Q294" s="898"/>
      <c r="R294" s="898"/>
      <c r="S294" s="898"/>
      <c r="T294" s="898"/>
      <c r="U294" s="898"/>
      <c r="V294" s="898"/>
      <c r="W294" s="898"/>
      <c r="X294" s="898"/>
      <c r="Y294" s="898"/>
      <c r="Z294" s="898"/>
      <c r="AA294" s="898"/>
      <c r="AB294" s="898"/>
      <c r="AC294" s="898"/>
      <c r="AD294" s="898"/>
      <c r="AE294" s="898"/>
      <c r="AF294" s="898"/>
      <c r="AG294" s="898"/>
      <c r="AH294" s="898"/>
      <c r="AI294" s="898"/>
      <c r="AJ294" s="898"/>
      <c r="AK294" s="898"/>
      <c r="AL294" s="898"/>
      <c r="AM294" s="897"/>
      <c r="AN294" s="897"/>
      <c r="AO294" s="897"/>
      <c r="AP294" s="897"/>
      <c r="AQ294" s="897"/>
      <c r="AR294" s="897"/>
      <c r="AS294" s="897"/>
      <c r="AT294" s="897"/>
    </row>
    <row r="295" spans="1:46" s="930" customFormat="1">
      <c r="A295" s="892"/>
      <c r="B295" s="899"/>
      <c r="C295" s="900"/>
      <c r="D295" s="894"/>
      <c r="E295" s="936"/>
      <c r="F295" s="905"/>
      <c r="G295" s="896"/>
      <c r="H295" s="897"/>
      <c r="I295" s="897"/>
      <c r="J295" s="898"/>
      <c r="K295" s="898"/>
      <c r="L295" s="898"/>
      <c r="M295" s="898"/>
      <c r="N295" s="898"/>
      <c r="O295" s="898"/>
      <c r="P295" s="898"/>
      <c r="Q295" s="898"/>
      <c r="R295" s="898"/>
      <c r="S295" s="898"/>
      <c r="T295" s="898"/>
      <c r="U295" s="898"/>
      <c r="V295" s="898"/>
      <c r="W295" s="898"/>
      <c r="X295" s="898"/>
      <c r="Y295" s="898"/>
      <c r="Z295" s="898"/>
      <c r="AA295" s="898"/>
      <c r="AB295" s="898"/>
      <c r="AC295" s="898"/>
      <c r="AD295" s="898"/>
      <c r="AE295" s="898"/>
      <c r="AF295" s="898"/>
      <c r="AG295" s="898"/>
      <c r="AH295" s="898"/>
      <c r="AI295" s="898"/>
      <c r="AJ295" s="898"/>
      <c r="AK295" s="898"/>
      <c r="AL295" s="898"/>
      <c r="AM295" s="897"/>
      <c r="AN295" s="897"/>
      <c r="AO295" s="897"/>
      <c r="AP295" s="897"/>
      <c r="AQ295" s="897"/>
      <c r="AR295" s="897"/>
      <c r="AS295" s="897"/>
      <c r="AT295" s="897"/>
    </row>
    <row r="296" spans="1:46" s="930" customFormat="1">
      <c r="A296" s="892"/>
      <c r="B296" s="899"/>
      <c r="C296" s="900"/>
      <c r="D296" s="894"/>
      <c r="E296" s="936"/>
      <c r="F296" s="905"/>
      <c r="G296" s="896"/>
      <c r="H296" s="897"/>
      <c r="I296" s="897"/>
      <c r="J296" s="898"/>
      <c r="K296" s="898"/>
      <c r="L296" s="898"/>
      <c r="M296" s="898"/>
      <c r="N296" s="898"/>
      <c r="O296" s="898"/>
      <c r="P296" s="898"/>
      <c r="Q296" s="898"/>
      <c r="R296" s="898"/>
      <c r="S296" s="898"/>
      <c r="T296" s="898"/>
      <c r="U296" s="898"/>
      <c r="V296" s="898"/>
      <c r="W296" s="898"/>
      <c r="X296" s="898"/>
      <c r="Y296" s="898"/>
      <c r="Z296" s="898"/>
      <c r="AA296" s="898"/>
      <c r="AB296" s="898"/>
      <c r="AC296" s="898"/>
      <c r="AD296" s="898"/>
      <c r="AE296" s="898"/>
      <c r="AF296" s="898"/>
      <c r="AG296" s="898"/>
      <c r="AH296" s="898"/>
      <c r="AI296" s="898"/>
      <c r="AJ296" s="898"/>
      <c r="AK296" s="898"/>
      <c r="AL296" s="898"/>
      <c r="AM296" s="897"/>
      <c r="AN296" s="897"/>
      <c r="AO296" s="897"/>
      <c r="AP296" s="897"/>
      <c r="AQ296" s="897"/>
      <c r="AR296" s="897"/>
      <c r="AS296" s="897"/>
      <c r="AT296" s="897"/>
    </row>
    <row r="297" spans="1:46" s="930" customFormat="1">
      <c r="A297" s="892"/>
      <c r="B297" s="899"/>
      <c r="C297" s="900"/>
      <c r="D297" s="894"/>
      <c r="E297" s="936"/>
      <c r="F297" s="905"/>
      <c r="G297" s="896"/>
      <c r="H297" s="897"/>
      <c r="I297" s="897"/>
      <c r="J297" s="898"/>
      <c r="K297" s="898"/>
      <c r="L297" s="898"/>
      <c r="M297" s="898"/>
      <c r="N297" s="898"/>
      <c r="O297" s="898"/>
      <c r="P297" s="898"/>
      <c r="Q297" s="898"/>
      <c r="R297" s="898"/>
      <c r="S297" s="898"/>
      <c r="T297" s="898"/>
      <c r="U297" s="898"/>
      <c r="V297" s="898"/>
      <c r="W297" s="898"/>
      <c r="X297" s="898"/>
      <c r="Y297" s="898"/>
      <c r="Z297" s="898"/>
      <c r="AA297" s="898"/>
      <c r="AB297" s="898"/>
      <c r="AC297" s="898"/>
      <c r="AD297" s="898"/>
      <c r="AE297" s="898"/>
      <c r="AF297" s="898"/>
      <c r="AG297" s="898"/>
      <c r="AH297" s="898"/>
      <c r="AI297" s="898"/>
      <c r="AJ297" s="898"/>
      <c r="AK297" s="898"/>
      <c r="AL297" s="898"/>
      <c r="AM297" s="897"/>
      <c r="AN297" s="897"/>
      <c r="AO297" s="897"/>
      <c r="AP297" s="897"/>
      <c r="AQ297" s="897"/>
      <c r="AR297" s="897"/>
      <c r="AS297" s="897"/>
      <c r="AT297" s="897"/>
    </row>
    <row r="298" spans="1:46" s="930" customFormat="1">
      <c r="A298" s="892"/>
      <c r="B298" s="899"/>
      <c r="C298" s="900"/>
      <c r="D298" s="894"/>
      <c r="E298" s="936"/>
      <c r="F298" s="905"/>
      <c r="G298" s="896"/>
      <c r="H298" s="897"/>
      <c r="I298" s="897"/>
      <c r="J298" s="898"/>
      <c r="K298" s="898"/>
      <c r="L298" s="898"/>
      <c r="M298" s="898"/>
      <c r="N298" s="898"/>
      <c r="O298" s="898"/>
      <c r="P298" s="898"/>
      <c r="Q298" s="898"/>
      <c r="R298" s="898"/>
      <c r="S298" s="898"/>
      <c r="T298" s="898"/>
      <c r="U298" s="898"/>
      <c r="V298" s="898"/>
      <c r="W298" s="898"/>
      <c r="X298" s="898"/>
      <c r="Y298" s="898"/>
      <c r="Z298" s="898"/>
      <c r="AA298" s="898"/>
      <c r="AB298" s="898"/>
      <c r="AC298" s="898"/>
      <c r="AD298" s="898"/>
      <c r="AE298" s="898"/>
      <c r="AF298" s="898"/>
      <c r="AG298" s="898"/>
      <c r="AH298" s="898"/>
      <c r="AI298" s="898"/>
      <c r="AJ298" s="898"/>
      <c r="AK298" s="898"/>
      <c r="AL298" s="898"/>
      <c r="AM298" s="897"/>
      <c r="AN298" s="897"/>
      <c r="AO298" s="897"/>
      <c r="AP298" s="897"/>
      <c r="AQ298" s="897"/>
      <c r="AR298" s="897"/>
      <c r="AS298" s="897"/>
      <c r="AT298" s="897"/>
    </row>
    <row r="299" spans="1:46" s="930" customFormat="1">
      <c r="A299" s="892"/>
      <c r="B299" s="899"/>
      <c r="C299" s="900"/>
      <c r="D299" s="894"/>
      <c r="E299" s="936"/>
      <c r="F299" s="905"/>
      <c r="G299" s="896"/>
      <c r="H299" s="897"/>
      <c r="I299" s="897"/>
      <c r="J299" s="898"/>
      <c r="K299" s="898"/>
      <c r="L299" s="898"/>
      <c r="M299" s="898"/>
      <c r="N299" s="898"/>
      <c r="O299" s="898"/>
      <c r="P299" s="898"/>
      <c r="Q299" s="898"/>
      <c r="R299" s="898"/>
      <c r="S299" s="898"/>
      <c r="T299" s="898"/>
      <c r="U299" s="898"/>
      <c r="V299" s="898"/>
      <c r="W299" s="898"/>
      <c r="X299" s="898"/>
      <c r="Y299" s="898"/>
      <c r="Z299" s="898"/>
      <c r="AA299" s="898"/>
      <c r="AB299" s="898"/>
      <c r="AC299" s="898"/>
      <c r="AD299" s="898"/>
      <c r="AE299" s="898"/>
      <c r="AF299" s="898"/>
      <c r="AG299" s="898"/>
      <c r="AH299" s="898"/>
      <c r="AI299" s="898"/>
      <c r="AJ299" s="898"/>
      <c r="AK299" s="898"/>
      <c r="AL299" s="898"/>
      <c r="AM299" s="897"/>
      <c r="AN299" s="897"/>
      <c r="AO299" s="897"/>
      <c r="AP299" s="897"/>
      <c r="AQ299" s="897"/>
      <c r="AR299" s="897"/>
      <c r="AS299" s="897"/>
      <c r="AT299" s="897"/>
    </row>
    <row r="300" spans="1:46" s="930" customFormat="1">
      <c r="A300" s="892"/>
      <c r="B300" s="899"/>
      <c r="C300" s="900"/>
      <c r="D300" s="894"/>
      <c r="E300" s="936"/>
      <c r="F300" s="905"/>
      <c r="G300" s="896"/>
      <c r="H300" s="897"/>
      <c r="I300" s="897"/>
      <c r="J300" s="898"/>
      <c r="K300" s="898"/>
      <c r="L300" s="898"/>
      <c r="M300" s="898"/>
      <c r="N300" s="898"/>
      <c r="O300" s="898"/>
      <c r="P300" s="898"/>
      <c r="Q300" s="898"/>
      <c r="R300" s="898"/>
      <c r="S300" s="898"/>
      <c r="T300" s="898"/>
      <c r="U300" s="898"/>
      <c r="V300" s="898"/>
      <c r="W300" s="898"/>
      <c r="X300" s="898"/>
      <c r="Y300" s="898"/>
      <c r="Z300" s="898"/>
      <c r="AA300" s="898"/>
      <c r="AB300" s="898"/>
      <c r="AC300" s="898"/>
      <c r="AD300" s="898"/>
      <c r="AE300" s="898"/>
      <c r="AF300" s="898"/>
      <c r="AG300" s="898"/>
      <c r="AH300" s="898"/>
      <c r="AI300" s="898"/>
      <c r="AJ300" s="898"/>
      <c r="AK300" s="898"/>
      <c r="AL300" s="898"/>
      <c r="AM300" s="897"/>
      <c r="AN300" s="897"/>
      <c r="AO300" s="897"/>
      <c r="AP300" s="897"/>
      <c r="AQ300" s="897"/>
      <c r="AR300" s="897"/>
      <c r="AS300" s="897"/>
      <c r="AT300" s="897"/>
    </row>
    <row r="301" spans="1:46" s="930" customFormat="1">
      <c r="A301" s="892"/>
      <c r="B301" s="899"/>
      <c r="C301" s="900"/>
      <c r="D301" s="894"/>
      <c r="E301" s="936"/>
      <c r="F301" s="905"/>
      <c r="G301" s="896"/>
      <c r="H301" s="897"/>
      <c r="I301" s="897"/>
      <c r="J301" s="898"/>
      <c r="K301" s="898"/>
      <c r="L301" s="898"/>
      <c r="M301" s="898"/>
      <c r="N301" s="898"/>
      <c r="O301" s="898"/>
      <c r="P301" s="898"/>
      <c r="Q301" s="898"/>
      <c r="R301" s="898"/>
      <c r="S301" s="898"/>
      <c r="T301" s="898"/>
      <c r="U301" s="898"/>
      <c r="V301" s="898"/>
      <c r="W301" s="898"/>
      <c r="X301" s="898"/>
      <c r="Y301" s="898"/>
      <c r="Z301" s="898"/>
      <c r="AA301" s="898"/>
      <c r="AB301" s="898"/>
      <c r="AC301" s="898"/>
      <c r="AD301" s="898"/>
      <c r="AE301" s="898"/>
      <c r="AF301" s="898"/>
      <c r="AG301" s="898"/>
      <c r="AH301" s="898"/>
      <c r="AI301" s="898"/>
      <c r="AJ301" s="898"/>
      <c r="AK301" s="898"/>
      <c r="AL301" s="898"/>
      <c r="AM301" s="897"/>
      <c r="AN301" s="897"/>
      <c r="AO301" s="897"/>
      <c r="AP301" s="897"/>
      <c r="AQ301" s="897"/>
      <c r="AR301" s="897"/>
      <c r="AS301" s="897"/>
      <c r="AT301" s="897"/>
    </row>
    <row r="302" spans="1:46" s="930" customFormat="1">
      <c r="A302" s="892"/>
      <c r="B302" s="899"/>
      <c r="C302" s="900"/>
      <c r="D302" s="894"/>
      <c r="E302" s="936"/>
      <c r="F302" s="905"/>
      <c r="G302" s="896"/>
      <c r="H302" s="897"/>
      <c r="I302" s="897"/>
      <c r="J302" s="898"/>
      <c r="K302" s="898"/>
      <c r="L302" s="898"/>
      <c r="M302" s="898"/>
      <c r="N302" s="898"/>
      <c r="O302" s="898"/>
      <c r="P302" s="898"/>
      <c r="Q302" s="898"/>
      <c r="R302" s="898"/>
      <c r="S302" s="898"/>
      <c r="T302" s="898"/>
      <c r="U302" s="898"/>
      <c r="V302" s="898"/>
      <c r="W302" s="898"/>
      <c r="X302" s="898"/>
      <c r="Y302" s="898"/>
      <c r="Z302" s="898"/>
      <c r="AA302" s="898"/>
      <c r="AB302" s="898"/>
      <c r="AC302" s="898"/>
      <c r="AD302" s="898"/>
      <c r="AE302" s="898"/>
      <c r="AF302" s="898"/>
      <c r="AG302" s="898"/>
      <c r="AH302" s="898"/>
      <c r="AI302" s="898"/>
      <c r="AJ302" s="898"/>
      <c r="AK302" s="898"/>
      <c r="AL302" s="898"/>
      <c r="AM302" s="897"/>
      <c r="AN302" s="897"/>
      <c r="AO302" s="897"/>
      <c r="AP302" s="897"/>
      <c r="AQ302" s="897"/>
      <c r="AR302" s="897"/>
      <c r="AS302" s="897"/>
      <c r="AT302" s="897"/>
    </row>
    <row r="303" spans="1:46" s="930" customFormat="1">
      <c r="A303" s="892"/>
      <c r="B303" s="899"/>
      <c r="C303" s="900"/>
      <c r="D303" s="894"/>
      <c r="E303" s="936"/>
      <c r="F303" s="905"/>
      <c r="G303" s="896"/>
      <c r="H303" s="897"/>
      <c r="I303" s="897"/>
      <c r="J303" s="898"/>
      <c r="K303" s="898"/>
      <c r="L303" s="898"/>
      <c r="M303" s="898"/>
      <c r="N303" s="898"/>
      <c r="O303" s="898"/>
      <c r="P303" s="898"/>
      <c r="Q303" s="898"/>
      <c r="R303" s="898"/>
      <c r="S303" s="898"/>
      <c r="T303" s="898"/>
      <c r="U303" s="898"/>
      <c r="V303" s="898"/>
      <c r="W303" s="898"/>
      <c r="X303" s="898"/>
      <c r="Y303" s="898"/>
      <c r="Z303" s="898"/>
      <c r="AA303" s="898"/>
      <c r="AB303" s="898"/>
      <c r="AC303" s="898"/>
      <c r="AD303" s="898"/>
      <c r="AE303" s="898"/>
      <c r="AF303" s="898"/>
      <c r="AG303" s="898"/>
      <c r="AH303" s="898"/>
      <c r="AI303" s="898"/>
      <c r="AJ303" s="898"/>
      <c r="AK303" s="898"/>
      <c r="AL303" s="898"/>
      <c r="AM303" s="897"/>
      <c r="AN303" s="897"/>
      <c r="AO303" s="897"/>
      <c r="AP303" s="897"/>
      <c r="AQ303" s="897"/>
      <c r="AR303" s="897"/>
      <c r="AS303" s="897"/>
      <c r="AT303" s="897"/>
    </row>
    <row r="304" spans="1:46" s="930" customFormat="1">
      <c r="A304" s="892"/>
      <c r="B304" s="899"/>
      <c r="C304" s="900"/>
      <c r="D304" s="894"/>
      <c r="E304" s="936"/>
      <c r="F304" s="905"/>
      <c r="G304" s="896"/>
      <c r="H304" s="897"/>
      <c r="I304" s="897"/>
      <c r="J304" s="898"/>
      <c r="K304" s="898"/>
      <c r="L304" s="898"/>
      <c r="M304" s="898"/>
      <c r="N304" s="898"/>
      <c r="O304" s="898"/>
      <c r="P304" s="898"/>
      <c r="Q304" s="898"/>
      <c r="R304" s="898"/>
      <c r="S304" s="898"/>
      <c r="T304" s="898"/>
      <c r="U304" s="898"/>
      <c r="V304" s="898"/>
      <c r="W304" s="898"/>
      <c r="X304" s="898"/>
      <c r="Y304" s="898"/>
      <c r="Z304" s="898"/>
      <c r="AA304" s="898"/>
      <c r="AB304" s="898"/>
      <c r="AC304" s="898"/>
      <c r="AD304" s="898"/>
      <c r="AE304" s="898"/>
      <c r="AF304" s="898"/>
      <c r="AG304" s="898"/>
      <c r="AH304" s="898"/>
      <c r="AI304" s="898"/>
      <c r="AJ304" s="898"/>
      <c r="AK304" s="898"/>
      <c r="AL304" s="898"/>
      <c r="AM304" s="897"/>
      <c r="AN304" s="897"/>
      <c r="AO304" s="897"/>
      <c r="AP304" s="897"/>
      <c r="AQ304" s="897"/>
      <c r="AR304" s="897"/>
      <c r="AS304" s="897"/>
      <c r="AT304" s="897"/>
    </row>
    <row r="305" spans="1:46" s="930" customFormat="1">
      <c r="A305" s="892"/>
      <c r="B305" s="899"/>
      <c r="C305" s="900"/>
      <c r="D305" s="894"/>
      <c r="E305" s="936"/>
      <c r="F305" s="905"/>
      <c r="G305" s="896"/>
      <c r="H305" s="897"/>
      <c r="I305" s="897"/>
      <c r="J305" s="898"/>
      <c r="K305" s="898"/>
      <c r="L305" s="898"/>
      <c r="M305" s="898"/>
      <c r="N305" s="898"/>
      <c r="O305" s="898"/>
      <c r="P305" s="898"/>
      <c r="Q305" s="898"/>
      <c r="R305" s="898"/>
      <c r="S305" s="898"/>
      <c r="T305" s="898"/>
      <c r="U305" s="898"/>
      <c r="V305" s="898"/>
      <c r="W305" s="898"/>
      <c r="X305" s="898"/>
      <c r="Y305" s="898"/>
      <c r="Z305" s="898"/>
      <c r="AA305" s="898"/>
      <c r="AB305" s="898"/>
      <c r="AC305" s="898"/>
      <c r="AD305" s="898"/>
      <c r="AE305" s="898"/>
      <c r="AF305" s="898"/>
      <c r="AG305" s="898"/>
      <c r="AH305" s="898"/>
      <c r="AI305" s="898"/>
      <c r="AJ305" s="898"/>
      <c r="AK305" s="898"/>
      <c r="AL305" s="898"/>
      <c r="AM305" s="897"/>
      <c r="AN305" s="897"/>
      <c r="AO305" s="897"/>
      <c r="AP305" s="897"/>
      <c r="AQ305" s="897"/>
      <c r="AR305" s="897"/>
      <c r="AS305" s="897"/>
      <c r="AT305" s="897"/>
    </row>
    <row r="306" spans="1:46" s="930" customFormat="1">
      <c r="A306" s="892"/>
      <c r="B306" s="899"/>
      <c r="C306" s="900"/>
      <c r="D306" s="894"/>
      <c r="E306" s="936"/>
      <c r="F306" s="905"/>
      <c r="G306" s="896"/>
      <c r="H306" s="897"/>
      <c r="I306" s="897"/>
      <c r="J306" s="898"/>
      <c r="K306" s="898"/>
      <c r="L306" s="898"/>
      <c r="M306" s="898"/>
      <c r="N306" s="898"/>
      <c r="O306" s="898"/>
      <c r="P306" s="898"/>
      <c r="Q306" s="898"/>
      <c r="R306" s="898"/>
      <c r="S306" s="898"/>
      <c r="T306" s="898"/>
      <c r="U306" s="898"/>
      <c r="V306" s="898"/>
      <c r="W306" s="898"/>
      <c r="X306" s="898"/>
      <c r="Y306" s="898"/>
      <c r="Z306" s="898"/>
      <c r="AA306" s="898"/>
      <c r="AB306" s="898"/>
      <c r="AC306" s="898"/>
      <c r="AD306" s="898"/>
      <c r="AE306" s="898"/>
      <c r="AF306" s="898"/>
      <c r="AG306" s="898"/>
      <c r="AH306" s="898"/>
      <c r="AI306" s="898"/>
      <c r="AJ306" s="898"/>
      <c r="AK306" s="898"/>
      <c r="AL306" s="898"/>
      <c r="AM306" s="897"/>
      <c r="AN306" s="897"/>
      <c r="AO306" s="897"/>
      <c r="AP306" s="897"/>
      <c r="AQ306" s="897"/>
      <c r="AR306" s="897"/>
      <c r="AS306" s="897"/>
      <c r="AT306" s="897"/>
    </row>
    <row r="307" spans="1:46" s="930" customFormat="1">
      <c r="A307" s="892"/>
      <c r="B307" s="899"/>
      <c r="C307" s="900"/>
      <c r="D307" s="894"/>
      <c r="E307" s="936"/>
      <c r="F307" s="905"/>
      <c r="G307" s="896"/>
      <c r="H307" s="897"/>
      <c r="I307" s="897"/>
      <c r="J307" s="898"/>
      <c r="K307" s="898"/>
      <c r="L307" s="898"/>
      <c r="M307" s="898"/>
      <c r="N307" s="898"/>
      <c r="O307" s="898"/>
      <c r="P307" s="898"/>
      <c r="Q307" s="898"/>
      <c r="R307" s="898"/>
      <c r="S307" s="898"/>
      <c r="T307" s="898"/>
      <c r="U307" s="898"/>
      <c r="V307" s="898"/>
      <c r="W307" s="898"/>
      <c r="X307" s="898"/>
      <c r="Y307" s="898"/>
      <c r="Z307" s="898"/>
      <c r="AA307" s="898"/>
      <c r="AB307" s="898"/>
      <c r="AC307" s="898"/>
      <c r="AD307" s="898"/>
      <c r="AE307" s="898"/>
      <c r="AF307" s="898"/>
      <c r="AG307" s="898"/>
      <c r="AH307" s="898"/>
      <c r="AI307" s="898"/>
      <c r="AJ307" s="898"/>
      <c r="AK307" s="898"/>
      <c r="AL307" s="898"/>
      <c r="AM307" s="897"/>
      <c r="AN307" s="897"/>
      <c r="AO307" s="897"/>
      <c r="AP307" s="897"/>
      <c r="AQ307" s="897"/>
      <c r="AR307" s="897"/>
      <c r="AS307" s="897"/>
      <c r="AT307" s="897"/>
    </row>
    <row r="308" spans="1:46" s="930" customFormat="1">
      <c r="A308" s="892"/>
      <c r="B308" s="899"/>
      <c r="C308" s="900"/>
      <c r="D308" s="894"/>
      <c r="E308" s="936"/>
      <c r="F308" s="905"/>
      <c r="G308" s="896"/>
      <c r="H308" s="897"/>
      <c r="I308" s="897"/>
      <c r="J308" s="898"/>
      <c r="K308" s="898"/>
      <c r="L308" s="898"/>
      <c r="M308" s="898"/>
      <c r="N308" s="898"/>
      <c r="O308" s="898"/>
      <c r="P308" s="898"/>
      <c r="Q308" s="898"/>
      <c r="R308" s="898"/>
      <c r="S308" s="898"/>
      <c r="T308" s="898"/>
      <c r="U308" s="898"/>
      <c r="V308" s="898"/>
      <c r="W308" s="898"/>
      <c r="X308" s="898"/>
      <c r="Y308" s="898"/>
      <c r="Z308" s="898"/>
      <c r="AA308" s="898"/>
      <c r="AB308" s="898"/>
      <c r="AC308" s="898"/>
      <c r="AD308" s="898"/>
      <c r="AE308" s="898"/>
      <c r="AF308" s="898"/>
      <c r="AG308" s="898"/>
      <c r="AH308" s="898"/>
      <c r="AI308" s="898"/>
      <c r="AJ308" s="898"/>
      <c r="AK308" s="898"/>
      <c r="AL308" s="898"/>
      <c r="AM308" s="897"/>
      <c r="AN308" s="897"/>
      <c r="AO308" s="897"/>
      <c r="AP308" s="897"/>
      <c r="AQ308" s="897"/>
      <c r="AR308" s="897"/>
      <c r="AS308" s="897"/>
      <c r="AT308" s="897"/>
    </row>
    <row r="309" spans="1:46" s="930" customFormat="1">
      <c r="A309" s="892"/>
      <c r="B309" s="899"/>
      <c r="C309" s="900"/>
      <c r="D309" s="894"/>
      <c r="E309" s="936"/>
      <c r="F309" s="905"/>
      <c r="G309" s="896"/>
      <c r="H309" s="897"/>
      <c r="I309" s="897"/>
      <c r="J309" s="898"/>
      <c r="K309" s="898"/>
      <c r="L309" s="898"/>
      <c r="M309" s="898"/>
      <c r="N309" s="898"/>
      <c r="O309" s="898"/>
      <c r="P309" s="898"/>
      <c r="Q309" s="898"/>
      <c r="R309" s="898"/>
      <c r="S309" s="898"/>
      <c r="T309" s="898"/>
      <c r="U309" s="898"/>
      <c r="V309" s="898"/>
      <c r="W309" s="898"/>
      <c r="X309" s="898"/>
      <c r="Y309" s="898"/>
      <c r="Z309" s="898"/>
      <c r="AA309" s="898"/>
      <c r="AB309" s="898"/>
      <c r="AC309" s="898"/>
      <c r="AD309" s="898"/>
      <c r="AE309" s="898"/>
      <c r="AF309" s="898"/>
      <c r="AG309" s="898"/>
      <c r="AH309" s="898"/>
      <c r="AI309" s="898"/>
      <c r="AJ309" s="898"/>
      <c r="AK309" s="898"/>
      <c r="AL309" s="898"/>
      <c r="AM309" s="897"/>
      <c r="AN309" s="897"/>
      <c r="AO309" s="897"/>
      <c r="AP309" s="897"/>
      <c r="AQ309" s="897"/>
      <c r="AR309" s="897"/>
      <c r="AS309" s="897"/>
      <c r="AT309" s="897"/>
    </row>
    <row r="310" spans="1:46" s="930" customFormat="1">
      <c r="A310" s="892"/>
      <c r="B310" s="899"/>
      <c r="C310" s="900"/>
      <c r="D310" s="894"/>
      <c r="E310" s="936"/>
      <c r="F310" s="905"/>
      <c r="G310" s="896"/>
      <c r="H310" s="897"/>
      <c r="I310" s="897"/>
      <c r="J310" s="898"/>
      <c r="K310" s="898"/>
      <c r="L310" s="898"/>
      <c r="M310" s="898"/>
      <c r="N310" s="898"/>
      <c r="O310" s="898"/>
      <c r="P310" s="898"/>
      <c r="Q310" s="898"/>
      <c r="R310" s="898"/>
      <c r="S310" s="898"/>
      <c r="T310" s="898"/>
      <c r="U310" s="898"/>
      <c r="V310" s="898"/>
      <c r="W310" s="898"/>
      <c r="X310" s="898"/>
      <c r="Y310" s="898"/>
      <c r="Z310" s="898"/>
      <c r="AA310" s="898"/>
      <c r="AB310" s="898"/>
      <c r="AC310" s="898"/>
      <c r="AD310" s="898"/>
      <c r="AE310" s="898"/>
      <c r="AF310" s="898"/>
      <c r="AG310" s="898"/>
      <c r="AH310" s="898"/>
      <c r="AI310" s="898"/>
      <c r="AJ310" s="898"/>
      <c r="AK310" s="898"/>
      <c r="AL310" s="898"/>
      <c r="AM310" s="897"/>
      <c r="AN310" s="897"/>
      <c r="AO310" s="897"/>
      <c r="AP310" s="897"/>
      <c r="AQ310" s="897"/>
      <c r="AR310" s="897"/>
      <c r="AS310" s="897"/>
      <c r="AT310" s="897"/>
    </row>
    <row r="311" spans="1:46" s="930" customFormat="1">
      <c r="A311" s="892"/>
      <c r="B311" s="899"/>
      <c r="C311" s="900"/>
      <c r="D311" s="894"/>
      <c r="E311" s="936"/>
      <c r="F311" s="905"/>
      <c r="G311" s="896"/>
      <c r="H311" s="897"/>
      <c r="I311" s="897"/>
      <c r="J311" s="898"/>
      <c r="K311" s="898"/>
      <c r="L311" s="898"/>
      <c r="M311" s="898"/>
      <c r="N311" s="898"/>
      <c r="O311" s="898"/>
      <c r="P311" s="898"/>
      <c r="Q311" s="898"/>
      <c r="R311" s="898"/>
      <c r="S311" s="898"/>
      <c r="T311" s="898"/>
      <c r="U311" s="898"/>
      <c r="V311" s="898"/>
      <c r="W311" s="898"/>
      <c r="X311" s="898"/>
      <c r="Y311" s="898"/>
      <c r="Z311" s="898"/>
      <c r="AA311" s="898"/>
      <c r="AB311" s="898"/>
      <c r="AC311" s="898"/>
      <c r="AD311" s="898"/>
      <c r="AE311" s="898"/>
      <c r="AF311" s="898"/>
      <c r="AG311" s="898"/>
      <c r="AH311" s="898"/>
      <c r="AI311" s="898"/>
      <c r="AJ311" s="898"/>
      <c r="AK311" s="898"/>
      <c r="AL311" s="898"/>
      <c r="AM311" s="897"/>
      <c r="AN311" s="897"/>
      <c r="AO311" s="897"/>
      <c r="AP311" s="897"/>
      <c r="AQ311" s="897"/>
      <c r="AR311" s="897"/>
      <c r="AS311" s="897"/>
      <c r="AT311" s="897"/>
    </row>
    <row r="312" spans="1:46" s="930" customFormat="1">
      <c r="A312" s="892"/>
      <c r="B312" s="899"/>
      <c r="C312" s="900"/>
      <c r="D312" s="894"/>
      <c r="E312" s="936"/>
      <c r="F312" s="905"/>
      <c r="G312" s="896"/>
      <c r="H312" s="897"/>
      <c r="I312" s="897"/>
      <c r="J312" s="898"/>
      <c r="K312" s="898"/>
      <c r="L312" s="898"/>
      <c r="M312" s="898"/>
      <c r="N312" s="898"/>
      <c r="O312" s="898"/>
      <c r="P312" s="898"/>
      <c r="Q312" s="898"/>
      <c r="R312" s="898"/>
      <c r="S312" s="898"/>
      <c r="T312" s="898"/>
      <c r="U312" s="898"/>
      <c r="V312" s="898"/>
      <c r="W312" s="898"/>
      <c r="X312" s="898"/>
      <c r="Y312" s="898"/>
      <c r="Z312" s="898"/>
      <c r="AA312" s="898"/>
      <c r="AB312" s="898"/>
      <c r="AC312" s="898"/>
      <c r="AD312" s="898"/>
      <c r="AE312" s="898"/>
      <c r="AF312" s="898"/>
      <c r="AG312" s="898"/>
      <c r="AH312" s="898"/>
      <c r="AI312" s="898"/>
      <c r="AJ312" s="898"/>
      <c r="AK312" s="898"/>
      <c r="AL312" s="898"/>
      <c r="AM312" s="897"/>
      <c r="AN312" s="897"/>
      <c r="AO312" s="897"/>
      <c r="AP312" s="897"/>
      <c r="AQ312" s="897"/>
      <c r="AR312" s="897"/>
      <c r="AS312" s="897"/>
      <c r="AT312" s="897"/>
    </row>
    <row r="313" spans="1:46" s="930" customFormat="1">
      <c r="A313" s="892"/>
      <c r="B313" s="899"/>
      <c r="C313" s="900"/>
      <c r="D313" s="894"/>
      <c r="E313" s="936"/>
      <c r="F313" s="905"/>
      <c r="G313" s="896"/>
      <c r="H313" s="897"/>
      <c r="I313" s="897"/>
      <c r="J313" s="898"/>
      <c r="K313" s="898"/>
      <c r="L313" s="898"/>
      <c r="M313" s="898"/>
      <c r="N313" s="898"/>
      <c r="O313" s="898"/>
      <c r="P313" s="898"/>
      <c r="Q313" s="898"/>
      <c r="R313" s="898"/>
      <c r="S313" s="898"/>
      <c r="T313" s="898"/>
      <c r="U313" s="898"/>
      <c r="V313" s="898"/>
      <c r="W313" s="898"/>
      <c r="X313" s="898"/>
      <c r="Y313" s="898"/>
      <c r="Z313" s="898"/>
      <c r="AA313" s="898"/>
      <c r="AB313" s="898"/>
      <c r="AC313" s="898"/>
      <c r="AD313" s="898"/>
      <c r="AE313" s="898"/>
      <c r="AF313" s="898"/>
      <c r="AG313" s="898"/>
      <c r="AH313" s="898"/>
      <c r="AI313" s="898"/>
      <c r="AJ313" s="898"/>
      <c r="AK313" s="898"/>
      <c r="AL313" s="898"/>
      <c r="AM313" s="897"/>
      <c r="AN313" s="897"/>
      <c r="AO313" s="897"/>
      <c r="AP313" s="897"/>
      <c r="AQ313" s="897"/>
      <c r="AR313" s="897"/>
      <c r="AS313" s="897"/>
      <c r="AT313" s="897"/>
    </row>
    <row r="314" spans="1:46" s="930" customFormat="1">
      <c r="A314" s="892"/>
      <c r="B314" s="899"/>
      <c r="C314" s="900"/>
      <c r="D314" s="894"/>
      <c r="E314" s="936"/>
      <c r="F314" s="905"/>
      <c r="G314" s="896"/>
      <c r="H314" s="897"/>
      <c r="I314" s="897"/>
      <c r="J314" s="898"/>
      <c r="K314" s="898"/>
      <c r="L314" s="898"/>
      <c r="M314" s="898"/>
      <c r="N314" s="898"/>
      <c r="O314" s="898"/>
      <c r="P314" s="898"/>
      <c r="Q314" s="898"/>
      <c r="R314" s="898"/>
      <c r="S314" s="898"/>
      <c r="T314" s="898"/>
      <c r="U314" s="898"/>
      <c r="V314" s="898"/>
      <c r="W314" s="898"/>
      <c r="X314" s="898"/>
      <c r="Y314" s="898"/>
      <c r="Z314" s="898"/>
      <c r="AA314" s="898"/>
      <c r="AB314" s="898"/>
      <c r="AC314" s="898"/>
      <c r="AD314" s="898"/>
      <c r="AE314" s="898"/>
      <c r="AF314" s="898"/>
      <c r="AG314" s="898"/>
      <c r="AH314" s="898"/>
      <c r="AI314" s="898"/>
      <c r="AJ314" s="898"/>
      <c r="AK314" s="898"/>
      <c r="AL314" s="898"/>
      <c r="AM314" s="897"/>
      <c r="AN314" s="897"/>
      <c r="AO314" s="897"/>
      <c r="AP314" s="897"/>
      <c r="AQ314" s="897"/>
      <c r="AR314" s="897"/>
      <c r="AS314" s="897"/>
      <c r="AT314" s="897"/>
    </row>
    <row r="315" spans="1:46" s="930" customFormat="1">
      <c r="A315" s="892"/>
      <c r="B315" s="899"/>
      <c r="C315" s="900"/>
      <c r="D315" s="894"/>
      <c r="E315" s="936"/>
      <c r="F315" s="905"/>
      <c r="G315" s="896"/>
      <c r="H315" s="897"/>
      <c r="I315" s="897"/>
      <c r="J315" s="898"/>
      <c r="K315" s="898"/>
      <c r="L315" s="898"/>
      <c r="M315" s="898"/>
      <c r="N315" s="898"/>
      <c r="O315" s="898"/>
      <c r="P315" s="898"/>
      <c r="Q315" s="898"/>
      <c r="R315" s="898"/>
      <c r="S315" s="898"/>
      <c r="T315" s="898"/>
      <c r="U315" s="898"/>
      <c r="V315" s="898"/>
      <c r="W315" s="898"/>
      <c r="X315" s="898"/>
      <c r="Y315" s="898"/>
      <c r="Z315" s="898"/>
      <c r="AA315" s="898"/>
      <c r="AB315" s="898"/>
      <c r="AC315" s="898"/>
      <c r="AD315" s="898"/>
      <c r="AE315" s="898"/>
      <c r="AF315" s="898"/>
      <c r="AG315" s="898"/>
      <c r="AH315" s="898"/>
      <c r="AI315" s="898"/>
      <c r="AJ315" s="898"/>
      <c r="AK315" s="898"/>
      <c r="AL315" s="898"/>
      <c r="AM315" s="897"/>
      <c r="AN315" s="897"/>
      <c r="AO315" s="897"/>
      <c r="AP315" s="897"/>
      <c r="AQ315" s="897"/>
      <c r="AR315" s="897"/>
      <c r="AS315" s="897"/>
      <c r="AT315" s="897"/>
    </row>
    <row r="316" spans="1:46" s="930" customFormat="1">
      <c r="A316" s="892"/>
      <c r="B316" s="899"/>
      <c r="C316" s="900"/>
      <c r="D316" s="894"/>
      <c r="E316" s="936"/>
      <c r="F316" s="905"/>
      <c r="G316" s="896"/>
      <c r="H316" s="897"/>
      <c r="I316" s="897"/>
      <c r="J316" s="898"/>
      <c r="K316" s="898"/>
      <c r="L316" s="898"/>
      <c r="M316" s="898"/>
      <c r="N316" s="898"/>
      <c r="O316" s="898"/>
      <c r="P316" s="898"/>
      <c r="Q316" s="898"/>
      <c r="R316" s="898"/>
      <c r="S316" s="898"/>
      <c r="T316" s="898"/>
      <c r="U316" s="898"/>
      <c r="V316" s="898"/>
      <c r="W316" s="898"/>
      <c r="X316" s="898"/>
      <c r="Y316" s="898"/>
      <c r="Z316" s="898"/>
      <c r="AA316" s="898"/>
      <c r="AB316" s="898"/>
      <c r="AC316" s="898"/>
      <c r="AD316" s="898"/>
      <c r="AE316" s="898"/>
      <c r="AF316" s="898"/>
      <c r="AG316" s="898"/>
      <c r="AH316" s="898"/>
      <c r="AI316" s="898"/>
      <c r="AJ316" s="898"/>
      <c r="AK316" s="898"/>
      <c r="AL316" s="898"/>
      <c r="AM316" s="897"/>
      <c r="AN316" s="897"/>
      <c r="AO316" s="897"/>
      <c r="AP316" s="897"/>
      <c r="AQ316" s="897"/>
      <c r="AR316" s="897"/>
      <c r="AS316" s="897"/>
      <c r="AT316" s="897"/>
    </row>
    <row r="317" spans="1:46" s="930" customFormat="1">
      <c r="A317" s="892"/>
      <c r="B317" s="899"/>
      <c r="C317" s="900"/>
      <c r="D317" s="894"/>
      <c r="E317" s="936"/>
      <c r="F317" s="905"/>
      <c r="G317" s="896"/>
      <c r="H317" s="897"/>
      <c r="I317" s="897"/>
      <c r="J317" s="898"/>
      <c r="K317" s="898"/>
      <c r="L317" s="898"/>
      <c r="M317" s="898"/>
      <c r="N317" s="898"/>
      <c r="O317" s="898"/>
      <c r="P317" s="898"/>
      <c r="Q317" s="898"/>
      <c r="R317" s="898"/>
      <c r="S317" s="898"/>
      <c r="T317" s="898"/>
      <c r="U317" s="898"/>
      <c r="V317" s="898"/>
      <c r="W317" s="898"/>
      <c r="X317" s="898"/>
      <c r="Y317" s="898"/>
      <c r="Z317" s="898"/>
      <c r="AA317" s="898"/>
      <c r="AB317" s="898"/>
      <c r="AC317" s="898"/>
      <c r="AD317" s="898"/>
      <c r="AE317" s="898"/>
      <c r="AF317" s="898"/>
      <c r="AG317" s="898"/>
      <c r="AH317" s="898"/>
      <c r="AI317" s="898"/>
      <c r="AJ317" s="898"/>
      <c r="AK317" s="898"/>
      <c r="AL317" s="898"/>
      <c r="AM317" s="897"/>
      <c r="AN317" s="897"/>
      <c r="AO317" s="897"/>
      <c r="AP317" s="897"/>
      <c r="AQ317" s="897"/>
      <c r="AR317" s="897"/>
      <c r="AS317" s="897"/>
      <c r="AT317" s="897"/>
    </row>
    <row r="318" spans="1:46" s="930" customFormat="1">
      <c r="A318" s="892"/>
      <c r="B318" s="899"/>
      <c r="C318" s="900"/>
      <c r="D318" s="894"/>
      <c r="E318" s="936"/>
      <c r="F318" s="905"/>
      <c r="G318" s="896"/>
      <c r="H318" s="897"/>
      <c r="I318" s="897"/>
      <c r="J318" s="898"/>
      <c r="K318" s="898"/>
      <c r="L318" s="898"/>
      <c r="M318" s="898"/>
      <c r="N318" s="898"/>
      <c r="O318" s="898"/>
      <c r="P318" s="898"/>
      <c r="Q318" s="898"/>
      <c r="R318" s="898"/>
      <c r="S318" s="898"/>
      <c r="T318" s="898"/>
      <c r="U318" s="898"/>
      <c r="V318" s="898"/>
      <c r="W318" s="898"/>
      <c r="X318" s="898"/>
      <c r="Y318" s="898"/>
      <c r="Z318" s="898"/>
      <c r="AA318" s="898"/>
      <c r="AB318" s="898"/>
      <c r="AC318" s="898"/>
      <c r="AD318" s="898"/>
      <c r="AE318" s="898"/>
      <c r="AF318" s="898"/>
      <c r="AG318" s="898"/>
      <c r="AH318" s="898"/>
      <c r="AI318" s="898"/>
      <c r="AJ318" s="898"/>
      <c r="AK318" s="898"/>
      <c r="AL318" s="898"/>
      <c r="AM318" s="897"/>
      <c r="AN318" s="897"/>
      <c r="AO318" s="897"/>
      <c r="AP318" s="897"/>
      <c r="AQ318" s="897"/>
      <c r="AR318" s="897"/>
      <c r="AS318" s="897"/>
      <c r="AT318" s="897"/>
    </row>
    <row r="319" spans="1:46" s="930" customFormat="1">
      <c r="A319" s="892"/>
      <c r="B319" s="899"/>
      <c r="C319" s="900"/>
      <c r="D319" s="894"/>
      <c r="E319" s="936"/>
      <c r="F319" s="905"/>
      <c r="G319" s="896"/>
      <c r="H319" s="897"/>
      <c r="I319" s="897"/>
      <c r="J319" s="898"/>
      <c r="K319" s="898"/>
      <c r="L319" s="898"/>
      <c r="M319" s="898"/>
      <c r="N319" s="898"/>
      <c r="O319" s="898"/>
      <c r="P319" s="898"/>
      <c r="Q319" s="898"/>
      <c r="R319" s="898"/>
      <c r="S319" s="898"/>
      <c r="T319" s="898"/>
      <c r="U319" s="898"/>
      <c r="V319" s="898"/>
      <c r="W319" s="898"/>
      <c r="X319" s="898"/>
      <c r="Y319" s="898"/>
      <c r="Z319" s="898"/>
      <c r="AA319" s="898"/>
      <c r="AB319" s="898"/>
      <c r="AC319" s="898"/>
      <c r="AD319" s="898"/>
      <c r="AE319" s="898"/>
      <c r="AF319" s="898"/>
      <c r="AG319" s="898"/>
      <c r="AH319" s="898"/>
      <c r="AI319" s="898"/>
      <c r="AJ319" s="898"/>
      <c r="AK319" s="898"/>
      <c r="AL319" s="898"/>
      <c r="AM319" s="897"/>
      <c r="AN319" s="897"/>
      <c r="AO319" s="897"/>
      <c r="AP319" s="897"/>
      <c r="AQ319" s="897"/>
      <c r="AR319" s="897"/>
      <c r="AS319" s="897"/>
      <c r="AT319" s="897"/>
    </row>
    <row r="320" spans="1:46" s="930" customFormat="1">
      <c r="A320" s="892"/>
      <c r="B320" s="899"/>
      <c r="C320" s="900"/>
      <c r="D320" s="894"/>
      <c r="E320" s="936"/>
      <c r="F320" s="905"/>
      <c r="G320" s="896"/>
      <c r="H320" s="897"/>
      <c r="I320" s="897"/>
      <c r="J320" s="898"/>
      <c r="K320" s="898"/>
      <c r="L320" s="898"/>
      <c r="M320" s="898"/>
      <c r="N320" s="898"/>
      <c r="O320" s="898"/>
      <c r="P320" s="898"/>
      <c r="Q320" s="898"/>
      <c r="R320" s="898"/>
      <c r="S320" s="898"/>
      <c r="T320" s="898"/>
      <c r="U320" s="898"/>
      <c r="V320" s="898"/>
      <c r="W320" s="898"/>
      <c r="X320" s="898"/>
      <c r="Y320" s="898"/>
      <c r="Z320" s="898"/>
      <c r="AA320" s="898"/>
      <c r="AB320" s="898"/>
      <c r="AC320" s="898"/>
      <c r="AD320" s="898"/>
      <c r="AE320" s="898"/>
      <c r="AF320" s="898"/>
      <c r="AG320" s="898"/>
      <c r="AH320" s="898"/>
      <c r="AI320" s="898"/>
      <c r="AJ320" s="898"/>
      <c r="AK320" s="898"/>
      <c r="AL320" s="898"/>
      <c r="AM320" s="897"/>
      <c r="AN320" s="897"/>
      <c r="AO320" s="897"/>
      <c r="AP320" s="897"/>
      <c r="AQ320" s="897"/>
      <c r="AR320" s="897"/>
      <c r="AS320" s="897"/>
      <c r="AT320" s="897"/>
    </row>
    <row r="321" spans="1:46" s="930" customFormat="1">
      <c r="A321" s="892"/>
      <c r="B321" s="899"/>
      <c r="C321" s="900"/>
      <c r="D321" s="894"/>
      <c r="E321" s="936"/>
      <c r="F321" s="905"/>
      <c r="G321" s="896"/>
      <c r="H321" s="897"/>
      <c r="I321" s="897"/>
      <c r="J321" s="898"/>
      <c r="K321" s="898"/>
      <c r="L321" s="898"/>
      <c r="M321" s="898"/>
      <c r="N321" s="898"/>
      <c r="O321" s="898"/>
      <c r="P321" s="898"/>
      <c r="Q321" s="898"/>
      <c r="R321" s="898"/>
      <c r="S321" s="898"/>
      <c r="T321" s="898"/>
      <c r="U321" s="898"/>
      <c r="V321" s="898"/>
      <c r="W321" s="898"/>
      <c r="X321" s="898"/>
      <c r="Y321" s="898"/>
      <c r="Z321" s="898"/>
      <c r="AA321" s="898"/>
      <c r="AB321" s="898"/>
      <c r="AC321" s="898"/>
      <c r="AD321" s="898"/>
      <c r="AE321" s="898"/>
      <c r="AF321" s="898"/>
      <c r="AG321" s="898"/>
      <c r="AH321" s="898"/>
      <c r="AI321" s="898"/>
      <c r="AJ321" s="898"/>
      <c r="AK321" s="898"/>
      <c r="AL321" s="898"/>
      <c r="AM321" s="897"/>
      <c r="AN321" s="897"/>
      <c r="AO321" s="897"/>
      <c r="AP321" s="897"/>
      <c r="AQ321" s="897"/>
      <c r="AR321" s="897"/>
      <c r="AS321" s="897"/>
      <c r="AT321" s="897"/>
    </row>
    <row r="322" spans="1:46" s="930" customFormat="1">
      <c r="A322" s="892"/>
      <c r="B322" s="899"/>
      <c r="C322" s="900"/>
      <c r="D322" s="894"/>
      <c r="E322" s="936"/>
      <c r="F322" s="905"/>
      <c r="G322" s="896"/>
      <c r="H322" s="897"/>
      <c r="I322" s="897"/>
      <c r="J322" s="898"/>
      <c r="K322" s="898"/>
      <c r="L322" s="898"/>
      <c r="M322" s="898"/>
      <c r="N322" s="898"/>
      <c r="O322" s="898"/>
      <c r="P322" s="898"/>
      <c r="Q322" s="898"/>
      <c r="R322" s="898"/>
      <c r="S322" s="898"/>
      <c r="T322" s="898"/>
      <c r="U322" s="898"/>
      <c r="V322" s="898"/>
      <c r="W322" s="898"/>
      <c r="X322" s="898"/>
      <c r="Y322" s="898"/>
      <c r="Z322" s="898"/>
      <c r="AA322" s="898"/>
      <c r="AB322" s="898"/>
      <c r="AC322" s="898"/>
      <c r="AD322" s="898"/>
      <c r="AE322" s="898"/>
      <c r="AF322" s="898"/>
      <c r="AG322" s="898"/>
      <c r="AH322" s="898"/>
      <c r="AI322" s="898"/>
      <c r="AJ322" s="898"/>
      <c r="AK322" s="898"/>
      <c r="AL322" s="898"/>
      <c r="AM322" s="897"/>
      <c r="AN322" s="897"/>
      <c r="AO322" s="897"/>
      <c r="AP322" s="897"/>
      <c r="AQ322" s="897"/>
      <c r="AR322" s="897"/>
      <c r="AS322" s="897"/>
      <c r="AT322" s="897"/>
    </row>
    <row r="323" spans="1:46" s="930" customFormat="1">
      <c r="A323" s="892"/>
      <c r="B323" s="899"/>
      <c r="C323" s="900"/>
      <c r="D323" s="894"/>
      <c r="E323" s="936"/>
      <c r="F323" s="905"/>
      <c r="G323" s="896"/>
      <c r="H323" s="897"/>
      <c r="I323" s="897"/>
      <c r="J323" s="898"/>
      <c r="K323" s="898"/>
      <c r="L323" s="898"/>
      <c r="M323" s="898"/>
      <c r="N323" s="898"/>
      <c r="O323" s="898"/>
      <c r="P323" s="898"/>
      <c r="Q323" s="898"/>
      <c r="R323" s="898"/>
      <c r="S323" s="898"/>
      <c r="T323" s="898"/>
      <c r="U323" s="898"/>
      <c r="V323" s="898"/>
      <c r="W323" s="898"/>
      <c r="X323" s="898"/>
      <c r="Y323" s="898"/>
      <c r="Z323" s="898"/>
      <c r="AA323" s="898"/>
      <c r="AB323" s="898"/>
      <c r="AC323" s="898"/>
      <c r="AD323" s="898"/>
      <c r="AE323" s="898"/>
      <c r="AF323" s="898"/>
      <c r="AG323" s="898"/>
      <c r="AH323" s="898"/>
      <c r="AI323" s="898"/>
      <c r="AJ323" s="898"/>
      <c r="AK323" s="898"/>
      <c r="AL323" s="898"/>
      <c r="AM323" s="897"/>
      <c r="AN323" s="897"/>
      <c r="AO323" s="897"/>
      <c r="AP323" s="897"/>
      <c r="AQ323" s="897"/>
      <c r="AR323" s="897"/>
      <c r="AS323" s="897"/>
      <c r="AT323" s="897"/>
    </row>
    <row r="324" spans="1:46" s="930" customFormat="1">
      <c r="A324" s="892"/>
      <c r="B324" s="899"/>
      <c r="C324" s="900"/>
      <c r="D324" s="894"/>
      <c r="E324" s="936"/>
      <c r="F324" s="905"/>
      <c r="G324" s="896"/>
      <c r="H324" s="897"/>
      <c r="I324" s="897"/>
      <c r="J324" s="898"/>
      <c r="K324" s="898"/>
      <c r="L324" s="898"/>
      <c r="M324" s="898"/>
      <c r="N324" s="898"/>
      <c r="O324" s="898"/>
      <c r="P324" s="898"/>
      <c r="Q324" s="898"/>
      <c r="R324" s="898"/>
      <c r="S324" s="898"/>
      <c r="T324" s="898"/>
      <c r="U324" s="898"/>
      <c r="V324" s="898"/>
      <c r="W324" s="898"/>
      <c r="X324" s="898"/>
      <c r="Y324" s="898"/>
      <c r="Z324" s="898"/>
      <c r="AA324" s="898"/>
      <c r="AB324" s="898"/>
      <c r="AC324" s="898"/>
      <c r="AD324" s="898"/>
      <c r="AE324" s="898"/>
      <c r="AF324" s="898"/>
      <c r="AG324" s="898"/>
      <c r="AH324" s="898"/>
      <c r="AI324" s="898"/>
      <c r="AJ324" s="898"/>
      <c r="AK324" s="898"/>
      <c r="AL324" s="898"/>
      <c r="AM324" s="897"/>
      <c r="AN324" s="897"/>
      <c r="AO324" s="897"/>
      <c r="AP324" s="897"/>
      <c r="AQ324" s="897"/>
      <c r="AR324" s="897"/>
      <c r="AS324" s="897"/>
      <c r="AT324" s="897"/>
    </row>
    <row r="325" spans="1:46" s="930" customFormat="1">
      <c r="A325" s="892"/>
      <c r="B325" s="899"/>
      <c r="C325" s="900"/>
      <c r="D325" s="894"/>
      <c r="E325" s="936"/>
      <c r="F325" s="905"/>
      <c r="G325" s="896"/>
      <c r="H325" s="897"/>
      <c r="I325" s="897"/>
      <c r="J325" s="898"/>
      <c r="K325" s="898"/>
      <c r="L325" s="898"/>
      <c r="M325" s="898"/>
      <c r="N325" s="898"/>
      <c r="O325" s="898"/>
      <c r="P325" s="898"/>
      <c r="Q325" s="898"/>
      <c r="R325" s="898"/>
      <c r="S325" s="898"/>
      <c r="T325" s="898"/>
      <c r="U325" s="898"/>
      <c r="V325" s="898"/>
      <c r="W325" s="898"/>
      <c r="X325" s="898"/>
      <c r="Y325" s="898"/>
      <c r="Z325" s="898"/>
      <c r="AA325" s="898"/>
      <c r="AB325" s="898"/>
      <c r="AC325" s="898"/>
      <c r="AD325" s="898"/>
      <c r="AE325" s="898"/>
      <c r="AF325" s="898"/>
      <c r="AG325" s="898"/>
      <c r="AH325" s="898"/>
      <c r="AI325" s="898"/>
      <c r="AJ325" s="898"/>
      <c r="AK325" s="898"/>
      <c r="AL325" s="898"/>
      <c r="AM325" s="897"/>
      <c r="AN325" s="897"/>
      <c r="AO325" s="897"/>
      <c r="AP325" s="897"/>
      <c r="AQ325" s="897"/>
      <c r="AR325" s="897"/>
      <c r="AS325" s="897"/>
      <c r="AT325" s="897"/>
    </row>
    <row r="326" spans="1:46" s="930" customFormat="1">
      <c r="A326" s="892"/>
      <c r="B326" s="899"/>
      <c r="C326" s="900"/>
      <c r="D326" s="894"/>
      <c r="E326" s="936"/>
      <c r="F326" s="905"/>
      <c r="G326" s="896"/>
      <c r="H326" s="897"/>
      <c r="I326" s="897"/>
      <c r="J326" s="898"/>
      <c r="K326" s="898"/>
      <c r="L326" s="898"/>
      <c r="M326" s="898"/>
      <c r="N326" s="898"/>
      <c r="O326" s="898"/>
      <c r="P326" s="898"/>
      <c r="Q326" s="898"/>
      <c r="R326" s="898"/>
      <c r="S326" s="898"/>
      <c r="T326" s="898"/>
      <c r="U326" s="898"/>
      <c r="V326" s="898"/>
      <c r="W326" s="898"/>
      <c r="X326" s="898"/>
      <c r="Y326" s="898"/>
      <c r="Z326" s="898"/>
      <c r="AA326" s="898"/>
      <c r="AB326" s="898"/>
      <c r="AC326" s="898"/>
      <c r="AD326" s="898"/>
      <c r="AE326" s="898"/>
      <c r="AF326" s="898"/>
      <c r="AG326" s="898"/>
      <c r="AH326" s="898"/>
      <c r="AI326" s="898"/>
      <c r="AJ326" s="898"/>
      <c r="AK326" s="898"/>
      <c r="AL326" s="898"/>
      <c r="AM326" s="897"/>
      <c r="AN326" s="897"/>
      <c r="AO326" s="897"/>
      <c r="AP326" s="897"/>
      <c r="AQ326" s="897"/>
      <c r="AR326" s="897"/>
      <c r="AS326" s="897"/>
      <c r="AT326" s="897"/>
    </row>
    <row r="327" spans="1:46" s="930" customFormat="1">
      <c r="A327" s="892"/>
      <c r="B327" s="899"/>
      <c r="C327" s="900"/>
      <c r="D327" s="894"/>
      <c r="E327" s="936"/>
      <c r="F327" s="905"/>
      <c r="G327" s="896"/>
      <c r="H327" s="897"/>
      <c r="I327" s="897"/>
      <c r="J327" s="898"/>
      <c r="K327" s="898"/>
      <c r="L327" s="898"/>
      <c r="M327" s="898"/>
      <c r="N327" s="898"/>
      <c r="O327" s="898"/>
      <c r="P327" s="898"/>
      <c r="Q327" s="898"/>
      <c r="R327" s="898"/>
      <c r="S327" s="898"/>
      <c r="T327" s="898"/>
      <c r="U327" s="898"/>
      <c r="V327" s="898"/>
      <c r="W327" s="898"/>
      <c r="X327" s="898"/>
      <c r="Y327" s="898"/>
      <c r="Z327" s="898"/>
      <c r="AA327" s="898"/>
      <c r="AB327" s="898"/>
      <c r="AC327" s="898"/>
      <c r="AD327" s="898"/>
      <c r="AE327" s="898"/>
      <c r="AF327" s="898"/>
      <c r="AG327" s="898"/>
      <c r="AH327" s="898"/>
      <c r="AI327" s="898"/>
      <c r="AJ327" s="898"/>
      <c r="AK327" s="898"/>
      <c r="AL327" s="898"/>
      <c r="AM327" s="897"/>
      <c r="AN327" s="897"/>
      <c r="AO327" s="897"/>
      <c r="AP327" s="897"/>
      <c r="AQ327" s="897"/>
      <c r="AR327" s="897"/>
      <c r="AS327" s="897"/>
      <c r="AT327" s="897"/>
    </row>
    <row r="328" spans="1:46" s="930" customFormat="1">
      <c r="A328" s="892"/>
      <c r="B328" s="899"/>
      <c r="C328" s="900"/>
      <c r="D328" s="894"/>
      <c r="E328" s="936"/>
      <c r="F328" s="905"/>
      <c r="G328" s="896"/>
      <c r="H328" s="897"/>
      <c r="I328" s="897"/>
      <c r="J328" s="898"/>
      <c r="K328" s="898"/>
      <c r="L328" s="898"/>
      <c r="M328" s="898"/>
      <c r="N328" s="898"/>
      <c r="O328" s="898"/>
      <c r="P328" s="898"/>
      <c r="Q328" s="898"/>
      <c r="R328" s="898"/>
      <c r="S328" s="898"/>
      <c r="T328" s="898"/>
      <c r="U328" s="898"/>
      <c r="V328" s="898"/>
      <c r="W328" s="898"/>
      <c r="X328" s="898"/>
      <c r="Y328" s="898"/>
      <c r="Z328" s="898"/>
      <c r="AA328" s="898"/>
      <c r="AB328" s="898"/>
      <c r="AC328" s="898"/>
      <c r="AD328" s="898"/>
      <c r="AE328" s="898"/>
      <c r="AF328" s="898"/>
      <c r="AG328" s="898"/>
      <c r="AH328" s="898"/>
      <c r="AI328" s="898"/>
      <c r="AJ328" s="898"/>
      <c r="AK328" s="898"/>
      <c r="AL328" s="898"/>
      <c r="AM328" s="897"/>
      <c r="AN328" s="897"/>
      <c r="AO328" s="897"/>
      <c r="AP328" s="897"/>
      <c r="AQ328" s="897"/>
      <c r="AR328" s="897"/>
      <c r="AS328" s="897"/>
      <c r="AT328" s="897"/>
    </row>
    <row r="329" spans="1:46" s="930" customFormat="1">
      <c r="A329" s="892"/>
      <c r="B329" s="899"/>
      <c r="C329" s="900"/>
      <c r="D329" s="894"/>
      <c r="E329" s="936"/>
      <c r="F329" s="905"/>
      <c r="G329" s="896"/>
      <c r="H329" s="897"/>
      <c r="I329" s="897"/>
      <c r="J329" s="898"/>
      <c r="K329" s="898"/>
      <c r="L329" s="898"/>
      <c r="M329" s="898"/>
      <c r="N329" s="898"/>
      <c r="O329" s="898"/>
      <c r="P329" s="898"/>
      <c r="Q329" s="898"/>
      <c r="R329" s="898"/>
      <c r="S329" s="898"/>
      <c r="T329" s="898"/>
      <c r="U329" s="898"/>
      <c r="V329" s="898"/>
      <c r="W329" s="898"/>
      <c r="X329" s="898"/>
      <c r="Y329" s="898"/>
      <c r="Z329" s="898"/>
      <c r="AA329" s="898"/>
      <c r="AB329" s="898"/>
      <c r="AC329" s="898"/>
      <c r="AD329" s="898"/>
      <c r="AE329" s="898"/>
      <c r="AF329" s="898"/>
      <c r="AG329" s="898"/>
      <c r="AH329" s="898"/>
      <c r="AI329" s="898"/>
      <c r="AJ329" s="898"/>
      <c r="AK329" s="898"/>
      <c r="AL329" s="898"/>
      <c r="AM329" s="897"/>
      <c r="AN329" s="897"/>
      <c r="AO329" s="897"/>
      <c r="AP329" s="897"/>
      <c r="AQ329" s="897"/>
      <c r="AR329" s="897"/>
      <c r="AS329" s="897"/>
      <c r="AT329" s="897"/>
    </row>
    <row r="330" spans="1:46" s="930" customFormat="1">
      <c r="A330" s="892"/>
      <c r="B330" s="899"/>
      <c r="C330" s="900"/>
      <c r="D330" s="894"/>
      <c r="E330" s="936"/>
      <c r="F330" s="905"/>
      <c r="G330" s="896"/>
      <c r="H330" s="897"/>
      <c r="I330" s="897"/>
      <c r="J330" s="898"/>
      <c r="K330" s="898"/>
      <c r="L330" s="898"/>
      <c r="M330" s="898"/>
      <c r="N330" s="898"/>
      <c r="O330" s="898"/>
      <c r="P330" s="898"/>
      <c r="Q330" s="898"/>
      <c r="R330" s="898"/>
      <c r="S330" s="898"/>
      <c r="T330" s="898"/>
      <c r="U330" s="898"/>
      <c r="V330" s="898"/>
      <c r="W330" s="898"/>
      <c r="X330" s="898"/>
      <c r="Y330" s="898"/>
      <c r="Z330" s="898"/>
      <c r="AA330" s="898"/>
      <c r="AB330" s="898"/>
      <c r="AC330" s="898"/>
      <c r="AD330" s="898"/>
      <c r="AE330" s="898"/>
      <c r="AF330" s="898"/>
      <c r="AG330" s="898"/>
      <c r="AH330" s="898"/>
      <c r="AI330" s="898"/>
      <c r="AJ330" s="898"/>
      <c r="AK330" s="898"/>
      <c r="AL330" s="898"/>
      <c r="AM330" s="897"/>
      <c r="AN330" s="897"/>
      <c r="AO330" s="897"/>
      <c r="AP330" s="897"/>
      <c r="AQ330" s="897"/>
      <c r="AR330" s="897"/>
      <c r="AS330" s="897"/>
      <c r="AT330" s="897"/>
    </row>
    <row r="331" spans="1:46" s="930" customFormat="1">
      <c r="A331" s="892"/>
      <c r="B331" s="899"/>
      <c r="C331" s="900"/>
      <c r="D331" s="894"/>
      <c r="E331" s="936"/>
      <c r="F331" s="905"/>
      <c r="G331" s="896"/>
      <c r="H331" s="897"/>
      <c r="I331" s="897"/>
      <c r="J331" s="898"/>
      <c r="K331" s="898"/>
      <c r="L331" s="898"/>
      <c r="M331" s="898"/>
      <c r="N331" s="898"/>
      <c r="O331" s="898"/>
      <c r="P331" s="898"/>
      <c r="Q331" s="898"/>
      <c r="R331" s="898"/>
      <c r="S331" s="898"/>
      <c r="T331" s="898"/>
      <c r="U331" s="898"/>
      <c r="V331" s="898"/>
      <c r="W331" s="898"/>
      <c r="X331" s="898"/>
      <c r="Y331" s="898"/>
      <c r="Z331" s="898"/>
      <c r="AA331" s="898"/>
      <c r="AB331" s="898"/>
      <c r="AC331" s="898"/>
      <c r="AD331" s="898"/>
      <c r="AE331" s="898"/>
      <c r="AF331" s="898"/>
      <c r="AG331" s="898"/>
      <c r="AH331" s="898"/>
      <c r="AI331" s="898"/>
      <c r="AJ331" s="898"/>
      <c r="AK331" s="898"/>
      <c r="AL331" s="898"/>
      <c r="AM331" s="897"/>
      <c r="AN331" s="897"/>
      <c r="AO331" s="897"/>
      <c r="AP331" s="897"/>
      <c r="AQ331" s="897"/>
      <c r="AR331" s="897"/>
      <c r="AS331" s="897"/>
      <c r="AT331" s="897"/>
    </row>
    <row r="332" spans="1:46" s="930" customFormat="1">
      <c r="A332" s="892"/>
      <c r="B332" s="899"/>
      <c r="C332" s="900"/>
      <c r="D332" s="894"/>
      <c r="E332" s="936"/>
      <c r="F332" s="905"/>
      <c r="G332" s="896"/>
      <c r="H332" s="897"/>
      <c r="I332" s="897"/>
      <c r="J332" s="898"/>
      <c r="K332" s="898"/>
      <c r="L332" s="898"/>
      <c r="M332" s="898"/>
      <c r="N332" s="898"/>
      <c r="O332" s="898"/>
      <c r="P332" s="898"/>
      <c r="Q332" s="898"/>
      <c r="R332" s="898"/>
      <c r="S332" s="898"/>
      <c r="T332" s="898"/>
      <c r="U332" s="898"/>
      <c r="V332" s="898"/>
      <c r="W332" s="898"/>
      <c r="X332" s="898"/>
      <c r="Y332" s="898"/>
      <c r="Z332" s="898"/>
      <c r="AA332" s="898"/>
      <c r="AB332" s="898"/>
      <c r="AC332" s="898"/>
      <c r="AD332" s="898"/>
      <c r="AE332" s="898"/>
      <c r="AF332" s="898"/>
      <c r="AG332" s="898"/>
      <c r="AH332" s="898"/>
      <c r="AI332" s="898"/>
      <c r="AJ332" s="898"/>
      <c r="AK332" s="898"/>
      <c r="AL332" s="898"/>
      <c r="AM332" s="897"/>
      <c r="AN332" s="897"/>
      <c r="AO332" s="897"/>
      <c r="AP332" s="897"/>
      <c r="AQ332" s="897"/>
      <c r="AR332" s="897"/>
      <c r="AS332" s="897"/>
      <c r="AT332" s="897"/>
    </row>
    <row r="333" spans="1:46" s="930" customFormat="1">
      <c r="A333" s="892"/>
      <c r="B333" s="899"/>
      <c r="C333" s="900"/>
      <c r="D333" s="894"/>
      <c r="E333" s="936"/>
      <c r="F333" s="905"/>
      <c r="G333" s="896"/>
      <c r="H333" s="897"/>
      <c r="I333" s="897"/>
      <c r="J333" s="898"/>
      <c r="K333" s="898"/>
      <c r="L333" s="898"/>
      <c r="M333" s="898"/>
      <c r="N333" s="898"/>
      <c r="O333" s="898"/>
      <c r="P333" s="898"/>
      <c r="Q333" s="898"/>
      <c r="R333" s="898"/>
      <c r="S333" s="898"/>
      <c r="T333" s="898"/>
      <c r="U333" s="898"/>
      <c r="V333" s="898"/>
      <c r="W333" s="898"/>
      <c r="X333" s="898"/>
      <c r="Y333" s="898"/>
      <c r="Z333" s="898"/>
      <c r="AA333" s="898"/>
      <c r="AB333" s="898"/>
      <c r="AC333" s="898"/>
      <c r="AD333" s="898"/>
      <c r="AE333" s="898"/>
      <c r="AF333" s="898"/>
      <c r="AG333" s="898"/>
      <c r="AH333" s="898"/>
      <c r="AI333" s="898"/>
      <c r="AJ333" s="898"/>
      <c r="AK333" s="898"/>
      <c r="AL333" s="898"/>
      <c r="AM333" s="897"/>
      <c r="AN333" s="897"/>
      <c r="AO333" s="897"/>
      <c r="AP333" s="897"/>
      <c r="AQ333" s="897"/>
      <c r="AR333" s="897"/>
      <c r="AS333" s="897"/>
      <c r="AT333" s="897"/>
    </row>
    <row r="334" spans="1:46" s="930" customFormat="1">
      <c r="A334" s="892"/>
      <c r="B334" s="899"/>
      <c r="C334" s="900"/>
      <c r="D334" s="894"/>
      <c r="E334" s="936"/>
      <c r="F334" s="905"/>
      <c r="G334" s="896"/>
      <c r="H334" s="897"/>
      <c r="I334" s="897"/>
      <c r="J334" s="898"/>
      <c r="K334" s="898"/>
      <c r="L334" s="898"/>
      <c r="M334" s="898"/>
      <c r="N334" s="898"/>
      <c r="O334" s="898"/>
      <c r="P334" s="898"/>
      <c r="Q334" s="898"/>
      <c r="R334" s="898"/>
      <c r="S334" s="898"/>
      <c r="T334" s="898"/>
      <c r="U334" s="898"/>
      <c r="V334" s="898"/>
      <c r="W334" s="898"/>
      <c r="X334" s="898"/>
      <c r="Y334" s="898"/>
      <c r="Z334" s="898"/>
      <c r="AA334" s="898"/>
      <c r="AB334" s="898"/>
      <c r="AC334" s="898"/>
      <c r="AD334" s="898"/>
      <c r="AE334" s="898"/>
      <c r="AF334" s="898"/>
      <c r="AG334" s="898"/>
      <c r="AH334" s="898"/>
      <c r="AI334" s="898"/>
      <c r="AJ334" s="898"/>
      <c r="AK334" s="898"/>
      <c r="AL334" s="898"/>
      <c r="AM334" s="897"/>
      <c r="AN334" s="897"/>
      <c r="AO334" s="897"/>
      <c r="AP334" s="897"/>
      <c r="AQ334" s="897"/>
      <c r="AR334" s="897"/>
      <c r="AS334" s="897"/>
      <c r="AT334" s="897"/>
    </row>
    <row r="335" spans="1:46" s="930" customFormat="1">
      <c r="A335" s="892"/>
      <c r="B335" s="899"/>
      <c r="C335" s="900"/>
      <c r="D335" s="894"/>
      <c r="E335" s="936"/>
      <c r="F335" s="905"/>
      <c r="G335" s="896"/>
      <c r="H335" s="897"/>
      <c r="I335" s="897"/>
      <c r="J335" s="898"/>
      <c r="K335" s="898"/>
      <c r="L335" s="898"/>
      <c r="M335" s="898"/>
      <c r="N335" s="898"/>
      <c r="O335" s="898"/>
      <c r="P335" s="898"/>
      <c r="Q335" s="898"/>
      <c r="R335" s="898"/>
      <c r="S335" s="898"/>
      <c r="T335" s="898"/>
      <c r="U335" s="898"/>
      <c r="V335" s="898"/>
      <c r="W335" s="898"/>
      <c r="X335" s="898"/>
      <c r="Y335" s="898"/>
      <c r="Z335" s="898"/>
      <c r="AA335" s="898"/>
      <c r="AB335" s="898"/>
      <c r="AC335" s="898"/>
      <c r="AD335" s="898"/>
      <c r="AE335" s="898"/>
      <c r="AF335" s="898"/>
      <c r="AG335" s="898"/>
      <c r="AH335" s="898"/>
      <c r="AI335" s="898"/>
      <c r="AJ335" s="898"/>
      <c r="AK335" s="898"/>
      <c r="AL335" s="898"/>
      <c r="AM335" s="897"/>
      <c r="AN335" s="897"/>
      <c r="AO335" s="897"/>
      <c r="AP335" s="897"/>
      <c r="AQ335" s="897"/>
      <c r="AR335" s="897"/>
      <c r="AS335" s="897"/>
      <c r="AT335" s="897"/>
    </row>
    <row r="336" spans="1:46" s="930" customFormat="1">
      <c r="A336" s="892"/>
      <c r="B336" s="899"/>
      <c r="C336" s="900"/>
      <c r="D336" s="894"/>
      <c r="E336" s="936"/>
      <c r="F336" s="905"/>
      <c r="G336" s="896"/>
      <c r="H336" s="897"/>
      <c r="I336" s="897"/>
      <c r="J336" s="898"/>
      <c r="K336" s="898"/>
      <c r="L336" s="898"/>
      <c r="M336" s="898"/>
      <c r="N336" s="898"/>
      <c r="O336" s="898"/>
      <c r="P336" s="898"/>
      <c r="Q336" s="898"/>
      <c r="R336" s="898"/>
      <c r="S336" s="898"/>
      <c r="T336" s="898"/>
      <c r="U336" s="898"/>
      <c r="V336" s="898"/>
      <c r="W336" s="898"/>
      <c r="X336" s="898"/>
      <c r="Y336" s="898"/>
      <c r="Z336" s="898"/>
      <c r="AA336" s="898"/>
      <c r="AB336" s="898"/>
      <c r="AC336" s="898"/>
      <c r="AD336" s="898"/>
      <c r="AE336" s="898"/>
      <c r="AF336" s="898"/>
      <c r="AG336" s="898"/>
      <c r="AH336" s="898"/>
      <c r="AI336" s="898"/>
      <c r="AJ336" s="898"/>
      <c r="AK336" s="898"/>
      <c r="AL336" s="898"/>
      <c r="AM336" s="897"/>
      <c r="AN336" s="897"/>
      <c r="AO336" s="897"/>
      <c r="AP336" s="897"/>
      <c r="AQ336" s="897"/>
      <c r="AR336" s="897"/>
      <c r="AS336" s="897"/>
      <c r="AT336" s="897"/>
    </row>
    <row r="337" spans="1:46" s="930" customFormat="1">
      <c r="A337" s="892"/>
      <c r="B337" s="899"/>
      <c r="C337" s="900"/>
      <c r="D337" s="894"/>
      <c r="E337" s="936"/>
      <c r="F337" s="905"/>
      <c r="G337" s="896"/>
      <c r="H337" s="897"/>
      <c r="I337" s="897"/>
      <c r="J337" s="898"/>
      <c r="K337" s="898"/>
      <c r="L337" s="898"/>
      <c r="M337" s="898"/>
      <c r="N337" s="898"/>
      <c r="O337" s="898"/>
      <c r="P337" s="898"/>
      <c r="Q337" s="898"/>
      <c r="R337" s="898"/>
      <c r="S337" s="898"/>
      <c r="T337" s="898"/>
      <c r="U337" s="898"/>
      <c r="V337" s="898"/>
      <c r="W337" s="898"/>
      <c r="X337" s="898"/>
      <c r="Y337" s="898"/>
      <c r="Z337" s="898"/>
      <c r="AA337" s="898"/>
      <c r="AB337" s="898"/>
      <c r="AC337" s="898"/>
      <c r="AD337" s="898"/>
      <c r="AE337" s="898"/>
      <c r="AF337" s="898"/>
      <c r="AG337" s="898"/>
      <c r="AH337" s="898"/>
      <c r="AI337" s="898"/>
      <c r="AJ337" s="898"/>
      <c r="AK337" s="898"/>
      <c r="AL337" s="898"/>
      <c r="AM337" s="897"/>
      <c r="AN337" s="897"/>
      <c r="AO337" s="897"/>
      <c r="AP337" s="897"/>
      <c r="AQ337" s="897"/>
      <c r="AR337" s="897"/>
      <c r="AS337" s="897"/>
      <c r="AT337" s="897"/>
    </row>
    <row r="338" spans="1:46" s="930" customFormat="1">
      <c r="A338" s="892"/>
      <c r="B338" s="899"/>
      <c r="C338" s="900"/>
      <c r="D338" s="894"/>
      <c r="E338" s="936"/>
      <c r="F338" s="905"/>
      <c r="G338" s="896"/>
      <c r="H338" s="897"/>
      <c r="I338" s="897"/>
      <c r="J338" s="898"/>
      <c r="K338" s="898"/>
      <c r="L338" s="898"/>
      <c r="M338" s="898"/>
      <c r="N338" s="898"/>
      <c r="O338" s="898"/>
      <c r="P338" s="898"/>
      <c r="Q338" s="898"/>
      <c r="R338" s="898"/>
      <c r="S338" s="898"/>
      <c r="T338" s="898"/>
      <c r="U338" s="898"/>
      <c r="V338" s="898"/>
      <c r="W338" s="898"/>
      <c r="X338" s="898"/>
      <c r="Y338" s="898"/>
      <c r="Z338" s="898"/>
      <c r="AA338" s="898"/>
      <c r="AB338" s="898"/>
      <c r="AC338" s="898"/>
      <c r="AD338" s="898"/>
      <c r="AE338" s="898"/>
      <c r="AF338" s="898"/>
      <c r="AG338" s="898"/>
      <c r="AH338" s="898"/>
      <c r="AI338" s="898"/>
      <c r="AJ338" s="898"/>
      <c r="AK338" s="898"/>
      <c r="AL338" s="898"/>
      <c r="AM338" s="897"/>
      <c r="AN338" s="897"/>
      <c r="AO338" s="897"/>
      <c r="AP338" s="897"/>
      <c r="AQ338" s="897"/>
      <c r="AR338" s="897"/>
      <c r="AS338" s="897"/>
      <c r="AT338" s="897"/>
    </row>
    <row r="339" spans="1:46" s="930" customFormat="1">
      <c r="A339" s="892"/>
      <c r="B339" s="899"/>
      <c r="C339" s="900"/>
      <c r="D339" s="894"/>
      <c r="E339" s="936"/>
      <c r="F339" s="905"/>
      <c r="G339" s="896"/>
      <c r="H339" s="897"/>
      <c r="I339" s="897"/>
      <c r="J339" s="898"/>
      <c r="K339" s="898"/>
      <c r="L339" s="898"/>
      <c r="M339" s="898"/>
      <c r="N339" s="898"/>
      <c r="O339" s="898"/>
      <c r="P339" s="898"/>
      <c r="Q339" s="898"/>
      <c r="R339" s="898"/>
      <c r="S339" s="898"/>
      <c r="T339" s="898"/>
      <c r="U339" s="898"/>
      <c r="V339" s="898"/>
      <c r="W339" s="898"/>
      <c r="X339" s="898"/>
      <c r="Y339" s="898"/>
      <c r="Z339" s="898"/>
      <c r="AA339" s="898"/>
      <c r="AB339" s="898"/>
      <c r="AC339" s="898"/>
      <c r="AD339" s="898"/>
      <c r="AE339" s="898"/>
      <c r="AF339" s="898"/>
      <c r="AG339" s="898"/>
      <c r="AH339" s="898"/>
      <c r="AI339" s="898"/>
      <c r="AJ339" s="898"/>
      <c r="AK339" s="898"/>
      <c r="AL339" s="898"/>
      <c r="AM339" s="897"/>
      <c r="AN339" s="897"/>
      <c r="AO339" s="897"/>
      <c r="AP339" s="897"/>
      <c r="AQ339" s="897"/>
      <c r="AR339" s="897"/>
      <c r="AS339" s="897"/>
      <c r="AT339" s="897"/>
    </row>
    <row r="340" spans="1:46" s="930" customFormat="1">
      <c r="A340" s="892"/>
      <c r="B340" s="899"/>
      <c r="C340" s="900"/>
      <c r="D340" s="894"/>
      <c r="E340" s="936"/>
      <c r="F340" s="905"/>
      <c r="G340" s="896"/>
      <c r="H340" s="897"/>
      <c r="I340" s="897"/>
      <c r="J340" s="898"/>
      <c r="K340" s="898"/>
      <c r="L340" s="898"/>
      <c r="M340" s="898"/>
      <c r="N340" s="898"/>
      <c r="O340" s="898"/>
      <c r="P340" s="898"/>
      <c r="Q340" s="898"/>
      <c r="R340" s="898"/>
      <c r="S340" s="898"/>
      <c r="T340" s="898"/>
      <c r="U340" s="898"/>
      <c r="V340" s="898"/>
      <c r="W340" s="898"/>
      <c r="X340" s="898"/>
      <c r="Y340" s="898"/>
      <c r="Z340" s="898"/>
      <c r="AA340" s="898"/>
      <c r="AB340" s="898"/>
      <c r="AC340" s="898"/>
      <c r="AD340" s="898"/>
      <c r="AE340" s="898"/>
      <c r="AF340" s="898"/>
      <c r="AG340" s="898"/>
      <c r="AH340" s="898"/>
      <c r="AI340" s="898"/>
      <c r="AJ340" s="898"/>
      <c r="AK340" s="898"/>
      <c r="AL340" s="898"/>
      <c r="AM340" s="897"/>
      <c r="AN340" s="897"/>
      <c r="AO340" s="897"/>
      <c r="AP340" s="897"/>
      <c r="AQ340" s="897"/>
      <c r="AR340" s="897"/>
      <c r="AS340" s="897"/>
      <c r="AT340" s="897"/>
    </row>
    <row r="341" spans="1:46" s="930" customFormat="1">
      <c r="A341" s="892"/>
      <c r="B341" s="899"/>
      <c r="C341" s="900"/>
      <c r="D341" s="894"/>
      <c r="E341" s="936"/>
      <c r="F341" s="905"/>
      <c r="G341" s="896"/>
      <c r="H341" s="897"/>
      <c r="I341" s="897"/>
      <c r="J341" s="898"/>
      <c r="K341" s="898"/>
      <c r="L341" s="898"/>
      <c r="M341" s="898"/>
      <c r="N341" s="898"/>
      <c r="O341" s="898"/>
      <c r="P341" s="898"/>
      <c r="Q341" s="898"/>
      <c r="R341" s="898"/>
      <c r="S341" s="898"/>
      <c r="T341" s="898"/>
      <c r="U341" s="898"/>
      <c r="V341" s="898"/>
      <c r="W341" s="898"/>
      <c r="X341" s="898"/>
      <c r="Y341" s="898"/>
      <c r="Z341" s="898"/>
      <c r="AA341" s="898"/>
      <c r="AB341" s="898"/>
      <c r="AC341" s="898"/>
      <c r="AD341" s="898"/>
      <c r="AE341" s="898"/>
      <c r="AF341" s="898"/>
      <c r="AG341" s="898"/>
      <c r="AH341" s="898"/>
      <c r="AI341" s="898"/>
      <c r="AJ341" s="898"/>
      <c r="AK341" s="898"/>
      <c r="AL341" s="898"/>
      <c r="AM341" s="897"/>
      <c r="AN341" s="897"/>
      <c r="AO341" s="897"/>
      <c r="AP341" s="897"/>
      <c r="AQ341" s="897"/>
      <c r="AR341" s="897"/>
      <c r="AS341" s="897"/>
      <c r="AT341" s="897"/>
    </row>
    <row r="342" spans="1:46" s="930" customFormat="1">
      <c r="A342" s="892"/>
      <c r="B342" s="899"/>
      <c r="C342" s="900"/>
      <c r="D342" s="894"/>
      <c r="E342" s="936"/>
      <c r="F342" s="905"/>
      <c r="G342" s="896"/>
      <c r="H342" s="897"/>
      <c r="I342" s="897"/>
      <c r="J342" s="898"/>
      <c r="K342" s="898"/>
      <c r="L342" s="898"/>
      <c r="M342" s="898"/>
      <c r="N342" s="898"/>
      <c r="O342" s="898"/>
      <c r="P342" s="898"/>
      <c r="Q342" s="898"/>
      <c r="R342" s="898"/>
      <c r="S342" s="898"/>
      <c r="T342" s="898"/>
      <c r="U342" s="898"/>
      <c r="V342" s="898"/>
      <c r="W342" s="898"/>
      <c r="X342" s="898"/>
      <c r="Y342" s="898"/>
      <c r="Z342" s="898"/>
      <c r="AA342" s="898"/>
      <c r="AB342" s="898"/>
      <c r="AC342" s="898"/>
      <c r="AD342" s="898"/>
      <c r="AE342" s="898"/>
      <c r="AF342" s="898"/>
      <c r="AG342" s="898"/>
      <c r="AH342" s="898"/>
      <c r="AI342" s="898"/>
      <c r="AJ342" s="898"/>
      <c r="AK342" s="898"/>
      <c r="AL342" s="898"/>
      <c r="AM342" s="897"/>
      <c r="AN342" s="897"/>
      <c r="AO342" s="897"/>
      <c r="AP342" s="897"/>
      <c r="AQ342" s="897"/>
      <c r="AR342" s="897"/>
      <c r="AS342" s="897"/>
      <c r="AT342" s="897"/>
    </row>
    <row r="343" spans="1:46" s="930" customFormat="1">
      <c r="A343" s="892"/>
      <c r="B343" s="899"/>
      <c r="C343" s="900"/>
      <c r="D343" s="894"/>
      <c r="E343" s="936"/>
      <c r="F343" s="905"/>
      <c r="G343" s="896"/>
      <c r="H343" s="897"/>
      <c r="I343" s="897"/>
      <c r="J343" s="898"/>
      <c r="K343" s="898"/>
      <c r="L343" s="898"/>
      <c r="M343" s="898"/>
      <c r="N343" s="898"/>
      <c r="O343" s="898"/>
      <c r="P343" s="898"/>
      <c r="Q343" s="898"/>
      <c r="R343" s="898"/>
      <c r="S343" s="898"/>
      <c r="T343" s="898"/>
      <c r="U343" s="898"/>
      <c r="V343" s="898"/>
      <c r="W343" s="898"/>
      <c r="X343" s="898"/>
      <c r="Y343" s="898"/>
      <c r="Z343" s="898"/>
      <c r="AA343" s="898"/>
      <c r="AB343" s="898"/>
      <c r="AC343" s="898"/>
      <c r="AD343" s="898"/>
      <c r="AE343" s="898"/>
      <c r="AF343" s="898"/>
      <c r="AG343" s="898"/>
      <c r="AH343" s="898"/>
      <c r="AI343" s="898"/>
      <c r="AJ343" s="898"/>
      <c r="AK343" s="898"/>
      <c r="AL343" s="898"/>
      <c r="AM343" s="897"/>
      <c r="AN343" s="897"/>
      <c r="AO343" s="897"/>
      <c r="AP343" s="897"/>
      <c r="AQ343" s="897"/>
      <c r="AR343" s="897"/>
      <c r="AS343" s="897"/>
      <c r="AT343" s="897"/>
    </row>
    <row r="344" spans="1:46" s="930" customFormat="1">
      <c r="A344" s="892"/>
      <c r="B344" s="899"/>
      <c r="C344" s="900"/>
      <c r="D344" s="894"/>
      <c r="E344" s="936"/>
      <c r="F344" s="905"/>
      <c r="G344" s="896"/>
      <c r="H344" s="897"/>
      <c r="I344" s="897"/>
      <c r="J344" s="898"/>
      <c r="K344" s="898"/>
      <c r="L344" s="898"/>
      <c r="M344" s="898"/>
      <c r="N344" s="898"/>
      <c r="O344" s="898"/>
      <c r="P344" s="898"/>
      <c r="Q344" s="898"/>
      <c r="R344" s="898"/>
      <c r="S344" s="898"/>
      <c r="T344" s="898"/>
      <c r="U344" s="898"/>
      <c r="V344" s="898"/>
      <c r="W344" s="898"/>
      <c r="X344" s="898"/>
      <c r="Y344" s="898"/>
      <c r="Z344" s="898"/>
      <c r="AA344" s="898"/>
      <c r="AB344" s="898"/>
      <c r="AC344" s="898"/>
      <c r="AD344" s="898"/>
      <c r="AE344" s="898"/>
      <c r="AF344" s="898"/>
      <c r="AG344" s="898"/>
      <c r="AH344" s="898"/>
      <c r="AI344" s="898"/>
      <c r="AJ344" s="898"/>
      <c r="AK344" s="898"/>
      <c r="AL344" s="898"/>
      <c r="AM344" s="897"/>
      <c r="AN344" s="897"/>
      <c r="AO344" s="897"/>
      <c r="AP344" s="897"/>
      <c r="AQ344" s="897"/>
      <c r="AR344" s="897"/>
      <c r="AS344" s="897"/>
      <c r="AT344" s="897"/>
    </row>
    <row r="345" spans="1:46" s="930" customFormat="1">
      <c r="A345" s="892"/>
      <c r="B345" s="899"/>
      <c r="C345" s="900"/>
      <c r="D345" s="894"/>
      <c r="E345" s="936"/>
      <c r="F345" s="905"/>
      <c r="G345" s="896"/>
      <c r="H345" s="897"/>
      <c r="I345" s="897"/>
      <c r="J345" s="898"/>
      <c r="K345" s="898"/>
      <c r="L345" s="898"/>
      <c r="M345" s="898"/>
      <c r="N345" s="898"/>
      <c r="O345" s="898"/>
      <c r="P345" s="898"/>
      <c r="Q345" s="898"/>
      <c r="R345" s="898"/>
      <c r="S345" s="898"/>
      <c r="T345" s="898"/>
      <c r="U345" s="898"/>
      <c r="V345" s="898"/>
      <c r="W345" s="898"/>
      <c r="X345" s="898"/>
      <c r="Y345" s="898"/>
      <c r="Z345" s="898"/>
      <c r="AA345" s="898"/>
      <c r="AB345" s="898"/>
      <c r="AC345" s="898"/>
      <c r="AD345" s="898"/>
      <c r="AE345" s="898"/>
      <c r="AF345" s="898"/>
      <c r="AG345" s="898"/>
      <c r="AH345" s="898"/>
      <c r="AI345" s="898"/>
      <c r="AJ345" s="898"/>
      <c r="AK345" s="898"/>
      <c r="AL345" s="898"/>
      <c r="AM345" s="897"/>
      <c r="AN345" s="897"/>
      <c r="AO345" s="897"/>
      <c r="AP345" s="897"/>
      <c r="AQ345" s="897"/>
      <c r="AR345" s="897"/>
      <c r="AS345" s="897"/>
      <c r="AT345" s="897"/>
    </row>
    <row r="346" spans="1:46" s="930" customFormat="1">
      <c r="A346" s="892"/>
      <c r="B346" s="899"/>
      <c r="C346" s="900"/>
      <c r="D346" s="894"/>
      <c r="E346" s="936"/>
      <c r="F346" s="905"/>
      <c r="G346" s="896"/>
      <c r="H346" s="897"/>
      <c r="I346" s="897"/>
      <c r="J346" s="898"/>
      <c r="K346" s="898"/>
      <c r="L346" s="898"/>
      <c r="M346" s="898"/>
      <c r="N346" s="898"/>
      <c r="O346" s="898"/>
      <c r="P346" s="898"/>
      <c r="Q346" s="898"/>
      <c r="R346" s="898"/>
      <c r="S346" s="898"/>
      <c r="T346" s="898"/>
      <c r="U346" s="898"/>
      <c r="V346" s="898"/>
      <c r="W346" s="898"/>
      <c r="X346" s="898"/>
      <c r="Y346" s="898"/>
      <c r="Z346" s="898"/>
      <c r="AA346" s="898"/>
      <c r="AB346" s="898"/>
      <c r="AC346" s="898"/>
      <c r="AD346" s="898"/>
      <c r="AE346" s="898"/>
      <c r="AF346" s="898"/>
      <c r="AG346" s="898"/>
      <c r="AH346" s="898"/>
      <c r="AI346" s="898"/>
      <c r="AJ346" s="898"/>
      <c r="AK346" s="898"/>
      <c r="AL346" s="898"/>
      <c r="AM346" s="897"/>
      <c r="AN346" s="897"/>
      <c r="AO346" s="897"/>
      <c r="AP346" s="897"/>
      <c r="AQ346" s="897"/>
      <c r="AR346" s="897"/>
      <c r="AS346" s="897"/>
      <c r="AT346" s="897"/>
    </row>
    <row r="347" spans="1:46" s="930" customFormat="1">
      <c r="A347" s="892"/>
      <c r="B347" s="899"/>
      <c r="C347" s="900"/>
      <c r="D347" s="894"/>
      <c r="E347" s="936"/>
      <c r="F347" s="905"/>
      <c r="G347" s="896"/>
      <c r="H347" s="897"/>
      <c r="I347" s="897"/>
      <c r="J347" s="898"/>
      <c r="K347" s="898"/>
      <c r="L347" s="898"/>
      <c r="M347" s="898"/>
      <c r="N347" s="898"/>
      <c r="O347" s="898"/>
      <c r="P347" s="898"/>
      <c r="Q347" s="898"/>
      <c r="R347" s="898"/>
      <c r="S347" s="898"/>
      <c r="T347" s="898"/>
      <c r="U347" s="898"/>
      <c r="V347" s="898"/>
      <c r="W347" s="898"/>
      <c r="X347" s="898"/>
      <c r="Y347" s="898"/>
      <c r="Z347" s="898"/>
      <c r="AA347" s="898"/>
      <c r="AB347" s="898"/>
      <c r="AC347" s="898"/>
      <c r="AD347" s="898"/>
      <c r="AE347" s="898"/>
      <c r="AF347" s="898"/>
      <c r="AG347" s="898"/>
      <c r="AH347" s="898"/>
      <c r="AI347" s="898"/>
      <c r="AJ347" s="898"/>
      <c r="AK347" s="898"/>
      <c r="AL347" s="898"/>
      <c r="AM347" s="897"/>
      <c r="AN347" s="897"/>
      <c r="AO347" s="897"/>
      <c r="AP347" s="897"/>
      <c r="AQ347" s="897"/>
      <c r="AR347" s="897"/>
      <c r="AS347" s="897"/>
      <c r="AT347" s="897"/>
    </row>
    <row r="348" spans="1:46" s="930" customFormat="1">
      <c r="A348" s="892"/>
      <c r="B348" s="899"/>
      <c r="C348" s="900"/>
      <c r="D348" s="894"/>
      <c r="E348" s="936"/>
      <c r="F348" s="905"/>
      <c r="G348" s="896"/>
      <c r="H348" s="897"/>
      <c r="I348" s="897"/>
      <c r="J348" s="898"/>
      <c r="K348" s="898"/>
      <c r="L348" s="898"/>
      <c r="M348" s="898"/>
      <c r="N348" s="898"/>
      <c r="O348" s="898"/>
      <c r="P348" s="898"/>
      <c r="Q348" s="898"/>
      <c r="R348" s="898"/>
      <c r="S348" s="898"/>
      <c r="T348" s="898"/>
      <c r="U348" s="898"/>
      <c r="V348" s="898"/>
      <c r="W348" s="898"/>
      <c r="X348" s="898"/>
      <c r="Y348" s="898"/>
      <c r="Z348" s="898"/>
      <c r="AA348" s="898"/>
      <c r="AB348" s="898"/>
      <c r="AC348" s="898"/>
      <c r="AD348" s="898"/>
      <c r="AE348" s="898"/>
      <c r="AF348" s="898"/>
      <c r="AG348" s="898"/>
      <c r="AH348" s="898"/>
      <c r="AI348" s="898"/>
      <c r="AJ348" s="898"/>
      <c r="AK348" s="898"/>
      <c r="AL348" s="898"/>
      <c r="AM348" s="897"/>
      <c r="AN348" s="897"/>
      <c r="AO348" s="897"/>
      <c r="AP348" s="897"/>
      <c r="AQ348" s="897"/>
      <c r="AR348" s="897"/>
      <c r="AS348" s="897"/>
      <c r="AT348" s="897"/>
    </row>
    <row r="349" spans="1:46" s="930" customFormat="1">
      <c r="A349" s="892"/>
      <c r="B349" s="899"/>
      <c r="C349" s="900"/>
      <c r="D349" s="894"/>
      <c r="E349" s="936"/>
      <c r="F349" s="905"/>
      <c r="G349" s="896"/>
      <c r="H349" s="897"/>
      <c r="I349" s="897"/>
      <c r="J349" s="898"/>
      <c r="K349" s="898"/>
      <c r="L349" s="898"/>
      <c r="M349" s="898"/>
      <c r="N349" s="898"/>
      <c r="O349" s="898"/>
      <c r="P349" s="898"/>
      <c r="Q349" s="898"/>
      <c r="R349" s="898"/>
      <c r="S349" s="898"/>
      <c r="T349" s="898"/>
      <c r="U349" s="898"/>
      <c r="V349" s="898"/>
      <c r="W349" s="898"/>
      <c r="X349" s="898"/>
      <c r="Y349" s="898"/>
      <c r="Z349" s="898"/>
      <c r="AA349" s="898"/>
      <c r="AB349" s="898"/>
      <c r="AC349" s="898"/>
      <c r="AD349" s="898"/>
      <c r="AE349" s="898"/>
      <c r="AF349" s="898"/>
      <c r="AG349" s="898"/>
      <c r="AH349" s="898"/>
      <c r="AI349" s="898"/>
      <c r="AJ349" s="898"/>
      <c r="AK349" s="898"/>
      <c r="AL349" s="898"/>
      <c r="AM349" s="897"/>
      <c r="AN349" s="897"/>
      <c r="AO349" s="897"/>
      <c r="AP349" s="897"/>
      <c r="AQ349" s="897"/>
      <c r="AR349" s="897"/>
      <c r="AS349" s="897"/>
      <c r="AT349" s="897"/>
    </row>
    <row r="350" spans="1:46" s="930" customFormat="1">
      <c r="A350" s="892"/>
      <c r="B350" s="899"/>
      <c r="C350" s="900"/>
      <c r="D350" s="894"/>
      <c r="E350" s="936"/>
      <c r="F350" s="905"/>
      <c r="G350" s="896"/>
      <c r="H350" s="897"/>
      <c r="I350" s="897"/>
      <c r="J350" s="898"/>
      <c r="K350" s="898"/>
      <c r="L350" s="898"/>
      <c r="M350" s="898"/>
      <c r="N350" s="898"/>
      <c r="O350" s="898"/>
      <c r="P350" s="898"/>
      <c r="Q350" s="898"/>
      <c r="R350" s="898"/>
      <c r="S350" s="898"/>
      <c r="T350" s="898"/>
      <c r="U350" s="898"/>
      <c r="V350" s="898"/>
      <c r="W350" s="898"/>
      <c r="X350" s="898"/>
      <c r="Y350" s="898"/>
      <c r="Z350" s="898"/>
      <c r="AA350" s="898"/>
      <c r="AB350" s="898"/>
      <c r="AC350" s="898"/>
      <c r="AD350" s="898"/>
      <c r="AE350" s="898"/>
      <c r="AF350" s="898"/>
      <c r="AG350" s="898"/>
      <c r="AH350" s="898"/>
      <c r="AI350" s="898"/>
      <c r="AJ350" s="898"/>
      <c r="AK350" s="898"/>
      <c r="AL350" s="898"/>
      <c r="AM350" s="897"/>
      <c r="AN350" s="897"/>
      <c r="AO350" s="897"/>
      <c r="AP350" s="897"/>
      <c r="AQ350" s="897"/>
      <c r="AR350" s="897"/>
      <c r="AS350" s="897"/>
      <c r="AT350" s="897"/>
    </row>
    <row r="351" spans="1:46" s="930" customFormat="1">
      <c r="A351" s="892"/>
      <c r="B351" s="899"/>
      <c r="C351" s="900"/>
      <c r="D351" s="894"/>
      <c r="E351" s="936"/>
      <c r="F351" s="905"/>
      <c r="G351" s="896"/>
      <c r="H351" s="897"/>
      <c r="I351" s="897"/>
      <c r="J351" s="898"/>
      <c r="K351" s="898"/>
      <c r="L351" s="898"/>
      <c r="M351" s="898"/>
      <c r="N351" s="898"/>
      <c r="O351" s="898"/>
      <c r="P351" s="898"/>
      <c r="Q351" s="898"/>
      <c r="R351" s="898"/>
      <c r="S351" s="898"/>
      <c r="T351" s="898"/>
      <c r="U351" s="898"/>
      <c r="V351" s="898"/>
      <c r="W351" s="898"/>
      <c r="X351" s="898"/>
      <c r="Y351" s="898"/>
      <c r="Z351" s="898"/>
      <c r="AA351" s="898"/>
      <c r="AB351" s="898"/>
      <c r="AC351" s="898"/>
      <c r="AD351" s="898"/>
      <c r="AE351" s="898"/>
      <c r="AF351" s="898"/>
      <c r="AG351" s="898"/>
      <c r="AH351" s="898"/>
      <c r="AI351" s="898"/>
      <c r="AJ351" s="898"/>
      <c r="AK351" s="898"/>
      <c r="AL351" s="898"/>
      <c r="AM351" s="897"/>
      <c r="AN351" s="897"/>
      <c r="AO351" s="897"/>
      <c r="AP351" s="897"/>
      <c r="AQ351" s="897"/>
      <c r="AR351" s="897"/>
      <c r="AS351" s="897"/>
      <c r="AT351" s="897"/>
    </row>
    <row r="352" spans="1:46" s="930" customFormat="1">
      <c r="A352" s="892"/>
      <c r="B352" s="899"/>
      <c r="C352" s="900"/>
      <c r="D352" s="894"/>
      <c r="E352" s="936"/>
      <c r="F352" s="905"/>
      <c r="G352" s="896"/>
      <c r="H352" s="897"/>
      <c r="I352" s="897"/>
      <c r="J352" s="898"/>
      <c r="K352" s="898"/>
      <c r="L352" s="898"/>
      <c r="M352" s="898"/>
      <c r="N352" s="898"/>
      <c r="O352" s="898"/>
      <c r="P352" s="898"/>
      <c r="Q352" s="898"/>
      <c r="R352" s="898"/>
      <c r="S352" s="898"/>
      <c r="T352" s="898"/>
      <c r="U352" s="898"/>
      <c r="V352" s="898"/>
      <c r="W352" s="898"/>
      <c r="X352" s="898"/>
      <c r="Y352" s="898"/>
      <c r="Z352" s="898"/>
      <c r="AA352" s="898"/>
      <c r="AB352" s="898"/>
      <c r="AC352" s="898"/>
      <c r="AD352" s="898"/>
      <c r="AE352" s="898"/>
      <c r="AF352" s="898"/>
      <c r="AG352" s="898"/>
      <c r="AH352" s="898"/>
      <c r="AI352" s="898"/>
      <c r="AJ352" s="898"/>
      <c r="AK352" s="898"/>
      <c r="AL352" s="898"/>
      <c r="AM352" s="897"/>
      <c r="AN352" s="897"/>
      <c r="AO352" s="897"/>
      <c r="AP352" s="897"/>
      <c r="AQ352" s="897"/>
      <c r="AR352" s="897"/>
      <c r="AS352" s="897"/>
      <c r="AT352" s="897"/>
    </row>
    <row r="353" spans="1:46" s="930" customFormat="1">
      <c r="A353" s="892"/>
      <c r="B353" s="899"/>
      <c r="C353" s="900"/>
      <c r="D353" s="894"/>
      <c r="E353" s="936"/>
      <c r="F353" s="905"/>
      <c r="G353" s="896"/>
      <c r="H353" s="897"/>
      <c r="I353" s="897"/>
      <c r="J353" s="898"/>
      <c r="K353" s="898"/>
      <c r="L353" s="898"/>
      <c r="M353" s="898"/>
      <c r="N353" s="898"/>
      <c r="O353" s="898"/>
      <c r="P353" s="898"/>
      <c r="Q353" s="898"/>
      <c r="R353" s="898"/>
      <c r="S353" s="898"/>
      <c r="T353" s="898"/>
      <c r="U353" s="898"/>
      <c r="V353" s="898"/>
      <c r="W353" s="898"/>
      <c r="X353" s="898"/>
      <c r="Y353" s="898"/>
      <c r="Z353" s="898"/>
      <c r="AA353" s="898"/>
      <c r="AB353" s="898"/>
      <c r="AC353" s="898"/>
      <c r="AD353" s="898"/>
      <c r="AE353" s="898"/>
      <c r="AF353" s="898"/>
      <c r="AG353" s="898"/>
      <c r="AH353" s="898"/>
      <c r="AI353" s="898"/>
      <c r="AJ353" s="898"/>
      <c r="AK353" s="898"/>
      <c r="AL353" s="898"/>
      <c r="AM353" s="897"/>
      <c r="AN353" s="897"/>
      <c r="AO353" s="897"/>
      <c r="AP353" s="897"/>
      <c r="AQ353" s="897"/>
      <c r="AR353" s="897"/>
      <c r="AS353" s="897"/>
      <c r="AT353" s="897"/>
    </row>
    <row r="354" spans="1:46" s="930" customFormat="1">
      <c r="A354" s="892"/>
      <c r="B354" s="899"/>
      <c r="C354" s="900"/>
      <c r="D354" s="894"/>
      <c r="E354" s="936"/>
      <c r="F354" s="905"/>
      <c r="G354" s="896"/>
      <c r="H354" s="897"/>
      <c r="I354" s="897"/>
      <c r="J354" s="898"/>
      <c r="K354" s="898"/>
      <c r="L354" s="898"/>
      <c r="M354" s="898"/>
      <c r="N354" s="898"/>
      <c r="O354" s="898"/>
      <c r="P354" s="898"/>
      <c r="Q354" s="898"/>
      <c r="R354" s="898"/>
      <c r="S354" s="898"/>
      <c r="T354" s="898"/>
      <c r="U354" s="898"/>
      <c r="V354" s="898"/>
      <c r="W354" s="898"/>
      <c r="X354" s="898"/>
      <c r="Y354" s="898"/>
      <c r="Z354" s="898"/>
      <c r="AA354" s="898"/>
      <c r="AB354" s="898"/>
      <c r="AC354" s="898"/>
      <c r="AD354" s="898"/>
      <c r="AE354" s="898"/>
      <c r="AF354" s="898"/>
      <c r="AG354" s="898"/>
      <c r="AH354" s="898"/>
      <c r="AI354" s="898"/>
      <c r="AJ354" s="898"/>
      <c r="AK354" s="898"/>
      <c r="AL354" s="898"/>
      <c r="AM354" s="897"/>
      <c r="AN354" s="897"/>
      <c r="AO354" s="897"/>
      <c r="AP354" s="897"/>
      <c r="AQ354" s="897"/>
      <c r="AR354" s="897"/>
      <c r="AS354" s="897"/>
      <c r="AT354" s="897"/>
    </row>
    <row r="355" spans="1:46" s="930" customFormat="1">
      <c r="A355" s="892"/>
      <c r="B355" s="899"/>
      <c r="C355" s="900"/>
      <c r="D355" s="894"/>
      <c r="E355" s="936"/>
      <c r="F355" s="905"/>
      <c r="G355" s="896"/>
      <c r="H355" s="897"/>
      <c r="I355" s="897"/>
      <c r="J355" s="898"/>
      <c r="K355" s="898"/>
      <c r="L355" s="898"/>
      <c r="M355" s="898"/>
      <c r="N355" s="898"/>
      <c r="O355" s="898"/>
      <c r="P355" s="898"/>
      <c r="Q355" s="898"/>
      <c r="R355" s="898"/>
      <c r="S355" s="898"/>
      <c r="T355" s="898"/>
      <c r="U355" s="898"/>
      <c r="V355" s="898"/>
      <c r="W355" s="898"/>
      <c r="X355" s="898"/>
      <c r="Y355" s="898"/>
      <c r="Z355" s="898"/>
      <c r="AA355" s="898"/>
      <c r="AB355" s="898"/>
      <c r="AC355" s="898"/>
      <c r="AD355" s="898"/>
      <c r="AE355" s="898"/>
      <c r="AF355" s="898"/>
      <c r="AG355" s="898"/>
      <c r="AH355" s="898"/>
      <c r="AI355" s="898"/>
      <c r="AJ355" s="898"/>
      <c r="AK355" s="898"/>
      <c r="AL355" s="898"/>
      <c r="AM355" s="897"/>
      <c r="AN355" s="897"/>
      <c r="AO355" s="897"/>
      <c r="AP355" s="897"/>
      <c r="AQ355" s="897"/>
      <c r="AR355" s="897"/>
      <c r="AS355" s="897"/>
      <c r="AT355" s="897"/>
    </row>
    <row r="356" spans="1:46" s="930" customFormat="1">
      <c r="A356" s="892"/>
      <c r="B356" s="899"/>
      <c r="C356" s="900"/>
      <c r="D356" s="894"/>
      <c r="E356" s="936"/>
      <c r="F356" s="905"/>
      <c r="G356" s="896"/>
      <c r="H356" s="897"/>
      <c r="I356" s="897"/>
      <c r="J356" s="898"/>
      <c r="K356" s="898"/>
      <c r="L356" s="898"/>
      <c r="M356" s="898"/>
      <c r="N356" s="898"/>
      <c r="O356" s="898"/>
      <c r="P356" s="898"/>
      <c r="Q356" s="898"/>
      <c r="R356" s="898"/>
      <c r="S356" s="898"/>
      <c r="T356" s="898"/>
      <c r="U356" s="898"/>
      <c r="V356" s="898"/>
      <c r="W356" s="898"/>
      <c r="X356" s="898"/>
      <c r="Y356" s="898"/>
      <c r="Z356" s="898"/>
      <c r="AA356" s="898"/>
      <c r="AB356" s="898"/>
      <c r="AC356" s="898"/>
      <c r="AD356" s="898"/>
      <c r="AE356" s="898"/>
      <c r="AF356" s="898"/>
      <c r="AG356" s="898"/>
      <c r="AH356" s="898"/>
      <c r="AI356" s="898"/>
      <c r="AJ356" s="898"/>
      <c r="AK356" s="898"/>
      <c r="AL356" s="898"/>
      <c r="AM356" s="897"/>
      <c r="AN356" s="897"/>
      <c r="AO356" s="897"/>
      <c r="AP356" s="897"/>
      <c r="AQ356" s="897"/>
      <c r="AR356" s="897"/>
      <c r="AS356" s="897"/>
      <c r="AT356" s="897"/>
    </row>
    <row r="357" spans="1:46" s="930" customFormat="1">
      <c r="A357" s="892"/>
      <c r="B357" s="899"/>
      <c r="C357" s="900"/>
      <c r="D357" s="894"/>
      <c r="E357" s="936"/>
      <c r="F357" s="905"/>
      <c r="G357" s="896"/>
      <c r="H357" s="897"/>
      <c r="I357" s="897"/>
      <c r="J357" s="898"/>
      <c r="K357" s="898"/>
      <c r="L357" s="898"/>
      <c r="M357" s="898"/>
      <c r="N357" s="898"/>
      <c r="O357" s="898"/>
      <c r="P357" s="898"/>
      <c r="Q357" s="898"/>
      <c r="R357" s="898"/>
      <c r="S357" s="898"/>
      <c r="T357" s="898"/>
      <c r="U357" s="898"/>
      <c r="V357" s="898"/>
      <c r="W357" s="898"/>
      <c r="X357" s="898"/>
      <c r="Y357" s="898"/>
      <c r="Z357" s="898"/>
      <c r="AA357" s="898"/>
      <c r="AB357" s="898"/>
      <c r="AC357" s="898"/>
      <c r="AD357" s="898"/>
      <c r="AE357" s="898"/>
      <c r="AF357" s="898"/>
      <c r="AG357" s="898"/>
      <c r="AH357" s="898"/>
      <c r="AI357" s="898"/>
      <c r="AJ357" s="898"/>
      <c r="AK357" s="898"/>
      <c r="AL357" s="898"/>
      <c r="AM357" s="897"/>
      <c r="AN357" s="897"/>
      <c r="AO357" s="897"/>
      <c r="AP357" s="897"/>
      <c r="AQ357" s="897"/>
      <c r="AR357" s="897"/>
      <c r="AS357" s="897"/>
      <c r="AT357" s="897"/>
    </row>
    <row r="358" spans="1:46" s="930" customFormat="1">
      <c r="A358" s="892"/>
      <c r="B358" s="899"/>
      <c r="C358" s="900"/>
      <c r="D358" s="894"/>
      <c r="E358" s="936"/>
      <c r="F358" s="905"/>
      <c r="G358" s="896"/>
      <c r="H358" s="897"/>
      <c r="I358" s="897"/>
      <c r="J358" s="898"/>
      <c r="K358" s="898"/>
      <c r="L358" s="898"/>
      <c r="M358" s="898"/>
      <c r="N358" s="898"/>
      <c r="O358" s="898"/>
      <c r="P358" s="898"/>
      <c r="Q358" s="898"/>
      <c r="R358" s="898"/>
      <c r="S358" s="898"/>
      <c r="T358" s="898"/>
      <c r="U358" s="898"/>
      <c r="V358" s="898"/>
      <c r="W358" s="898"/>
      <c r="X358" s="898"/>
      <c r="Y358" s="898"/>
      <c r="Z358" s="898"/>
      <c r="AA358" s="898"/>
      <c r="AB358" s="898"/>
      <c r="AC358" s="898"/>
      <c r="AD358" s="898"/>
      <c r="AE358" s="898"/>
      <c r="AF358" s="898"/>
      <c r="AG358" s="898"/>
      <c r="AH358" s="898"/>
      <c r="AI358" s="898"/>
      <c r="AJ358" s="898"/>
      <c r="AK358" s="898"/>
      <c r="AL358" s="898"/>
      <c r="AM358" s="897"/>
      <c r="AN358" s="897"/>
      <c r="AO358" s="897"/>
      <c r="AP358" s="897"/>
      <c r="AQ358" s="897"/>
      <c r="AR358" s="897"/>
      <c r="AS358" s="897"/>
      <c r="AT358" s="897"/>
    </row>
    <row r="359" spans="1:46" s="930" customFormat="1">
      <c r="A359" s="892"/>
      <c r="B359" s="899"/>
      <c r="C359" s="900"/>
      <c r="D359" s="894"/>
      <c r="E359" s="936"/>
      <c r="F359" s="905"/>
      <c r="G359" s="896"/>
      <c r="H359" s="897"/>
      <c r="I359" s="897"/>
      <c r="J359" s="898"/>
      <c r="K359" s="898"/>
      <c r="L359" s="898"/>
      <c r="M359" s="898"/>
      <c r="N359" s="898"/>
      <c r="O359" s="898"/>
      <c r="P359" s="898"/>
      <c r="Q359" s="898"/>
      <c r="R359" s="898"/>
      <c r="S359" s="898"/>
      <c r="T359" s="898"/>
      <c r="U359" s="898"/>
      <c r="V359" s="898"/>
      <c r="W359" s="898"/>
      <c r="X359" s="898"/>
      <c r="Y359" s="898"/>
      <c r="Z359" s="898"/>
      <c r="AA359" s="898"/>
      <c r="AB359" s="898"/>
      <c r="AC359" s="898"/>
      <c r="AD359" s="898"/>
      <c r="AE359" s="898"/>
      <c r="AF359" s="898"/>
      <c r="AG359" s="898"/>
      <c r="AH359" s="898"/>
      <c r="AI359" s="898"/>
      <c r="AJ359" s="898"/>
      <c r="AK359" s="898"/>
      <c r="AL359" s="898"/>
      <c r="AM359" s="897"/>
      <c r="AN359" s="897"/>
      <c r="AO359" s="897"/>
      <c r="AP359" s="897"/>
      <c r="AQ359" s="897"/>
      <c r="AR359" s="897"/>
      <c r="AS359" s="897"/>
      <c r="AT359" s="897"/>
    </row>
    <row r="360" spans="1:46" s="930" customFormat="1">
      <c r="A360" s="892"/>
      <c r="B360" s="899"/>
      <c r="C360" s="900"/>
      <c r="D360" s="894"/>
      <c r="E360" s="936"/>
      <c r="F360" s="905"/>
      <c r="G360" s="896"/>
      <c r="H360" s="897"/>
      <c r="I360" s="897"/>
      <c r="J360" s="898"/>
      <c r="K360" s="898"/>
      <c r="L360" s="898"/>
      <c r="M360" s="898"/>
      <c r="N360" s="898"/>
      <c r="O360" s="898"/>
      <c r="P360" s="898"/>
      <c r="Q360" s="898"/>
      <c r="R360" s="898"/>
      <c r="S360" s="898"/>
      <c r="T360" s="898"/>
      <c r="U360" s="898"/>
      <c r="V360" s="898"/>
      <c r="W360" s="898"/>
      <c r="X360" s="898"/>
      <c r="Y360" s="898"/>
      <c r="Z360" s="898"/>
      <c r="AA360" s="898"/>
      <c r="AB360" s="898"/>
      <c r="AC360" s="898"/>
      <c r="AD360" s="898"/>
      <c r="AE360" s="898"/>
      <c r="AF360" s="898"/>
      <c r="AG360" s="898"/>
      <c r="AH360" s="898"/>
      <c r="AI360" s="898"/>
      <c r="AJ360" s="898"/>
      <c r="AK360" s="898"/>
      <c r="AL360" s="898"/>
      <c r="AM360" s="897"/>
      <c r="AN360" s="897"/>
      <c r="AO360" s="897"/>
      <c r="AP360" s="897"/>
      <c r="AQ360" s="897"/>
      <c r="AR360" s="897"/>
      <c r="AS360" s="897"/>
      <c r="AT360" s="897"/>
    </row>
    <row r="361" spans="1:46" s="930" customFormat="1">
      <c r="A361" s="892"/>
      <c r="B361" s="899"/>
      <c r="C361" s="900"/>
      <c r="D361" s="894"/>
      <c r="E361" s="936"/>
      <c r="F361" s="905"/>
      <c r="G361" s="896"/>
      <c r="H361" s="897"/>
      <c r="I361" s="897"/>
      <c r="J361" s="898"/>
      <c r="K361" s="898"/>
      <c r="L361" s="898"/>
      <c r="M361" s="898"/>
      <c r="N361" s="898"/>
      <c r="O361" s="898"/>
      <c r="P361" s="898"/>
      <c r="Q361" s="898"/>
      <c r="R361" s="898"/>
      <c r="S361" s="898"/>
      <c r="T361" s="898"/>
      <c r="U361" s="898"/>
      <c r="V361" s="898"/>
      <c r="W361" s="898"/>
      <c r="X361" s="898"/>
      <c r="Y361" s="898"/>
      <c r="Z361" s="898"/>
      <c r="AA361" s="898"/>
      <c r="AB361" s="898"/>
      <c r="AC361" s="898"/>
      <c r="AD361" s="898"/>
      <c r="AE361" s="898"/>
      <c r="AF361" s="898"/>
      <c r="AG361" s="898"/>
      <c r="AH361" s="898"/>
      <c r="AI361" s="898"/>
      <c r="AJ361" s="898"/>
      <c r="AK361" s="898"/>
      <c r="AL361" s="898"/>
      <c r="AM361" s="897"/>
      <c r="AN361" s="897"/>
      <c r="AO361" s="897"/>
      <c r="AP361" s="897"/>
      <c r="AQ361" s="897"/>
      <c r="AR361" s="897"/>
      <c r="AS361" s="897"/>
      <c r="AT361" s="897"/>
    </row>
    <row r="362" spans="1:46" s="930" customFormat="1">
      <c r="A362" s="892"/>
      <c r="B362" s="899"/>
      <c r="C362" s="900"/>
      <c r="D362" s="894"/>
      <c r="E362" s="936"/>
      <c r="F362" s="905"/>
      <c r="G362" s="896"/>
      <c r="H362" s="897"/>
      <c r="I362" s="897"/>
      <c r="J362" s="898"/>
      <c r="K362" s="898"/>
      <c r="L362" s="898"/>
      <c r="M362" s="898"/>
      <c r="N362" s="898"/>
      <c r="O362" s="898"/>
      <c r="P362" s="898"/>
      <c r="Q362" s="898"/>
      <c r="R362" s="898"/>
      <c r="S362" s="898"/>
      <c r="T362" s="898"/>
      <c r="U362" s="898"/>
      <c r="V362" s="898"/>
      <c r="W362" s="898"/>
      <c r="X362" s="898"/>
      <c r="Y362" s="898"/>
      <c r="Z362" s="898"/>
      <c r="AA362" s="898"/>
      <c r="AB362" s="898"/>
      <c r="AC362" s="898"/>
      <c r="AD362" s="898"/>
      <c r="AE362" s="898"/>
      <c r="AF362" s="898"/>
      <c r="AG362" s="898"/>
      <c r="AH362" s="898"/>
      <c r="AI362" s="898"/>
      <c r="AJ362" s="898"/>
      <c r="AK362" s="898"/>
      <c r="AL362" s="898"/>
      <c r="AM362" s="897"/>
      <c r="AN362" s="897"/>
      <c r="AO362" s="897"/>
      <c r="AP362" s="897"/>
      <c r="AQ362" s="897"/>
      <c r="AR362" s="897"/>
      <c r="AS362" s="897"/>
      <c r="AT362" s="897"/>
    </row>
    <row r="363" spans="1:46" s="930" customFormat="1">
      <c r="A363" s="892"/>
      <c r="B363" s="899"/>
      <c r="C363" s="900"/>
      <c r="D363" s="894"/>
      <c r="E363" s="936"/>
      <c r="F363" s="905"/>
      <c r="G363" s="896"/>
      <c r="H363" s="897"/>
      <c r="I363" s="897"/>
      <c r="J363" s="898"/>
      <c r="K363" s="898"/>
      <c r="L363" s="898"/>
      <c r="M363" s="898"/>
      <c r="N363" s="898"/>
      <c r="O363" s="898"/>
      <c r="P363" s="898"/>
      <c r="Q363" s="898"/>
      <c r="R363" s="898"/>
      <c r="S363" s="898"/>
      <c r="T363" s="898"/>
      <c r="U363" s="898"/>
      <c r="V363" s="898"/>
      <c r="W363" s="898"/>
      <c r="X363" s="898"/>
      <c r="Y363" s="898"/>
      <c r="Z363" s="898"/>
      <c r="AA363" s="898"/>
      <c r="AB363" s="898"/>
      <c r="AC363" s="898"/>
      <c r="AD363" s="898"/>
      <c r="AE363" s="898"/>
      <c r="AF363" s="898"/>
      <c r="AG363" s="898"/>
      <c r="AH363" s="898"/>
      <c r="AI363" s="898"/>
      <c r="AJ363" s="898"/>
      <c r="AK363" s="898"/>
      <c r="AL363" s="898"/>
      <c r="AM363" s="897"/>
      <c r="AN363" s="897"/>
      <c r="AO363" s="897"/>
      <c r="AP363" s="897"/>
      <c r="AQ363" s="897"/>
      <c r="AR363" s="897"/>
      <c r="AS363" s="897"/>
      <c r="AT363" s="897"/>
    </row>
    <row r="364" spans="1:46" s="930" customFormat="1">
      <c r="A364" s="892"/>
      <c r="B364" s="899"/>
      <c r="C364" s="900"/>
      <c r="D364" s="894"/>
      <c r="E364" s="936"/>
      <c r="F364" s="905"/>
      <c r="G364" s="896"/>
      <c r="H364" s="897"/>
      <c r="I364" s="897"/>
      <c r="J364" s="898"/>
      <c r="K364" s="898"/>
      <c r="L364" s="898"/>
      <c r="M364" s="898"/>
      <c r="N364" s="898"/>
      <c r="O364" s="898"/>
      <c r="P364" s="898"/>
      <c r="Q364" s="898"/>
      <c r="R364" s="898"/>
      <c r="S364" s="898"/>
      <c r="T364" s="898"/>
      <c r="U364" s="898"/>
      <c r="V364" s="898"/>
      <c r="W364" s="898"/>
      <c r="X364" s="898"/>
      <c r="Y364" s="898"/>
      <c r="Z364" s="898"/>
      <c r="AA364" s="898"/>
      <c r="AB364" s="898"/>
      <c r="AC364" s="898"/>
      <c r="AD364" s="898"/>
      <c r="AE364" s="898"/>
      <c r="AF364" s="898"/>
      <c r="AG364" s="898"/>
      <c r="AH364" s="898"/>
      <c r="AI364" s="898"/>
      <c r="AJ364" s="898"/>
      <c r="AK364" s="898"/>
      <c r="AL364" s="898"/>
      <c r="AM364" s="897"/>
      <c r="AN364" s="897"/>
      <c r="AO364" s="897"/>
      <c r="AP364" s="897"/>
      <c r="AQ364" s="897"/>
      <c r="AR364" s="897"/>
      <c r="AS364" s="897"/>
      <c r="AT364" s="897"/>
    </row>
    <row r="365" spans="1:46" s="930" customFormat="1">
      <c r="A365" s="892"/>
      <c r="B365" s="899"/>
      <c r="C365" s="900"/>
      <c r="D365" s="894"/>
      <c r="E365" s="936"/>
      <c r="F365" s="905"/>
      <c r="G365" s="896"/>
      <c r="H365" s="897"/>
      <c r="I365" s="897"/>
      <c r="J365" s="898"/>
      <c r="K365" s="898"/>
      <c r="L365" s="898"/>
      <c r="M365" s="898"/>
      <c r="N365" s="898"/>
      <c r="O365" s="898"/>
      <c r="P365" s="898"/>
      <c r="Q365" s="898"/>
      <c r="R365" s="898"/>
      <c r="S365" s="898"/>
      <c r="T365" s="898"/>
      <c r="U365" s="898"/>
      <c r="V365" s="898"/>
      <c r="W365" s="898"/>
      <c r="X365" s="898"/>
      <c r="Y365" s="898"/>
      <c r="Z365" s="898"/>
      <c r="AA365" s="898"/>
      <c r="AB365" s="898"/>
      <c r="AC365" s="898"/>
      <c r="AD365" s="898"/>
      <c r="AE365" s="898"/>
      <c r="AF365" s="898"/>
      <c r="AG365" s="898"/>
      <c r="AH365" s="898"/>
      <c r="AI365" s="898"/>
      <c r="AJ365" s="898"/>
      <c r="AK365" s="898"/>
      <c r="AL365" s="898"/>
      <c r="AM365" s="897"/>
      <c r="AN365" s="897"/>
      <c r="AO365" s="897"/>
      <c r="AP365" s="897"/>
      <c r="AQ365" s="897"/>
      <c r="AR365" s="897"/>
      <c r="AS365" s="897"/>
      <c r="AT365" s="897"/>
    </row>
    <row r="366" spans="1:46" s="930" customFormat="1">
      <c r="A366" s="892"/>
      <c r="B366" s="899"/>
      <c r="C366" s="900"/>
      <c r="D366" s="894"/>
      <c r="E366" s="936"/>
      <c r="F366" s="905"/>
      <c r="G366" s="896"/>
      <c r="H366" s="897"/>
      <c r="I366" s="897"/>
      <c r="J366" s="898"/>
      <c r="K366" s="898"/>
      <c r="L366" s="898"/>
      <c r="M366" s="898"/>
      <c r="N366" s="898"/>
      <c r="O366" s="898"/>
      <c r="P366" s="898"/>
      <c r="Q366" s="898"/>
      <c r="R366" s="898"/>
      <c r="S366" s="898"/>
      <c r="T366" s="898"/>
      <c r="U366" s="898"/>
      <c r="V366" s="898"/>
      <c r="W366" s="898"/>
      <c r="X366" s="898"/>
      <c r="Y366" s="898"/>
      <c r="Z366" s="898"/>
      <c r="AA366" s="898"/>
      <c r="AB366" s="898"/>
      <c r="AC366" s="898"/>
      <c r="AD366" s="898"/>
      <c r="AE366" s="898"/>
      <c r="AF366" s="898"/>
      <c r="AG366" s="898"/>
      <c r="AH366" s="898"/>
      <c r="AI366" s="898"/>
      <c r="AJ366" s="898"/>
      <c r="AK366" s="898"/>
      <c r="AL366" s="898"/>
      <c r="AM366" s="897"/>
      <c r="AN366" s="897"/>
      <c r="AO366" s="897"/>
      <c r="AP366" s="897"/>
      <c r="AQ366" s="897"/>
      <c r="AR366" s="897"/>
      <c r="AS366" s="897"/>
      <c r="AT366" s="897"/>
    </row>
    <row r="367" spans="1:46" s="930" customFormat="1">
      <c r="A367" s="892"/>
      <c r="B367" s="899"/>
      <c r="C367" s="900"/>
      <c r="D367" s="894"/>
      <c r="E367" s="936"/>
      <c r="F367" s="905"/>
      <c r="G367" s="896"/>
      <c r="H367" s="897"/>
      <c r="I367" s="897"/>
      <c r="J367" s="898"/>
      <c r="K367" s="898"/>
      <c r="L367" s="898"/>
      <c r="M367" s="898"/>
      <c r="N367" s="898"/>
      <c r="O367" s="898"/>
      <c r="P367" s="898"/>
      <c r="Q367" s="898"/>
      <c r="R367" s="898"/>
      <c r="S367" s="898"/>
      <c r="T367" s="898"/>
      <c r="U367" s="898"/>
      <c r="V367" s="898"/>
      <c r="W367" s="898"/>
      <c r="X367" s="898"/>
      <c r="Y367" s="898"/>
      <c r="Z367" s="898"/>
      <c r="AA367" s="898"/>
      <c r="AB367" s="898"/>
      <c r="AC367" s="898"/>
      <c r="AD367" s="898"/>
      <c r="AE367" s="898"/>
      <c r="AF367" s="898"/>
      <c r="AG367" s="898"/>
      <c r="AH367" s="898"/>
      <c r="AI367" s="898"/>
      <c r="AJ367" s="898"/>
      <c r="AK367" s="898"/>
      <c r="AL367" s="898"/>
      <c r="AM367" s="897"/>
      <c r="AN367" s="897"/>
      <c r="AO367" s="897"/>
      <c r="AP367" s="897"/>
      <c r="AQ367" s="897"/>
      <c r="AR367" s="897"/>
      <c r="AS367" s="897"/>
      <c r="AT367" s="897"/>
    </row>
    <row r="368" spans="1:46" s="930" customFormat="1">
      <c r="A368" s="892"/>
      <c r="B368" s="899"/>
      <c r="C368" s="900"/>
      <c r="D368" s="894"/>
      <c r="E368" s="936"/>
      <c r="F368" s="905"/>
      <c r="G368" s="896"/>
      <c r="H368" s="897"/>
      <c r="I368" s="897"/>
      <c r="J368" s="898"/>
      <c r="K368" s="898"/>
      <c r="L368" s="898"/>
      <c r="M368" s="898"/>
      <c r="N368" s="898"/>
      <c r="O368" s="898"/>
      <c r="P368" s="898"/>
      <c r="Q368" s="898"/>
      <c r="R368" s="898"/>
      <c r="S368" s="898"/>
      <c r="T368" s="898"/>
      <c r="U368" s="898"/>
      <c r="V368" s="898"/>
      <c r="W368" s="898"/>
      <c r="X368" s="898"/>
      <c r="Y368" s="898"/>
      <c r="Z368" s="898"/>
      <c r="AA368" s="898"/>
      <c r="AB368" s="898"/>
      <c r="AC368" s="898"/>
      <c r="AD368" s="898"/>
      <c r="AE368" s="898"/>
      <c r="AF368" s="898"/>
      <c r="AG368" s="898"/>
      <c r="AH368" s="898"/>
      <c r="AI368" s="898"/>
      <c r="AJ368" s="898"/>
      <c r="AK368" s="898"/>
      <c r="AL368" s="898"/>
      <c r="AM368" s="897"/>
      <c r="AN368" s="897"/>
      <c r="AO368" s="897"/>
      <c r="AP368" s="897"/>
      <c r="AQ368" s="897"/>
      <c r="AR368" s="897"/>
      <c r="AS368" s="897"/>
      <c r="AT368" s="897"/>
    </row>
    <row r="369" spans="1:46" s="930" customFormat="1">
      <c r="A369" s="892"/>
      <c r="B369" s="899"/>
      <c r="C369" s="900"/>
      <c r="D369" s="894"/>
      <c r="E369" s="936"/>
      <c r="F369" s="905"/>
      <c r="G369" s="896"/>
      <c r="H369" s="897"/>
      <c r="I369" s="897"/>
      <c r="J369" s="898"/>
      <c r="K369" s="898"/>
      <c r="L369" s="898"/>
      <c r="M369" s="898"/>
      <c r="N369" s="898"/>
      <c r="O369" s="898"/>
      <c r="P369" s="898"/>
      <c r="Q369" s="898"/>
      <c r="R369" s="898"/>
      <c r="S369" s="898"/>
      <c r="T369" s="898"/>
      <c r="U369" s="898"/>
      <c r="V369" s="898"/>
      <c r="W369" s="898"/>
      <c r="X369" s="898"/>
      <c r="Y369" s="898"/>
      <c r="Z369" s="898"/>
      <c r="AA369" s="898"/>
      <c r="AB369" s="898"/>
      <c r="AC369" s="898"/>
      <c r="AD369" s="898"/>
      <c r="AE369" s="898"/>
      <c r="AF369" s="898"/>
      <c r="AG369" s="898"/>
      <c r="AH369" s="898"/>
      <c r="AI369" s="898"/>
      <c r="AJ369" s="898"/>
      <c r="AK369" s="898"/>
      <c r="AL369" s="898"/>
      <c r="AM369" s="897"/>
      <c r="AN369" s="897"/>
      <c r="AO369" s="897"/>
      <c r="AP369" s="897"/>
      <c r="AQ369" s="897"/>
      <c r="AR369" s="897"/>
      <c r="AS369" s="897"/>
      <c r="AT369" s="897"/>
    </row>
    <row r="370" spans="1:46" s="930" customFormat="1">
      <c r="A370" s="892"/>
      <c r="B370" s="899"/>
      <c r="C370" s="900"/>
      <c r="D370" s="894"/>
      <c r="E370" s="936"/>
      <c r="F370" s="905"/>
      <c r="G370" s="896"/>
      <c r="H370" s="897"/>
      <c r="I370" s="897"/>
      <c r="J370" s="898"/>
      <c r="K370" s="898"/>
      <c r="L370" s="898"/>
      <c r="M370" s="898"/>
      <c r="N370" s="898"/>
      <c r="O370" s="898"/>
      <c r="P370" s="898"/>
      <c r="Q370" s="898"/>
      <c r="R370" s="898"/>
      <c r="S370" s="898"/>
      <c r="T370" s="898"/>
      <c r="U370" s="898"/>
      <c r="V370" s="898"/>
      <c r="W370" s="898"/>
      <c r="X370" s="898"/>
      <c r="Y370" s="898"/>
      <c r="Z370" s="898"/>
      <c r="AA370" s="898"/>
      <c r="AB370" s="898"/>
      <c r="AC370" s="898"/>
      <c r="AD370" s="898"/>
      <c r="AE370" s="898"/>
      <c r="AF370" s="898"/>
      <c r="AG370" s="898"/>
      <c r="AH370" s="898"/>
      <c r="AI370" s="898"/>
      <c r="AJ370" s="898"/>
      <c r="AK370" s="898"/>
      <c r="AL370" s="898"/>
      <c r="AM370" s="897"/>
      <c r="AN370" s="897"/>
      <c r="AO370" s="897"/>
      <c r="AP370" s="897"/>
      <c r="AQ370" s="897"/>
      <c r="AR370" s="897"/>
      <c r="AS370" s="897"/>
      <c r="AT370" s="897"/>
    </row>
    <row r="371" spans="1:46" s="930" customFormat="1">
      <c r="A371" s="892"/>
      <c r="B371" s="899"/>
      <c r="C371" s="900"/>
      <c r="D371" s="894"/>
      <c r="E371" s="936"/>
      <c r="F371" s="905"/>
      <c r="G371" s="896"/>
      <c r="H371" s="897"/>
      <c r="I371" s="897"/>
      <c r="J371" s="898"/>
      <c r="K371" s="898"/>
      <c r="L371" s="898"/>
      <c r="M371" s="898"/>
      <c r="N371" s="898"/>
      <c r="O371" s="898"/>
      <c r="P371" s="898"/>
      <c r="Q371" s="898"/>
      <c r="R371" s="898"/>
      <c r="S371" s="898"/>
      <c r="T371" s="898"/>
      <c r="U371" s="898"/>
      <c r="V371" s="898"/>
      <c r="W371" s="898"/>
      <c r="X371" s="898"/>
      <c r="Y371" s="898"/>
      <c r="Z371" s="898"/>
      <c r="AA371" s="898"/>
      <c r="AB371" s="898"/>
      <c r="AC371" s="898"/>
      <c r="AD371" s="898"/>
      <c r="AE371" s="898"/>
      <c r="AF371" s="898"/>
      <c r="AG371" s="898"/>
      <c r="AH371" s="898"/>
      <c r="AI371" s="898"/>
      <c r="AJ371" s="898"/>
      <c r="AK371" s="898"/>
      <c r="AL371" s="898"/>
      <c r="AM371" s="897"/>
      <c r="AN371" s="897"/>
      <c r="AO371" s="897"/>
      <c r="AP371" s="897"/>
      <c r="AQ371" s="897"/>
      <c r="AR371" s="897"/>
      <c r="AS371" s="897"/>
      <c r="AT371" s="897"/>
    </row>
    <row r="372" spans="1:46" s="930" customFormat="1">
      <c r="A372" s="892"/>
      <c r="B372" s="899"/>
      <c r="C372" s="900"/>
      <c r="D372" s="894"/>
      <c r="E372" s="936"/>
      <c r="F372" s="905"/>
      <c r="G372" s="896"/>
      <c r="H372" s="897"/>
      <c r="I372" s="897"/>
      <c r="J372" s="898"/>
      <c r="K372" s="898"/>
      <c r="L372" s="898"/>
      <c r="M372" s="898"/>
      <c r="N372" s="898"/>
      <c r="O372" s="898"/>
      <c r="P372" s="898"/>
      <c r="Q372" s="898"/>
      <c r="R372" s="898"/>
      <c r="S372" s="898"/>
      <c r="T372" s="898"/>
      <c r="U372" s="898"/>
      <c r="V372" s="898"/>
      <c r="W372" s="898"/>
      <c r="X372" s="898"/>
      <c r="Y372" s="898"/>
      <c r="Z372" s="898"/>
      <c r="AA372" s="898"/>
      <c r="AB372" s="898"/>
      <c r="AC372" s="898"/>
      <c r="AD372" s="898"/>
      <c r="AE372" s="898"/>
      <c r="AF372" s="898"/>
      <c r="AG372" s="898"/>
      <c r="AH372" s="898"/>
      <c r="AI372" s="898"/>
      <c r="AJ372" s="898"/>
      <c r="AK372" s="898"/>
      <c r="AL372" s="898"/>
      <c r="AM372" s="897"/>
      <c r="AN372" s="897"/>
      <c r="AO372" s="897"/>
      <c r="AP372" s="897"/>
      <c r="AQ372" s="897"/>
      <c r="AR372" s="897"/>
      <c r="AS372" s="897"/>
      <c r="AT372" s="897"/>
    </row>
    <row r="373" spans="1:46" s="930" customFormat="1">
      <c r="A373" s="892"/>
      <c r="B373" s="899"/>
      <c r="C373" s="900"/>
      <c r="D373" s="894"/>
      <c r="E373" s="936"/>
      <c r="F373" s="905"/>
      <c r="G373" s="896"/>
      <c r="H373" s="897"/>
      <c r="I373" s="897"/>
      <c r="J373" s="898"/>
      <c r="K373" s="898"/>
      <c r="L373" s="898"/>
      <c r="M373" s="898"/>
      <c r="N373" s="898"/>
      <c r="O373" s="898"/>
      <c r="P373" s="898"/>
      <c r="Q373" s="898"/>
      <c r="R373" s="898"/>
      <c r="S373" s="898"/>
      <c r="T373" s="898"/>
      <c r="U373" s="898"/>
      <c r="V373" s="898"/>
      <c r="W373" s="898"/>
      <c r="X373" s="898"/>
      <c r="Y373" s="898"/>
      <c r="Z373" s="898"/>
      <c r="AA373" s="898"/>
      <c r="AB373" s="898"/>
      <c r="AC373" s="898"/>
      <c r="AD373" s="898"/>
      <c r="AE373" s="898"/>
      <c r="AF373" s="898"/>
      <c r="AG373" s="898"/>
      <c r="AH373" s="898"/>
      <c r="AI373" s="898"/>
      <c r="AJ373" s="898"/>
      <c r="AK373" s="898"/>
      <c r="AL373" s="898"/>
      <c r="AM373" s="897"/>
      <c r="AN373" s="897"/>
      <c r="AO373" s="897"/>
      <c r="AP373" s="897"/>
      <c r="AQ373" s="897"/>
      <c r="AR373" s="897"/>
      <c r="AS373" s="897"/>
      <c r="AT373" s="897"/>
    </row>
    <row r="374" spans="1:46" s="930" customFormat="1">
      <c r="A374" s="892"/>
      <c r="B374" s="899"/>
      <c r="C374" s="900"/>
      <c r="D374" s="894"/>
      <c r="E374" s="936"/>
      <c r="F374" s="905"/>
      <c r="G374" s="896"/>
      <c r="H374" s="897"/>
      <c r="I374" s="897"/>
      <c r="J374" s="898"/>
      <c r="K374" s="898"/>
      <c r="L374" s="898"/>
      <c r="M374" s="898"/>
      <c r="N374" s="898"/>
      <c r="O374" s="898"/>
      <c r="P374" s="898"/>
      <c r="Q374" s="898"/>
      <c r="R374" s="898"/>
      <c r="S374" s="898"/>
      <c r="T374" s="898"/>
      <c r="U374" s="898"/>
      <c r="V374" s="898"/>
      <c r="W374" s="898"/>
      <c r="X374" s="898"/>
      <c r="Y374" s="898"/>
      <c r="Z374" s="898"/>
      <c r="AA374" s="898"/>
      <c r="AB374" s="898"/>
      <c r="AC374" s="898"/>
      <c r="AD374" s="898"/>
      <c r="AE374" s="898"/>
      <c r="AF374" s="898"/>
      <c r="AG374" s="898"/>
      <c r="AH374" s="898"/>
      <c r="AI374" s="898"/>
      <c r="AJ374" s="898"/>
      <c r="AK374" s="898"/>
      <c r="AL374" s="898"/>
      <c r="AM374" s="897"/>
      <c r="AN374" s="897"/>
      <c r="AO374" s="897"/>
      <c r="AP374" s="897"/>
      <c r="AQ374" s="897"/>
      <c r="AR374" s="897"/>
      <c r="AS374" s="897"/>
      <c r="AT374" s="897"/>
    </row>
    <row r="375" spans="1:46" s="930" customFormat="1">
      <c r="A375" s="892"/>
      <c r="B375" s="899"/>
      <c r="C375" s="900"/>
      <c r="D375" s="894"/>
      <c r="E375" s="936"/>
      <c r="F375" s="905"/>
      <c r="G375" s="896"/>
      <c r="H375" s="897"/>
      <c r="I375" s="897"/>
      <c r="J375" s="898"/>
      <c r="K375" s="898"/>
      <c r="L375" s="898"/>
      <c r="M375" s="898"/>
      <c r="N375" s="898"/>
      <c r="O375" s="898"/>
      <c r="P375" s="898"/>
      <c r="Q375" s="898"/>
      <c r="R375" s="898"/>
      <c r="S375" s="898"/>
      <c r="T375" s="898"/>
      <c r="U375" s="898"/>
      <c r="V375" s="898"/>
      <c r="W375" s="898"/>
      <c r="X375" s="898"/>
      <c r="Y375" s="898"/>
      <c r="Z375" s="898"/>
      <c r="AA375" s="898"/>
      <c r="AB375" s="898"/>
      <c r="AC375" s="898"/>
      <c r="AD375" s="898"/>
      <c r="AE375" s="898"/>
      <c r="AF375" s="898"/>
      <c r="AG375" s="898"/>
      <c r="AH375" s="898"/>
      <c r="AI375" s="898"/>
      <c r="AJ375" s="898"/>
      <c r="AK375" s="898"/>
      <c r="AL375" s="898"/>
      <c r="AM375" s="897"/>
      <c r="AN375" s="897"/>
      <c r="AO375" s="897"/>
      <c r="AP375" s="897"/>
      <c r="AQ375" s="897"/>
      <c r="AR375" s="897"/>
      <c r="AS375" s="897"/>
      <c r="AT375" s="897"/>
    </row>
    <row r="376" spans="1:46" s="930" customFormat="1">
      <c r="A376" s="892"/>
      <c r="B376" s="899"/>
      <c r="C376" s="900"/>
      <c r="D376" s="894"/>
      <c r="E376" s="936"/>
      <c r="F376" s="905"/>
      <c r="G376" s="896"/>
      <c r="H376" s="897"/>
      <c r="I376" s="897"/>
      <c r="J376" s="898"/>
      <c r="K376" s="898"/>
      <c r="L376" s="898"/>
      <c r="M376" s="898"/>
      <c r="N376" s="898"/>
      <c r="O376" s="898"/>
      <c r="P376" s="898"/>
      <c r="Q376" s="898"/>
      <c r="R376" s="898"/>
      <c r="S376" s="898"/>
      <c r="T376" s="898"/>
      <c r="U376" s="898"/>
      <c r="V376" s="898"/>
      <c r="W376" s="898"/>
      <c r="X376" s="898"/>
      <c r="Y376" s="898"/>
      <c r="Z376" s="898"/>
      <c r="AA376" s="898"/>
      <c r="AB376" s="898"/>
      <c r="AC376" s="898"/>
      <c r="AD376" s="898"/>
      <c r="AE376" s="898"/>
      <c r="AF376" s="898"/>
      <c r="AG376" s="898"/>
      <c r="AH376" s="898"/>
      <c r="AI376" s="898"/>
      <c r="AJ376" s="898"/>
      <c r="AK376" s="898"/>
      <c r="AL376" s="898"/>
      <c r="AM376" s="897"/>
      <c r="AN376" s="897"/>
      <c r="AO376" s="897"/>
      <c r="AP376" s="897"/>
      <c r="AQ376" s="897"/>
      <c r="AR376" s="897"/>
      <c r="AS376" s="897"/>
      <c r="AT376" s="897"/>
    </row>
    <row r="377" spans="1:46" s="930" customFormat="1">
      <c r="A377" s="892"/>
      <c r="B377" s="899"/>
      <c r="C377" s="900"/>
      <c r="D377" s="894"/>
      <c r="E377" s="936"/>
      <c r="F377" s="905"/>
      <c r="G377" s="896"/>
      <c r="H377" s="897"/>
      <c r="I377" s="897"/>
      <c r="J377" s="898"/>
      <c r="K377" s="898"/>
      <c r="L377" s="898"/>
      <c r="M377" s="898"/>
      <c r="N377" s="898"/>
      <c r="O377" s="898"/>
      <c r="P377" s="898"/>
      <c r="Q377" s="898"/>
      <c r="R377" s="898"/>
      <c r="S377" s="898"/>
      <c r="T377" s="898"/>
      <c r="U377" s="898"/>
      <c r="V377" s="898"/>
      <c r="W377" s="898"/>
      <c r="X377" s="898"/>
      <c r="Y377" s="898"/>
      <c r="Z377" s="898"/>
      <c r="AA377" s="898"/>
      <c r="AB377" s="898"/>
      <c r="AC377" s="898"/>
      <c r="AD377" s="898"/>
      <c r="AE377" s="898"/>
      <c r="AF377" s="898"/>
      <c r="AG377" s="898"/>
      <c r="AH377" s="898"/>
      <c r="AI377" s="898"/>
      <c r="AJ377" s="898"/>
      <c r="AK377" s="898"/>
      <c r="AL377" s="898"/>
      <c r="AM377" s="897"/>
      <c r="AN377" s="897"/>
      <c r="AO377" s="897"/>
      <c r="AP377" s="897"/>
      <c r="AQ377" s="897"/>
      <c r="AR377" s="897"/>
      <c r="AS377" s="897"/>
      <c r="AT377" s="897"/>
    </row>
    <row r="378" spans="1:46" s="930" customFormat="1">
      <c r="A378" s="892"/>
      <c r="B378" s="899"/>
      <c r="C378" s="900"/>
      <c r="D378" s="894"/>
      <c r="E378" s="936"/>
      <c r="F378" s="905"/>
      <c r="G378" s="896"/>
      <c r="H378" s="897"/>
      <c r="I378" s="897"/>
      <c r="J378" s="898"/>
      <c r="K378" s="898"/>
      <c r="L378" s="898"/>
      <c r="M378" s="898"/>
      <c r="N378" s="898"/>
      <c r="O378" s="898"/>
      <c r="P378" s="898"/>
      <c r="Q378" s="898"/>
      <c r="R378" s="898"/>
      <c r="S378" s="898"/>
      <c r="T378" s="898"/>
      <c r="U378" s="898"/>
      <c r="V378" s="898"/>
      <c r="W378" s="898"/>
      <c r="X378" s="898"/>
      <c r="Y378" s="898"/>
      <c r="Z378" s="898"/>
      <c r="AA378" s="898"/>
      <c r="AB378" s="898"/>
      <c r="AC378" s="898"/>
      <c r="AD378" s="898"/>
      <c r="AE378" s="898"/>
      <c r="AF378" s="898"/>
      <c r="AG378" s="898"/>
      <c r="AH378" s="898"/>
      <c r="AI378" s="898"/>
      <c r="AJ378" s="898"/>
      <c r="AK378" s="898"/>
      <c r="AL378" s="898"/>
      <c r="AM378" s="897"/>
      <c r="AN378" s="897"/>
      <c r="AO378" s="897"/>
      <c r="AP378" s="897"/>
      <c r="AQ378" s="897"/>
      <c r="AR378" s="897"/>
      <c r="AS378" s="897"/>
      <c r="AT378" s="897"/>
    </row>
    <row r="379" spans="1:46" s="930" customFormat="1">
      <c r="A379" s="892"/>
      <c r="B379" s="899"/>
      <c r="C379" s="900"/>
      <c r="D379" s="894"/>
      <c r="E379" s="936"/>
      <c r="F379" s="905"/>
      <c r="G379" s="896"/>
      <c r="H379" s="897"/>
      <c r="I379" s="897"/>
      <c r="J379" s="898"/>
      <c r="K379" s="898"/>
      <c r="L379" s="898"/>
      <c r="M379" s="898"/>
      <c r="N379" s="898"/>
      <c r="O379" s="898"/>
      <c r="P379" s="898"/>
      <c r="Q379" s="898"/>
      <c r="R379" s="898"/>
      <c r="S379" s="898"/>
      <c r="T379" s="898"/>
      <c r="U379" s="898"/>
      <c r="V379" s="898"/>
      <c r="W379" s="898"/>
      <c r="X379" s="898"/>
      <c r="Y379" s="898"/>
      <c r="Z379" s="898"/>
      <c r="AA379" s="898"/>
      <c r="AB379" s="898"/>
      <c r="AC379" s="898"/>
      <c r="AD379" s="898"/>
      <c r="AE379" s="898"/>
      <c r="AF379" s="898"/>
      <c r="AG379" s="898"/>
      <c r="AH379" s="898"/>
      <c r="AI379" s="898"/>
      <c r="AJ379" s="898"/>
      <c r="AK379" s="898"/>
      <c r="AL379" s="898"/>
      <c r="AM379" s="897"/>
      <c r="AN379" s="897"/>
      <c r="AO379" s="897"/>
      <c r="AP379" s="897"/>
      <c r="AQ379" s="897"/>
      <c r="AR379" s="897"/>
      <c r="AS379" s="897"/>
      <c r="AT379" s="897"/>
    </row>
    <row r="380" spans="1:46" s="930" customFormat="1">
      <c r="A380" s="892"/>
      <c r="B380" s="899"/>
      <c r="C380" s="900"/>
      <c r="D380" s="894"/>
      <c r="E380" s="936"/>
      <c r="F380" s="905"/>
      <c r="G380" s="896"/>
      <c r="H380" s="897"/>
      <c r="I380" s="897"/>
      <c r="J380" s="898"/>
      <c r="K380" s="898"/>
      <c r="L380" s="898"/>
      <c r="M380" s="898"/>
      <c r="N380" s="898"/>
      <c r="O380" s="898"/>
      <c r="P380" s="898"/>
      <c r="Q380" s="898"/>
      <c r="R380" s="898"/>
      <c r="S380" s="898"/>
      <c r="T380" s="898"/>
      <c r="U380" s="898"/>
      <c r="V380" s="898"/>
      <c r="W380" s="898"/>
      <c r="X380" s="898"/>
      <c r="Y380" s="898"/>
      <c r="Z380" s="898"/>
      <c r="AA380" s="898"/>
      <c r="AB380" s="898"/>
      <c r="AC380" s="898"/>
      <c r="AD380" s="898"/>
      <c r="AE380" s="898"/>
      <c r="AF380" s="898"/>
      <c r="AG380" s="898"/>
      <c r="AH380" s="898"/>
      <c r="AI380" s="898"/>
      <c r="AJ380" s="898"/>
      <c r="AK380" s="898"/>
      <c r="AL380" s="898"/>
      <c r="AM380" s="897"/>
      <c r="AN380" s="897"/>
      <c r="AO380" s="897"/>
      <c r="AP380" s="897"/>
      <c r="AQ380" s="897"/>
      <c r="AR380" s="897"/>
      <c r="AS380" s="897"/>
      <c r="AT380" s="897"/>
    </row>
    <row r="381" spans="1:46" s="930" customFormat="1">
      <c r="A381" s="892"/>
      <c r="B381" s="899"/>
      <c r="C381" s="900"/>
      <c r="D381" s="894"/>
      <c r="E381" s="936"/>
      <c r="F381" s="905"/>
      <c r="G381" s="896"/>
      <c r="H381" s="897"/>
      <c r="I381" s="897"/>
      <c r="J381" s="898"/>
      <c r="K381" s="898"/>
      <c r="L381" s="898"/>
      <c r="M381" s="898"/>
      <c r="N381" s="898"/>
      <c r="O381" s="898"/>
      <c r="P381" s="898"/>
      <c r="Q381" s="898"/>
      <c r="R381" s="898"/>
      <c r="S381" s="898"/>
      <c r="T381" s="898"/>
      <c r="U381" s="898"/>
      <c r="V381" s="898"/>
      <c r="W381" s="898"/>
      <c r="X381" s="898"/>
      <c r="Y381" s="898"/>
      <c r="Z381" s="898"/>
      <c r="AA381" s="898"/>
      <c r="AB381" s="898"/>
      <c r="AC381" s="898"/>
      <c r="AD381" s="898"/>
      <c r="AE381" s="898"/>
      <c r="AF381" s="898"/>
      <c r="AG381" s="898"/>
      <c r="AH381" s="898"/>
      <c r="AI381" s="898"/>
      <c r="AJ381" s="898"/>
      <c r="AK381" s="898"/>
      <c r="AL381" s="898"/>
      <c r="AM381" s="897"/>
      <c r="AN381" s="897"/>
      <c r="AO381" s="897"/>
      <c r="AP381" s="897"/>
      <c r="AQ381" s="897"/>
      <c r="AR381" s="897"/>
      <c r="AS381" s="897"/>
      <c r="AT381" s="897"/>
    </row>
    <row r="382" spans="1:46" s="930" customFormat="1">
      <c r="A382" s="892"/>
      <c r="B382" s="899"/>
      <c r="C382" s="900"/>
      <c r="D382" s="894"/>
      <c r="E382" s="936"/>
      <c r="F382" s="905"/>
      <c r="G382" s="896"/>
      <c r="H382" s="897"/>
      <c r="I382" s="897"/>
      <c r="J382" s="898"/>
      <c r="K382" s="898"/>
      <c r="L382" s="898"/>
      <c r="M382" s="898"/>
      <c r="N382" s="898"/>
      <c r="O382" s="898"/>
      <c r="P382" s="898"/>
      <c r="Q382" s="898"/>
      <c r="R382" s="898"/>
      <c r="S382" s="898"/>
      <c r="T382" s="898"/>
      <c r="U382" s="898"/>
      <c r="V382" s="898"/>
      <c r="W382" s="898"/>
      <c r="X382" s="898"/>
      <c r="Y382" s="898"/>
      <c r="Z382" s="898"/>
      <c r="AA382" s="898"/>
      <c r="AB382" s="898"/>
      <c r="AC382" s="898"/>
      <c r="AD382" s="898"/>
      <c r="AE382" s="898"/>
      <c r="AF382" s="898"/>
      <c r="AG382" s="898"/>
      <c r="AH382" s="898"/>
      <c r="AI382" s="898"/>
      <c r="AJ382" s="898"/>
      <c r="AK382" s="898"/>
      <c r="AL382" s="898"/>
      <c r="AM382" s="897"/>
      <c r="AN382" s="897"/>
      <c r="AO382" s="897"/>
      <c r="AP382" s="897"/>
      <c r="AQ382" s="897"/>
      <c r="AR382" s="897"/>
      <c r="AS382" s="897"/>
      <c r="AT382" s="897"/>
    </row>
    <row r="383" spans="1:46" s="930" customFormat="1">
      <c r="A383" s="892"/>
      <c r="B383" s="899"/>
      <c r="C383" s="900"/>
      <c r="D383" s="894"/>
      <c r="E383" s="936"/>
      <c r="F383" s="905"/>
      <c r="G383" s="896"/>
      <c r="H383" s="897"/>
      <c r="I383" s="897"/>
      <c r="J383" s="898"/>
      <c r="K383" s="898"/>
      <c r="L383" s="898"/>
      <c r="M383" s="898"/>
      <c r="N383" s="898"/>
      <c r="O383" s="898"/>
      <c r="P383" s="898"/>
      <c r="Q383" s="898"/>
      <c r="R383" s="898"/>
      <c r="S383" s="898"/>
      <c r="T383" s="898"/>
      <c r="U383" s="898"/>
      <c r="V383" s="898"/>
      <c r="W383" s="898"/>
      <c r="X383" s="898"/>
      <c r="Y383" s="898"/>
      <c r="Z383" s="898"/>
      <c r="AA383" s="898"/>
      <c r="AB383" s="898"/>
      <c r="AC383" s="898"/>
      <c r="AD383" s="898"/>
      <c r="AE383" s="898"/>
      <c r="AF383" s="898"/>
      <c r="AG383" s="898"/>
      <c r="AH383" s="898"/>
      <c r="AI383" s="898"/>
      <c r="AJ383" s="898"/>
      <c r="AK383" s="898"/>
      <c r="AL383" s="898"/>
      <c r="AM383" s="897"/>
      <c r="AN383" s="897"/>
      <c r="AO383" s="897"/>
      <c r="AP383" s="897"/>
      <c r="AQ383" s="897"/>
      <c r="AR383" s="897"/>
      <c r="AS383" s="897"/>
      <c r="AT383" s="897"/>
    </row>
    <row r="384" spans="1:46" s="930" customFormat="1">
      <c r="A384" s="892"/>
      <c r="B384" s="899"/>
      <c r="C384" s="900"/>
      <c r="D384" s="894"/>
      <c r="E384" s="936"/>
      <c r="F384" s="905"/>
      <c r="G384" s="896"/>
      <c r="H384" s="897"/>
      <c r="I384" s="897"/>
      <c r="J384" s="898"/>
      <c r="K384" s="898"/>
      <c r="L384" s="898"/>
      <c r="M384" s="898"/>
      <c r="N384" s="898"/>
      <c r="O384" s="898"/>
      <c r="P384" s="898"/>
      <c r="Q384" s="898"/>
      <c r="R384" s="898"/>
      <c r="S384" s="898"/>
      <c r="T384" s="898"/>
      <c r="U384" s="898"/>
      <c r="V384" s="898"/>
      <c r="W384" s="898"/>
      <c r="X384" s="898"/>
      <c r="Y384" s="898"/>
      <c r="Z384" s="898"/>
      <c r="AA384" s="898"/>
      <c r="AB384" s="898"/>
      <c r="AC384" s="898"/>
      <c r="AD384" s="898"/>
      <c r="AE384" s="898"/>
      <c r="AF384" s="898"/>
      <c r="AG384" s="898"/>
      <c r="AH384" s="898"/>
      <c r="AI384" s="898"/>
      <c r="AJ384" s="898"/>
      <c r="AK384" s="898"/>
      <c r="AL384" s="898"/>
      <c r="AM384" s="897"/>
      <c r="AN384" s="897"/>
      <c r="AO384" s="897"/>
      <c r="AP384" s="897"/>
      <c r="AQ384" s="897"/>
      <c r="AR384" s="897"/>
      <c r="AS384" s="897"/>
      <c r="AT384" s="897"/>
    </row>
    <row r="385" spans="1:46" s="930" customFormat="1">
      <c r="A385" s="892"/>
      <c r="B385" s="899"/>
      <c r="C385" s="900"/>
      <c r="D385" s="894"/>
      <c r="E385" s="936"/>
      <c r="F385" s="905"/>
      <c r="G385" s="896"/>
      <c r="H385" s="897"/>
      <c r="I385" s="897"/>
      <c r="J385" s="898"/>
      <c r="K385" s="898"/>
      <c r="L385" s="898"/>
      <c r="M385" s="898"/>
      <c r="N385" s="898"/>
      <c r="O385" s="898"/>
      <c r="P385" s="898"/>
      <c r="Q385" s="898"/>
      <c r="R385" s="898"/>
      <c r="S385" s="898"/>
      <c r="T385" s="898"/>
      <c r="U385" s="898"/>
      <c r="V385" s="898"/>
      <c r="W385" s="898"/>
      <c r="X385" s="898"/>
      <c r="Y385" s="898"/>
      <c r="Z385" s="898"/>
      <c r="AA385" s="898"/>
      <c r="AB385" s="898"/>
      <c r="AC385" s="898"/>
      <c r="AD385" s="898"/>
      <c r="AE385" s="898"/>
      <c r="AF385" s="898"/>
      <c r="AG385" s="898"/>
      <c r="AH385" s="898"/>
      <c r="AI385" s="898"/>
      <c r="AJ385" s="898"/>
      <c r="AK385" s="898"/>
      <c r="AL385" s="898"/>
      <c r="AM385" s="897"/>
      <c r="AN385" s="897"/>
      <c r="AO385" s="897"/>
      <c r="AP385" s="897"/>
      <c r="AQ385" s="897"/>
      <c r="AR385" s="897"/>
      <c r="AS385" s="897"/>
      <c r="AT385" s="897"/>
    </row>
    <row r="386" spans="1:46" s="930" customFormat="1">
      <c r="A386" s="892"/>
      <c r="B386" s="899"/>
      <c r="C386" s="900"/>
      <c r="D386" s="894"/>
      <c r="E386" s="936"/>
      <c r="F386" s="905"/>
      <c r="G386" s="896"/>
      <c r="H386" s="897"/>
      <c r="I386" s="897"/>
      <c r="J386" s="898"/>
      <c r="K386" s="898"/>
      <c r="L386" s="898"/>
      <c r="M386" s="898"/>
      <c r="N386" s="898"/>
      <c r="O386" s="898"/>
      <c r="P386" s="898"/>
      <c r="Q386" s="898"/>
      <c r="R386" s="898"/>
      <c r="S386" s="898"/>
      <c r="T386" s="898"/>
      <c r="U386" s="898"/>
      <c r="V386" s="898"/>
      <c r="W386" s="898"/>
      <c r="X386" s="898"/>
      <c r="Y386" s="898"/>
      <c r="Z386" s="898"/>
      <c r="AA386" s="898"/>
      <c r="AB386" s="898"/>
      <c r="AC386" s="898"/>
      <c r="AD386" s="898"/>
      <c r="AE386" s="898"/>
      <c r="AF386" s="898"/>
      <c r="AG386" s="898"/>
      <c r="AH386" s="898"/>
      <c r="AI386" s="898"/>
      <c r="AJ386" s="898"/>
      <c r="AK386" s="898"/>
      <c r="AL386" s="898"/>
      <c r="AM386" s="897"/>
      <c r="AN386" s="897"/>
      <c r="AO386" s="897"/>
      <c r="AP386" s="897"/>
      <c r="AQ386" s="897"/>
      <c r="AR386" s="897"/>
      <c r="AS386" s="897"/>
      <c r="AT386" s="897"/>
    </row>
    <row r="387" spans="1:46" s="930" customFormat="1">
      <c r="A387" s="892"/>
      <c r="B387" s="899"/>
      <c r="C387" s="900"/>
      <c r="D387" s="894"/>
      <c r="E387" s="936"/>
      <c r="F387" s="905"/>
      <c r="G387" s="896"/>
      <c r="H387" s="897"/>
      <c r="I387" s="897"/>
      <c r="J387" s="898"/>
      <c r="K387" s="898"/>
      <c r="L387" s="898"/>
      <c r="M387" s="898"/>
      <c r="N387" s="898"/>
      <c r="O387" s="898"/>
      <c r="P387" s="898"/>
      <c r="Q387" s="898"/>
      <c r="R387" s="898"/>
      <c r="S387" s="898"/>
      <c r="T387" s="898"/>
      <c r="U387" s="898"/>
      <c r="V387" s="898"/>
      <c r="W387" s="898"/>
      <c r="X387" s="898"/>
      <c r="Y387" s="898"/>
      <c r="Z387" s="898"/>
      <c r="AA387" s="898"/>
      <c r="AB387" s="898"/>
      <c r="AC387" s="898"/>
      <c r="AD387" s="898"/>
      <c r="AE387" s="898"/>
      <c r="AF387" s="898"/>
      <c r="AG387" s="898"/>
      <c r="AH387" s="898"/>
      <c r="AI387" s="898"/>
      <c r="AJ387" s="898"/>
      <c r="AK387" s="898"/>
      <c r="AL387" s="898"/>
      <c r="AM387" s="897"/>
      <c r="AN387" s="897"/>
      <c r="AO387" s="897"/>
      <c r="AP387" s="897"/>
      <c r="AQ387" s="897"/>
      <c r="AR387" s="897"/>
      <c r="AS387" s="897"/>
      <c r="AT387" s="897"/>
    </row>
    <row r="388" spans="1:46" s="930" customFormat="1">
      <c r="A388" s="892"/>
      <c r="B388" s="899"/>
      <c r="C388" s="900"/>
      <c r="D388" s="894"/>
      <c r="E388" s="936"/>
      <c r="F388" s="905"/>
      <c r="G388" s="896"/>
      <c r="H388" s="897"/>
      <c r="I388" s="897"/>
      <c r="J388" s="898"/>
      <c r="K388" s="898"/>
      <c r="L388" s="898"/>
      <c r="M388" s="898"/>
      <c r="N388" s="898"/>
      <c r="O388" s="898"/>
      <c r="P388" s="898"/>
      <c r="Q388" s="898"/>
      <c r="R388" s="898"/>
      <c r="S388" s="898"/>
      <c r="T388" s="898"/>
      <c r="U388" s="898"/>
      <c r="V388" s="898"/>
      <c r="W388" s="898"/>
      <c r="X388" s="898"/>
      <c r="Y388" s="898"/>
      <c r="Z388" s="898"/>
      <c r="AA388" s="898"/>
      <c r="AB388" s="898"/>
      <c r="AC388" s="898"/>
      <c r="AD388" s="898"/>
      <c r="AE388" s="898"/>
      <c r="AF388" s="898"/>
      <c r="AG388" s="898"/>
      <c r="AH388" s="898"/>
      <c r="AI388" s="898"/>
      <c r="AJ388" s="898"/>
      <c r="AK388" s="898"/>
      <c r="AL388" s="898"/>
      <c r="AM388" s="897"/>
      <c r="AN388" s="897"/>
      <c r="AO388" s="897"/>
      <c r="AP388" s="897"/>
      <c r="AQ388" s="897"/>
      <c r="AR388" s="897"/>
      <c r="AS388" s="897"/>
      <c r="AT388" s="897"/>
    </row>
    <row r="389" spans="1:46" s="930" customFormat="1">
      <c r="A389" s="892"/>
      <c r="B389" s="899"/>
      <c r="C389" s="900"/>
      <c r="D389" s="894"/>
      <c r="E389" s="936"/>
      <c r="F389" s="905"/>
      <c r="G389" s="896"/>
      <c r="H389" s="897"/>
      <c r="I389" s="897"/>
      <c r="J389" s="898"/>
      <c r="K389" s="898"/>
      <c r="L389" s="898"/>
      <c r="M389" s="898"/>
      <c r="N389" s="898"/>
      <c r="O389" s="898"/>
      <c r="P389" s="898"/>
      <c r="Q389" s="898"/>
      <c r="R389" s="898"/>
      <c r="S389" s="898"/>
      <c r="T389" s="898"/>
      <c r="U389" s="898"/>
      <c r="V389" s="898"/>
      <c r="W389" s="898"/>
      <c r="X389" s="898"/>
      <c r="Y389" s="898"/>
      <c r="Z389" s="898"/>
      <c r="AA389" s="898"/>
      <c r="AB389" s="898"/>
      <c r="AC389" s="898"/>
      <c r="AD389" s="898"/>
      <c r="AE389" s="898"/>
      <c r="AF389" s="898"/>
      <c r="AG389" s="898"/>
      <c r="AH389" s="898"/>
      <c r="AI389" s="898"/>
      <c r="AJ389" s="898"/>
      <c r="AK389" s="898"/>
      <c r="AL389" s="898"/>
      <c r="AM389" s="897"/>
      <c r="AN389" s="897"/>
      <c r="AO389" s="897"/>
      <c r="AP389" s="897"/>
      <c r="AQ389" s="897"/>
      <c r="AR389" s="897"/>
      <c r="AS389" s="897"/>
      <c r="AT389" s="897"/>
    </row>
    <row r="390" spans="1:46" s="930" customFormat="1">
      <c r="A390" s="892"/>
      <c r="B390" s="899"/>
      <c r="C390" s="900"/>
      <c r="D390" s="894"/>
      <c r="E390" s="936"/>
      <c r="F390" s="905"/>
      <c r="G390" s="896"/>
      <c r="H390" s="897"/>
      <c r="I390" s="897"/>
      <c r="J390" s="898"/>
      <c r="K390" s="898"/>
      <c r="L390" s="898"/>
      <c r="M390" s="898"/>
      <c r="N390" s="898"/>
      <c r="O390" s="898"/>
      <c r="P390" s="898"/>
      <c r="Q390" s="898"/>
      <c r="R390" s="898"/>
      <c r="S390" s="898"/>
      <c r="T390" s="898"/>
      <c r="U390" s="898"/>
      <c r="V390" s="898"/>
      <c r="W390" s="898"/>
      <c r="X390" s="898"/>
      <c r="Y390" s="898"/>
      <c r="Z390" s="898"/>
      <c r="AA390" s="898"/>
      <c r="AB390" s="898"/>
      <c r="AC390" s="898"/>
      <c r="AD390" s="898"/>
      <c r="AE390" s="898"/>
      <c r="AF390" s="898"/>
      <c r="AG390" s="898"/>
      <c r="AH390" s="898"/>
      <c r="AI390" s="898"/>
      <c r="AJ390" s="898"/>
      <c r="AK390" s="898"/>
      <c r="AL390" s="898"/>
      <c r="AM390" s="897"/>
      <c r="AN390" s="897"/>
      <c r="AO390" s="897"/>
      <c r="AP390" s="897"/>
      <c r="AQ390" s="897"/>
      <c r="AR390" s="897"/>
      <c r="AS390" s="897"/>
      <c r="AT390" s="897"/>
    </row>
    <row r="391" spans="1:46" s="930" customFormat="1">
      <c r="A391" s="892"/>
      <c r="B391" s="899"/>
      <c r="C391" s="900"/>
      <c r="D391" s="894"/>
      <c r="E391" s="936"/>
      <c r="F391" s="905"/>
      <c r="G391" s="896"/>
      <c r="H391" s="897"/>
      <c r="I391" s="897"/>
      <c r="J391" s="898"/>
      <c r="K391" s="898"/>
      <c r="L391" s="898"/>
      <c r="M391" s="898"/>
      <c r="N391" s="898"/>
      <c r="O391" s="898"/>
      <c r="P391" s="898"/>
      <c r="Q391" s="898"/>
      <c r="R391" s="898"/>
      <c r="S391" s="898"/>
      <c r="T391" s="898"/>
      <c r="U391" s="898"/>
      <c r="V391" s="898"/>
      <c r="W391" s="898"/>
      <c r="X391" s="898"/>
      <c r="Y391" s="898"/>
      <c r="Z391" s="898"/>
      <c r="AA391" s="898"/>
      <c r="AB391" s="898"/>
      <c r="AC391" s="898"/>
      <c r="AD391" s="898"/>
      <c r="AE391" s="898"/>
      <c r="AF391" s="898"/>
      <c r="AG391" s="898"/>
      <c r="AH391" s="898"/>
      <c r="AI391" s="898"/>
      <c r="AJ391" s="898"/>
      <c r="AK391" s="898"/>
      <c r="AL391" s="898"/>
      <c r="AM391" s="897"/>
      <c r="AN391" s="897"/>
      <c r="AO391" s="897"/>
      <c r="AP391" s="897"/>
      <c r="AQ391" s="897"/>
      <c r="AR391" s="897"/>
      <c r="AS391" s="897"/>
      <c r="AT391" s="897"/>
    </row>
    <row r="392" spans="1:46" s="930" customFormat="1">
      <c r="A392" s="892"/>
      <c r="B392" s="899"/>
      <c r="C392" s="900"/>
      <c r="D392" s="894"/>
      <c r="E392" s="936"/>
      <c r="F392" s="905"/>
      <c r="G392" s="896"/>
      <c r="H392" s="897"/>
      <c r="I392" s="897"/>
      <c r="J392" s="898"/>
      <c r="K392" s="898"/>
      <c r="L392" s="898"/>
      <c r="M392" s="898"/>
      <c r="N392" s="898"/>
      <c r="O392" s="898"/>
      <c r="P392" s="898"/>
      <c r="Q392" s="898"/>
      <c r="R392" s="898"/>
      <c r="S392" s="898"/>
      <c r="T392" s="898"/>
      <c r="U392" s="898"/>
      <c r="V392" s="898"/>
      <c r="W392" s="898"/>
      <c r="X392" s="898"/>
      <c r="Y392" s="898"/>
      <c r="Z392" s="898"/>
      <c r="AA392" s="898"/>
      <c r="AB392" s="898"/>
      <c r="AC392" s="898"/>
      <c r="AD392" s="898"/>
      <c r="AE392" s="898"/>
      <c r="AF392" s="898"/>
      <c r="AG392" s="898"/>
      <c r="AH392" s="898"/>
      <c r="AI392" s="898"/>
      <c r="AJ392" s="898"/>
      <c r="AK392" s="898"/>
      <c r="AL392" s="898"/>
      <c r="AM392" s="897"/>
      <c r="AN392" s="897"/>
      <c r="AO392" s="897"/>
      <c r="AP392" s="897"/>
      <c r="AQ392" s="897"/>
      <c r="AR392" s="897"/>
      <c r="AS392" s="897"/>
      <c r="AT392" s="897"/>
    </row>
    <row r="393" spans="1:46" s="930" customFormat="1">
      <c r="A393" s="892"/>
      <c r="B393" s="899"/>
      <c r="C393" s="900"/>
      <c r="D393" s="894"/>
      <c r="E393" s="936"/>
      <c r="F393" s="905"/>
      <c r="G393" s="896"/>
      <c r="H393" s="897"/>
      <c r="I393" s="897"/>
      <c r="J393" s="898"/>
      <c r="K393" s="898"/>
      <c r="L393" s="898"/>
      <c r="M393" s="898"/>
      <c r="N393" s="898"/>
      <c r="O393" s="898"/>
      <c r="P393" s="898"/>
      <c r="Q393" s="898"/>
      <c r="R393" s="898"/>
      <c r="S393" s="898"/>
      <c r="T393" s="898"/>
      <c r="U393" s="898"/>
      <c r="V393" s="898"/>
      <c r="W393" s="898"/>
      <c r="X393" s="898"/>
      <c r="Y393" s="898"/>
      <c r="Z393" s="898"/>
      <c r="AA393" s="898"/>
      <c r="AB393" s="898"/>
      <c r="AC393" s="898"/>
      <c r="AD393" s="898"/>
      <c r="AE393" s="898"/>
      <c r="AF393" s="898"/>
      <c r="AG393" s="898"/>
      <c r="AH393" s="898"/>
      <c r="AI393" s="898"/>
      <c r="AJ393" s="898"/>
      <c r="AK393" s="898"/>
      <c r="AL393" s="898"/>
      <c r="AM393" s="897"/>
      <c r="AN393" s="897"/>
      <c r="AO393" s="897"/>
      <c r="AP393" s="897"/>
      <c r="AQ393" s="897"/>
      <c r="AR393" s="897"/>
      <c r="AS393" s="897"/>
      <c r="AT393" s="897"/>
    </row>
    <row r="394" spans="1:46" s="930" customFormat="1">
      <c r="A394" s="892"/>
      <c r="B394" s="899"/>
      <c r="C394" s="900"/>
      <c r="D394" s="894"/>
      <c r="E394" s="936"/>
      <c r="F394" s="905"/>
      <c r="G394" s="896"/>
      <c r="H394" s="897"/>
      <c r="I394" s="897"/>
      <c r="J394" s="898"/>
      <c r="K394" s="898"/>
      <c r="L394" s="898"/>
      <c r="M394" s="898"/>
      <c r="N394" s="898"/>
      <c r="O394" s="898"/>
      <c r="P394" s="898"/>
      <c r="Q394" s="898"/>
      <c r="R394" s="898"/>
      <c r="S394" s="898"/>
      <c r="T394" s="898"/>
      <c r="U394" s="898"/>
      <c r="V394" s="898"/>
      <c r="W394" s="898"/>
      <c r="X394" s="898"/>
      <c r="Y394" s="898"/>
      <c r="Z394" s="898"/>
      <c r="AA394" s="898"/>
      <c r="AB394" s="898"/>
      <c r="AC394" s="898"/>
      <c r="AD394" s="898"/>
      <c r="AE394" s="898"/>
      <c r="AF394" s="898"/>
      <c r="AG394" s="898"/>
      <c r="AH394" s="898"/>
      <c r="AI394" s="898"/>
      <c r="AJ394" s="898"/>
      <c r="AK394" s="898"/>
      <c r="AL394" s="898"/>
      <c r="AM394" s="897"/>
      <c r="AN394" s="897"/>
      <c r="AO394" s="897"/>
      <c r="AP394" s="897"/>
      <c r="AQ394" s="897"/>
      <c r="AR394" s="897"/>
      <c r="AS394" s="897"/>
      <c r="AT394" s="897"/>
    </row>
    <row r="395" spans="1:46" s="930" customFormat="1">
      <c r="A395" s="892"/>
      <c r="B395" s="899"/>
      <c r="C395" s="900"/>
      <c r="D395" s="894"/>
      <c r="E395" s="936"/>
      <c r="F395" s="905"/>
      <c r="G395" s="896"/>
      <c r="H395" s="897"/>
      <c r="I395" s="897"/>
      <c r="J395" s="898"/>
      <c r="K395" s="898"/>
      <c r="L395" s="898"/>
      <c r="M395" s="898"/>
      <c r="N395" s="898"/>
      <c r="O395" s="898"/>
      <c r="P395" s="898"/>
      <c r="Q395" s="898"/>
      <c r="R395" s="898"/>
      <c r="S395" s="898"/>
      <c r="T395" s="898"/>
      <c r="U395" s="898"/>
      <c r="V395" s="898"/>
      <c r="W395" s="898"/>
      <c r="X395" s="898"/>
      <c r="Y395" s="898"/>
      <c r="Z395" s="898"/>
      <c r="AA395" s="898"/>
      <c r="AB395" s="898"/>
      <c r="AC395" s="898"/>
      <c r="AD395" s="898"/>
      <c r="AE395" s="898"/>
      <c r="AF395" s="898"/>
      <c r="AG395" s="898"/>
      <c r="AH395" s="898"/>
      <c r="AI395" s="898"/>
      <c r="AJ395" s="898"/>
      <c r="AK395" s="898"/>
      <c r="AL395" s="898"/>
      <c r="AM395" s="897"/>
      <c r="AN395" s="897"/>
      <c r="AO395" s="897"/>
      <c r="AP395" s="897"/>
      <c r="AQ395" s="897"/>
      <c r="AR395" s="897"/>
      <c r="AS395" s="897"/>
      <c r="AT395" s="897"/>
    </row>
    <row r="396" spans="1:46" s="930" customFormat="1">
      <c r="A396" s="892"/>
      <c r="B396" s="899"/>
      <c r="C396" s="900"/>
      <c r="D396" s="894"/>
      <c r="E396" s="936"/>
      <c r="F396" s="905"/>
      <c r="G396" s="896"/>
      <c r="H396" s="897"/>
      <c r="I396" s="897"/>
      <c r="J396" s="898"/>
      <c r="K396" s="898"/>
      <c r="L396" s="898"/>
      <c r="M396" s="898"/>
      <c r="N396" s="898"/>
      <c r="O396" s="898"/>
      <c r="P396" s="898"/>
      <c r="Q396" s="898"/>
      <c r="R396" s="898"/>
      <c r="S396" s="898"/>
      <c r="T396" s="898"/>
      <c r="U396" s="898"/>
      <c r="V396" s="898"/>
      <c r="W396" s="898"/>
      <c r="X396" s="898"/>
      <c r="Y396" s="898"/>
      <c r="Z396" s="898"/>
      <c r="AA396" s="898"/>
      <c r="AB396" s="898"/>
      <c r="AC396" s="898"/>
      <c r="AD396" s="898"/>
      <c r="AE396" s="898"/>
      <c r="AF396" s="898"/>
      <c r="AG396" s="898"/>
      <c r="AH396" s="898"/>
      <c r="AI396" s="898"/>
      <c r="AJ396" s="898"/>
      <c r="AK396" s="898"/>
      <c r="AL396" s="898"/>
      <c r="AM396" s="897"/>
      <c r="AN396" s="897"/>
      <c r="AO396" s="897"/>
      <c r="AP396" s="897"/>
      <c r="AQ396" s="897"/>
      <c r="AR396" s="897"/>
      <c r="AS396" s="897"/>
      <c r="AT396" s="897"/>
    </row>
    <row r="397" spans="1:46" s="930" customFormat="1">
      <c r="A397" s="892"/>
      <c r="B397" s="899"/>
      <c r="C397" s="900"/>
      <c r="D397" s="894"/>
      <c r="E397" s="936"/>
      <c r="F397" s="905"/>
      <c r="G397" s="896"/>
      <c r="H397" s="897"/>
      <c r="I397" s="897"/>
      <c r="J397" s="898"/>
      <c r="K397" s="898"/>
      <c r="L397" s="898"/>
      <c r="M397" s="898"/>
      <c r="N397" s="898"/>
      <c r="O397" s="898"/>
      <c r="P397" s="898"/>
      <c r="Q397" s="898"/>
      <c r="R397" s="898"/>
      <c r="S397" s="898"/>
      <c r="T397" s="898"/>
      <c r="U397" s="898"/>
      <c r="V397" s="898"/>
      <c r="W397" s="898"/>
      <c r="X397" s="898"/>
      <c r="Y397" s="898"/>
      <c r="Z397" s="898"/>
      <c r="AA397" s="898"/>
      <c r="AB397" s="898"/>
      <c r="AC397" s="898"/>
      <c r="AD397" s="898"/>
      <c r="AE397" s="898"/>
      <c r="AF397" s="898"/>
      <c r="AG397" s="898"/>
      <c r="AH397" s="898"/>
      <c r="AI397" s="898"/>
      <c r="AJ397" s="898"/>
      <c r="AK397" s="898"/>
      <c r="AL397" s="898"/>
      <c r="AM397" s="897"/>
      <c r="AN397" s="897"/>
      <c r="AO397" s="897"/>
      <c r="AP397" s="897"/>
      <c r="AQ397" s="897"/>
      <c r="AR397" s="897"/>
      <c r="AS397" s="897"/>
      <c r="AT397" s="897"/>
    </row>
    <row r="398" spans="1:46" s="930" customFormat="1">
      <c r="A398" s="892"/>
      <c r="B398" s="899"/>
      <c r="C398" s="900"/>
      <c r="D398" s="894"/>
      <c r="E398" s="936"/>
      <c r="F398" s="905"/>
      <c r="G398" s="896"/>
      <c r="H398" s="897"/>
      <c r="I398" s="897"/>
      <c r="J398" s="898"/>
      <c r="K398" s="898"/>
      <c r="L398" s="898"/>
      <c r="M398" s="898"/>
      <c r="N398" s="898"/>
      <c r="O398" s="898"/>
      <c r="P398" s="898"/>
      <c r="Q398" s="898"/>
      <c r="R398" s="898"/>
      <c r="S398" s="898"/>
      <c r="T398" s="898"/>
      <c r="U398" s="898"/>
      <c r="V398" s="898"/>
      <c r="W398" s="898"/>
      <c r="X398" s="898"/>
      <c r="Y398" s="898"/>
      <c r="Z398" s="898"/>
      <c r="AA398" s="898"/>
      <c r="AB398" s="898"/>
      <c r="AC398" s="898"/>
      <c r="AD398" s="898"/>
      <c r="AE398" s="898"/>
      <c r="AF398" s="898"/>
      <c r="AG398" s="898"/>
      <c r="AH398" s="898"/>
      <c r="AI398" s="898"/>
      <c r="AJ398" s="898"/>
      <c r="AK398" s="898"/>
      <c r="AL398" s="898"/>
      <c r="AM398" s="897"/>
      <c r="AN398" s="897"/>
      <c r="AO398" s="897"/>
      <c r="AP398" s="897"/>
      <c r="AQ398" s="897"/>
      <c r="AR398" s="897"/>
      <c r="AS398" s="897"/>
      <c r="AT398" s="897"/>
    </row>
    <row r="399" spans="1:46" s="930" customFormat="1">
      <c r="A399" s="892"/>
      <c r="B399" s="899"/>
      <c r="C399" s="900"/>
      <c r="D399" s="894"/>
      <c r="E399" s="936"/>
      <c r="F399" s="905"/>
      <c r="G399" s="896"/>
      <c r="H399" s="897"/>
      <c r="I399" s="897"/>
      <c r="J399" s="898"/>
      <c r="K399" s="898"/>
      <c r="L399" s="898"/>
      <c r="M399" s="898"/>
      <c r="N399" s="898"/>
      <c r="O399" s="898"/>
      <c r="P399" s="898"/>
      <c r="Q399" s="898"/>
      <c r="R399" s="898"/>
      <c r="S399" s="898"/>
      <c r="T399" s="898"/>
      <c r="U399" s="898"/>
      <c r="V399" s="898"/>
      <c r="W399" s="898"/>
      <c r="X399" s="898"/>
      <c r="Y399" s="898"/>
      <c r="Z399" s="898"/>
      <c r="AA399" s="898"/>
      <c r="AB399" s="898"/>
      <c r="AC399" s="898"/>
      <c r="AD399" s="898"/>
      <c r="AE399" s="898"/>
      <c r="AF399" s="898"/>
      <c r="AG399" s="898"/>
      <c r="AH399" s="898"/>
      <c r="AI399" s="898"/>
      <c r="AJ399" s="898"/>
      <c r="AK399" s="898"/>
      <c r="AL399" s="898"/>
      <c r="AM399" s="897"/>
      <c r="AN399" s="897"/>
      <c r="AO399" s="897"/>
      <c r="AP399" s="897"/>
      <c r="AQ399" s="897"/>
      <c r="AR399" s="897"/>
      <c r="AS399" s="897"/>
      <c r="AT399" s="897"/>
    </row>
    <row r="400" spans="1:46" s="930" customFormat="1">
      <c r="A400" s="892"/>
      <c r="B400" s="899"/>
      <c r="C400" s="900"/>
      <c r="D400" s="894"/>
      <c r="E400" s="936"/>
      <c r="F400" s="905"/>
      <c r="G400" s="896"/>
      <c r="H400" s="897"/>
      <c r="I400" s="897"/>
      <c r="J400" s="898"/>
      <c r="K400" s="898"/>
      <c r="L400" s="898"/>
      <c r="M400" s="898"/>
      <c r="N400" s="898"/>
      <c r="O400" s="898"/>
      <c r="P400" s="898"/>
      <c r="Q400" s="898"/>
      <c r="R400" s="898"/>
      <c r="S400" s="898"/>
      <c r="T400" s="898"/>
      <c r="U400" s="898"/>
      <c r="V400" s="898"/>
      <c r="W400" s="898"/>
      <c r="X400" s="898"/>
      <c r="Y400" s="898"/>
      <c r="Z400" s="898"/>
      <c r="AA400" s="898"/>
      <c r="AB400" s="898"/>
      <c r="AC400" s="898"/>
      <c r="AD400" s="898"/>
      <c r="AE400" s="898"/>
      <c r="AF400" s="898"/>
      <c r="AG400" s="898"/>
      <c r="AH400" s="898"/>
      <c r="AI400" s="898"/>
      <c r="AJ400" s="898"/>
      <c r="AK400" s="898"/>
      <c r="AL400" s="898"/>
      <c r="AM400" s="897"/>
      <c r="AN400" s="897"/>
      <c r="AO400" s="897"/>
      <c r="AP400" s="897"/>
      <c r="AQ400" s="897"/>
      <c r="AR400" s="897"/>
      <c r="AS400" s="897"/>
      <c r="AT400" s="897"/>
    </row>
    <row r="401" spans="1:46" s="930" customFormat="1">
      <c r="A401" s="892"/>
      <c r="B401" s="899"/>
      <c r="C401" s="900"/>
      <c r="D401" s="894"/>
      <c r="E401" s="936"/>
      <c r="F401" s="905"/>
      <c r="G401" s="896"/>
      <c r="H401" s="897"/>
      <c r="I401" s="897"/>
      <c r="J401" s="898"/>
      <c r="K401" s="898"/>
      <c r="L401" s="898"/>
      <c r="M401" s="898"/>
      <c r="N401" s="898"/>
      <c r="O401" s="898"/>
      <c r="P401" s="898"/>
      <c r="Q401" s="898"/>
      <c r="R401" s="898"/>
      <c r="S401" s="898"/>
      <c r="T401" s="898"/>
      <c r="U401" s="898"/>
      <c r="V401" s="898"/>
      <c r="W401" s="898"/>
      <c r="X401" s="898"/>
      <c r="Y401" s="898"/>
      <c r="Z401" s="898"/>
      <c r="AA401" s="898"/>
      <c r="AB401" s="898"/>
      <c r="AC401" s="898"/>
      <c r="AD401" s="898"/>
      <c r="AE401" s="898"/>
      <c r="AF401" s="898"/>
      <c r="AG401" s="898"/>
      <c r="AH401" s="898"/>
      <c r="AI401" s="898"/>
      <c r="AJ401" s="898"/>
      <c r="AK401" s="898"/>
      <c r="AL401" s="898"/>
      <c r="AM401" s="897"/>
      <c r="AN401" s="897"/>
      <c r="AO401" s="897"/>
      <c r="AP401" s="897"/>
      <c r="AQ401" s="897"/>
      <c r="AR401" s="897"/>
      <c r="AS401" s="897"/>
      <c r="AT401" s="897"/>
    </row>
    <row r="402" spans="1:46" s="930" customFormat="1">
      <c r="A402" s="892"/>
      <c r="B402" s="899"/>
      <c r="C402" s="900"/>
      <c r="D402" s="894"/>
      <c r="E402" s="936"/>
      <c r="F402" s="905"/>
      <c r="G402" s="896"/>
      <c r="H402" s="897"/>
      <c r="I402" s="897"/>
      <c r="J402" s="898"/>
      <c r="K402" s="898"/>
      <c r="L402" s="898"/>
      <c r="M402" s="898"/>
      <c r="N402" s="898"/>
      <c r="O402" s="898"/>
      <c r="P402" s="898"/>
      <c r="Q402" s="898"/>
      <c r="R402" s="898"/>
      <c r="S402" s="898"/>
      <c r="T402" s="898"/>
      <c r="U402" s="898"/>
      <c r="V402" s="898"/>
      <c r="W402" s="898"/>
      <c r="X402" s="898"/>
      <c r="Y402" s="898"/>
      <c r="Z402" s="898"/>
      <c r="AA402" s="898"/>
      <c r="AB402" s="898"/>
      <c r="AC402" s="898"/>
      <c r="AD402" s="898"/>
      <c r="AE402" s="898"/>
      <c r="AF402" s="898"/>
      <c r="AG402" s="898"/>
      <c r="AH402" s="898"/>
      <c r="AI402" s="898"/>
      <c r="AJ402" s="898"/>
      <c r="AK402" s="898"/>
      <c r="AL402" s="898"/>
      <c r="AM402" s="897"/>
      <c r="AN402" s="897"/>
      <c r="AO402" s="897"/>
      <c r="AP402" s="897"/>
      <c r="AQ402" s="897"/>
      <c r="AR402" s="897"/>
      <c r="AS402" s="897"/>
      <c r="AT402" s="897"/>
    </row>
    <row r="403" spans="1:46" s="930" customFormat="1">
      <c r="A403" s="892"/>
      <c r="B403" s="899"/>
      <c r="C403" s="900"/>
      <c r="D403" s="894"/>
      <c r="E403" s="936"/>
      <c r="F403" s="905"/>
      <c r="G403" s="896"/>
      <c r="H403" s="897"/>
      <c r="I403" s="897"/>
      <c r="J403" s="898"/>
      <c r="K403" s="898"/>
      <c r="L403" s="898"/>
      <c r="M403" s="898"/>
      <c r="N403" s="898"/>
      <c r="O403" s="898"/>
      <c r="P403" s="898"/>
      <c r="Q403" s="898"/>
      <c r="R403" s="898"/>
      <c r="S403" s="898"/>
      <c r="T403" s="898"/>
      <c r="U403" s="898"/>
      <c r="V403" s="898"/>
      <c r="W403" s="898"/>
      <c r="X403" s="898"/>
      <c r="Y403" s="898"/>
      <c r="Z403" s="898"/>
      <c r="AA403" s="898"/>
      <c r="AB403" s="898"/>
      <c r="AC403" s="898"/>
      <c r="AD403" s="898"/>
      <c r="AE403" s="898"/>
      <c r="AF403" s="898"/>
      <c r="AG403" s="898"/>
      <c r="AH403" s="898"/>
      <c r="AI403" s="898"/>
      <c r="AJ403" s="898"/>
      <c r="AK403" s="898"/>
      <c r="AL403" s="898"/>
      <c r="AM403" s="897"/>
      <c r="AN403" s="897"/>
      <c r="AO403" s="897"/>
      <c r="AP403" s="897"/>
      <c r="AQ403" s="897"/>
      <c r="AR403" s="897"/>
      <c r="AS403" s="897"/>
      <c r="AT403" s="897"/>
    </row>
    <row r="404" spans="1:46" s="930" customFormat="1">
      <c r="A404" s="892"/>
      <c r="B404" s="899"/>
      <c r="C404" s="900"/>
      <c r="D404" s="894"/>
      <c r="E404" s="936"/>
      <c r="F404" s="905"/>
      <c r="G404" s="896"/>
      <c r="H404" s="897"/>
      <c r="I404" s="897"/>
      <c r="J404" s="898"/>
      <c r="K404" s="898"/>
      <c r="L404" s="898"/>
      <c r="M404" s="898"/>
      <c r="N404" s="898"/>
      <c r="O404" s="898"/>
      <c r="P404" s="898"/>
      <c r="Q404" s="898"/>
      <c r="R404" s="898"/>
      <c r="S404" s="898"/>
      <c r="T404" s="898"/>
      <c r="U404" s="898"/>
      <c r="V404" s="898"/>
      <c r="W404" s="898"/>
      <c r="X404" s="898"/>
      <c r="Y404" s="898"/>
      <c r="Z404" s="898"/>
      <c r="AA404" s="898"/>
      <c r="AB404" s="898"/>
      <c r="AC404" s="898"/>
      <c r="AD404" s="898"/>
      <c r="AE404" s="898"/>
      <c r="AF404" s="898"/>
      <c r="AG404" s="898"/>
      <c r="AH404" s="898"/>
      <c r="AI404" s="898"/>
      <c r="AJ404" s="898"/>
      <c r="AK404" s="898"/>
      <c r="AL404" s="898"/>
      <c r="AM404" s="897"/>
      <c r="AN404" s="897"/>
      <c r="AO404" s="897"/>
      <c r="AP404" s="897"/>
      <c r="AQ404" s="897"/>
      <c r="AR404" s="897"/>
      <c r="AS404" s="897"/>
      <c r="AT404" s="897"/>
    </row>
    <row r="405" spans="1:46" s="930" customFormat="1">
      <c r="A405" s="892"/>
      <c r="B405" s="899"/>
      <c r="C405" s="900"/>
      <c r="D405" s="894"/>
      <c r="E405" s="936"/>
      <c r="F405" s="905"/>
      <c r="G405" s="896"/>
      <c r="H405" s="897"/>
      <c r="I405" s="897"/>
      <c r="J405" s="898"/>
      <c r="K405" s="898"/>
      <c r="L405" s="898"/>
      <c r="M405" s="898"/>
      <c r="N405" s="898"/>
      <c r="O405" s="898"/>
      <c r="P405" s="898"/>
      <c r="Q405" s="898"/>
      <c r="R405" s="898"/>
      <c r="S405" s="898"/>
      <c r="T405" s="898"/>
      <c r="U405" s="898"/>
      <c r="V405" s="898"/>
      <c r="W405" s="898"/>
      <c r="X405" s="898"/>
      <c r="Y405" s="898"/>
      <c r="Z405" s="898"/>
      <c r="AA405" s="898"/>
      <c r="AB405" s="898"/>
      <c r="AC405" s="898"/>
      <c r="AD405" s="898"/>
      <c r="AE405" s="898"/>
      <c r="AF405" s="898"/>
      <c r="AG405" s="898"/>
      <c r="AH405" s="898"/>
      <c r="AI405" s="898"/>
      <c r="AJ405" s="898"/>
      <c r="AK405" s="898"/>
      <c r="AL405" s="898"/>
      <c r="AM405" s="897"/>
      <c r="AN405" s="897"/>
      <c r="AO405" s="897"/>
      <c r="AP405" s="897"/>
      <c r="AQ405" s="897"/>
      <c r="AR405" s="897"/>
      <c r="AS405" s="897"/>
      <c r="AT405" s="897"/>
    </row>
    <row r="406" spans="1:46" s="930" customFormat="1">
      <c r="A406" s="892"/>
      <c r="B406" s="899"/>
      <c r="C406" s="900"/>
      <c r="D406" s="894"/>
      <c r="E406" s="936"/>
      <c r="F406" s="905"/>
      <c r="G406" s="896"/>
      <c r="H406" s="897"/>
      <c r="I406" s="897"/>
      <c r="J406" s="898"/>
      <c r="K406" s="898"/>
      <c r="L406" s="898"/>
      <c r="M406" s="898"/>
      <c r="N406" s="898"/>
      <c r="O406" s="898"/>
      <c r="P406" s="898"/>
      <c r="Q406" s="898"/>
      <c r="R406" s="898"/>
      <c r="S406" s="898"/>
      <c r="T406" s="898"/>
      <c r="U406" s="898"/>
      <c r="V406" s="898"/>
      <c r="W406" s="898"/>
      <c r="X406" s="898"/>
      <c r="Y406" s="898"/>
      <c r="Z406" s="898"/>
      <c r="AA406" s="898"/>
      <c r="AB406" s="898"/>
      <c r="AC406" s="898"/>
      <c r="AD406" s="898"/>
      <c r="AE406" s="898"/>
      <c r="AF406" s="898"/>
      <c r="AG406" s="898"/>
      <c r="AH406" s="898"/>
      <c r="AI406" s="898"/>
      <c r="AJ406" s="898"/>
      <c r="AK406" s="898"/>
      <c r="AL406" s="898"/>
      <c r="AM406" s="897"/>
      <c r="AN406" s="897"/>
      <c r="AO406" s="897"/>
      <c r="AP406" s="897"/>
      <c r="AQ406" s="897"/>
      <c r="AR406" s="897"/>
      <c r="AS406" s="897"/>
      <c r="AT406" s="897"/>
    </row>
    <row r="407" spans="1:46" s="930" customFormat="1">
      <c r="A407" s="892"/>
      <c r="B407" s="899"/>
      <c r="C407" s="900"/>
      <c r="D407" s="894"/>
      <c r="E407" s="936"/>
      <c r="F407" s="905"/>
      <c r="G407" s="896"/>
      <c r="H407" s="897"/>
      <c r="I407" s="897"/>
      <c r="J407" s="898"/>
      <c r="K407" s="898"/>
      <c r="L407" s="898"/>
      <c r="M407" s="898"/>
      <c r="N407" s="898"/>
      <c r="O407" s="898"/>
      <c r="P407" s="898"/>
      <c r="Q407" s="898"/>
      <c r="R407" s="898"/>
      <c r="S407" s="898"/>
      <c r="T407" s="898"/>
      <c r="U407" s="898"/>
      <c r="V407" s="898"/>
      <c r="W407" s="898"/>
      <c r="X407" s="898"/>
      <c r="Y407" s="898"/>
      <c r="Z407" s="898"/>
      <c r="AA407" s="898"/>
      <c r="AB407" s="898"/>
      <c r="AC407" s="898"/>
      <c r="AD407" s="898"/>
      <c r="AE407" s="898"/>
      <c r="AF407" s="898"/>
      <c r="AG407" s="898"/>
      <c r="AH407" s="898"/>
      <c r="AI407" s="898"/>
      <c r="AJ407" s="898"/>
      <c r="AK407" s="898"/>
      <c r="AL407" s="898"/>
      <c r="AM407" s="897"/>
      <c r="AN407" s="897"/>
      <c r="AO407" s="897"/>
      <c r="AP407" s="897"/>
      <c r="AQ407" s="897"/>
      <c r="AR407" s="897"/>
      <c r="AS407" s="897"/>
      <c r="AT407" s="897"/>
    </row>
    <row r="408" spans="1:46" s="930" customFormat="1">
      <c r="A408" s="892"/>
      <c r="B408" s="899"/>
      <c r="C408" s="900"/>
      <c r="D408" s="894"/>
      <c r="E408" s="936"/>
      <c r="F408" s="905"/>
      <c r="G408" s="896"/>
      <c r="H408" s="897"/>
      <c r="I408" s="897"/>
      <c r="J408" s="898"/>
      <c r="K408" s="898"/>
      <c r="L408" s="898"/>
      <c r="M408" s="898"/>
      <c r="N408" s="898"/>
      <c r="O408" s="898"/>
      <c r="P408" s="898"/>
      <c r="Q408" s="898"/>
      <c r="R408" s="898"/>
      <c r="S408" s="898"/>
      <c r="T408" s="898"/>
      <c r="U408" s="898"/>
      <c r="V408" s="898"/>
      <c r="W408" s="898"/>
      <c r="X408" s="898"/>
      <c r="Y408" s="898"/>
      <c r="Z408" s="898"/>
      <c r="AA408" s="898"/>
      <c r="AB408" s="898"/>
      <c r="AC408" s="898"/>
      <c r="AD408" s="898"/>
      <c r="AE408" s="898"/>
      <c r="AF408" s="898"/>
      <c r="AG408" s="898"/>
      <c r="AH408" s="898"/>
      <c r="AI408" s="898"/>
      <c r="AJ408" s="898"/>
      <c r="AK408" s="898"/>
      <c r="AL408" s="898"/>
      <c r="AM408" s="897"/>
      <c r="AN408" s="897"/>
      <c r="AO408" s="897"/>
      <c r="AP408" s="897"/>
      <c r="AQ408" s="897"/>
      <c r="AR408" s="897"/>
      <c r="AS408" s="897"/>
      <c r="AT408" s="897"/>
    </row>
    <row r="409" spans="1:46" s="930" customFormat="1">
      <c r="A409" s="892"/>
      <c r="B409" s="899"/>
      <c r="C409" s="900"/>
      <c r="D409" s="894"/>
      <c r="E409" s="936"/>
      <c r="F409" s="905"/>
      <c r="G409" s="896"/>
      <c r="H409" s="897"/>
      <c r="I409" s="897"/>
      <c r="J409" s="898"/>
      <c r="K409" s="898"/>
      <c r="L409" s="898"/>
      <c r="M409" s="898"/>
      <c r="N409" s="898"/>
      <c r="O409" s="898"/>
      <c r="P409" s="898"/>
      <c r="Q409" s="898"/>
      <c r="R409" s="898"/>
      <c r="S409" s="898"/>
      <c r="T409" s="898"/>
      <c r="U409" s="898"/>
      <c r="V409" s="898"/>
      <c r="W409" s="898"/>
      <c r="X409" s="898"/>
      <c r="Y409" s="898"/>
      <c r="Z409" s="898"/>
      <c r="AA409" s="898"/>
      <c r="AB409" s="898"/>
      <c r="AC409" s="898"/>
      <c r="AD409" s="898"/>
      <c r="AE409" s="898"/>
      <c r="AF409" s="898"/>
      <c r="AG409" s="898"/>
      <c r="AH409" s="898"/>
      <c r="AI409" s="898"/>
      <c r="AJ409" s="898"/>
      <c r="AK409" s="898"/>
      <c r="AL409" s="898"/>
      <c r="AM409" s="897"/>
      <c r="AN409" s="897"/>
      <c r="AO409" s="897"/>
      <c r="AP409" s="897"/>
      <c r="AQ409" s="897"/>
      <c r="AR409" s="897"/>
      <c r="AS409" s="897"/>
      <c r="AT409" s="897"/>
    </row>
    <row r="410" spans="1:46" s="930" customFormat="1">
      <c r="A410" s="892"/>
      <c r="B410" s="899"/>
      <c r="C410" s="900"/>
      <c r="D410" s="894"/>
      <c r="E410" s="936"/>
      <c r="F410" s="905"/>
      <c r="G410" s="896"/>
      <c r="H410" s="897"/>
      <c r="I410" s="897"/>
      <c r="J410" s="898"/>
      <c r="K410" s="898"/>
      <c r="L410" s="898"/>
      <c r="M410" s="898"/>
      <c r="N410" s="898"/>
      <c r="O410" s="898"/>
      <c r="P410" s="898"/>
      <c r="Q410" s="898"/>
      <c r="R410" s="898"/>
      <c r="S410" s="898"/>
      <c r="T410" s="898"/>
      <c r="U410" s="898"/>
      <c r="V410" s="898"/>
      <c r="W410" s="898"/>
      <c r="X410" s="898"/>
      <c r="Y410" s="898"/>
      <c r="Z410" s="898"/>
      <c r="AA410" s="898"/>
      <c r="AB410" s="898"/>
      <c r="AC410" s="898"/>
      <c r="AD410" s="898"/>
      <c r="AE410" s="898"/>
      <c r="AF410" s="898"/>
      <c r="AG410" s="898"/>
      <c r="AH410" s="898"/>
      <c r="AI410" s="898"/>
      <c r="AJ410" s="898"/>
      <c r="AK410" s="898"/>
      <c r="AL410" s="898"/>
      <c r="AM410" s="897"/>
      <c r="AN410" s="897"/>
      <c r="AO410" s="897"/>
      <c r="AP410" s="897"/>
      <c r="AQ410" s="897"/>
      <c r="AR410" s="897"/>
      <c r="AS410" s="897"/>
      <c r="AT410" s="897"/>
    </row>
    <row r="411" spans="1:46" s="930" customFormat="1">
      <c r="A411" s="892"/>
      <c r="B411" s="899"/>
      <c r="C411" s="900"/>
      <c r="D411" s="894"/>
      <c r="E411" s="936"/>
      <c r="F411" s="905"/>
      <c r="G411" s="896"/>
      <c r="H411" s="897"/>
      <c r="I411" s="897"/>
      <c r="J411" s="898"/>
      <c r="K411" s="898"/>
      <c r="L411" s="898"/>
      <c r="M411" s="898"/>
      <c r="N411" s="898"/>
      <c r="O411" s="898"/>
      <c r="P411" s="898"/>
      <c r="Q411" s="898"/>
      <c r="R411" s="898"/>
      <c r="S411" s="898"/>
      <c r="T411" s="898"/>
      <c r="U411" s="898"/>
      <c r="V411" s="898"/>
      <c r="W411" s="898"/>
      <c r="X411" s="898"/>
      <c r="Y411" s="898"/>
      <c r="Z411" s="898"/>
      <c r="AA411" s="898"/>
      <c r="AB411" s="898"/>
      <c r="AC411" s="898"/>
      <c r="AD411" s="898"/>
      <c r="AE411" s="898"/>
      <c r="AF411" s="898"/>
      <c r="AG411" s="898"/>
      <c r="AH411" s="898"/>
      <c r="AI411" s="898"/>
      <c r="AJ411" s="898"/>
      <c r="AK411" s="898"/>
      <c r="AL411" s="898"/>
      <c r="AM411" s="897"/>
      <c r="AN411" s="897"/>
      <c r="AO411" s="897"/>
      <c r="AP411" s="897"/>
      <c r="AQ411" s="897"/>
      <c r="AR411" s="897"/>
      <c r="AS411" s="897"/>
      <c r="AT411" s="897"/>
    </row>
    <row r="412" spans="1:46" s="930" customFormat="1">
      <c r="A412" s="892"/>
      <c r="B412" s="899"/>
      <c r="C412" s="900"/>
      <c r="D412" s="894"/>
      <c r="E412" s="936"/>
      <c r="F412" s="905"/>
      <c r="G412" s="896"/>
      <c r="H412" s="897"/>
      <c r="I412" s="897"/>
      <c r="J412" s="898"/>
      <c r="K412" s="898"/>
      <c r="L412" s="898"/>
      <c r="M412" s="898"/>
      <c r="N412" s="898"/>
      <c r="O412" s="898"/>
      <c r="P412" s="898"/>
      <c r="Q412" s="898"/>
      <c r="R412" s="898"/>
      <c r="S412" s="898"/>
      <c r="T412" s="898"/>
      <c r="U412" s="898"/>
      <c r="V412" s="898"/>
      <c r="W412" s="898"/>
      <c r="X412" s="898"/>
      <c r="Y412" s="898"/>
      <c r="Z412" s="898"/>
      <c r="AA412" s="898"/>
      <c r="AB412" s="898"/>
      <c r="AC412" s="898"/>
      <c r="AD412" s="898"/>
      <c r="AE412" s="898"/>
      <c r="AF412" s="898"/>
      <c r="AG412" s="898"/>
      <c r="AH412" s="898"/>
      <c r="AI412" s="898"/>
      <c r="AJ412" s="898"/>
      <c r="AK412" s="898"/>
      <c r="AL412" s="898"/>
      <c r="AM412" s="897"/>
      <c r="AN412" s="897"/>
      <c r="AO412" s="897"/>
      <c r="AP412" s="897"/>
      <c r="AQ412" s="897"/>
      <c r="AR412" s="897"/>
      <c r="AS412" s="897"/>
      <c r="AT412" s="897"/>
    </row>
    <row r="413" spans="1:46" s="930" customFormat="1">
      <c r="A413" s="892"/>
      <c r="B413" s="899"/>
      <c r="C413" s="900"/>
      <c r="D413" s="894"/>
      <c r="E413" s="936"/>
      <c r="F413" s="905"/>
      <c r="G413" s="896"/>
      <c r="H413" s="897"/>
      <c r="I413" s="897"/>
      <c r="J413" s="898"/>
      <c r="K413" s="898"/>
      <c r="L413" s="898"/>
      <c r="M413" s="898"/>
      <c r="N413" s="898"/>
      <c r="O413" s="898"/>
      <c r="P413" s="898"/>
      <c r="Q413" s="898"/>
      <c r="R413" s="898"/>
      <c r="S413" s="898"/>
      <c r="T413" s="898"/>
      <c r="U413" s="898"/>
      <c r="V413" s="898"/>
      <c r="W413" s="898"/>
      <c r="X413" s="898"/>
      <c r="Y413" s="898"/>
      <c r="Z413" s="898"/>
      <c r="AA413" s="898"/>
      <c r="AB413" s="898"/>
      <c r="AC413" s="898"/>
      <c r="AD413" s="898"/>
      <c r="AE413" s="898"/>
      <c r="AF413" s="898"/>
      <c r="AG413" s="898"/>
      <c r="AH413" s="898"/>
      <c r="AI413" s="898"/>
      <c r="AJ413" s="898"/>
      <c r="AK413" s="898"/>
      <c r="AL413" s="898"/>
      <c r="AM413" s="897"/>
      <c r="AN413" s="897"/>
      <c r="AO413" s="897"/>
      <c r="AP413" s="897"/>
      <c r="AQ413" s="897"/>
      <c r="AR413" s="897"/>
      <c r="AS413" s="897"/>
      <c r="AT413" s="897"/>
    </row>
    <row r="414" spans="1:46" s="930" customFormat="1">
      <c r="A414" s="892"/>
      <c r="B414" s="899"/>
      <c r="C414" s="900"/>
      <c r="D414" s="894"/>
      <c r="E414" s="936"/>
      <c r="F414" s="905"/>
      <c r="G414" s="896"/>
      <c r="H414" s="897"/>
      <c r="I414" s="897"/>
      <c r="J414" s="898"/>
      <c r="K414" s="898"/>
      <c r="L414" s="898"/>
      <c r="M414" s="898"/>
      <c r="N414" s="898"/>
      <c r="O414" s="898"/>
      <c r="P414" s="898"/>
      <c r="Q414" s="898"/>
      <c r="R414" s="898"/>
      <c r="S414" s="898"/>
      <c r="T414" s="898"/>
      <c r="U414" s="898"/>
      <c r="V414" s="898"/>
      <c r="W414" s="898"/>
      <c r="X414" s="898"/>
      <c r="Y414" s="898"/>
      <c r="Z414" s="898"/>
      <c r="AA414" s="898"/>
      <c r="AB414" s="898"/>
      <c r="AC414" s="898"/>
      <c r="AD414" s="898"/>
      <c r="AE414" s="898"/>
      <c r="AF414" s="898"/>
      <c r="AG414" s="898"/>
      <c r="AH414" s="898"/>
      <c r="AI414" s="898"/>
      <c r="AJ414" s="898"/>
      <c r="AK414" s="898"/>
      <c r="AL414" s="898"/>
      <c r="AM414" s="897"/>
      <c r="AN414" s="897"/>
      <c r="AO414" s="897"/>
      <c r="AP414" s="897"/>
      <c r="AQ414" s="897"/>
      <c r="AR414" s="897"/>
      <c r="AS414" s="897"/>
      <c r="AT414" s="897"/>
    </row>
    <row r="415" spans="1:46" s="930" customFormat="1">
      <c r="A415" s="892"/>
      <c r="B415" s="899"/>
      <c r="C415" s="900"/>
      <c r="D415" s="894"/>
      <c r="E415" s="936"/>
      <c r="F415" s="905"/>
      <c r="G415" s="896"/>
      <c r="H415" s="897"/>
      <c r="I415" s="897"/>
      <c r="J415" s="898"/>
      <c r="K415" s="898"/>
      <c r="L415" s="898"/>
      <c r="M415" s="898"/>
      <c r="N415" s="898"/>
      <c r="O415" s="898"/>
      <c r="P415" s="898"/>
      <c r="Q415" s="898"/>
      <c r="R415" s="898"/>
      <c r="S415" s="898"/>
      <c r="T415" s="898"/>
      <c r="U415" s="898"/>
      <c r="V415" s="898"/>
      <c r="W415" s="898"/>
      <c r="X415" s="898"/>
      <c r="Y415" s="898"/>
      <c r="Z415" s="898"/>
      <c r="AA415" s="898"/>
      <c r="AB415" s="898"/>
      <c r="AC415" s="898"/>
      <c r="AD415" s="898"/>
      <c r="AE415" s="898"/>
      <c r="AF415" s="898"/>
      <c r="AG415" s="898"/>
      <c r="AH415" s="898"/>
      <c r="AI415" s="898"/>
      <c r="AJ415" s="898"/>
      <c r="AK415" s="898"/>
      <c r="AL415" s="898"/>
      <c r="AM415" s="897"/>
      <c r="AN415" s="897"/>
      <c r="AO415" s="897"/>
      <c r="AP415" s="897"/>
      <c r="AQ415" s="897"/>
      <c r="AR415" s="897"/>
      <c r="AS415" s="897"/>
      <c r="AT415" s="897"/>
    </row>
    <row r="416" spans="1:46" s="930" customFormat="1">
      <c r="A416" s="892"/>
      <c r="B416" s="899"/>
      <c r="C416" s="900"/>
      <c r="D416" s="894"/>
      <c r="E416" s="936"/>
      <c r="F416" s="905"/>
      <c r="G416" s="896"/>
      <c r="H416" s="897"/>
      <c r="I416" s="897"/>
      <c r="J416" s="898"/>
      <c r="K416" s="898"/>
      <c r="L416" s="898"/>
      <c r="M416" s="898"/>
      <c r="N416" s="898"/>
      <c r="O416" s="898"/>
      <c r="P416" s="898"/>
      <c r="Q416" s="898"/>
      <c r="R416" s="898"/>
      <c r="S416" s="898"/>
      <c r="T416" s="898"/>
      <c r="U416" s="898"/>
      <c r="V416" s="898"/>
      <c r="W416" s="898"/>
      <c r="X416" s="898"/>
      <c r="Y416" s="898"/>
      <c r="Z416" s="898"/>
      <c r="AA416" s="898"/>
      <c r="AB416" s="898"/>
      <c r="AC416" s="898"/>
      <c r="AD416" s="898"/>
      <c r="AE416" s="898"/>
      <c r="AF416" s="898"/>
      <c r="AG416" s="898"/>
      <c r="AH416" s="898"/>
      <c r="AI416" s="898"/>
      <c r="AJ416" s="898"/>
      <c r="AK416" s="898"/>
      <c r="AL416" s="898"/>
      <c r="AM416" s="897"/>
      <c r="AN416" s="897"/>
      <c r="AO416" s="897"/>
      <c r="AP416" s="897"/>
      <c r="AQ416" s="897"/>
      <c r="AR416" s="897"/>
      <c r="AS416" s="897"/>
      <c r="AT416" s="897"/>
    </row>
    <row r="417" spans="1:46" s="930" customFormat="1">
      <c r="A417" s="892"/>
      <c r="B417" s="899"/>
      <c r="C417" s="900"/>
      <c r="D417" s="894"/>
      <c r="E417" s="936"/>
      <c r="F417" s="905"/>
      <c r="G417" s="896"/>
      <c r="H417" s="897"/>
      <c r="I417" s="897"/>
      <c r="J417" s="898"/>
      <c r="K417" s="898"/>
      <c r="L417" s="898"/>
      <c r="M417" s="898"/>
      <c r="N417" s="898"/>
      <c r="O417" s="898"/>
      <c r="P417" s="898"/>
      <c r="Q417" s="898"/>
      <c r="R417" s="898"/>
      <c r="S417" s="898"/>
      <c r="T417" s="898"/>
      <c r="U417" s="898"/>
      <c r="V417" s="898"/>
      <c r="W417" s="898"/>
      <c r="X417" s="898"/>
      <c r="Y417" s="898"/>
      <c r="Z417" s="898"/>
      <c r="AA417" s="898"/>
      <c r="AB417" s="898"/>
      <c r="AC417" s="898"/>
      <c r="AD417" s="898"/>
      <c r="AE417" s="898"/>
      <c r="AF417" s="898"/>
      <c r="AG417" s="898"/>
      <c r="AH417" s="898"/>
      <c r="AI417" s="898"/>
      <c r="AJ417" s="898"/>
      <c r="AK417" s="898"/>
      <c r="AL417" s="898"/>
      <c r="AM417" s="897"/>
      <c r="AN417" s="897"/>
      <c r="AO417" s="897"/>
      <c r="AP417" s="897"/>
      <c r="AQ417" s="897"/>
      <c r="AR417" s="897"/>
      <c r="AS417" s="897"/>
      <c r="AT417" s="897"/>
    </row>
    <row r="418" spans="1:46" s="930" customFormat="1">
      <c r="A418" s="892"/>
      <c r="B418" s="899"/>
      <c r="C418" s="900"/>
      <c r="D418" s="894"/>
      <c r="E418" s="936"/>
      <c r="F418" s="905"/>
      <c r="G418" s="896"/>
      <c r="H418" s="897"/>
      <c r="I418" s="897"/>
      <c r="J418" s="898"/>
      <c r="K418" s="898"/>
      <c r="L418" s="898"/>
      <c r="M418" s="898"/>
      <c r="N418" s="898"/>
      <c r="O418" s="898"/>
      <c r="P418" s="898"/>
      <c r="Q418" s="898"/>
      <c r="R418" s="898"/>
      <c r="S418" s="898"/>
      <c r="T418" s="898"/>
      <c r="U418" s="898"/>
      <c r="V418" s="898"/>
      <c r="W418" s="898"/>
      <c r="X418" s="898"/>
      <c r="Y418" s="898"/>
      <c r="Z418" s="898"/>
      <c r="AA418" s="898"/>
      <c r="AB418" s="898"/>
      <c r="AC418" s="898"/>
      <c r="AD418" s="898"/>
      <c r="AE418" s="898"/>
      <c r="AF418" s="898"/>
      <c r="AG418" s="898"/>
      <c r="AH418" s="898"/>
      <c r="AI418" s="898"/>
      <c r="AJ418" s="898"/>
      <c r="AK418" s="898"/>
      <c r="AL418" s="898"/>
      <c r="AM418" s="897"/>
      <c r="AN418" s="897"/>
      <c r="AO418" s="897"/>
      <c r="AP418" s="897"/>
      <c r="AQ418" s="897"/>
      <c r="AR418" s="897"/>
      <c r="AS418" s="897"/>
      <c r="AT418" s="897"/>
    </row>
    <row r="419" spans="1:46" s="930" customFormat="1">
      <c r="A419" s="892"/>
      <c r="B419" s="899"/>
      <c r="C419" s="900"/>
      <c r="D419" s="894"/>
      <c r="E419" s="936"/>
      <c r="F419" s="905"/>
      <c r="G419" s="896"/>
      <c r="H419" s="897"/>
      <c r="I419" s="897"/>
      <c r="J419" s="898"/>
      <c r="K419" s="898"/>
      <c r="L419" s="898"/>
      <c r="M419" s="898"/>
      <c r="N419" s="898"/>
      <c r="O419" s="898"/>
      <c r="P419" s="898"/>
      <c r="Q419" s="898"/>
      <c r="R419" s="898"/>
      <c r="S419" s="898"/>
      <c r="T419" s="898"/>
      <c r="U419" s="898"/>
      <c r="V419" s="898"/>
      <c r="W419" s="898"/>
      <c r="X419" s="898"/>
      <c r="Y419" s="898"/>
      <c r="Z419" s="898"/>
      <c r="AA419" s="898"/>
      <c r="AB419" s="898"/>
      <c r="AC419" s="898"/>
      <c r="AD419" s="898"/>
      <c r="AE419" s="898"/>
      <c r="AF419" s="898"/>
      <c r="AG419" s="898"/>
      <c r="AH419" s="898"/>
      <c r="AI419" s="898"/>
      <c r="AJ419" s="898"/>
      <c r="AK419" s="898"/>
      <c r="AL419" s="898"/>
      <c r="AM419" s="897"/>
      <c r="AN419" s="897"/>
      <c r="AO419" s="897"/>
      <c r="AP419" s="897"/>
      <c r="AQ419" s="897"/>
      <c r="AR419" s="897"/>
      <c r="AS419" s="897"/>
      <c r="AT419" s="897"/>
    </row>
    <row r="420" spans="1:46" s="930" customFormat="1">
      <c r="A420" s="892"/>
      <c r="B420" s="899"/>
      <c r="C420" s="900"/>
      <c r="D420" s="894"/>
      <c r="E420" s="936"/>
      <c r="F420" s="905"/>
      <c r="G420" s="896"/>
      <c r="H420" s="897"/>
      <c r="I420" s="897"/>
      <c r="J420" s="898"/>
      <c r="K420" s="898"/>
      <c r="L420" s="898"/>
      <c r="M420" s="898"/>
      <c r="N420" s="898"/>
      <c r="O420" s="898"/>
      <c r="P420" s="898"/>
      <c r="Q420" s="898"/>
      <c r="R420" s="898"/>
      <c r="S420" s="898"/>
      <c r="T420" s="898"/>
      <c r="U420" s="898"/>
      <c r="V420" s="898"/>
      <c r="W420" s="898"/>
      <c r="X420" s="898"/>
      <c r="Y420" s="898"/>
      <c r="Z420" s="898"/>
      <c r="AA420" s="898"/>
      <c r="AB420" s="898"/>
      <c r="AC420" s="898"/>
      <c r="AD420" s="898"/>
      <c r="AE420" s="898"/>
      <c r="AF420" s="898"/>
      <c r="AG420" s="898"/>
      <c r="AH420" s="898"/>
      <c r="AI420" s="898"/>
      <c r="AJ420" s="898"/>
      <c r="AK420" s="898"/>
      <c r="AL420" s="898"/>
      <c r="AM420" s="897"/>
      <c r="AN420" s="897"/>
      <c r="AO420" s="897"/>
      <c r="AP420" s="897"/>
      <c r="AQ420" s="897"/>
      <c r="AR420" s="897"/>
      <c r="AS420" s="897"/>
      <c r="AT420" s="897"/>
    </row>
    <row r="421" spans="1:46" s="930" customFormat="1">
      <c r="A421" s="892"/>
      <c r="B421" s="899"/>
      <c r="C421" s="900"/>
      <c r="D421" s="894"/>
      <c r="E421" s="936"/>
      <c r="F421" s="905"/>
      <c r="G421" s="896"/>
      <c r="H421" s="897"/>
      <c r="I421" s="897"/>
      <c r="J421" s="898"/>
      <c r="K421" s="898"/>
      <c r="L421" s="898"/>
      <c r="M421" s="898"/>
      <c r="N421" s="898"/>
      <c r="O421" s="898"/>
      <c r="P421" s="898"/>
      <c r="Q421" s="898"/>
      <c r="R421" s="898"/>
      <c r="S421" s="898"/>
      <c r="T421" s="898"/>
      <c r="U421" s="898"/>
      <c r="V421" s="898"/>
      <c r="W421" s="898"/>
      <c r="X421" s="898"/>
      <c r="Y421" s="898"/>
      <c r="Z421" s="898"/>
      <c r="AA421" s="898"/>
      <c r="AB421" s="898"/>
      <c r="AC421" s="898"/>
      <c r="AD421" s="898"/>
      <c r="AE421" s="898"/>
      <c r="AF421" s="898"/>
      <c r="AG421" s="898"/>
      <c r="AH421" s="898"/>
      <c r="AI421" s="898"/>
      <c r="AJ421" s="898"/>
      <c r="AK421" s="898"/>
      <c r="AL421" s="898"/>
      <c r="AM421" s="897"/>
      <c r="AN421" s="897"/>
      <c r="AO421" s="897"/>
      <c r="AP421" s="897"/>
      <c r="AQ421" s="897"/>
      <c r="AR421" s="897"/>
      <c r="AS421" s="897"/>
      <c r="AT421" s="897"/>
    </row>
    <row r="422" spans="1:46" s="930" customFormat="1">
      <c r="A422" s="892"/>
      <c r="B422" s="899"/>
      <c r="C422" s="900"/>
      <c r="D422" s="894"/>
      <c r="E422" s="936"/>
      <c r="F422" s="905"/>
      <c r="G422" s="896"/>
      <c r="H422" s="897"/>
      <c r="I422" s="897"/>
      <c r="J422" s="898"/>
      <c r="K422" s="898"/>
      <c r="L422" s="898"/>
      <c r="M422" s="898"/>
      <c r="N422" s="898"/>
      <c r="O422" s="898"/>
      <c r="P422" s="898"/>
      <c r="Q422" s="898"/>
      <c r="R422" s="898"/>
      <c r="S422" s="898"/>
      <c r="T422" s="898"/>
      <c r="U422" s="898"/>
      <c r="V422" s="898"/>
      <c r="W422" s="898"/>
      <c r="X422" s="898"/>
      <c r="Y422" s="898"/>
      <c r="Z422" s="898"/>
      <c r="AA422" s="898"/>
      <c r="AB422" s="898"/>
      <c r="AC422" s="898"/>
      <c r="AD422" s="898"/>
      <c r="AE422" s="898"/>
      <c r="AF422" s="898"/>
      <c r="AG422" s="898"/>
      <c r="AH422" s="898"/>
      <c r="AI422" s="898"/>
      <c r="AJ422" s="898"/>
      <c r="AK422" s="898"/>
      <c r="AL422" s="898"/>
      <c r="AM422" s="897"/>
      <c r="AN422" s="897"/>
      <c r="AO422" s="897"/>
      <c r="AP422" s="897"/>
      <c r="AQ422" s="897"/>
      <c r="AR422" s="897"/>
      <c r="AS422" s="897"/>
      <c r="AT422" s="897"/>
    </row>
    <row r="423" spans="1:46" s="930" customFormat="1">
      <c r="A423" s="892"/>
      <c r="B423" s="899"/>
      <c r="C423" s="900"/>
      <c r="D423" s="894"/>
      <c r="E423" s="936"/>
      <c r="F423" s="905"/>
      <c r="G423" s="896"/>
      <c r="H423" s="897"/>
      <c r="I423" s="897"/>
      <c r="J423" s="898"/>
      <c r="K423" s="898"/>
      <c r="L423" s="898"/>
      <c r="M423" s="898"/>
      <c r="N423" s="898"/>
      <c r="O423" s="898"/>
      <c r="P423" s="898"/>
      <c r="Q423" s="898"/>
      <c r="R423" s="898"/>
      <c r="S423" s="898"/>
      <c r="T423" s="898"/>
      <c r="U423" s="898"/>
      <c r="V423" s="898"/>
      <c r="W423" s="898"/>
      <c r="X423" s="898"/>
      <c r="Y423" s="898"/>
      <c r="Z423" s="898"/>
      <c r="AA423" s="898"/>
      <c r="AB423" s="898"/>
      <c r="AC423" s="898"/>
      <c r="AD423" s="898"/>
      <c r="AE423" s="898"/>
      <c r="AF423" s="898"/>
      <c r="AG423" s="898"/>
      <c r="AH423" s="898"/>
      <c r="AI423" s="898"/>
      <c r="AJ423" s="898"/>
      <c r="AK423" s="898"/>
      <c r="AL423" s="898"/>
      <c r="AM423" s="897"/>
      <c r="AN423" s="897"/>
      <c r="AO423" s="897"/>
      <c r="AP423" s="897"/>
      <c r="AQ423" s="897"/>
      <c r="AR423" s="897"/>
      <c r="AS423" s="897"/>
      <c r="AT423" s="897"/>
    </row>
    <row r="424" spans="1:46" s="930" customFormat="1">
      <c r="A424" s="892"/>
      <c r="B424" s="899"/>
      <c r="C424" s="900"/>
      <c r="D424" s="894"/>
      <c r="E424" s="936"/>
      <c r="F424" s="905"/>
      <c r="G424" s="896"/>
      <c r="H424" s="897"/>
      <c r="I424" s="897"/>
      <c r="J424" s="898"/>
      <c r="K424" s="898"/>
      <c r="L424" s="898"/>
      <c r="M424" s="898"/>
      <c r="N424" s="898"/>
      <c r="O424" s="898"/>
      <c r="P424" s="898"/>
      <c r="Q424" s="898"/>
      <c r="R424" s="898"/>
      <c r="S424" s="898"/>
      <c r="T424" s="898"/>
      <c r="U424" s="898"/>
      <c r="V424" s="898"/>
      <c r="W424" s="898"/>
      <c r="X424" s="898"/>
      <c r="Y424" s="898"/>
      <c r="Z424" s="898"/>
      <c r="AA424" s="898"/>
      <c r="AB424" s="898"/>
      <c r="AC424" s="898"/>
      <c r="AD424" s="898"/>
      <c r="AE424" s="898"/>
      <c r="AF424" s="898"/>
      <c r="AG424" s="898"/>
      <c r="AH424" s="898"/>
      <c r="AI424" s="898"/>
      <c r="AJ424" s="898"/>
      <c r="AK424" s="898"/>
      <c r="AL424" s="898"/>
      <c r="AM424" s="897"/>
      <c r="AN424" s="897"/>
      <c r="AO424" s="897"/>
      <c r="AP424" s="897"/>
      <c r="AQ424" s="897"/>
      <c r="AR424" s="897"/>
      <c r="AS424" s="897"/>
      <c r="AT424" s="897"/>
    </row>
    <row r="425" spans="1:46" s="930" customFormat="1">
      <c r="A425" s="892"/>
      <c r="B425" s="899"/>
      <c r="C425" s="900"/>
      <c r="D425" s="894"/>
      <c r="E425" s="936"/>
      <c r="F425" s="905"/>
      <c r="G425" s="896"/>
      <c r="H425" s="897"/>
      <c r="I425" s="897"/>
      <c r="J425" s="898"/>
      <c r="K425" s="898"/>
      <c r="L425" s="898"/>
      <c r="M425" s="898"/>
      <c r="N425" s="898"/>
      <c r="O425" s="898"/>
      <c r="P425" s="898"/>
      <c r="Q425" s="898"/>
      <c r="R425" s="898"/>
      <c r="S425" s="898"/>
      <c r="T425" s="898"/>
      <c r="U425" s="898"/>
      <c r="V425" s="898"/>
      <c r="W425" s="898"/>
      <c r="X425" s="898"/>
      <c r="Y425" s="898"/>
      <c r="Z425" s="898"/>
      <c r="AA425" s="898"/>
      <c r="AB425" s="898"/>
      <c r="AC425" s="898"/>
      <c r="AD425" s="898"/>
      <c r="AE425" s="898"/>
      <c r="AF425" s="898"/>
      <c r="AG425" s="898"/>
      <c r="AH425" s="898"/>
      <c r="AI425" s="898"/>
      <c r="AJ425" s="898"/>
      <c r="AK425" s="898"/>
      <c r="AL425" s="898"/>
      <c r="AM425" s="897"/>
      <c r="AN425" s="897"/>
      <c r="AO425" s="897"/>
      <c r="AP425" s="897"/>
      <c r="AQ425" s="897"/>
      <c r="AR425" s="897"/>
      <c r="AS425" s="897"/>
      <c r="AT425" s="897"/>
    </row>
    <row r="426" spans="1:46" s="930" customFormat="1">
      <c r="A426" s="892"/>
      <c r="B426" s="899"/>
      <c r="C426" s="900"/>
      <c r="D426" s="894"/>
      <c r="E426" s="936"/>
      <c r="F426" s="905"/>
      <c r="G426" s="896"/>
      <c r="H426" s="897"/>
      <c r="I426" s="897"/>
      <c r="J426" s="898"/>
      <c r="K426" s="898"/>
      <c r="L426" s="898"/>
      <c r="M426" s="898"/>
      <c r="N426" s="898"/>
      <c r="O426" s="898"/>
      <c r="P426" s="898"/>
      <c r="Q426" s="898"/>
      <c r="R426" s="898"/>
      <c r="S426" s="898"/>
      <c r="T426" s="898"/>
      <c r="U426" s="898"/>
      <c r="V426" s="898"/>
      <c r="W426" s="898"/>
      <c r="X426" s="898"/>
      <c r="Y426" s="898"/>
      <c r="Z426" s="898"/>
      <c r="AA426" s="898"/>
      <c r="AB426" s="898"/>
      <c r="AC426" s="898"/>
      <c r="AD426" s="898"/>
      <c r="AE426" s="898"/>
      <c r="AF426" s="898"/>
      <c r="AG426" s="898"/>
      <c r="AH426" s="898"/>
      <c r="AI426" s="898"/>
      <c r="AJ426" s="898"/>
      <c r="AK426" s="898"/>
      <c r="AL426" s="898"/>
      <c r="AM426" s="897"/>
      <c r="AN426" s="897"/>
      <c r="AO426" s="897"/>
      <c r="AP426" s="897"/>
      <c r="AQ426" s="897"/>
      <c r="AR426" s="897"/>
      <c r="AS426" s="897"/>
      <c r="AT426" s="897"/>
    </row>
    <row r="427" spans="1:46" s="930" customFormat="1">
      <c r="A427" s="892"/>
      <c r="B427" s="899"/>
      <c r="C427" s="900"/>
      <c r="D427" s="894"/>
      <c r="E427" s="936"/>
      <c r="F427" s="905"/>
      <c r="G427" s="896"/>
      <c r="H427" s="897"/>
      <c r="I427" s="897"/>
      <c r="J427" s="898"/>
      <c r="K427" s="898"/>
      <c r="L427" s="898"/>
      <c r="M427" s="898"/>
      <c r="N427" s="898"/>
      <c r="O427" s="898"/>
      <c r="P427" s="898"/>
      <c r="Q427" s="898"/>
      <c r="R427" s="898"/>
      <c r="S427" s="898"/>
      <c r="T427" s="898"/>
      <c r="U427" s="898"/>
      <c r="V427" s="898"/>
      <c r="W427" s="898"/>
      <c r="X427" s="898"/>
      <c r="Y427" s="898"/>
      <c r="Z427" s="898"/>
      <c r="AA427" s="898"/>
      <c r="AB427" s="898"/>
      <c r="AC427" s="898"/>
      <c r="AD427" s="898"/>
      <c r="AE427" s="898"/>
      <c r="AF427" s="898"/>
      <c r="AG427" s="898"/>
      <c r="AH427" s="898"/>
      <c r="AI427" s="898"/>
      <c r="AJ427" s="898"/>
      <c r="AK427" s="898"/>
      <c r="AL427" s="898"/>
      <c r="AM427" s="897"/>
      <c r="AN427" s="897"/>
      <c r="AO427" s="897"/>
      <c r="AP427" s="897"/>
      <c r="AQ427" s="897"/>
      <c r="AR427" s="897"/>
      <c r="AS427" s="897"/>
      <c r="AT427" s="897"/>
    </row>
    <row r="428" spans="1:46" s="930" customFormat="1">
      <c r="A428" s="892"/>
      <c r="B428" s="899"/>
      <c r="C428" s="900"/>
      <c r="D428" s="894"/>
      <c r="E428" s="936"/>
      <c r="F428" s="905"/>
      <c r="G428" s="896"/>
      <c r="H428" s="897"/>
      <c r="I428" s="897"/>
      <c r="J428" s="898"/>
      <c r="K428" s="898"/>
      <c r="L428" s="898"/>
      <c r="M428" s="898"/>
      <c r="N428" s="898"/>
      <c r="O428" s="898"/>
      <c r="P428" s="898"/>
      <c r="Q428" s="898"/>
      <c r="R428" s="898"/>
      <c r="S428" s="898"/>
      <c r="T428" s="898"/>
      <c r="U428" s="898"/>
      <c r="V428" s="898"/>
      <c r="W428" s="898"/>
      <c r="X428" s="898"/>
      <c r="Y428" s="898"/>
      <c r="Z428" s="898"/>
      <c r="AA428" s="898"/>
      <c r="AB428" s="898"/>
      <c r="AC428" s="898"/>
      <c r="AD428" s="898"/>
      <c r="AE428" s="898"/>
      <c r="AF428" s="898"/>
      <c r="AG428" s="898"/>
      <c r="AH428" s="898"/>
      <c r="AI428" s="898"/>
      <c r="AJ428" s="898"/>
      <c r="AK428" s="898"/>
      <c r="AL428" s="898"/>
      <c r="AM428" s="897"/>
      <c r="AN428" s="897"/>
      <c r="AO428" s="897"/>
      <c r="AP428" s="897"/>
      <c r="AQ428" s="897"/>
      <c r="AR428" s="897"/>
      <c r="AS428" s="897"/>
      <c r="AT428" s="897"/>
    </row>
    <row r="429" spans="1:46" s="930" customFormat="1">
      <c r="A429" s="892"/>
      <c r="B429" s="899"/>
      <c r="C429" s="900"/>
      <c r="D429" s="894"/>
      <c r="E429" s="936"/>
      <c r="F429" s="905"/>
      <c r="G429" s="896"/>
      <c r="H429" s="897"/>
      <c r="I429" s="897"/>
      <c r="J429" s="898"/>
      <c r="K429" s="898"/>
      <c r="L429" s="898"/>
      <c r="M429" s="898"/>
      <c r="N429" s="898"/>
      <c r="O429" s="898"/>
      <c r="P429" s="898"/>
      <c r="Q429" s="898"/>
      <c r="R429" s="898"/>
      <c r="S429" s="898"/>
      <c r="T429" s="898"/>
      <c r="U429" s="898"/>
      <c r="V429" s="898"/>
      <c r="W429" s="898"/>
      <c r="X429" s="898"/>
      <c r="Y429" s="898"/>
      <c r="Z429" s="898"/>
      <c r="AA429" s="898"/>
      <c r="AB429" s="898"/>
      <c r="AC429" s="898"/>
      <c r="AD429" s="898"/>
      <c r="AE429" s="898"/>
      <c r="AF429" s="898"/>
      <c r="AG429" s="898"/>
      <c r="AH429" s="898"/>
      <c r="AI429" s="898"/>
      <c r="AJ429" s="898"/>
      <c r="AK429" s="898"/>
      <c r="AL429" s="898"/>
      <c r="AM429" s="897"/>
      <c r="AN429" s="897"/>
      <c r="AO429" s="897"/>
      <c r="AP429" s="897"/>
      <c r="AQ429" s="897"/>
      <c r="AR429" s="897"/>
      <c r="AS429" s="897"/>
      <c r="AT429" s="897"/>
    </row>
    <row r="430" spans="1:46" s="930" customFormat="1">
      <c r="A430" s="892"/>
      <c r="B430" s="899"/>
      <c r="C430" s="900"/>
      <c r="D430" s="894"/>
      <c r="E430" s="936"/>
      <c r="F430" s="905"/>
      <c r="G430" s="896"/>
      <c r="H430" s="897"/>
      <c r="I430" s="897"/>
      <c r="J430" s="898"/>
      <c r="K430" s="898"/>
      <c r="L430" s="898"/>
      <c r="M430" s="898"/>
      <c r="N430" s="898"/>
      <c r="O430" s="898"/>
      <c r="P430" s="898"/>
      <c r="Q430" s="898"/>
      <c r="R430" s="898"/>
      <c r="S430" s="898"/>
      <c r="T430" s="898"/>
      <c r="U430" s="898"/>
      <c r="V430" s="898"/>
      <c r="W430" s="898"/>
      <c r="X430" s="898"/>
      <c r="Y430" s="898"/>
      <c r="Z430" s="898"/>
      <c r="AA430" s="898"/>
      <c r="AB430" s="898"/>
      <c r="AC430" s="898"/>
      <c r="AD430" s="898"/>
      <c r="AE430" s="898"/>
      <c r="AF430" s="898"/>
      <c r="AG430" s="898"/>
      <c r="AH430" s="898"/>
      <c r="AI430" s="898"/>
      <c r="AJ430" s="898"/>
      <c r="AK430" s="898"/>
      <c r="AL430" s="898"/>
      <c r="AM430" s="897"/>
      <c r="AN430" s="897"/>
      <c r="AO430" s="897"/>
      <c r="AP430" s="897"/>
      <c r="AQ430" s="897"/>
      <c r="AR430" s="897"/>
      <c r="AS430" s="897"/>
      <c r="AT430" s="897"/>
    </row>
    <row r="431" spans="1:46" s="930" customFormat="1">
      <c r="A431" s="892"/>
      <c r="B431" s="899"/>
      <c r="C431" s="900"/>
      <c r="D431" s="894"/>
      <c r="E431" s="936"/>
      <c r="F431" s="905"/>
      <c r="G431" s="896"/>
      <c r="H431" s="897"/>
      <c r="I431" s="897"/>
      <c r="J431" s="898"/>
      <c r="K431" s="898"/>
      <c r="L431" s="898"/>
      <c r="M431" s="898"/>
      <c r="N431" s="898"/>
      <c r="O431" s="898"/>
      <c r="P431" s="898"/>
      <c r="Q431" s="898"/>
      <c r="R431" s="898"/>
      <c r="S431" s="898"/>
      <c r="T431" s="898"/>
      <c r="U431" s="898"/>
      <c r="V431" s="898"/>
      <c r="W431" s="898"/>
      <c r="X431" s="898"/>
      <c r="Y431" s="898"/>
      <c r="Z431" s="898"/>
      <c r="AA431" s="898"/>
      <c r="AB431" s="898"/>
      <c r="AC431" s="898"/>
      <c r="AD431" s="898"/>
      <c r="AE431" s="898"/>
      <c r="AF431" s="898"/>
      <c r="AG431" s="898"/>
      <c r="AH431" s="898"/>
      <c r="AI431" s="898"/>
      <c r="AJ431" s="898"/>
      <c r="AK431" s="898"/>
      <c r="AL431" s="898"/>
      <c r="AM431" s="897"/>
      <c r="AN431" s="897"/>
      <c r="AO431" s="897"/>
      <c r="AP431" s="897"/>
      <c r="AQ431" s="897"/>
      <c r="AR431" s="897"/>
      <c r="AS431" s="897"/>
      <c r="AT431" s="897"/>
    </row>
    <row r="432" spans="1:46" s="930" customFormat="1">
      <c r="A432" s="892"/>
      <c r="B432" s="899"/>
      <c r="C432" s="900"/>
      <c r="D432" s="894"/>
      <c r="E432" s="936"/>
      <c r="F432" s="905"/>
      <c r="G432" s="896"/>
      <c r="H432" s="897"/>
      <c r="I432" s="897"/>
      <c r="J432" s="898"/>
      <c r="K432" s="898"/>
      <c r="L432" s="898"/>
      <c r="M432" s="898"/>
      <c r="N432" s="898"/>
      <c r="O432" s="898"/>
      <c r="P432" s="898"/>
      <c r="Q432" s="898"/>
      <c r="R432" s="898"/>
      <c r="S432" s="898"/>
      <c r="T432" s="898"/>
      <c r="U432" s="898"/>
      <c r="V432" s="898"/>
      <c r="W432" s="898"/>
      <c r="X432" s="898"/>
      <c r="Y432" s="898"/>
      <c r="Z432" s="898"/>
      <c r="AA432" s="898"/>
      <c r="AB432" s="898"/>
      <c r="AC432" s="898"/>
      <c r="AD432" s="898"/>
      <c r="AE432" s="898"/>
      <c r="AF432" s="898"/>
      <c r="AG432" s="898"/>
      <c r="AH432" s="898"/>
      <c r="AI432" s="898"/>
      <c r="AJ432" s="898"/>
      <c r="AK432" s="898"/>
      <c r="AL432" s="898"/>
      <c r="AM432" s="897"/>
      <c r="AN432" s="897"/>
      <c r="AO432" s="897"/>
      <c r="AP432" s="897"/>
      <c r="AQ432" s="897"/>
      <c r="AR432" s="897"/>
      <c r="AS432" s="897"/>
      <c r="AT432" s="897"/>
    </row>
    <row r="433" spans="1:46" s="930" customFormat="1">
      <c r="A433" s="892"/>
      <c r="B433" s="899"/>
      <c r="C433" s="900"/>
      <c r="D433" s="894"/>
      <c r="E433" s="936"/>
      <c r="F433" s="905"/>
      <c r="G433" s="896"/>
      <c r="H433" s="897"/>
      <c r="I433" s="897"/>
      <c r="J433" s="898"/>
      <c r="K433" s="898"/>
      <c r="L433" s="898"/>
      <c r="M433" s="898"/>
      <c r="N433" s="898"/>
      <c r="O433" s="898"/>
      <c r="P433" s="898"/>
      <c r="Q433" s="898"/>
      <c r="R433" s="898"/>
      <c r="S433" s="898"/>
      <c r="T433" s="898"/>
      <c r="U433" s="898"/>
      <c r="V433" s="898"/>
      <c r="W433" s="898"/>
      <c r="X433" s="898"/>
      <c r="Y433" s="898"/>
      <c r="Z433" s="898"/>
      <c r="AA433" s="898"/>
      <c r="AB433" s="898"/>
      <c r="AC433" s="898"/>
      <c r="AD433" s="898"/>
      <c r="AE433" s="898"/>
      <c r="AF433" s="898"/>
      <c r="AG433" s="898"/>
      <c r="AH433" s="898"/>
      <c r="AI433" s="898"/>
      <c r="AJ433" s="898"/>
      <c r="AK433" s="898"/>
      <c r="AL433" s="898"/>
      <c r="AM433" s="897"/>
      <c r="AN433" s="897"/>
      <c r="AO433" s="897"/>
      <c r="AP433" s="897"/>
      <c r="AQ433" s="897"/>
      <c r="AR433" s="897"/>
      <c r="AS433" s="897"/>
      <c r="AT433" s="897"/>
    </row>
    <row r="434" spans="1:46" s="930" customFormat="1">
      <c r="A434" s="892"/>
      <c r="B434" s="899"/>
      <c r="C434" s="900"/>
      <c r="D434" s="894"/>
      <c r="E434" s="936"/>
      <c r="F434" s="905"/>
      <c r="G434" s="896"/>
      <c r="H434" s="897"/>
      <c r="I434" s="897"/>
      <c r="J434" s="898"/>
      <c r="K434" s="898"/>
      <c r="L434" s="898"/>
      <c r="M434" s="898"/>
      <c r="N434" s="898"/>
      <c r="O434" s="898"/>
      <c r="P434" s="898"/>
      <c r="Q434" s="898"/>
      <c r="R434" s="898"/>
      <c r="S434" s="898"/>
      <c r="T434" s="898"/>
      <c r="U434" s="898"/>
      <c r="V434" s="898"/>
      <c r="W434" s="898"/>
      <c r="X434" s="898"/>
      <c r="Y434" s="898"/>
      <c r="Z434" s="898"/>
      <c r="AA434" s="898"/>
      <c r="AB434" s="898"/>
      <c r="AC434" s="898"/>
      <c r="AD434" s="898"/>
      <c r="AE434" s="898"/>
      <c r="AF434" s="898"/>
      <c r="AG434" s="898"/>
      <c r="AH434" s="898"/>
      <c r="AI434" s="898"/>
      <c r="AJ434" s="898"/>
      <c r="AK434" s="898"/>
      <c r="AL434" s="898"/>
      <c r="AM434" s="897"/>
      <c r="AN434" s="897"/>
      <c r="AO434" s="897"/>
      <c r="AP434" s="897"/>
      <c r="AQ434" s="897"/>
      <c r="AR434" s="897"/>
      <c r="AS434" s="897"/>
      <c r="AT434" s="897"/>
    </row>
    <row r="435" spans="1:46" s="930" customFormat="1">
      <c r="A435" s="892"/>
      <c r="B435" s="899"/>
      <c r="C435" s="900"/>
      <c r="D435" s="894"/>
      <c r="E435" s="936"/>
      <c r="F435" s="905"/>
      <c r="G435" s="896"/>
      <c r="H435" s="897"/>
      <c r="I435" s="897"/>
      <c r="J435" s="898"/>
      <c r="K435" s="898"/>
      <c r="L435" s="898"/>
      <c r="M435" s="898"/>
      <c r="N435" s="898"/>
      <c r="O435" s="898"/>
      <c r="P435" s="898"/>
      <c r="Q435" s="898"/>
      <c r="R435" s="898"/>
      <c r="S435" s="898"/>
      <c r="T435" s="898"/>
      <c r="U435" s="898"/>
      <c r="V435" s="898"/>
      <c r="W435" s="898"/>
      <c r="X435" s="898"/>
      <c r="Y435" s="898"/>
      <c r="Z435" s="898"/>
      <c r="AA435" s="898"/>
      <c r="AB435" s="898"/>
      <c r="AC435" s="898"/>
      <c r="AD435" s="898"/>
      <c r="AE435" s="898"/>
      <c r="AF435" s="898"/>
      <c r="AG435" s="898"/>
      <c r="AH435" s="898"/>
      <c r="AI435" s="898"/>
      <c r="AJ435" s="898"/>
      <c r="AK435" s="898"/>
      <c r="AL435" s="898"/>
      <c r="AM435" s="897"/>
      <c r="AN435" s="897"/>
      <c r="AO435" s="897"/>
      <c r="AP435" s="897"/>
      <c r="AQ435" s="897"/>
      <c r="AR435" s="897"/>
      <c r="AS435" s="897"/>
      <c r="AT435" s="897"/>
    </row>
    <row r="436" spans="1:46" s="930" customFormat="1">
      <c r="A436" s="892"/>
      <c r="B436" s="899"/>
      <c r="C436" s="900"/>
      <c r="D436" s="894"/>
      <c r="E436" s="936"/>
      <c r="F436" s="905"/>
      <c r="G436" s="896"/>
      <c r="H436" s="897"/>
      <c r="I436" s="897"/>
      <c r="J436" s="898"/>
      <c r="K436" s="898"/>
      <c r="L436" s="898"/>
      <c r="M436" s="898"/>
      <c r="N436" s="898"/>
      <c r="O436" s="898"/>
      <c r="P436" s="898"/>
      <c r="Q436" s="898"/>
      <c r="R436" s="898"/>
      <c r="S436" s="898"/>
      <c r="T436" s="898"/>
      <c r="U436" s="898"/>
      <c r="V436" s="898"/>
      <c r="W436" s="898"/>
      <c r="X436" s="898"/>
      <c r="Y436" s="898"/>
      <c r="Z436" s="898"/>
      <c r="AA436" s="898"/>
      <c r="AB436" s="898"/>
      <c r="AC436" s="898"/>
      <c r="AD436" s="898"/>
      <c r="AE436" s="898"/>
      <c r="AF436" s="898"/>
      <c r="AG436" s="898"/>
      <c r="AH436" s="898"/>
      <c r="AI436" s="898"/>
      <c r="AJ436" s="898"/>
      <c r="AK436" s="898"/>
      <c r="AL436" s="898"/>
      <c r="AM436" s="897"/>
      <c r="AN436" s="897"/>
      <c r="AO436" s="897"/>
      <c r="AP436" s="897"/>
      <c r="AQ436" s="897"/>
      <c r="AR436" s="897"/>
      <c r="AS436" s="897"/>
      <c r="AT436" s="897"/>
    </row>
    <row r="437" spans="1:46" s="930" customFormat="1">
      <c r="A437" s="892"/>
      <c r="B437" s="899"/>
      <c r="C437" s="900"/>
      <c r="D437" s="894"/>
      <c r="E437" s="936"/>
      <c r="F437" s="905"/>
      <c r="G437" s="896"/>
      <c r="H437" s="897"/>
      <c r="I437" s="897"/>
      <c r="J437" s="898"/>
      <c r="K437" s="898"/>
      <c r="L437" s="898"/>
      <c r="M437" s="898"/>
      <c r="N437" s="898"/>
      <c r="O437" s="898"/>
      <c r="P437" s="898"/>
      <c r="Q437" s="898"/>
      <c r="R437" s="898"/>
      <c r="S437" s="898"/>
      <c r="T437" s="898"/>
      <c r="U437" s="898"/>
      <c r="V437" s="898"/>
      <c r="W437" s="898"/>
      <c r="X437" s="898"/>
      <c r="Y437" s="898"/>
      <c r="Z437" s="898"/>
      <c r="AA437" s="898"/>
      <c r="AB437" s="898"/>
      <c r="AC437" s="898"/>
      <c r="AD437" s="898"/>
      <c r="AE437" s="898"/>
      <c r="AF437" s="898"/>
      <c r="AG437" s="898"/>
      <c r="AH437" s="898"/>
      <c r="AI437" s="898"/>
      <c r="AJ437" s="898"/>
      <c r="AK437" s="898"/>
      <c r="AL437" s="898"/>
      <c r="AM437" s="897"/>
      <c r="AN437" s="897"/>
      <c r="AO437" s="897"/>
      <c r="AP437" s="897"/>
      <c r="AQ437" s="897"/>
      <c r="AR437" s="897"/>
      <c r="AS437" s="897"/>
      <c r="AT437" s="897"/>
    </row>
    <row r="438" spans="1:46" s="930" customFormat="1">
      <c r="A438" s="892"/>
      <c r="B438" s="899"/>
      <c r="C438" s="900"/>
      <c r="D438" s="894"/>
      <c r="E438" s="936"/>
      <c r="F438" s="905"/>
      <c r="G438" s="896"/>
      <c r="H438" s="897"/>
      <c r="I438" s="897"/>
      <c r="J438" s="898"/>
      <c r="K438" s="898"/>
      <c r="L438" s="898"/>
      <c r="M438" s="898"/>
      <c r="N438" s="898"/>
      <c r="O438" s="898"/>
      <c r="P438" s="898"/>
      <c r="Q438" s="898"/>
      <c r="R438" s="898"/>
      <c r="S438" s="898"/>
      <c r="T438" s="898"/>
      <c r="U438" s="898"/>
      <c r="V438" s="898"/>
      <c r="W438" s="898"/>
      <c r="X438" s="898"/>
      <c r="Y438" s="898"/>
      <c r="Z438" s="898"/>
      <c r="AA438" s="898"/>
      <c r="AB438" s="898"/>
      <c r="AC438" s="898"/>
      <c r="AD438" s="898"/>
      <c r="AE438" s="898"/>
      <c r="AF438" s="898"/>
      <c r="AG438" s="898"/>
      <c r="AH438" s="898"/>
      <c r="AI438" s="898"/>
      <c r="AJ438" s="898"/>
      <c r="AK438" s="898"/>
      <c r="AL438" s="898"/>
      <c r="AM438" s="897"/>
      <c r="AN438" s="897"/>
      <c r="AO438" s="897"/>
      <c r="AP438" s="897"/>
      <c r="AQ438" s="897"/>
      <c r="AR438" s="897"/>
      <c r="AS438" s="897"/>
      <c r="AT438" s="897"/>
    </row>
    <row r="439" spans="1:46" s="930" customFormat="1">
      <c r="A439" s="892"/>
      <c r="B439" s="899"/>
      <c r="C439" s="900"/>
      <c r="D439" s="894"/>
      <c r="E439" s="936"/>
      <c r="F439" s="905"/>
      <c r="G439" s="896"/>
      <c r="H439" s="897"/>
      <c r="I439" s="897"/>
      <c r="J439" s="898"/>
      <c r="K439" s="898"/>
      <c r="L439" s="898"/>
      <c r="M439" s="898"/>
      <c r="N439" s="898"/>
      <c r="O439" s="898"/>
      <c r="P439" s="898"/>
      <c r="Q439" s="898"/>
      <c r="R439" s="898"/>
      <c r="S439" s="898"/>
      <c r="T439" s="898"/>
      <c r="U439" s="898"/>
      <c r="V439" s="898"/>
      <c r="W439" s="898"/>
      <c r="X439" s="898"/>
      <c r="Y439" s="898"/>
      <c r="Z439" s="898"/>
      <c r="AA439" s="898"/>
      <c r="AB439" s="898"/>
      <c r="AC439" s="898"/>
      <c r="AD439" s="898"/>
      <c r="AE439" s="898"/>
      <c r="AF439" s="898"/>
      <c r="AG439" s="898"/>
      <c r="AH439" s="898"/>
      <c r="AI439" s="898"/>
      <c r="AJ439" s="898"/>
      <c r="AK439" s="898"/>
      <c r="AL439" s="898"/>
      <c r="AM439" s="897"/>
      <c r="AN439" s="897"/>
      <c r="AO439" s="897"/>
      <c r="AP439" s="897"/>
      <c r="AQ439" s="897"/>
      <c r="AR439" s="897"/>
      <c r="AS439" s="897"/>
      <c r="AT439" s="897"/>
    </row>
    <row r="440" spans="1:46" s="930" customFormat="1">
      <c r="A440" s="892"/>
      <c r="B440" s="899"/>
      <c r="C440" s="900"/>
      <c r="D440" s="894"/>
      <c r="E440" s="936"/>
      <c r="F440" s="905"/>
      <c r="G440" s="896"/>
      <c r="H440" s="897"/>
      <c r="I440" s="897"/>
      <c r="J440" s="898"/>
      <c r="K440" s="898"/>
      <c r="L440" s="898"/>
      <c r="M440" s="898"/>
      <c r="N440" s="898"/>
      <c r="O440" s="898"/>
      <c r="P440" s="898"/>
      <c r="Q440" s="898"/>
      <c r="R440" s="898"/>
      <c r="S440" s="898"/>
      <c r="T440" s="898"/>
      <c r="U440" s="898"/>
      <c r="V440" s="898"/>
      <c r="W440" s="898"/>
      <c r="X440" s="898"/>
      <c r="Y440" s="898"/>
      <c r="Z440" s="898"/>
      <c r="AA440" s="898"/>
      <c r="AB440" s="898"/>
      <c r="AC440" s="898"/>
      <c r="AD440" s="898"/>
      <c r="AE440" s="898"/>
      <c r="AF440" s="898"/>
      <c r="AG440" s="898"/>
      <c r="AH440" s="898"/>
      <c r="AI440" s="898"/>
      <c r="AJ440" s="898"/>
      <c r="AK440" s="898"/>
      <c r="AL440" s="898"/>
      <c r="AM440" s="897"/>
      <c r="AN440" s="897"/>
      <c r="AO440" s="897"/>
      <c r="AP440" s="897"/>
      <c r="AQ440" s="897"/>
      <c r="AR440" s="897"/>
      <c r="AS440" s="897"/>
      <c r="AT440" s="897"/>
    </row>
    <row r="441" spans="1:46" s="930" customFormat="1">
      <c r="A441" s="892"/>
      <c r="B441" s="899"/>
      <c r="C441" s="900"/>
      <c r="D441" s="894"/>
      <c r="E441" s="936"/>
      <c r="F441" s="905"/>
      <c r="G441" s="896"/>
      <c r="H441" s="897"/>
      <c r="I441" s="897"/>
      <c r="J441" s="898"/>
      <c r="K441" s="898"/>
      <c r="L441" s="898"/>
      <c r="M441" s="898"/>
      <c r="N441" s="898"/>
      <c r="O441" s="898"/>
      <c r="P441" s="898"/>
      <c r="Q441" s="898"/>
      <c r="R441" s="898"/>
      <c r="S441" s="898"/>
      <c r="T441" s="898"/>
      <c r="U441" s="898"/>
      <c r="V441" s="898"/>
      <c r="W441" s="898"/>
      <c r="X441" s="898"/>
      <c r="Y441" s="898"/>
      <c r="Z441" s="898"/>
      <c r="AA441" s="898"/>
      <c r="AB441" s="898"/>
      <c r="AC441" s="898"/>
      <c r="AD441" s="898"/>
      <c r="AE441" s="898"/>
      <c r="AF441" s="898"/>
      <c r="AG441" s="898"/>
      <c r="AH441" s="898"/>
      <c r="AI441" s="898"/>
      <c r="AJ441" s="898"/>
      <c r="AK441" s="898"/>
      <c r="AL441" s="898"/>
      <c r="AM441" s="897"/>
      <c r="AN441" s="897"/>
      <c r="AO441" s="897"/>
      <c r="AP441" s="897"/>
      <c r="AQ441" s="897"/>
      <c r="AR441" s="897"/>
      <c r="AS441" s="897"/>
      <c r="AT441" s="897"/>
    </row>
    <row r="442" spans="1:46" s="930" customFormat="1">
      <c r="A442" s="892"/>
      <c r="B442" s="899"/>
      <c r="C442" s="900"/>
      <c r="D442" s="894"/>
      <c r="E442" s="936"/>
      <c r="F442" s="905"/>
      <c r="G442" s="896"/>
      <c r="H442" s="897"/>
      <c r="I442" s="897"/>
      <c r="J442" s="898"/>
      <c r="K442" s="898"/>
      <c r="L442" s="898"/>
      <c r="M442" s="898"/>
      <c r="N442" s="898"/>
      <c r="O442" s="898"/>
      <c r="P442" s="898"/>
      <c r="Q442" s="898"/>
      <c r="R442" s="898"/>
      <c r="S442" s="898"/>
      <c r="T442" s="898"/>
      <c r="U442" s="898"/>
      <c r="V442" s="898"/>
      <c r="W442" s="898"/>
      <c r="X442" s="898"/>
      <c r="Y442" s="898"/>
      <c r="Z442" s="898"/>
      <c r="AA442" s="898"/>
      <c r="AB442" s="898"/>
      <c r="AC442" s="898"/>
      <c r="AD442" s="898"/>
      <c r="AE442" s="898"/>
      <c r="AF442" s="898"/>
      <c r="AG442" s="898"/>
      <c r="AH442" s="898"/>
      <c r="AI442" s="898"/>
      <c r="AJ442" s="898"/>
      <c r="AK442" s="898"/>
      <c r="AL442" s="898"/>
      <c r="AM442" s="897"/>
      <c r="AN442" s="897"/>
      <c r="AO442" s="897"/>
      <c r="AP442" s="897"/>
      <c r="AQ442" s="897"/>
      <c r="AR442" s="897"/>
      <c r="AS442" s="897"/>
      <c r="AT442" s="897"/>
    </row>
    <row r="443" spans="1:46" s="930" customFormat="1">
      <c r="A443" s="892"/>
      <c r="B443" s="899"/>
      <c r="C443" s="900"/>
      <c r="D443" s="894"/>
      <c r="E443" s="936"/>
      <c r="F443" s="905"/>
      <c r="G443" s="896"/>
      <c r="H443" s="897"/>
      <c r="I443" s="897"/>
      <c r="J443" s="898"/>
      <c r="K443" s="898"/>
      <c r="L443" s="898"/>
      <c r="M443" s="898"/>
      <c r="N443" s="898"/>
      <c r="O443" s="898"/>
      <c r="P443" s="898"/>
      <c r="Q443" s="898"/>
      <c r="R443" s="898"/>
      <c r="S443" s="898"/>
      <c r="T443" s="898"/>
      <c r="U443" s="898"/>
      <c r="V443" s="898"/>
      <c r="W443" s="898"/>
      <c r="X443" s="898"/>
      <c r="Y443" s="898"/>
      <c r="Z443" s="898"/>
      <c r="AA443" s="898"/>
      <c r="AB443" s="898"/>
      <c r="AC443" s="898"/>
      <c r="AD443" s="898"/>
      <c r="AE443" s="898"/>
      <c r="AF443" s="898"/>
      <c r="AG443" s="898"/>
      <c r="AH443" s="898"/>
      <c r="AI443" s="898"/>
      <c r="AJ443" s="898"/>
      <c r="AK443" s="898"/>
      <c r="AL443" s="898"/>
      <c r="AM443" s="897"/>
      <c r="AN443" s="897"/>
      <c r="AO443" s="897"/>
      <c r="AP443" s="897"/>
      <c r="AQ443" s="897"/>
      <c r="AR443" s="897"/>
      <c r="AS443" s="897"/>
      <c r="AT443" s="897"/>
    </row>
    <row r="444" spans="1:46" s="930" customFormat="1">
      <c r="A444" s="892"/>
      <c r="B444" s="899"/>
      <c r="C444" s="900"/>
      <c r="D444" s="894"/>
      <c r="E444" s="936"/>
      <c r="F444" s="905"/>
      <c r="G444" s="896"/>
      <c r="H444" s="897"/>
      <c r="I444" s="897"/>
      <c r="J444" s="898"/>
      <c r="K444" s="898"/>
      <c r="L444" s="898"/>
      <c r="M444" s="898"/>
      <c r="N444" s="898"/>
      <c r="O444" s="898"/>
      <c r="P444" s="898"/>
      <c r="Q444" s="898"/>
      <c r="R444" s="898"/>
      <c r="S444" s="898"/>
      <c r="T444" s="898"/>
      <c r="U444" s="898"/>
      <c r="V444" s="898"/>
      <c r="W444" s="898"/>
      <c r="X444" s="898"/>
      <c r="Y444" s="898"/>
      <c r="Z444" s="898"/>
      <c r="AA444" s="898"/>
      <c r="AB444" s="898"/>
      <c r="AC444" s="898"/>
      <c r="AD444" s="898"/>
      <c r="AE444" s="898"/>
      <c r="AF444" s="898"/>
      <c r="AG444" s="898"/>
      <c r="AH444" s="898"/>
      <c r="AI444" s="898"/>
      <c r="AJ444" s="898"/>
      <c r="AK444" s="898"/>
      <c r="AL444" s="898"/>
      <c r="AM444" s="897"/>
      <c r="AN444" s="897"/>
      <c r="AO444" s="897"/>
      <c r="AP444" s="897"/>
      <c r="AQ444" s="897"/>
      <c r="AR444" s="897"/>
      <c r="AS444" s="897"/>
      <c r="AT444" s="897"/>
    </row>
    <row r="445" spans="1:46" s="930" customFormat="1">
      <c r="A445" s="892"/>
      <c r="B445" s="899"/>
      <c r="C445" s="900"/>
      <c r="D445" s="894"/>
      <c r="E445" s="936"/>
      <c r="F445" s="905"/>
      <c r="G445" s="896"/>
      <c r="H445" s="897"/>
      <c r="I445" s="897"/>
      <c r="J445" s="898"/>
      <c r="K445" s="898"/>
      <c r="L445" s="898"/>
      <c r="M445" s="898"/>
      <c r="N445" s="898"/>
      <c r="O445" s="898"/>
      <c r="P445" s="898"/>
      <c r="Q445" s="898"/>
      <c r="R445" s="898"/>
      <c r="S445" s="898"/>
      <c r="T445" s="898"/>
      <c r="U445" s="898"/>
      <c r="V445" s="898"/>
      <c r="W445" s="898"/>
      <c r="X445" s="898"/>
      <c r="Y445" s="898"/>
      <c r="Z445" s="898"/>
      <c r="AA445" s="898"/>
      <c r="AB445" s="898"/>
      <c r="AC445" s="898"/>
      <c r="AD445" s="898"/>
      <c r="AE445" s="898"/>
      <c r="AF445" s="898"/>
      <c r="AG445" s="898"/>
      <c r="AH445" s="898"/>
      <c r="AI445" s="898"/>
      <c r="AJ445" s="898"/>
      <c r="AK445" s="898"/>
      <c r="AL445" s="898"/>
      <c r="AM445" s="897"/>
      <c r="AN445" s="897"/>
      <c r="AO445" s="897"/>
      <c r="AP445" s="897"/>
      <c r="AQ445" s="897"/>
      <c r="AR445" s="897"/>
      <c r="AS445" s="897"/>
      <c r="AT445" s="897"/>
    </row>
    <row r="446" spans="1:46" s="930" customFormat="1">
      <c r="A446" s="892"/>
      <c r="B446" s="899"/>
      <c r="C446" s="900"/>
      <c r="D446" s="894"/>
      <c r="E446" s="936"/>
      <c r="F446" s="905"/>
      <c r="G446" s="896"/>
      <c r="H446" s="897"/>
      <c r="I446" s="897"/>
      <c r="J446" s="898"/>
      <c r="K446" s="898"/>
      <c r="L446" s="898"/>
      <c r="M446" s="898"/>
      <c r="N446" s="898"/>
      <c r="O446" s="898"/>
      <c r="P446" s="898"/>
      <c r="Q446" s="898"/>
      <c r="R446" s="898"/>
      <c r="S446" s="898"/>
      <c r="T446" s="898"/>
      <c r="U446" s="898"/>
      <c r="V446" s="898"/>
      <c r="W446" s="898"/>
      <c r="X446" s="898"/>
      <c r="Y446" s="898"/>
      <c r="Z446" s="898"/>
      <c r="AA446" s="898"/>
      <c r="AB446" s="898"/>
      <c r="AC446" s="898"/>
      <c r="AD446" s="898"/>
      <c r="AE446" s="898"/>
      <c r="AF446" s="898"/>
      <c r="AG446" s="898"/>
      <c r="AH446" s="898"/>
      <c r="AI446" s="898"/>
      <c r="AJ446" s="898"/>
      <c r="AK446" s="898"/>
      <c r="AL446" s="898"/>
      <c r="AM446" s="897"/>
      <c r="AN446" s="897"/>
      <c r="AO446" s="897"/>
      <c r="AP446" s="897"/>
      <c r="AQ446" s="897"/>
      <c r="AR446" s="897"/>
      <c r="AS446" s="897"/>
      <c r="AT446" s="897"/>
    </row>
    <row r="447" spans="1:46" s="930" customFormat="1">
      <c r="A447" s="892"/>
      <c r="B447" s="899"/>
      <c r="C447" s="900"/>
      <c r="D447" s="894"/>
      <c r="E447" s="936"/>
      <c r="F447" s="905"/>
      <c r="G447" s="896"/>
      <c r="H447" s="897"/>
      <c r="I447" s="897"/>
      <c r="J447" s="898"/>
      <c r="K447" s="898"/>
      <c r="L447" s="898"/>
      <c r="M447" s="898"/>
      <c r="N447" s="898"/>
      <c r="O447" s="898"/>
      <c r="P447" s="898"/>
      <c r="Q447" s="898"/>
      <c r="R447" s="898"/>
      <c r="S447" s="898"/>
      <c r="T447" s="898"/>
      <c r="U447" s="898"/>
      <c r="V447" s="898"/>
      <c r="W447" s="898"/>
      <c r="X447" s="898"/>
      <c r="Y447" s="898"/>
      <c r="Z447" s="898"/>
      <c r="AA447" s="898"/>
      <c r="AB447" s="898"/>
      <c r="AC447" s="898"/>
      <c r="AD447" s="898"/>
      <c r="AE447" s="898"/>
      <c r="AF447" s="898"/>
      <c r="AG447" s="898"/>
      <c r="AH447" s="898"/>
      <c r="AI447" s="898"/>
      <c r="AJ447" s="898"/>
      <c r="AK447" s="898"/>
      <c r="AL447" s="898"/>
      <c r="AM447" s="897"/>
      <c r="AN447" s="897"/>
      <c r="AO447" s="897"/>
      <c r="AP447" s="897"/>
      <c r="AQ447" s="897"/>
      <c r="AR447" s="897"/>
      <c r="AS447" s="897"/>
      <c r="AT447" s="897"/>
    </row>
    <row r="448" spans="1:46" s="930" customFormat="1">
      <c r="A448" s="892"/>
      <c r="B448" s="899"/>
      <c r="C448" s="900"/>
      <c r="D448" s="894"/>
      <c r="E448" s="936"/>
      <c r="F448" s="905"/>
      <c r="G448" s="896"/>
      <c r="H448" s="897"/>
      <c r="I448" s="897"/>
      <c r="J448" s="898"/>
      <c r="K448" s="898"/>
      <c r="L448" s="898"/>
      <c r="M448" s="898"/>
      <c r="N448" s="898"/>
      <c r="O448" s="898"/>
      <c r="P448" s="898"/>
      <c r="Q448" s="898"/>
      <c r="R448" s="898"/>
      <c r="S448" s="898"/>
      <c r="T448" s="898"/>
      <c r="U448" s="898"/>
      <c r="V448" s="898"/>
      <c r="W448" s="898"/>
      <c r="X448" s="898"/>
      <c r="Y448" s="898"/>
      <c r="Z448" s="898"/>
      <c r="AA448" s="898"/>
      <c r="AB448" s="898"/>
      <c r="AC448" s="898"/>
      <c r="AD448" s="898"/>
      <c r="AE448" s="898"/>
      <c r="AF448" s="898"/>
      <c r="AG448" s="898"/>
      <c r="AH448" s="898"/>
      <c r="AI448" s="898"/>
      <c r="AJ448" s="898"/>
      <c r="AK448" s="898"/>
      <c r="AL448" s="898"/>
      <c r="AM448" s="897"/>
      <c r="AN448" s="897"/>
      <c r="AO448" s="897"/>
      <c r="AP448" s="897"/>
      <c r="AQ448" s="897"/>
      <c r="AR448" s="897"/>
      <c r="AS448" s="897"/>
      <c r="AT448" s="897"/>
    </row>
    <row r="449" spans="1:46" s="930" customFormat="1">
      <c r="A449" s="892"/>
      <c r="B449" s="899"/>
      <c r="C449" s="900"/>
      <c r="D449" s="894"/>
      <c r="E449" s="936"/>
      <c r="F449" s="905"/>
      <c r="G449" s="896"/>
      <c r="H449" s="897"/>
      <c r="I449" s="897"/>
      <c r="J449" s="898"/>
      <c r="K449" s="898"/>
      <c r="L449" s="898"/>
      <c r="M449" s="898"/>
      <c r="N449" s="898"/>
      <c r="O449" s="898"/>
      <c r="P449" s="898"/>
      <c r="Q449" s="898"/>
      <c r="R449" s="898"/>
      <c r="S449" s="898"/>
      <c r="T449" s="898"/>
      <c r="U449" s="898"/>
      <c r="V449" s="898"/>
      <c r="W449" s="898"/>
      <c r="X449" s="898"/>
      <c r="Y449" s="898"/>
      <c r="Z449" s="898"/>
      <c r="AA449" s="898"/>
      <c r="AB449" s="898"/>
      <c r="AC449" s="898"/>
      <c r="AD449" s="898"/>
      <c r="AE449" s="898"/>
      <c r="AF449" s="898"/>
      <c r="AG449" s="898"/>
      <c r="AH449" s="898"/>
      <c r="AI449" s="898"/>
      <c r="AJ449" s="898"/>
      <c r="AK449" s="898"/>
      <c r="AL449" s="898"/>
      <c r="AM449" s="897"/>
      <c r="AN449" s="897"/>
      <c r="AO449" s="897"/>
      <c r="AP449" s="897"/>
      <c r="AQ449" s="897"/>
      <c r="AR449" s="897"/>
      <c r="AS449" s="897"/>
      <c r="AT449" s="897"/>
    </row>
    <row r="450" spans="1:46" s="930" customFormat="1">
      <c r="A450" s="892"/>
      <c r="B450" s="899"/>
      <c r="C450" s="900"/>
      <c r="D450" s="894"/>
      <c r="E450" s="936"/>
      <c r="F450" s="905"/>
      <c r="G450" s="896"/>
      <c r="H450" s="897"/>
      <c r="I450" s="897"/>
      <c r="J450" s="898"/>
      <c r="K450" s="898"/>
      <c r="L450" s="898"/>
      <c r="M450" s="898"/>
      <c r="N450" s="898"/>
      <c r="O450" s="898"/>
      <c r="P450" s="898"/>
      <c r="Q450" s="898"/>
      <c r="R450" s="898"/>
      <c r="S450" s="898"/>
      <c r="T450" s="898"/>
      <c r="U450" s="898"/>
      <c r="V450" s="898"/>
      <c r="W450" s="898"/>
      <c r="X450" s="898"/>
      <c r="Y450" s="898"/>
      <c r="Z450" s="898"/>
      <c r="AA450" s="898"/>
      <c r="AB450" s="898"/>
      <c r="AC450" s="898"/>
      <c r="AD450" s="898"/>
      <c r="AE450" s="898"/>
      <c r="AF450" s="898"/>
      <c r="AG450" s="898"/>
      <c r="AH450" s="898"/>
      <c r="AI450" s="898"/>
      <c r="AJ450" s="898"/>
      <c r="AK450" s="898"/>
      <c r="AL450" s="898"/>
      <c r="AM450" s="897"/>
      <c r="AN450" s="897"/>
      <c r="AO450" s="897"/>
      <c r="AP450" s="897"/>
      <c r="AQ450" s="897"/>
      <c r="AR450" s="897"/>
      <c r="AS450" s="897"/>
      <c r="AT450" s="897"/>
    </row>
    <row r="451" spans="1:46" s="930" customFormat="1">
      <c r="A451" s="892"/>
      <c r="B451" s="899"/>
      <c r="C451" s="900"/>
      <c r="D451" s="894"/>
      <c r="E451" s="936"/>
      <c r="F451" s="905"/>
      <c r="G451" s="896"/>
      <c r="H451" s="897"/>
      <c r="I451" s="897"/>
      <c r="J451" s="898"/>
      <c r="K451" s="898"/>
      <c r="L451" s="898"/>
      <c r="M451" s="898"/>
      <c r="N451" s="898"/>
      <c r="O451" s="898"/>
      <c r="P451" s="898"/>
      <c r="Q451" s="898"/>
      <c r="R451" s="898"/>
      <c r="S451" s="898"/>
      <c r="T451" s="898"/>
      <c r="U451" s="898"/>
      <c r="V451" s="898"/>
      <c r="W451" s="898"/>
      <c r="X451" s="898"/>
      <c r="Y451" s="898"/>
      <c r="Z451" s="898"/>
      <c r="AA451" s="898"/>
      <c r="AB451" s="898"/>
      <c r="AC451" s="898"/>
      <c r="AD451" s="898"/>
      <c r="AE451" s="898"/>
      <c r="AF451" s="898"/>
      <c r="AG451" s="898"/>
      <c r="AH451" s="898"/>
      <c r="AI451" s="898"/>
      <c r="AJ451" s="898"/>
      <c r="AK451" s="898"/>
      <c r="AL451" s="898"/>
      <c r="AM451" s="897"/>
      <c r="AN451" s="897"/>
      <c r="AO451" s="897"/>
      <c r="AP451" s="897"/>
      <c r="AQ451" s="897"/>
      <c r="AR451" s="897"/>
      <c r="AS451" s="897"/>
      <c r="AT451" s="897"/>
    </row>
    <row r="452" spans="1:46" s="930" customFormat="1">
      <c r="A452" s="892"/>
      <c r="B452" s="899"/>
      <c r="C452" s="900"/>
      <c r="D452" s="894"/>
      <c r="E452" s="936"/>
      <c r="F452" s="905"/>
      <c r="G452" s="896"/>
      <c r="H452" s="897"/>
      <c r="I452" s="897"/>
      <c r="J452" s="898"/>
      <c r="K452" s="898"/>
      <c r="L452" s="898"/>
      <c r="M452" s="898"/>
      <c r="N452" s="898"/>
      <c r="O452" s="898"/>
      <c r="P452" s="898"/>
      <c r="Q452" s="898"/>
      <c r="R452" s="898"/>
      <c r="S452" s="898"/>
      <c r="T452" s="898"/>
      <c r="U452" s="898"/>
      <c r="V452" s="898"/>
      <c r="W452" s="898"/>
      <c r="X452" s="898"/>
      <c r="Y452" s="898"/>
      <c r="Z452" s="898"/>
      <c r="AA452" s="898"/>
      <c r="AB452" s="898"/>
      <c r="AC452" s="898"/>
      <c r="AD452" s="898"/>
      <c r="AE452" s="898"/>
      <c r="AF452" s="898"/>
      <c r="AG452" s="898"/>
      <c r="AH452" s="898"/>
      <c r="AI452" s="898"/>
      <c r="AJ452" s="898"/>
      <c r="AK452" s="898"/>
      <c r="AL452" s="898"/>
      <c r="AM452" s="897"/>
      <c r="AN452" s="897"/>
      <c r="AO452" s="897"/>
      <c r="AP452" s="897"/>
      <c r="AQ452" s="897"/>
      <c r="AR452" s="897"/>
      <c r="AS452" s="897"/>
      <c r="AT452" s="897"/>
    </row>
    <row r="453" spans="1:46" s="930" customFormat="1">
      <c r="A453" s="892"/>
      <c r="B453" s="899"/>
      <c r="C453" s="900"/>
      <c r="D453" s="894"/>
      <c r="E453" s="936"/>
      <c r="F453" s="905"/>
      <c r="G453" s="896"/>
      <c r="H453" s="897"/>
      <c r="I453" s="897"/>
      <c r="J453" s="898"/>
      <c r="K453" s="898"/>
      <c r="L453" s="898"/>
      <c r="M453" s="898"/>
      <c r="N453" s="898"/>
      <c r="O453" s="898"/>
      <c r="P453" s="898"/>
      <c r="Q453" s="898"/>
      <c r="R453" s="898"/>
      <c r="S453" s="898"/>
      <c r="T453" s="898"/>
      <c r="U453" s="898"/>
      <c r="V453" s="898"/>
      <c r="W453" s="898"/>
      <c r="X453" s="898"/>
      <c r="Y453" s="898"/>
      <c r="Z453" s="898"/>
      <c r="AA453" s="898"/>
      <c r="AB453" s="898"/>
      <c r="AC453" s="898"/>
      <c r="AD453" s="898"/>
      <c r="AE453" s="898"/>
      <c r="AF453" s="898"/>
      <c r="AG453" s="898"/>
      <c r="AH453" s="898"/>
      <c r="AI453" s="898"/>
      <c r="AJ453" s="898"/>
      <c r="AK453" s="898"/>
      <c r="AL453" s="898"/>
      <c r="AM453" s="897"/>
      <c r="AN453" s="897"/>
      <c r="AO453" s="897"/>
      <c r="AP453" s="897"/>
      <c r="AQ453" s="897"/>
      <c r="AR453" s="897"/>
      <c r="AS453" s="897"/>
      <c r="AT453" s="897"/>
    </row>
    <row r="454" spans="1:46" s="930" customFormat="1">
      <c r="A454" s="892"/>
      <c r="B454" s="899"/>
      <c r="C454" s="900"/>
      <c r="D454" s="894"/>
      <c r="E454" s="936"/>
      <c r="F454" s="905"/>
      <c r="G454" s="896"/>
      <c r="H454" s="897"/>
      <c r="I454" s="897"/>
      <c r="J454" s="898"/>
      <c r="K454" s="898"/>
      <c r="L454" s="898"/>
      <c r="M454" s="898"/>
      <c r="N454" s="898"/>
      <c r="O454" s="898"/>
      <c r="P454" s="898"/>
      <c r="Q454" s="898"/>
      <c r="R454" s="898"/>
      <c r="S454" s="898"/>
      <c r="T454" s="898"/>
      <c r="U454" s="898"/>
      <c r="V454" s="898"/>
      <c r="W454" s="898"/>
      <c r="X454" s="898"/>
      <c r="Y454" s="898"/>
      <c r="Z454" s="898"/>
      <c r="AA454" s="898"/>
      <c r="AB454" s="898"/>
      <c r="AC454" s="898"/>
      <c r="AD454" s="898"/>
      <c r="AE454" s="898"/>
      <c r="AF454" s="898"/>
      <c r="AG454" s="898"/>
      <c r="AH454" s="898"/>
      <c r="AI454" s="898"/>
      <c r="AJ454" s="898"/>
      <c r="AK454" s="898"/>
      <c r="AL454" s="898"/>
      <c r="AM454" s="897"/>
      <c r="AN454" s="897"/>
      <c r="AO454" s="897"/>
      <c r="AP454" s="897"/>
      <c r="AQ454" s="897"/>
      <c r="AR454" s="897"/>
      <c r="AS454" s="897"/>
      <c r="AT454" s="897"/>
    </row>
    <row r="455" spans="1:46" s="930" customFormat="1">
      <c r="A455" s="892"/>
      <c r="B455" s="899"/>
      <c r="C455" s="900"/>
      <c r="D455" s="894"/>
      <c r="E455" s="936"/>
      <c r="F455" s="905"/>
      <c r="G455" s="896"/>
      <c r="H455" s="897"/>
      <c r="I455" s="897"/>
      <c r="J455" s="898"/>
      <c r="K455" s="898"/>
      <c r="L455" s="898"/>
      <c r="M455" s="898"/>
      <c r="N455" s="898"/>
      <c r="O455" s="898"/>
      <c r="P455" s="898"/>
      <c r="Q455" s="898"/>
      <c r="R455" s="898"/>
      <c r="S455" s="898"/>
      <c r="T455" s="898"/>
      <c r="U455" s="898"/>
      <c r="V455" s="898"/>
      <c r="W455" s="898"/>
      <c r="X455" s="898"/>
      <c r="Y455" s="898"/>
      <c r="Z455" s="898"/>
      <c r="AA455" s="898"/>
      <c r="AB455" s="898"/>
      <c r="AC455" s="898"/>
      <c r="AD455" s="898"/>
      <c r="AE455" s="898"/>
      <c r="AF455" s="898"/>
      <c r="AG455" s="898"/>
      <c r="AH455" s="898"/>
      <c r="AI455" s="898"/>
      <c r="AJ455" s="898"/>
      <c r="AK455" s="898"/>
      <c r="AL455" s="898"/>
      <c r="AM455" s="897"/>
      <c r="AN455" s="897"/>
      <c r="AO455" s="897"/>
      <c r="AP455" s="897"/>
      <c r="AQ455" s="897"/>
      <c r="AR455" s="897"/>
      <c r="AS455" s="897"/>
      <c r="AT455" s="897"/>
    </row>
    <row r="456" spans="1:46" s="930" customFormat="1">
      <c r="A456" s="892"/>
      <c r="B456" s="899"/>
      <c r="C456" s="900"/>
      <c r="D456" s="894"/>
      <c r="E456" s="936"/>
      <c r="F456" s="905"/>
      <c r="G456" s="896"/>
      <c r="H456" s="897"/>
      <c r="I456" s="897"/>
      <c r="J456" s="898"/>
      <c r="K456" s="898"/>
      <c r="L456" s="898"/>
      <c r="M456" s="898"/>
      <c r="N456" s="898"/>
      <c r="O456" s="898"/>
      <c r="P456" s="898"/>
      <c r="Q456" s="898"/>
      <c r="R456" s="898"/>
      <c r="S456" s="898"/>
      <c r="T456" s="898"/>
      <c r="U456" s="898"/>
      <c r="V456" s="898"/>
      <c r="W456" s="898"/>
      <c r="X456" s="898"/>
      <c r="Y456" s="898"/>
      <c r="Z456" s="898"/>
      <c r="AA456" s="898"/>
      <c r="AB456" s="898"/>
      <c r="AC456" s="898"/>
      <c r="AD456" s="898"/>
      <c r="AE456" s="898"/>
      <c r="AF456" s="898"/>
      <c r="AG456" s="898"/>
      <c r="AH456" s="898"/>
      <c r="AI456" s="898"/>
      <c r="AJ456" s="898"/>
      <c r="AK456" s="898"/>
      <c r="AL456" s="898"/>
      <c r="AM456" s="897"/>
      <c r="AN456" s="897"/>
      <c r="AO456" s="897"/>
      <c r="AP456" s="897"/>
      <c r="AQ456" s="897"/>
      <c r="AR456" s="897"/>
      <c r="AS456" s="897"/>
      <c r="AT456" s="897"/>
    </row>
    <row r="457" spans="1:46" s="930" customFormat="1">
      <c r="A457" s="892"/>
      <c r="B457" s="899"/>
      <c r="C457" s="900"/>
      <c r="D457" s="894"/>
      <c r="E457" s="936"/>
      <c r="F457" s="905"/>
      <c r="G457" s="896"/>
      <c r="H457" s="897"/>
      <c r="I457" s="897"/>
      <c r="J457" s="898"/>
      <c r="K457" s="898"/>
      <c r="L457" s="898"/>
      <c r="M457" s="898"/>
      <c r="N457" s="898"/>
      <c r="O457" s="898"/>
      <c r="P457" s="898"/>
      <c r="Q457" s="898"/>
      <c r="R457" s="898"/>
      <c r="S457" s="898"/>
      <c r="T457" s="898"/>
      <c r="U457" s="898"/>
      <c r="V457" s="898"/>
      <c r="W457" s="898"/>
      <c r="X457" s="898"/>
      <c r="Y457" s="898"/>
      <c r="Z457" s="898"/>
      <c r="AA457" s="898"/>
      <c r="AB457" s="898"/>
      <c r="AC457" s="898"/>
      <c r="AD457" s="898"/>
      <c r="AE457" s="898"/>
      <c r="AF457" s="898"/>
      <c r="AG457" s="898"/>
      <c r="AH457" s="898"/>
      <c r="AI457" s="898"/>
      <c r="AJ457" s="898"/>
      <c r="AK457" s="898"/>
      <c r="AL457" s="898"/>
      <c r="AM457" s="897"/>
      <c r="AN457" s="897"/>
      <c r="AO457" s="897"/>
      <c r="AP457" s="897"/>
      <c r="AQ457" s="897"/>
      <c r="AR457" s="897"/>
      <c r="AS457" s="897"/>
      <c r="AT457" s="897"/>
    </row>
    <row r="458" spans="1:46" s="930" customFormat="1">
      <c r="A458" s="892"/>
      <c r="B458" s="899"/>
      <c r="C458" s="900"/>
      <c r="D458" s="894"/>
      <c r="E458" s="936"/>
      <c r="F458" s="905"/>
      <c r="G458" s="896"/>
      <c r="H458" s="897"/>
      <c r="I458" s="897"/>
      <c r="J458" s="898"/>
      <c r="K458" s="898"/>
      <c r="L458" s="898"/>
      <c r="M458" s="898"/>
      <c r="N458" s="898"/>
      <c r="O458" s="898"/>
      <c r="P458" s="898"/>
      <c r="Q458" s="898"/>
      <c r="R458" s="898"/>
      <c r="S458" s="898"/>
      <c r="T458" s="898"/>
      <c r="U458" s="898"/>
      <c r="V458" s="898"/>
      <c r="W458" s="898"/>
      <c r="X458" s="898"/>
      <c r="Y458" s="898"/>
      <c r="Z458" s="898"/>
      <c r="AA458" s="898"/>
      <c r="AB458" s="898"/>
      <c r="AC458" s="898"/>
      <c r="AD458" s="898"/>
      <c r="AE458" s="898"/>
      <c r="AF458" s="898"/>
      <c r="AG458" s="898"/>
      <c r="AH458" s="898"/>
      <c r="AI458" s="898"/>
      <c r="AJ458" s="898"/>
      <c r="AK458" s="898"/>
      <c r="AL458" s="898"/>
      <c r="AM458" s="897"/>
      <c r="AN458" s="897"/>
      <c r="AO458" s="897"/>
      <c r="AP458" s="897"/>
      <c r="AQ458" s="897"/>
      <c r="AR458" s="897"/>
      <c r="AS458" s="897"/>
      <c r="AT458" s="897"/>
    </row>
    <row r="459" spans="1:46" s="930" customFormat="1">
      <c r="A459" s="892"/>
      <c r="B459" s="899"/>
      <c r="C459" s="900"/>
      <c r="D459" s="894"/>
      <c r="E459" s="936"/>
      <c r="F459" s="905"/>
      <c r="G459" s="896"/>
      <c r="H459" s="897"/>
      <c r="I459" s="897"/>
      <c r="J459" s="898"/>
      <c r="K459" s="898"/>
      <c r="L459" s="898"/>
      <c r="M459" s="898"/>
      <c r="N459" s="898"/>
      <c r="O459" s="898"/>
      <c r="P459" s="898"/>
      <c r="Q459" s="898"/>
      <c r="R459" s="898"/>
      <c r="S459" s="898"/>
      <c r="T459" s="898"/>
      <c r="U459" s="898"/>
      <c r="V459" s="898"/>
      <c r="W459" s="898"/>
      <c r="X459" s="898"/>
      <c r="Y459" s="898"/>
      <c r="Z459" s="898"/>
      <c r="AA459" s="898"/>
      <c r="AB459" s="898"/>
      <c r="AC459" s="898"/>
      <c r="AD459" s="898"/>
      <c r="AE459" s="898"/>
      <c r="AF459" s="898"/>
      <c r="AG459" s="898"/>
      <c r="AH459" s="898"/>
      <c r="AI459" s="898"/>
      <c r="AJ459" s="898"/>
      <c r="AK459" s="898"/>
      <c r="AL459" s="898"/>
      <c r="AM459" s="897"/>
      <c r="AN459" s="897"/>
      <c r="AO459" s="897"/>
      <c r="AP459" s="897"/>
      <c r="AQ459" s="897"/>
      <c r="AR459" s="897"/>
      <c r="AS459" s="897"/>
      <c r="AT459" s="897"/>
    </row>
    <row r="460" spans="1:46" s="930" customFormat="1">
      <c r="A460" s="892"/>
      <c r="B460" s="899"/>
      <c r="C460" s="900"/>
      <c r="D460" s="894"/>
      <c r="E460" s="936"/>
      <c r="F460" s="905"/>
      <c r="G460" s="896"/>
      <c r="H460" s="897"/>
      <c r="I460" s="897"/>
      <c r="J460" s="898"/>
      <c r="K460" s="898"/>
      <c r="L460" s="898"/>
      <c r="M460" s="898"/>
      <c r="N460" s="898"/>
      <c r="O460" s="898"/>
      <c r="P460" s="898"/>
      <c r="Q460" s="898"/>
      <c r="R460" s="898"/>
      <c r="S460" s="898"/>
      <c r="T460" s="898"/>
      <c r="U460" s="898"/>
      <c r="V460" s="898"/>
      <c r="W460" s="898"/>
      <c r="X460" s="898"/>
      <c r="Y460" s="898"/>
      <c r="Z460" s="898"/>
      <c r="AA460" s="898"/>
      <c r="AB460" s="898"/>
      <c r="AC460" s="898"/>
      <c r="AD460" s="898"/>
      <c r="AE460" s="898"/>
      <c r="AF460" s="898"/>
      <c r="AG460" s="898"/>
      <c r="AH460" s="898"/>
      <c r="AI460" s="898"/>
      <c r="AJ460" s="898"/>
      <c r="AK460" s="898"/>
      <c r="AL460" s="898"/>
      <c r="AM460" s="897"/>
      <c r="AN460" s="897"/>
      <c r="AO460" s="897"/>
      <c r="AP460" s="897"/>
      <c r="AQ460" s="897"/>
      <c r="AR460" s="897"/>
      <c r="AS460" s="897"/>
      <c r="AT460" s="897"/>
    </row>
    <row r="461" spans="1:46" s="930" customFormat="1">
      <c r="A461" s="892"/>
      <c r="B461" s="899"/>
      <c r="C461" s="900"/>
      <c r="D461" s="894"/>
      <c r="E461" s="936"/>
      <c r="F461" s="905"/>
      <c r="G461" s="896"/>
      <c r="H461" s="897"/>
      <c r="I461" s="897"/>
      <c r="J461" s="898"/>
      <c r="K461" s="898"/>
      <c r="L461" s="898"/>
      <c r="M461" s="898"/>
      <c r="N461" s="898"/>
      <c r="O461" s="898"/>
      <c r="P461" s="898"/>
      <c r="Q461" s="898"/>
      <c r="R461" s="898"/>
      <c r="S461" s="898"/>
      <c r="T461" s="898"/>
      <c r="U461" s="898"/>
      <c r="V461" s="898"/>
      <c r="W461" s="898"/>
      <c r="X461" s="898"/>
      <c r="Y461" s="898"/>
      <c r="Z461" s="898"/>
      <c r="AA461" s="898"/>
      <c r="AB461" s="898"/>
      <c r="AC461" s="898"/>
      <c r="AD461" s="898"/>
      <c r="AE461" s="898"/>
      <c r="AF461" s="898"/>
      <c r="AG461" s="898"/>
      <c r="AH461" s="898"/>
      <c r="AI461" s="898"/>
      <c r="AJ461" s="898"/>
      <c r="AK461" s="898"/>
      <c r="AL461" s="898"/>
      <c r="AM461" s="897"/>
      <c r="AN461" s="897"/>
      <c r="AO461" s="897"/>
      <c r="AP461" s="897"/>
      <c r="AQ461" s="897"/>
      <c r="AR461" s="897"/>
      <c r="AS461" s="897"/>
      <c r="AT461" s="897"/>
    </row>
    <row r="462" spans="1:46" s="930" customFormat="1">
      <c r="A462" s="892"/>
      <c r="B462" s="899"/>
      <c r="C462" s="900"/>
      <c r="D462" s="894"/>
      <c r="E462" s="936"/>
      <c r="F462" s="905"/>
      <c r="G462" s="896"/>
      <c r="H462" s="897"/>
      <c r="I462" s="897"/>
      <c r="J462" s="898"/>
      <c r="K462" s="898"/>
      <c r="L462" s="898"/>
      <c r="M462" s="898"/>
      <c r="N462" s="898"/>
      <c r="O462" s="898"/>
      <c r="P462" s="898"/>
      <c r="Q462" s="898"/>
      <c r="R462" s="898"/>
      <c r="S462" s="898"/>
      <c r="T462" s="898"/>
      <c r="U462" s="898"/>
      <c r="V462" s="898"/>
      <c r="W462" s="898"/>
      <c r="X462" s="898"/>
      <c r="Y462" s="898"/>
      <c r="Z462" s="898"/>
      <c r="AA462" s="898"/>
      <c r="AB462" s="898"/>
      <c r="AC462" s="898"/>
      <c r="AD462" s="898"/>
      <c r="AE462" s="898"/>
      <c r="AF462" s="898"/>
      <c r="AG462" s="898"/>
      <c r="AH462" s="898"/>
      <c r="AI462" s="898"/>
      <c r="AJ462" s="898"/>
      <c r="AK462" s="898"/>
      <c r="AL462" s="898"/>
      <c r="AM462" s="897"/>
      <c r="AN462" s="897"/>
      <c r="AO462" s="897"/>
      <c r="AP462" s="897"/>
      <c r="AQ462" s="897"/>
      <c r="AR462" s="897"/>
      <c r="AS462" s="897"/>
      <c r="AT462" s="897"/>
    </row>
    <row r="463" spans="1:46" s="930" customFormat="1">
      <c r="A463" s="892"/>
      <c r="B463" s="899"/>
      <c r="C463" s="900"/>
      <c r="D463" s="894"/>
      <c r="E463" s="936"/>
      <c r="F463" s="905"/>
      <c r="G463" s="896"/>
      <c r="H463" s="897"/>
      <c r="I463" s="897"/>
      <c r="J463" s="898"/>
      <c r="K463" s="898"/>
      <c r="L463" s="898"/>
      <c r="M463" s="898"/>
      <c r="N463" s="898"/>
      <c r="O463" s="898"/>
      <c r="P463" s="898"/>
      <c r="Q463" s="898"/>
      <c r="R463" s="898"/>
      <c r="S463" s="898"/>
      <c r="T463" s="898"/>
      <c r="U463" s="898"/>
      <c r="V463" s="898"/>
      <c r="W463" s="898"/>
      <c r="X463" s="898"/>
      <c r="Y463" s="898"/>
      <c r="Z463" s="898"/>
      <c r="AA463" s="898"/>
      <c r="AB463" s="898"/>
      <c r="AC463" s="898"/>
      <c r="AD463" s="898"/>
      <c r="AE463" s="898"/>
      <c r="AF463" s="898"/>
      <c r="AG463" s="898"/>
      <c r="AH463" s="898"/>
      <c r="AI463" s="898"/>
      <c r="AJ463" s="898"/>
      <c r="AK463" s="898"/>
      <c r="AL463" s="898"/>
      <c r="AM463" s="897"/>
      <c r="AN463" s="897"/>
      <c r="AO463" s="897"/>
      <c r="AP463" s="897"/>
      <c r="AQ463" s="897"/>
      <c r="AR463" s="897"/>
      <c r="AS463" s="897"/>
      <c r="AT463" s="897"/>
    </row>
    <row r="464" spans="1:46" s="930" customFormat="1">
      <c r="A464" s="892"/>
      <c r="B464" s="899"/>
      <c r="C464" s="900"/>
      <c r="D464" s="894"/>
      <c r="E464" s="936"/>
      <c r="F464" s="905"/>
      <c r="G464" s="896"/>
      <c r="H464" s="897"/>
      <c r="I464" s="897"/>
      <c r="J464" s="898"/>
      <c r="K464" s="898"/>
      <c r="L464" s="898"/>
      <c r="M464" s="898"/>
      <c r="N464" s="898"/>
      <c r="O464" s="898"/>
      <c r="P464" s="898"/>
      <c r="Q464" s="898"/>
      <c r="R464" s="898"/>
      <c r="S464" s="898"/>
      <c r="T464" s="898"/>
      <c r="U464" s="898"/>
      <c r="V464" s="898"/>
      <c r="W464" s="898"/>
      <c r="X464" s="898"/>
      <c r="Y464" s="898"/>
      <c r="Z464" s="898"/>
      <c r="AA464" s="898"/>
      <c r="AB464" s="898"/>
      <c r="AC464" s="898"/>
      <c r="AD464" s="898"/>
      <c r="AE464" s="898"/>
      <c r="AF464" s="898"/>
      <c r="AG464" s="898"/>
      <c r="AH464" s="898"/>
      <c r="AI464" s="898"/>
      <c r="AJ464" s="898"/>
      <c r="AK464" s="898"/>
      <c r="AL464" s="898"/>
      <c r="AM464" s="897"/>
      <c r="AN464" s="897"/>
      <c r="AO464" s="897"/>
      <c r="AP464" s="897"/>
      <c r="AQ464" s="897"/>
      <c r="AR464" s="897"/>
      <c r="AS464" s="897"/>
      <c r="AT464" s="897"/>
    </row>
    <row r="465" spans="1:46" s="930" customFormat="1">
      <c r="A465" s="892"/>
      <c r="B465" s="899"/>
      <c r="C465" s="900"/>
      <c r="D465" s="894"/>
      <c r="E465" s="936"/>
      <c r="F465" s="905"/>
      <c r="G465" s="896"/>
      <c r="H465" s="897"/>
      <c r="I465" s="897"/>
      <c r="J465" s="898"/>
      <c r="K465" s="898"/>
      <c r="L465" s="898"/>
      <c r="M465" s="898"/>
      <c r="N465" s="898"/>
      <c r="O465" s="898"/>
      <c r="P465" s="898"/>
      <c r="Q465" s="898"/>
      <c r="R465" s="898"/>
      <c r="S465" s="898"/>
      <c r="T465" s="898"/>
      <c r="U465" s="898"/>
      <c r="V465" s="898"/>
      <c r="W465" s="898"/>
      <c r="X465" s="898"/>
      <c r="Y465" s="898"/>
      <c r="Z465" s="898"/>
      <c r="AA465" s="898"/>
      <c r="AB465" s="898"/>
      <c r="AC465" s="898"/>
      <c r="AD465" s="898"/>
      <c r="AE465" s="898"/>
      <c r="AF465" s="898"/>
      <c r="AG465" s="898"/>
      <c r="AH465" s="898"/>
      <c r="AI465" s="898"/>
      <c r="AJ465" s="898"/>
      <c r="AK465" s="898"/>
      <c r="AL465" s="898"/>
      <c r="AM465" s="897"/>
      <c r="AN465" s="897"/>
      <c r="AO465" s="897"/>
      <c r="AP465" s="897"/>
      <c r="AQ465" s="897"/>
      <c r="AR465" s="897"/>
      <c r="AS465" s="897"/>
      <c r="AT465" s="897"/>
    </row>
    <row r="466" spans="1:46" s="930" customFormat="1">
      <c r="A466" s="892"/>
      <c r="B466" s="899"/>
      <c r="C466" s="900"/>
      <c r="D466" s="894"/>
      <c r="E466" s="936"/>
      <c r="F466" s="905"/>
      <c r="G466" s="896"/>
      <c r="H466" s="897"/>
      <c r="I466" s="897"/>
      <c r="J466" s="898"/>
      <c r="K466" s="898"/>
      <c r="L466" s="898"/>
      <c r="M466" s="898"/>
      <c r="N466" s="898"/>
      <c r="O466" s="898"/>
      <c r="P466" s="898"/>
      <c r="Q466" s="898"/>
      <c r="R466" s="898"/>
      <c r="S466" s="898"/>
      <c r="T466" s="898"/>
      <c r="U466" s="898"/>
      <c r="V466" s="898"/>
      <c r="W466" s="898"/>
      <c r="X466" s="898"/>
      <c r="Y466" s="898"/>
      <c r="Z466" s="898"/>
      <c r="AA466" s="898"/>
      <c r="AB466" s="898"/>
      <c r="AC466" s="898"/>
      <c r="AD466" s="898"/>
      <c r="AE466" s="898"/>
      <c r="AF466" s="898"/>
      <c r="AG466" s="898"/>
      <c r="AH466" s="898"/>
      <c r="AI466" s="898"/>
      <c r="AJ466" s="898"/>
      <c r="AK466" s="898"/>
      <c r="AL466" s="898"/>
      <c r="AM466" s="897"/>
      <c r="AN466" s="897"/>
      <c r="AO466" s="897"/>
      <c r="AP466" s="897"/>
      <c r="AQ466" s="897"/>
      <c r="AR466" s="897"/>
      <c r="AS466" s="897"/>
      <c r="AT466" s="897"/>
    </row>
    <row r="467" spans="1:46" s="930" customFormat="1">
      <c r="A467" s="892"/>
      <c r="B467" s="899"/>
      <c r="C467" s="900"/>
      <c r="D467" s="894"/>
      <c r="E467" s="936"/>
      <c r="F467" s="905"/>
      <c r="G467" s="896"/>
      <c r="H467" s="897"/>
      <c r="I467" s="897"/>
      <c r="J467" s="898"/>
      <c r="K467" s="898"/>
      <c r="L467" s="898"/>
      <c r="M467" s="898"/>
      <c r="N467" s="898"/>
      <c r="O467" s="898"/>
      <c r="P467" s="898"/>
      <c r="Q467" s="898"/>
      <c r="R467" s="898"/>
      <c r="S467" s="898"/>
      <c r="T467" s="898"/>
      <c r="U467" s="898"/>
      <c r="V467" s="898"/>
      <c r="W467" s="898"/>
      <c r="X467" s="898"/>
      <c r="Y467" s="898"/>
      <c r="Z467" s="898"/>
      <c r="AA467" s="898"/>
      <c r="AB467" s="898"/>
      <c r="AC467" s="898"/>
      <c r="AD467" s="898"/>
      <c r="AE467" s="898"/>
      <c r="AF467" s="898"/>
      <c r="AG467" s="898"/>
      <c r="AH467" s="898"/>
      <c r="AI467" s="898"/>
      <c r="AJ467" s="898"/>
      <c r="AK467" s="898"/>
      <c r="AL467" s="898"/>
      <c r="AM467" s="897"/>
      <c r="AN467" s="897"/>
      <c r="AO467" s="897"/>
      <c r="AP467" s="897"/>
      <c r="AQ467" s="897"/>
      <c r="AR467" s="897"/>
      <c r="AS467" s="897"/>
      <c r="AT467" s="897"/>
    </row>
    <row r="468" spans="1:46" s="930" customFormat="1">
      <c r="A468" s="892"/>
      <c r="B468" s="899"/>
      <c r="C468" s="900"/>
      <c r="D468" s="894"/>
      <c r="E468" s="936"/>
      <c r="F468" s="905"/>
      <c r="G468" s="896"/>
      <c r="H468" s="897"/>
      <c r="I468" s="897"/>
      <c r="J468" s="898"/>
      <c r="K468" s="898"/>
      <c r="L468" s="898"/>
      <c r="M468" s="898"/>
      <c r="N468" s="898"/>
      <c r="O468" s="898"/>
      <c r="P468" s="898"/>
      <c r="Q468" s="898"/>
      <c r="R468" s="898"/>
      <c r="S468" s="898"/>
      <c r="T468" s="898"/>
      <c r="U468" s="898"/>
      <c r="V468" s="898"/>
      <c r="W468" s="898"/>
      <c r="X468" s="898"/>
      <c r="Y468" s="898"/>
      <c r="Z468" s="898"/>
      <c r="AA468" s="898"/>
      <c r="AB468" s="898"/>
      <c r="AC468" s="898"/>
      <c r="AD468" s="898"/>
      <c r="AE468" s="898"/>
      <c r="AF468" s="898"/>
      <c r="AG468" s="898"/>
      <c r="AH468" s="898"/>
      <c r="AI468" s="898"/>
      <c r="AJ468" s="898"/>
      <c r="AK468" s="898"/>
      <c r="AL468" s="898"/>
      <c r="AM468" s="897"/>
      <c r="AN468" s="897"/>
      <c r="AO468" s="897"/>
      <c r="AP468" s="897"/>
      <c r="AQ468" s="897"/>
      <c r="AR468" s="897"/>
      <c r="AS468" s="897"/>
      <c r="AT468" s="897"/>
    </row>
    <row r="469" spans="1:46" s="930" customFormat="1">
      <c r="A469" s="892"/>
      <c r="B469" s="899"/>
      <c r="C469" s="900"/>
      <c r="D469" s="894"/>
      <c r="E469" s="936"/>
      <c r="F469" s="905"/>
      <c r="G469" s="896"/>
      <c r="H469" s="897"/>
      <c r="I469" s="897"/>
      <c r="J469" s="898"/>
      <c r="K469" s="898"/>
      <c r="L469" s="898"/>
      <c r="M469" s="898"/>
      <c r="N469" s="898"/>
      <c r="O469" s="898"/>
      <c r="P469" s="898"/>
      <c r="Q469" s="898"/>
      <c r="R469" s="898"/>
      <c r="S469" s="898"/>
      <c r="T469" s="898"/>
      <c r="U469" s="898"/>
      <c r="V469" s="898"/>
      <c r="W469" s="898"/>
      <c r="X469" s="898"/>
      <c r="Y469" s="898"/>
      <c r="Z469" s="898"/>
      <c r="AA469" s="898"/>
      <c r="AB469" s="898"/>
      <c r="AC469" s="898"/>
      <c r="AD469" s="898"/>
      <c r="AE469" s="898"/>
      <c r="AF469" s="898"/>
      <c r="AG469" s="898"/>
      <c r="AH469" s="898"/>
      <c r="AI469" s="898"/>
      <c r="AJ469" s="898"/>
      <c r="AK469" s="898"/>
      <c r="AL469" s="898"/>
      <c r="AM469" s="897"/>
      <c r="AN469" s="897"/>
      <c r="AO469" s="897"/>
      <c r="AP469" s="897"/>
      <c r="AQ469" s="897"/>
      <c r="AR469" s="897"/>
      <c r="AS469" s="897"/>
      <c r="AT469" s="897"/>
    </row>
    <row r="470" spans="1:46" s="930" customFormat="1">
      <c r="A470" s="892"/>
      <c r="B470" s="899"/>
      <c r="C470" s="900"/>
      <c r="D470" s="894"/>
      <c r="E470" s="936"/>
      <c r="F470" s="905"/>
      <c r="G470" s="896"/>
      <c r="H470" s="897"/>
      <c r="I470" s="897"/>
      <c r="J470" s="898"/>
      <c r="K470" s="898"/>
      <c r="L470" s="898"/>
      <c r="M470" s="898"/>
      <c r="N470" s="898"/>
      <c r="O470" s="898"/>
      <c r="P470" s="898"/>
      <c r="Q470" s="898"/>
      <c r="R470" s="898"/>
      <c r="S470" s="898"/>
      <c r="T470" s="898"/>
      <c r="U470" s="898"/>
      <c r="V470" s="898"/>
      <c r="W470" s="898"/>
      <c r="X470" s="898"/>
      <c r="Y470" s="898"/>
      <c r="Z470" s="898"/>
      <c r="AA470" s="898"/>
      <c r="AB470" s="898"/>
      <c r="AC470" s="898"/>
      <c r="AD470" s="898"/>
      <c r="AE470" s="898"/>
      <c r="AF470" s="898"/>
      <c r="AG470" s="898"/>
      <c r="AH470" s="898"/>
      <c r="AI470" s="898"/>
      <c r="AJ470" s="898"/>
      <c r="AK470" s="898"/>
      <c r="AL470" s="898"/>
      <c r="AM470" s="897"/>
      <c r="AN470" s="897"/>
      <c r="AO470" s="897"/>
      <c r="AP470" s="897"/>
      <c r="AQ470" s="897"/>
      <c r="AR470" s="897"/>
      <c r="AS470" s="897"/>
      <c r="AT470" s="897"/>
    </row>
    <row r="471" spans="1:46" s="930" customFormat="1">
      <c r="A471" s="892"/>
      <c r="B471" s="899"/>
      <c r="C471" s="900"/>
      <c r="D471" s="894"/>
      <c r="E471" s="936"/>
      <c r="F471" s="905"/>
      <c r="G471" s="896"/>
      <c r="H471" s="897"/>
      <c r="I471" s="897"/>
      <c r="J471" s="898"/>
      <c r="K471" s="898"/>
      <c r="L471" s="898"/>
      <c r="M471" s="898"/>
      <c r="N471" s="898"/>
      <c r="O471" s="898"/>
      <c r="P471" s="898"/>
      <c r="Q471" s="898"/>
      <c r="R471" s="898"/>
      <c r="S471" s="898"/>
      <c r="T471" s="898"/>
      <c r="U471" s="898"/>
      <c r="V471" s="898"/>
      <c r="W471" s="898"/>
      <c r="X471" s="898"/>
      <c r="Y471" s="898"/>
      <c r="Z471" s="898"/>
      <c r="AA471" s="898"/>
      <c r="AB471" s="898"/>
      <c r="AC471" s="898"/>
      <c r="AD471" s="898"/>
      <c r="AE471" s="898"/>
      <c r="AF471" s="898"/>
      <c r="AG471" s="898"/>
      <c r="AH471" s="898"/>
      <c r="AI471" s="898"/>
      <c r="AJ471" s="898"/>
      <c r="AK471" s="898"/>
      <c r="AL471" s="898"/>
      <c r="AM471" s="897"/>
      <c r="AN471" s="897"/>
      <c r="AO471" s="897"/>
      <c r="AP471" s="897"/>
      <c r="AQ471" s="897"/>
      <c r="AR471" s="897"/>
      <c r="AS471" s="897"/>
      <c r="AT471" s="897"/>
    </row>
    <row r="472" spans="1:46" s="930" customFormat="1">
      <c r="A472" s="892"/>
      <c r="B472" s="899"/>
      <c r="C472" s="900"/>
      <c r="D472" s="894"/>
      <c r="E472" s="936"/>
      <c r="F472" s="905"/>
      <c r="G472" s="896"/>
      <c r="H472" s="897"/>
      <c r="I472" s="897"/>
      <c r="J472" s="898"/>
      <c r="K472" s="898"/>
      <c r="L472" s="898"/>
      <c r="M472" s="898"/>
      <c r="N472" s="898"/>
      <c r="O472" s="898"/>
      <c r="P472" s="898"/>
      <c r="Q472" s="898"/>
      <c r="R472" s="898"/>
      <c r="S472" s="898"/>
      <c r="T472" s="898"/>
      <c r="U472" s="898"/>
      <c r="V472" s="898"/>
      <c r="W472" s="898"/>
      <c r="X472" s="898"/>
      <c r="Y472" s="898"/>
      <c r="Z472" s="898"/>
      <c r="AA472" s="898"/>
      <c r="AB472" s="898"/>
      <c r="AC472" s="898"/>
      <c r="AD472" s="898"/>
      <c r="AE472" s="898"/>
      <c r="AF472" s="898"/>
      <c r="AG472" s="898"/>
      <c r="AH472" s="898"/>
      <c r="AI472" s="898"/>
      <c r="AJ472" s="898"/>
      <c r="AK472" s="898"/>
      <c r="AL472" s="898"/>
      <c r="AM472" s="897"/>
      <c r="AN472" s="897"/>
      <c r="AO472" s="897"/>
      <c r="AP472" s="897"/>
      <c r="AQ472" s="897"/>
      <c r="AR472" s="897"/>
      <c r="AS472" s="897"/>
      <c r="AT472" s="897"/>
    </row>
    <row r="473" spans="1:46" s="930" customFormat="1">
      <c r="A473" s="892"/>
      <c r="B473" s="899"/>
      <c r="C473" s="900"/>
      <c r="D473" s="894"/>
      <c r="E473" s="936"/>
      <c r="F473" s="905"/>
      <c r="G473" s="896"/>
      <c r="H473" s="897"/>
      <c r="I473" s="897"/>
      <c r="J473" s="898"/>
      <c r="K473" s="898"/>
      <c r="L473" s="898"/>
      <c r="M473" s="898"/>
      <c r="N473" s="898"/>
      <c r="O473" s="898"/>
      <c r="P473" s="898"/>
      <c r="Q473" s="898"/>
      <c r="R473" s="898"/>
      <c r="S473" s="898"/>
      <c r="T473" s="898"/>
      <c r="U473" s="898"/>
      <c r="V473" s="898"/>
      <c r="W473" s="898"/>
      <c r="X473" s="898"/>
      <c r="Y473" s="898"/>
      <c r="Z473" s="898"/>
      <c r="AA473" s="898"/>
      <c r="AB473" s="898"/>
      <c r="AC473" s="898"/>
      <c r="AD473" s="898"/>
      <c r="AE473" s="898"/>
      <c r="AF473" s="898"/>
      <c r="AG473" s="898"/>
      <c r="AH473" s="898"/>
      <c r="AI473" s="898"/>
      <c r="AJ473" s="898"/>
      <c r="AK473" s="898"/>
      <c r="AL473" s="898"/>
      <c r="AM473" s="897"/>
      <c r="AN473" s="897"/>
      <c r="AO473" s="897"/>
      <c r="AP473" s="897"/>
      <c r="AQ473" s="897"/>
      <c r="AR473" s="897"/>
      <c r="AS473" s="897"/>
      <c r="AT473" s="897"/>
    </row>
    <row r="474" spans="1:46" s="930" customFormat="1">
      <c r="A474" s="892"/>
      <c r="B474" s="899"/>
      <c r="C474" s="900"/>
      <c r="D474" s="894"/>
      <c r="E474" s="936"/>
      <c r="F474" s="905"/>
      <c r="G474" s="896"/>
      <c r="H474" s="897"/>
      <c r="I474" s="897"/>
      <c r="J474" s="898"/>
      <c r="K474" s="898"/>
      <c r="L474" s="898"/>
      <c r="M474" s="898"/>
      <c r="N474" s="898"/>
      <c r="O474" s="898"/>
      <c r="P474" s="898"/>
      <c r="Q474" s="898"/>
      <c r="R474" s="898"/>
      <c r="S474" s="898"/>
      <c r="T474" s="898"/>
      <c r="U474" s="898"/>
      <c r="V474" s="898"/>
      <c r="W474" s="898"/>
      <c r="X474" s="898"/>
      <c r="Y474" s="898"/>
      <c r="Z474" s="898"/>
      <c r="AA474" s="898"/>
      <c r="AB474" s="898"/>
      <c r="AC474" s="898"/>
      <c r="AD474" s="898"/>
      <c r="AE474" s="898"/>
      <c r="AF474" s="898"/>
      <c r="AG474" s="898"/>
      <c r="AH474" s="898"/>
      <c r="AI474" s="898"/>
      <c r="AJ474" s="898"/>
      <c r="AK474" s="898"/>
      <c r="AL474" s="898"/>
      <c r="AM474" s="897"/>
      <c r="AN474" s="897"/>
      <c r="AO474" s="897"/>
      <c r="AP474" s="897"/>
      <c r="AQ474" s="897"/>
      <c r="AR474" s="897"/>
      <c r="AS474" s="897"/>
      <c r="AT474" s="897"/>
    </row>
    <row r="475" spans="1:46" s="930" customFormat="1">
      <c r="A475" s="892"/>
      <c r="B475" s="899"/>
      <c r="C475" s="900"/>
      <c r="D475" s="894"/>
      <c r="E475" s="936"/>
      <c r="F475" s="905"/>
      <c r="G475" s="896"/>
      <c r="H475" s="897"/>
      <c r="I475" s="897"/>
      <c r="J475" s="898"/>
      <c r="K475" s="898"/>
      <c r="L475" s="898"/>
      <c r="M475" s="898"/>
      <c r="N475" s="898"/>
      <c r="O475" s="898"/>
      <c r="P475" s="898"/>
      <c r="Q475" s="898"/>
      <c r="R475" s="898"/>
      <c r="S475" s="898"/>
      <c r="T475" s="898"/>
      <c r="U475" s="898"/>
      <c r="V475" s="898"/>
      <c r="W475" s="898"/>
      <c r="X475" s="898"/>
      <c r="Y475" s="898"/>
      <c r="Z475" s="898"/>
      <c r="AA475" s="898"/>
      <c r="AB475" s="898"/>
      <c r="AC475" s="898"/>
      <c r="AD475" s="898"/>
      <c r="AE475" s="898"/>
      <c r="AF475" s="898"/>
      <c r="AG475" s="898"/>
      <c r="AH475" s="898"/>
      <c r="AI475" s="898"/>
      <c r="AJ475" s="898"/>
      <c r="AK475" s="898"/>
      <c r="AL475" s="898"/>
      <c r="AM475" s="897"/>
      <c r="AN475" s="897"/>
      <c r="AO475" s="897"/>
      <c r="AP475" s="897"/>
      <c r="AQ475" s="897"/>
      <c r="AR475" s="897"/>
      <c r="AS475" s="897"/>
      <c r="AT475" s="897"/>
    </row>
    <row r="476" spans="1:46" s="930" customFormat="1">
      <c r="A476" s="892"/>
      <c r="B476" s="899"/>
      <c r="C476" s="900"/>
      <c r="D476" s="894"/>
      <c r="E476" s="936"/>
      <c r="F476" s="905"/>
      <c r="G476" s="896"/>
      <c r="H476" s="897"/>
      <c r="I476" s="897"/>
      <c r="J476" s="898"/>
      <c r="K476" s="898"/>
      <c r="L476" s="898"/>
      <c r="M476" s="898"/>
      <c r="N476" s="898"/>
      <c r="O476" s="898"/>
      <c r="P476" s="898"/>
      <c r="Q476" s="898"/>
      <c r="R476" s="898"/>
      <c r="S476" s="898"/>
      <c r="T476" s="898"/>
      <c r="U476" s="898"/>
      <c r="V476" s="898"/>
      <c r="W476" s="898"/>
      <c r="X476" s="898"/>
      <c r="Y476" s="898"/>
      <c r="Z476" s="898"/>
      <c r="AA476" s="898"/>
      <c r="AB476" s="898"/>
      <c r="AC476" s="898"/>
      <c r="AD476" s="898"/>
      <c r="AE476" s="898"/>
      <c r="AF476" s="898"/>
      <c r="AG476" s="898"/>
      <c r="AH476" s="898"/>
      <c r="AI476" s="898"/>
      <c r="AJ476" s="898"/>
      <c r="AK476" s="898"/>
      <c r="AL476" s="898"/>
      <c r="AM476" s="897"/>
      <c r="AN476" s="897"/>
      <c r="AO476" s="897"/>
      <c r="AP476" s="897"/>
      <c r="AQ476" s="897"/>
      <c r="AR476" s="897"/>
      <c r="AS476" s="897"/>
      <c r="AT476" s="897"/>
    </row>
    <row r="477" spans="1:46" s="930" customFormat="1">
      <c r="A477" s="892"/>
      <c r="B477" s="899"/>
      <c r="C477" s="900"/>
      <c r="D477" s="894"/>
      <c r="E477" s="936"/>
      <c r="F477" s="905"/>
      <c r="G477" s="896"/>
      <c r="H477" s="897"/>
      <c r="I477" s="897"/>
      <c r="J477" s="898"/>
      <c r="K477" s="898"/>
      <c r="L477" s="898"/>
      <c r="M477" s="898"/>
      <c r="N477" s="898"/>
      <c r="O477" s="898"/>
      <c r="P477" s="898"/>
      <c r="Q477" s="898"/>
      <c r="R477" s="898"/>
      <c r="S477" s="898"/>
      <c r="T477" s="898"/>
      <c r="U477" s="898"/>
      <c r="V477" s="898"/>
      <c r="W477" s="898"/>
      <c r="X477" s="898"/>
      <c r="Y477" s="898"/>
      <c r="Z477" s="898"/>
      <c r="AA477" s="898"/>
      <c r="AB477" s="898"/>
      <c r="AC477" s="898"/>
      <c r="AD477" s="898"/>
      <c r="AE477" s="898"/>
      <c r="AF477" s="898"/>
      <c r="AG477" s="898"/>
      <c r="AH477" s="898"/>
      <c r="AI477" s="898"/>
      <c r="AJ477" s="898"/>
      <c r="AK477" s="898"/>
      <c r="AL477" s="898"/>
      <c r="AM477" s="897"/>
      <c r="AN477" s="897"/>
      <c r="AO477" s="897"/>
      <c r="AP477" s="897"/>
      <c r="AQ477" s="897"/>
      <c r="AR477" s="897"/>
      <c r="AS477" s="897"/>
      <c r="AT477" s="897"/>
    </row>
    <row r="478" spans="1:46" s="930" customFormat="1">
      <c r="A478" s="892"/>
      <c r="B478" s="899"/>
      <c r="C478" s="900"/>
      <c r="D478" s="894"/>
      <c r="E478" s="936"/>
      <c r="F478" s="905"/>
      <c r="G478" s="896"/>
      <c r="H478" s="897"/>
      <c r="I478" s="897"/>
      <c r="J478" s="898"/>
      <c r="K478" s="898"/>
      <c r="L478" s="898"/>
      <c r="M478" s="898"/>
      <c r="N478" s="898"/>
      <c r="O478" s="898"/>
      <c r="P478" s="898"/>
      <c r="Q478" s="898"/>
      <c r="R478" s="898"/>
      <c r="S478" s="898"/>
      <c r="T478" s="898"/>
      <c r="U478" s="898"/>
      <c r="V478" s="898"/>
      <c r="W478" s="898"/>
      <c r="X478" s="898"/>
      <c r="Y478" s="898"/>
      <c r="Z478" s="898"/>
      <c r="AA478" s="898"/>
      <c r="AB478" s="898"/>
      <c r="AC478" s="898"/>
      <c r="AD478" s="898"/>
      <c r="AE478" s="898"/>
      <c r="AF478" s="898"/>
      <c r="AG478" s="898"/>
      <c r="AH478" s="898"/>
      <c r="AI478" s="898"/>
      <c r="AJ478" s="898"/>
      <c r="AK478" s="898"/>
      <c r="AL478" s="898"/>
      <c r="AM478" s="897"/>
      <c r="AN478" s="897"/>
      <c r="AO478" s="897"/>
      <c r="AP478" s="897"/>
      <c r="AQ478" s="897"/>
      <c r="AR478" s="897"/>
      <c r="AS478" s="897"/>
      <c r="AT478" s="897"/>
    </row>
    <row r="479" spans="1:46" s="930" customFormat="1">
      <c r="A479" s="892"/>
      <c r="B479" s="899"/>
      <c r="C479" s="900"/>
      <c r="D479" s="894"/>
      <c r="E479" s="936"/>
      <c r="F479" s="905"/>
      <c r="G479" s="896"/>
      <c r="H479" s="897"/>
      <c r="I479" s="897"/>
      <c r="J479" s="898"/>
      <c r="K479" s="898"/>
      <c r="L479" s="898"/>
      <c r="M479" s="898"/>
      <c r="N479" s="898"/>
      <c r="O479" s="898"/>
      <c r="P479" s="898"/>
      <c r="Q479" s="898"/>
      <c r="R479" s="898"/>
      <c r="S479" s="898"/>
      <c r="T479" s="898"/>
      <c r="U479" s="898"/>
      <c r="V479" s="898"/>
      <c r="W479" s="898"/>
      <c r="X479" s="898"/>
      <c r="Y479" s="898"/>
      <c r="Z479" s="898"/>
      <c r="AA479" s="898"/>
      <c r="AB479" s="898"/>
      <c r="AC479" s="898"/>
      <c r="AD479" s="898"/>
      <c r="AE479" s="898"/>
      <c r="AF479" s="898"/>
      <c r="AG479" s="898"/>
      <c r="AH479" s="898"/>
      <c r="AI479" s="898"/>
      <c r="AJ479" s="898"/>
      <c r="AK479" s="898"/>
      <c r="AL479" s="898"/>
      <c r="AM479" s="897"/>
      <c r="AN479" s="897"/>
      <c r="AO479" s="897"/>
      <c r="AP479" s="897"/>
      <c r="AQ479" s="897"/>
      <c r="AR479" s="897"/>
      <c r="AS479" s="897"/>
      <c r="AT479" s="897"/>
    </row>
    <row r="480" spans="1:46" s="930" customFormat="1">
      <c r="A480" s="892"/>
      <c r="B480" s="899"/>
      <c r="C480" s="900"/>
      <c r="D480" s="894"/>
      <c r="E480" s="936"/>
      <c r="F480" s="905"/>
      <c r="G480" s="896"/>
      <c r="H480" s="897"/>
      <c r="I480" s="897"/>
      <c r="J480" s="898"/>
      <c r="K480" s="898"/>
      <c r="L480" s="898"/>
      <c r="M480" s="898"/>
      <c r="N480" s="898"/>
      <c r="O480" s="898"/>
      <c r="P480" s="898"/>
      <c r="Q480" s="898"/>
      <c r="R480" s="898"/>
      <c r="S480" s="898"/>
      <c r="T480" s="898"/>
      <c r="U480" s="898"/>
      <c r="V480" s="898"/>
      <c r="W480" s="898"/>
      <c r="X480" s="898"/>
      <c r="Y480" s="898"/>
      <c r="Z480" s="898"/>
      <c r="AA480" s="898"/>
      <c r="AB480" s="898"/>
      <c r="AC480" s="898"/>
      <c r="AD480" s="898"/>
      <c r="AE480" s="898"/>
      <c r="AF480" s="898"/>
      <c r="AG480" s="898"/>
      <c r="AH480" s="898"/>
      <c r="AI480" s="898"/>
      <c r="AJ480" s="898"/>
      <c r="AK480" s="898"/>
      <c r="AL480" s="898"/>
      <c r="AM480" s="897"/>
      <c r="AN480" s="897"/>
      <c r="AO480" s="897"/>
      <c r="AP480" s="897"/>
      <c r="AQ480" s="897"/>
      <c r="AR480" s="897"/>
      <c r="AS480" s="897"/>
      <c r="AT480" s="897"/>
    </row>
    <row r="481" spans="1:46" s="930" customFormat="1">
      <c r="A481" s="892"/>
      <c r="B481" s="899"/>
      <c r="C481" s="900"/>
      <c r="D481" s="894"/>
      <c r="E481" s="936"/>
      <c r="F481" s="905"/>
      <c r="G481" s="896"/>
      <c r="H481" s="897"/>
      <c r="I481" s="897"/>
      <c r="J481" s="898"/>
      <c r="K481" s="898"/>
      <c r="L481" s="898"/>
      <c r="M481" s="898"/>
      <c r="N481" s="898"/>
      <c r="O481" s="898"/>
      <c r="P481" s="898"/>
      <c r="Q481" s="898"/>
      <c r="R481" s="898"/>
      <c r="S481" s="898"/>
      <c r="T481" s="898"/>
      <c r="U481" s="898"/>
      <c r="V481" s="898"/>
      <c r="W481" s="898"/>
      <c r="X481" s="898"/>
      <c r="Y481" s="898"/>
      <c r="Z481" s="898"/>
      <c r="AA481" s="898"/>
      <c r="AB481" s="898"/>
      <c r="AC481" s="898"/>
      <c r="AD481" s="898"/>
      <c r="AE481" s="898"/>
      <c r="AF481" s="898"/>
      <c r="AG481" s="898"/>
      <c r="AH481" s="898"/>
      <c r="AI481" s="898"/>
      <c r="AJ481" s="898"/>
      <c r="AK481" s="898"/>
      <c r="AL481" s="898"/>
      <c r="AM481" s="897"/>
      <c r="AN481" s="897"/>
      <c r="AO481" s="897"/>
      <c r="AP481" s="897"/>
      <c r="AQ481" s="897"/>
      <c r="AR481" s="897"/>
      <c r="AS481" s="897"/>
      <c r="AT481" s="897"/>
    </row>
    <row r="482" spans="1:46" s="930" customFormat="1">
      <c r="A482" s="892"/>
      <c r="B482" s="899"/>
      <c r="C482" s="900"/>
      <c r="D482" s="894"/>
      <c r="E482" s="936"/>
      <c r="F482" s="905"/>
      <c r="G482" s="896"/>
      <c r="H482" s="897"/>
      <c r="I482" s="897"/>
      <c r="J482" s="898"/>
      <c r="K482" s="898"/>
      <c r="L482" s="898"/>
      <c r="M482" s="898"/>
      <c r="N482" s="898"/>
      <c r="O482" s="898"/>
      <c r="P482" s="898"/>
      <c r="Q482" s="898"/>
      <c r="R482" s="898"/>
      <c r="S482" s="898"/>
      <c r="T482" s="898"/>
      <c r="U482" s="898"/>
      <c r="V482" s="898"/>
      <c r="W482" s="898"/>
      <c r="X482" s="898"/>
      <c r="Y482" s="898"/>
      <c r="Z482" s="898"/>
      <c r="AA482" s="898"/>
      <c r="AB482" s="898"/>
      <c r="AC482" s="898"/>
      <c r="AD482" s="898"/>
      <c r="AE482" s="898"/>
      <c r="AF482" s="898"/>
      <c r="AG482" s="898"/>
      <c r="AH482" s="898"/>
      <c r="AI482" s="898"/>
      <c r="AJ482" s="898"/>
      <c r="AK482" s="898"/>
      <c r="AL482" s="898"/>
      <c r="AM482" s="897"/>
      <c r="AN482" s="897"/>
      <c r="AO482" s="897"/>
      <c r="AP482" s="897"/>
      <c r="AQ482" s="897"/>
      <c r="AR482" s="897"/>
      <c r="AS482" s="897"/>
      <c r="AT482" s="897"/>
    </row>
    <row r="483" spans="1:46" s="930" customFormat="1">
      <c r="A483" s="892"/>
      <c r="B483" s="899"/>
      <c r="C483" s="900"/>
      <c r="D483" s="894"/>
      <c r="E483" s="936"/>
      <c r="F483" s="905"/>
      <c r="G483" s="896"/>
      <c r="H483" s="897"/>
      <c r="I483" s="897"/>
      <c r="J483" s="898"/>
      <c r="K483" s="898"/>
      <c r="L483" s="898"/>
      <c r="M483" s="898"/>
      <c r="N483" s="898"/>
      <c r="O483" s="898"/>
      <c r="P483" s="898"/>
      <c r="Q483" s="898"/>
      <c r="R483" s="898"/>
      <c r="S483" s="898"/>
      <c r="T483" s="898"/>
      <c r="U483" s="898"/>
      <c r="V483" s="898"/>
      <c r="W483" s="898"/>
      <c r="X483" s="898"/>
      <c r="Y483" s="898"/>
      <c r="Z483" s="898"/>
      <c r="AA483" s="898"/>
      <c r="AB483" s="898"/>
      <c r="AC483" s="898"/>
      <c r="AD483" s="898"/>
      <c r="AE483" s="898"/>
      <c r="AF483" s="898"/>
      <c r="AG483" s="898"/>
      <c r="AH483" s="898"/>
      <c r="AI483" s="898"/>
      <c r="AJ483" s="898"/>
      <c r="AK483" s="898"/>
      <c r="AL483" s="898"/>
      <c r="AM483" s="897"/>
      <c r="AN483" s="897"/>
      <c r="AO483" s="897"/>
      <c r="AP483" s="897"/>
      <c r="AQ483" s="897"/>
      <c r="AR483" s="897"/>
      <c r="AS483" s="897"/>
      <c r="AT483" s="897"/>
    </row>
    <row r="484" spans="1:46" s="930" customFormat="1">
      <c r="A484" s="892"/>
      <c r="B484" s="899"/>
      <c r="C484" s="900"/>
      <c r="D484" s="894"/>
      <c r="E484" s="936"/>
      <c r="F484" s="905"/>
      <c r="G484" s="896"/>
      <c r="H484" s="897"/>
      <c r="I484" s="897"/>
      <c r="J484" s="898"/>
      <c r="K484" s="898"/>
      <c r="L484" s="898"/>
      <c r="M484" s="898"/>
      <c r="N484" s="898"/>
      <c r="O484" s="898"/>
      <c r="P484" s="898"/>
      <c r="Q484" s="898"/>
      <c r="R484" s="898"/>
      <c r="S484" s="898"/>
      <c r="T484" s="898"/>
      <c r="U484" s="898"/>
      <c r="V484" s="898"/>
      <c r="W484" s="898"/>
      <c r="X484" s="898"/>
      <c r="Y484" s="898"/>
      <c r="Z484" s="898"/>
      <c r="AA484" s="898"/>
      <c r="AB484" s="898"/>
      <c r="AC484" s="898"/>
      <c r="AD484" s="898"/>
      <c r="AE484" s="898"/>
      <c r="AF484" s="898"/>
      <c r="AG484" s="898"/>
      <c r="AH484" s="898"/>
      <c r="AI484" s="898"/>
      <c r="AJ484" s="898"/>
      <c r="AK484" s="898"/>
      <c r="AL484" s="898"/>
      <c r="AM484" s="897"/>
      <c r="AN484" s="897"/>
      <c r="AO484" s="897"/>
      <c r="AP484" s="897"/>
      <c r="AQ484" s="897"/>
      <c r="AR484" s="897"/>
      <c r="AS484" s="897"/>
      <c r="AT484" s="897"/>
    </row>
    <row r="485" spans="1:46" s="930" customFormat="1">
      <c r="A485" s="892"/>
      <c r="B485" s="899"/>
      <c r="C485" s="900"/>
      <c r="D485" s="894"/>
      <c r="E485" s="936"/>
      <c r="F485" s="905"/>
      <c r="G485" s="896"/>
      <c r="H485" s="897"/>
      <c r="I485" s="897"/>
      <c r="J485" s="898"/>
      <c r="K485" s="898"/>
      <c r="L485" s="898"/>
      <c r="M485" s="898"/>
      <c r="N485" s="898"/>
      <c r="O485" s="898"/>
      <c r="P485" s="898"/>
      <c r="Q485" s="898"/>
      <c r="R485" s="898"/>
      <c r="S485" s="898"/>
      <c r="T485" s="898"/>
      <c r="U485" s="898"/>
      <c r="V485" s="898"/>
      <c r="W485" s="898"/>
      <c r="X485" s="898"/>
      <c r="Y485" s="898"/>
      <c r="Z485" s="898"/>
      <c r="AA485" s="898"/>
      <c r="AB485" s="898"/>
      <c r="AC485" s="898"/>
      <c r="AD485" s="898"/>
      <c r="AE485" s="898"/>
      <c r="AF485" s="898"/>
      <c r="AG485" s="898"/>
      <c r="AH485" s="898"/>
      <c r="AI485" s="898"/>
      <c r="AJ485" s="898"/>
      <c r="AK485" s="898"/>
      <c r="AL485" s="898"/>
      <c r="AM485" s="897"/>
      <c r="AN485" s="897"/>
      <c r="AO485" s="897"/>
      <c r="AP485" s="897"/>
      <c r="AQ485" s="897"/>
      <c r="AR485" s="897"/>
      <c r="AS485" s="897"/>
      <c r="AT485" s="897"/>
    </row>
    <row r="486" spans="1:46" s="930" customFormat="1">
      <c r="A486" s="892"/>
      <c r="B486" s="899"/>
      <c r="C486" s="900"/>
      <c r="D486" s="894"/>
      <c r="E486" s="936"/>
      <c r="F486" s="905"/>
      <c r="G486" s="896"/>
      <c r="H486" s="897"/>
      <c r="I486" s="897"/>
      <c r="J486" s="898"/>
      <c r="K486" s="898"/>
      <c r="L486" s="898"/>
      <c r="M486" s="898"/>
      <c r="N486" s="898"/>
      <c r="O486" s="898"/>
      <c r="P486" s="898"/>
      <c r="Q486" s="898"/>
      <c r="R486" s="898"/>
      <c r="S486" s="898"/>
      <c r="T486" s="898"/>
      <c r="U486" s="898"/>
      <c r="V486" s="898"/>
      <c r="W486" s="898"/>
      <c r="X486" s="898"/>
      <c r="Y486" s="898"/>
      <c r="Z486" s="898"/>
      <c r="AA486" s="898"/>
      <c r="AB486" s="898"/>
      <c r="AC486" s="898"/>
      <c r="AD486" s="898"/>
      <c r="AE486" s="898"/>
      <c r="AF486" s="898"/>
      <c r="AG486" s="898"/>
      <c r="AH486" s="898"/>
      <c r="AI486" s="898"/>
      <c r="AJ486" s="898"/>
      <c r="AK486" s="898"/>
      <c r="AL486" s="898"/>
      <c r="AM486" s="897"/>
      <c r="AN486" s="897"/>
      <c r="AO486" s="897"/>
      <c r="AP486" s="897"/>
      <c r="AQ486" s="897"/>
      <c r="AR486" s="897"/>
      <c r="AS486" s="897"/>
      <c r="AT486" s="897"/>
    </row>
    <row r="487" spans="1:46" s="930" customFormat="1">
      <c r="A487" s="892"/>
      <c r="B487" s="899"/>
      <c r="C487" s="900"/>
      <c r="D487" s="894"/>
      <c r="E487" s="936"/>
      <c r="F487" s="905"/>
      <c r="G487" s="896"/>
      <c r="H487" s="897"/>
      <c r="I487" s="897"/>
      <c r="J487" s="898"/>
      <c r="K487" s="898"/>
      <c r="L487" s="898"/>
      <c r="M487" s="898"/>
      <c r="N487" s="898"/>
      <c r="O487" s="898"/>
      <c r="P487" s="898"/>
      <c r="Q487" s="898"/>
      <c r="R487" s="898"/>
      <c r="S487" s="898"/>
      <c r="T487" s="898"/>
      <c r="U487" s="898"/>
      <c r="V487" s="898"/>
      <c r="W487" s="898"/>
      <c r="X487" s="898"/>
      <c r="Y487" s="898"/>
      <c r="Z487" s="898"/>
      <c r="AA487" s="898"/>
      <c r="AB487" s="898"/>
      <c r="AC487" s="898"/>
      <c r="AD487" s="898"/>
      <c r="AE487" s="898"/>
      <c r="AF487" s="898"/>
      <c r="AG487" s="898"/>
      <c r="AH487" s="898"/>
      <c r="AI487" s="898"/>
      <c r="AJ487" s="898"/>
      <c r="AK487" s="898"/>
      <c r="AL487" s="898"/>
      <c r="AM487" s="897"/>
      <c r="AN487" s="897"/>
      <c r="AO487" s="897"/>
      <c r="AP487" s="897"/>
      <c r="AQ487" s="897"/>
      <c r="AR487" s="897"/>
      <c r="AS487" s="897"/>
      <c r="AT487" s="897"/>
    </row>
    <row r="488" spans="1:46" s="930" customFormat="1">
      <c r="A488" s="892"/>
      <c r="B488" s="899"/>
      <c r="C488" s="900"/>
      <c r="D488" s="894"/>
      <c r="E488" s="936"/>
      <c r="F488" s="905"/>
      <c r="G488" s="896"/>
      <c r="H488" s="897"/>
      <c r="I488" s="897"/>
      <c r="J488" s="898"/>
      <c r="K488" s="898"/>
      <c r="L488" s="898"/>
      <c r="M488" s="898"/>
      <c r="N488" s="898"/>
      <c r="O488" s="898"/>
      <c r="P488" s="898"/>
      <c r="Q488" s="898"/>
      <c r="R488" s="898"/>
      <c r="S488" s="898"/>
      <c r="T488" s="898"/>
      <c r="U488" s="898"/>
      <c r="V488" s="898"/>
      <c r="W488" s="898"/>
      <c r="X488" s="898"/>
      <c r="Y488" s="898"/>
      <c r="Z488" s="898"/>
      <c r="AA488" s="898"/>
      <c r="AB488" s="898"/>
      <c r="AC488" s="898"/>
      <c r="AD488" s="898"/>
      <c r="AE488" s="898"/>
      <c r="AF488" s="898"/>
      <c r="AG488" s="898"/>
      <c r="AH488" s="898"/>
      <c r="AI488" s="898"/>
      <c r="AJ488" s="898"/>
      <c r="AK488" s="898"/>
      <c r="AL488" s="898"/>
      <c r="AM488" s="897"/>
      <c r="AN488" s="897"/>
      <c r="AO488" s="897"/>
      <c r="AP488" s="897"/>
      <c r="AQ488" s="897"/>
      <c r="AR488" s="897"/>
      <c r="AS488" s="897"/>
      <c r="AT488" s="897"/>
    </row>
    <row r="489" spans="1:46" s="930" customFormat="1">
      <c r="A489" s="892"/>
      <c r="B489" s="899"/>
      <c r="C489" s="900"/>
      <c r="D489" s="894"/>
      <c r="E489" s="936"/>
      <c r="F489" s="905"/>
      <c r="G489" s="896"/>
      <c r="H489" s="897"/>
      <c r="I489" s="897"/>
      <c r="J489" s="898"/>
      <c r="K489" s="898"/>
      <c r="L489" s="898"/>
      <c r="M489" s="898"/>
      <c r="N489" s="898"/>
      <c r="O489" s="898"/>
      <c r="P489" s="898"/>
      <c r="Q489" s="898"/>
      <c r="R489" s="898"/>
      <c r="S489" s="898"/>
      <c r="T489" s="898"/>
      <c r="U489" s="898"/>
      <c r="V489" s="898"/>
      <c r="W489" s="898"/>
      <c r="X489" s="898"/>
      <c r="Y489" s="898"/>
      <c r="Z489" s="898"/>
      <c r="AA489" s="898"/>
      <c r="AB489" s="898"/>
      <c r="AC489" s="898"/>
      <c r="AD489" s="898"/>
      <c r="AE489" s="898"/>
      <c r="AF489" s="898"/>
      <c r="AG489" s="898"/>
      <c r="AH489" s="898"/>
      <c r="AI489" s="898"/>
      <c r="AJ489" s="898"/>
      <c r="AK489" s="898"/>
      <c r="AL489" s="898"/>
      <c r="AM489" s="897"/>
      <c r="AN489" s="897"/>
      <c r="AO489" s="897"/>
      <c r="AP489" s="897"/>
      <c r="AQ489" s="897"/>
      <c r="AR489" s="897"/>
      <c r="AS489" s="897"/>
      <c r="AT489" s="897"/>
    </row>
    <row r="490" spans="1:46" s="930" customFormat="1">
      <c r="A490" s="892"/>
      <c r="B490" s="899"/>
      <c r="C490" s="900"/>
      <c r="D490" s="894"/>
      <c r="E490" s="936"/>
      <c r="F490" s="905"/>
      <c r="G490" s="896"/>
      <c r="H490" s="897"/>
      <c r="I490" s="897"/>
      <c r="J490" s="898"/>
      <c r="K490" s="898"/>
      <c r="L490" s="898"/>
      <c r="M490" s="898"/>
      <c r="N490" s="898"/>
      <c r="O490" s="898"/>
      <c r="P490" s="898"/>
      <c r="Q490" s="898"/>
      <c r="R490" s="898"/>
      <c r="S490" s="898"/>
      <c r="T490" s="898"/>
      <c r="U490" s="898"/>
      <c r="V490" s="898"/>
      <c r="W490" s="898"/>
      <c r="X490" s="898"/>
      <c r="Y490" s="898"/>
      <c r="Z490" s="898"/>
      <c r="AA490" s="898"/>
      <c r="AB490" s="898"/>
      <c r="AC490" s="898"/>
      <c r="AD490" s="898"/>
      <c r="AE490" s="898"/>
      <c r="AF490" s="898"/>
      <c r="AG490" s="898"/>
      <c r="AH490" s="898"/>
      <c r="AI490" s="898"/>
      <c r="AJ490" s="898"/>
      <c r="AK490" s="898"/>
      <c r="AL490" s="898"/>
      <c r="AM490" s="897"/>
      <c r="AN490" s="897"/>
      <c r="AO490" s="897"/>
      <c r="AP490" s="897"/>
      <c r="AQ490" s="897"/>
      <c r="AR490" s="897"/>
      <c r="AS490" s="897"/>
      <c r="AT490" s="897"/>
    </row>
    <row r="491" spans="1:46" s="930" customFormat="1">
      <c r="A491" s="892"/>
      <c r="B491" s="899"/>
      <c r="C491" s="900"/>
      <c r="D491" s="894"/>
      <c r="E491" s="936"/>
      <c r="F491" s="905"/>
      <c r="G491" s="896"/>
      <c r="H491" s="897"/>
      <c r="I491" s="897"/>
      <c r="J491" s="898"/>
      <c r="K491" s="898"/>
      <c r="L491" s="898"/>
      <c r="M491" s="898"/>
      <c r="N491" s="898"/>
      <c r="O491" s="898"/>
      <c r="P491" s="898"/>
      <c r="Q491" s="898"/>
      <c r="R491" s="898"/>
      <c r="S491" s="898"/>
      <c r="T491" s="898"/>
      <c r="U491" s="898"/>
      <c r="V491" s="898"/>
      <c r="W491" s="898"/>
      <c r="X491" s="898"/>
      <c r="Y491" s="898"/>
      <c r="Z491" s="898"/>
      <c r="AA491" s="898"/>
      <c r="AB491" s="898"/>
      <c r="AC491" s="898"/>
      <c r="AD491" s="898"/>
      <c r="AE491" s="898"/>
      <c r="AF491" s="898"/>
      <c r="AG491" s="898"/>
      <c r="AH491" s="898"/>
      <c r="AI491" s="898"/>
      <c r="AJ491" s="898"/>
      <c r="AK491" s="898"/>
      <c r="AL491" s="898"/>
      <c r="AM491" s="897"/>
      <c r="AN491" s="897"/>
      <c r="AO491" s="897"/>
      <c r="AP491" s="897"/>
      <c r="AQ491" s="897"/>
      <c r="AR491" s="897"/>
      <c r="AS491" s="897"/>
      <c r="AT491" s="897"/>
    </row>
    <row r="492" spans="1:46" s="930" customFormat="1">
      <c r="A492" s="892"/>
      <c r="B492" s="899"/>
      <c r="C492" s="900"/>
      <c r="D492" s="894"/>
      <c r="E492" s="936"/>
      <c r="F492" s="905"/>
      <c r="G492" s="896"/>
      <c r="H492" s="897"/>
      <c r="I492" s="897"/>
      <c r="J492" s="898"/>
      <c r="K492" s="898"/>
      <c r="L492" s="898"/>
      <c r="M492" s="898"/>
      <c r="N492" s="898"/>
      <c r="O492" s="898"/>
      <c r="P492" s="898"/>
      <c r="Q492" s="898"/>
      <c r="R492" s="898"/>
      <c r="S492" s="898"/>
      <c r="T492" s="898"/>
      <c r="U492" s="898"/>
      <c r="V492" s="898"/>
      <c r="W492" s="898"/>
      <c r="X492" s="898"/>
      <c r="Y492" s="898"/>
      <c r="Z492" s="898"/>
      <c r="AA492" s="898"/>
      <c r="AB492" s="898"/>
      <c r="AC492" s="898"/>
      <c r="AD492" s="898"/>
      <c r="AE492" s="898"/>
      <c r="AF492" s="898"/>
      <c r="AG492" s="898"/>
      <c r="AH492" s="898"/>
      <c r="AI492" s="898"/>
      <c r="AJ492" s="898"/>
      <c r="AK492" s="898"/>
      <c r="AL492" s="898"/>
      <c r="AM492" s="897"/>
      <c r="AN492" s="897"/>
      <c r="AO492" s="897"/>
      <c r="AP492" s="897"/>
      <c r="AQ492" s="897"/>
      <c r="AR492" s="897"/>
      <c r="AS492" s="897"/>
      <c r="AT492" s="897"/>
    </row>
    <row r="493" spans="1:46" s="930" customFormat="1">
      <c r="A493" s="892"/>
      <c r="B493" s="899"/>
      <c r="C493" s="900"/>
      <c r="D493" s="894"/>
      <c r="E493" s="936"/>
      <c r="F493" s="905"/>
      <c r="G493" s="896"/>
      <c r="H493" s="897"/>
      <c r="I493" s="897"/>
      <c r="J493" s="898"/>
      <c r="K493" s="898"/>
      <c r="L493" s="898"/>
      <c r="M493" s="898"/>
      <c r="N493" s="898"/>
      <c r="O493" s="898"/>
      <c r="P493" s="898"/>
      <c r="Q493" s="898"/>
      <c r="R493" s="898"/>
      <c r="S493" s="898"/>
      <c r="T493" s="898"/>
      <c r="U493" s="898"/>
      <c r="V493" s="898"/>
      <c r="W493" s="898"/>
      <c r="X493" s="898"/>
      <c r="Y493" s="898"/>
      <c r="Z493" s="898"/>
      <c r="AA493" s="898"/>
      <c r="AB493" s="898"/>
      <c r="AC493" s="898"/>
      <c r="AD493" s="898"/>
      <c r="AE493" s="898"/>
      <c r="AF493" s="898"/>
      <c r="AG493" s="898"/>
      <c r="AH493" s="898"/>
      <c r="AI493" s="898"/>
      <c r="AJ493" s="898"/>
      <c r="AK493" s="898"/>
      <c r="AL493" s="898"/>
      <c r="AM493" s="897"/>
      <c r="AN493" s="897"/>
      <c r="AO493" s="897"/>
      <c r="AP493" s="897"/>
      <c r="AQ493" s="897"/>
      <c r="AR493" s="897"/>
      <c r="AS493" s="897"/>
      <c r="AT493" s="897"/>
    </row>
    <row r="494" spans="1:46" s="930" customFormat="1">
      <c r="A494" s="892"/>
      <c r="B494" s="899"/>
      <c r="C494" s="900"/>
      <c r="D494" s="894"/>
      <c r="E494" s="936"/>
      <c r="F494" s="905"/>
      <c r="G494" s="896"/>
      <c r="H494" s="897"/>
      <c r="I494" s="897"/>
      <c r="J494" s="898"/>
      <c r="K494" s="898"/>
      <c r="L494" s="898"/>
      <c r="M494" s="898"/>
      <c r="N494" s="898"/>
      <c r="O494" s="898"/>
      <c r="P494" s="898"/>
      <c r="Q494" s="898"/>
      <c r="R494" s="898"/>
      <c r="S494" s="898"/>
      <c r="T494" s="898"/>
      <c r="U494" s="898"/>
      <c r="V494" s="898"/>
      <c r="W494" s="898"/>
      <c r="X494" s="898"/>
      <c r="Y494" s="898"/>
      <c r="Z494" s="898"/>
      <c r="AA494" s="898"/>
      <c r="AB494" s="898"/>
      <c r="AC494" s="898"/>
      <c r="AD494" s="898"/>
      <c r="AE494" s="898"/>
      <c r="AF494" s="898"/>
      <c r="AG494" s="898"/>
      <c r="AH494" s="898"/>
      <c r="AI494" s="898"/>
      <c r="AJ494" s="898"/>
      <c r="AK494" s="898"/>
      <c r="AL494" s="898"/>
      <c r="AM494" s="897"/>
      <c r="AN494" s="897"/>
      <c r="AO494" s="897"/>
      <c r="AP494" s="897"/>
      <c r="AQ494" s="897"/>
      <c r="AR494" s="897"/>
      <c r="AS494" s="897"/>
      <c r="AT494" s="897"/>
    </row>
    <row r="495" spans="1:46" s="930" customFormat="1">
      <c r="A495" s="892"/>
      <c r="B495" s="899"/>
      <c r="C495" s="900"/>
      <c r="D495" s="894"/>
      <c r="E495" s="936"/>
      <c r="F495" s="905"/>
      <c r="G495" s="896"/>
      <c r="H495" s="897"/>
      <c r="I495" s="897"/>
      <c r="J495" s="898"/>
      <c r="K495" s="898"/>
      <c r="L495" s="898"/>
      <c r="M495" s="898"/>
      <c r="N495" s="898"/>
      <c r="O495" s="898"/>
      <c r="P495" s="898"/>
      <c r="Q495" s="898"/>
      <c r="R495" s="898"/>
      <c r="S495" s="898"/>
      <c r="T495" s="898"/>
      <c r="U495" s="898"/>
      <c r="V495" s="898"/>
      <c r="W495" s="898"/>
      <c r="X495" s="898"/>
      <c r="Y495" s="898"/>
      <c r="Z495" s="898"/>
      <c r="AA495" s="898"/>
      <c r="AB495" s="898"/>
      <c r="AC495" s="898"/>
      <c r="AD495" s="898"/>
      <c r="AE495" s="898"/>
      <c r="AF495" s="898"/>
      <c r="AG495" s="898"/>
      <c r="AH495" s="898"/>
      <c r="AI495" s="898"/>
      <c r="AJ495" s="898"/>
      <c r="AK495" s="898"/>
      <c r="AL495" s="898"/>
      <c r="AM495" s="897"/>
      <c r="AN495" s="897"/>
      <c r="AO495" s="897"/>
      <c r="AP495" s="897"/>
      <c r="AQ495" s="897"/>
      <c r="AR495" s="897"/>
      <c r="AS495" s="897"/>
      <c r="AT495" s="897"/>
    </row>
    <row r="496" spans="1:46" s="930" customFormat="1">
      <c r="A496" s="892"/>
      <c r="B496" s="899"/>
      <c r="C496" s="900"/>
      <c r="D496" s="894"/>
      <c r="E496" s="936"/>
      <c r="F496" s="905"/>
      <c r="G496" s="896"/>
      <c r="H496" s="897"/>
      <c r="I496" s="897"/>
      <c r="J496" s="898"/>
      <c r="K496" s="898"/>
      <c r="L496" s="898"/>
      <c r="M496" s="898"/>
      <c r="N496" s="898"/>
      <c r="O496" s="898"/>
      <c r="P496" s="898"/>
      <c r="Q496" s="898"/>
      <c r="R496" s="898"/>
      <c r="S496" s="898"/>
      <c r="T496" s="898"/>
      <c r="U496" s="898"/>
      <c r="V496" s="898"/>
      <c r="W496" s="898"/>
      <c r="X496" s="898"/>
      <c r="Y496" s="898"/>
      <c r="Z496" s="898"/>
      <c r="AA496" s="898"/>
      <c r="AB496" s="898"/>
      <c r="AC496" s="898"/>
      <c r="AD496" s="898"/>
      <c r="AE496" s="898"/>
      <c r="AF496" s="898"/>
      <c r="AG496" s="898"/>
      <c r="AH496" s="898"/>
      <c r="AI496" s="898"/>
      <c r="AJ496" s="898"/>
      <c r="AK496" s="898"/>
      <c r="AL496" s="898"/>
      <c r="AM496" s="897"/>
      <c r="AN496" s="897"/>
      <c r="AO496" s="897"/>
      <c r="AP496" s="897"/>
      <c r="AQ496" s="897"/>
      <c r="AR496" s="897"/>
      <c r="AS496" s="897"/>
      <c r="AT496" s="897"/>
    </row>
    <row r="497" spans="1:46" s="930" customFormat="1">
      <c r="A497" s="892"/>
      <c r="B497" s="899"/>
      <c r="C497" s="900"/>
      <c r="D497" s="894"/>
      <c r="E497" s="936"/>
      <c r="F497" s="905"/>
      <c r="G497" s="896"/>
      <c r="H497" s="897"/>
      <c r="I497" s="897"/>
      <c r="J497" s="898"/>
      <c r="K497" s="898"/>
      <c r="L497" s="898"/>
      <c r="M497" s="898"/>
      <c r="N497" s="898"/>
      <c r="O497" s="898"/>
      <c r="P497" s="898"/>
      <c r="Q497" s="898"/>
      <c r="R497" s="898"/>
      <c r="S497" s="898"/>
      <c r="T497" s="898"/>
      <c r="U497" s="898"/>
      <c r="V497" s="898"/>
      <c r="W497" s="898"/>
      <c r="X497" s="898"/>
      <c r="Y497" s="898"/>
      <c r="Z497" s="898"/>
      <c r="AA497" s="898"/>
      <c r="AB497" s="898"/>
      <c r="AC497" s="898"/>
      <c r="AD497" s="898"/>
      <c r="AE497" s="898"/>
      <c r="AF497" s="898"/>
      <c r="AG497" s="898"/>
      <c r="AH497" s="898"/>
      <c r="AI497" s="898"/>
      <c r="AJ497" s="898"/>
      <c r="AK497" s="898"/>
      <c r="AL497" s="898"/>
      <c r="AM497" s="897"/>
      <c r="AN497" s="897"/>
      <c r="AO497" s="897"/>
      <c r="AP497" s="897"/>
      <c r="AQ497" s="897"/>
      <c r="AR497" s="897"/>
      <c r="AS497" s="897"/>
      <c r="AT497" s="897"/>
    </row>
    <row r="498" spans="1:46" s="930" customFormat="1">
      <c r="A498" s="892"/>
      <c r="B498" s="899"/>
      <c r="C498" s="900"/>
      <c r="D498" s="894"/>
      <c r="E498" s="936"/>
      <c r="F498" s="905"/>
      <c r="G498" s="896"/>
      <c r="H498" s="897"/>
      <c r="I498" s="897"/>
      <c r="J498" s="898"/>
      <c r="K498" s="898"/>
      <c r="L498" s="898"/>
      <c r="M498" s="898"/>
      <c r="N498" s="898"/>
      <c r="O498" s="898"/>
      <c r="P498" s="898"/>
      <c r="Q498" s="898"/>
      <c r="R498" s="898"/>
      <c r="S498" s="898"/>
      <c r="T498" s="898"/>
      <c r="U498" s="898"/>
      <c r="V498" s="898"/>
      <c r="W498" s="898"/>
      <c r="X498" s="898"/>
      <c r="Y498" s="898"/>
      <c r="Z498" s="898"/>
      <c r="AA498" s="898"/>
      <c r="AB498" s="898"/>
      <c r="AC498" s="898"/>
      <c r="AD498" s="898"/>
      <c r="AE498" s="898"/>
      <c r="AF498" s="898"/>
      <c r="AG498" s="898"/>
      <c r="AH498" s="898"/>
      <c r="AI498" s="898"/>
      <c r="AJ498" s="898"/>
      <c r="AK498" s="898"/>
      <c r="AL498" s="898"/>
      <c r="AM498" s="897"/>
      <c r="AN498" s="897"/>
      <c r="AO498" s="897"/>
      <c r="AP498" s="897"/>
      <c r="AQ498" s="897"/>
      <c r="AR498" s="897"/>
      <c r="AS498" s="897"/>
      <c r="AT498" s="897"/>
    </row>
    <row r="499" spans="1:46" s="930" customFormat="1">
      <c r="A499" s="892"/>
      <c r="B499" s="899"/>
      <c r="C499" s="900"/>
      <c r="D499" s="894"/>
      <c r="E499" s="936"/>
      <c r="F499" s="905"/>
      <c r="G499" s="896"/>
      <c r="H499" s="897"/>
      <c r="I499" s="897"/>
      <c r="J499" s="898"/>
      <c r="K499" s="898"/>
      <c r="L499" s="898"/>
      <c r="M499" s="898"/>
      <c r="N499" s="898"/>
      <c r="O499" s="898"/>
      <c r="P499" s="898"/>
      <c r="Q499" s="898"/>
      <c r="R499" s="898"/>
      <c r="S499" s="898"/>
      <c r="T499" s="898"/>
      <c r="U499" s="898"/>
      <c r="V499" s="898"/>
      <c r="W499" s="898"/>
      <c r="X499" s="898"/>
      <c r="Y499" s="898"/>
      <c r="Z499" s="898"/>
      <c r="AA499" s="898"/>
      <c r="AB499" s="898"/>
      <c r="AC499" s="898"/>
      <c r="AD499" s="898"/>
      <c r="AE499" s="898"/>
      <c r="AF499" s="898"/>
      <c r="AG499" s="898"/>
      <c r="AH499" s="898"/>
      <c r="AI499" s="898"/>
      <c r="AJ499" s="898"/>
      <c r="AK499" s="898"/>
      <c r="AL499" s="898"/>
      <c r="AM499" s="897"/>
      <c r="AN499" s="897"/>
      <c r="AO499" s="897"/>
      <c r="AP499" s="897"/>
      <c r="AQ499" s="897"/>
      <c r="AR499" s="897"/>
      <c r="AS499" s="897"/>
      <c r="AT499" s="897"/>
    </row>
    <row r="500" spans="1:46" s="930" customFormat="1">
      <c r="A500" s="892"/>
      <c r="B500" s="899"/>
      <c r="C500" s="900"/>
      <c r="D500" s="894"/>
      <c r="E500" s="936"/>
      <c r="F500" s="905"/>
      <c r="G500" s="896"/>
      <c r="H500" s="897"/>
      <c r="I500" s="897"/>
      <c r="J500" s="898"/>
      <c r="K500" s="898"/>
      <c r="L500" s="898"/>
      <c r="M500" s="898"/>
      <c r="N500" s="898"/>
      <c r="O500" s="898"/>
      <c r="P500" s="898"/>
      <c r="Q500" s="898"/>
      <c r="R500" s="898"/>
      <c r="S500" s="898"/>
      <c r="T500" s="898"/>
      <c r="U500" s="898"/>
      <c r="V500" s="898"/>
      <c r="W500" s="898"/>
      <c r="X500" s="898"/>
      <c r="Y500" s="898"/>
      <c r="Z500" s="898"/>
      <c r="AA500" s="898"/>
      <c r="AB500" s="898"/>
      <c r="AC500" s="898"/>
      <c r="AD500" s="898"/>
      <c r="AE500" s="898"/>
      <c r="AF500" s="898"/>
      <c r="AG500" s="898"/>
      <c r="AH500" s="898"/>
      <c r="AI500" s="898"/>
      <c r="AJ500" s="898"/>
      <c r="AK500" s="898"/>
      <c r="AL500" s="898"/>
      <c r="AM500" s="897"/>
      <c r="AN500" s="897"/>
      <c r="AO500" s="897"/>
      <c r="AP500" s="897"/>
      <c r="AQ500" s="897"/>
      <c r="AR500" s="897"/>
      <c r="AS500" s="897"/>
      <c r="AT500" s="897"/>
    </row>
    <row r="501" spans="1:46" s="930" customFormat="1">
      <c r="A501" s="892"/>
      <c r="B501" s="899"/>
      <c r="C501" s="900"/>
      <c r="D501" s="894"/>
      <c r="E501" s="936"/>
      <c r="F501" s="905"/>
      <c r="G501" s="896"/>
      <c r="H501" s="897"/>
      <c r="I501" s="897"/>
      <c r="J501" s="898"/>
      <c r="K501" s="898"/>
      <c r="L501" s="898"/>
      <c r="M501" s="898"/>
      <c r="N501" s="898"/>
      <c r="O501" s="898"/>
      <c r="P501" s="898"/>
      <c r="Q501" s="898"/>
      <c r="R501" s="898"/>
      <c r="S501" s="898"/>
      <c r="T501" s="898"/>
      <c r="U501" s="898"/>
      <c r="V501" s="898"/>
      <c r="W501" s="898"/>
      <c r="X501" s="898"/>
      <c r="Y501" s="898"/>
      <c r="Z501" s="898"/>
      <c r="AA501" s="898"/>
      <c r="AB501" s="898"/>
      <c r="AC501" s="898"/>
      <c r="AD501" s="898"/>
      <c r="AE501" s="898"/>
      <c r="AF501" s="898"/>
      <c r="AG501" s="898"/>
      <c r="AH501" s="898"/>
      <c r="AI501" s="898"/>
      <c r="AJ501" s="898"/>
      <c r="AK501" s="898"/>
      <c r="AL501" s="898"/>
      <c r="AM501" s="897"/>
      <c r="AN501" s="897"/>
      <c r="AO501" s="897"/>
      <c r="AP501" s="897"/>
      <c r="AQ501" s="897"/>
      <c r="AR501" s="897"/>
      <c r="AS501" s="897"/>
      <c r="AT501" s="897"/>
    </row>
    <row r="502" spans="1:46" s="930" customFormat="1">
      <c r="A502" s="892"/>
      <c r="B502" s="899"/>
      <c r="C502" s="900"/>
      <c r="D502" s="894"/>
      <c r="E502" s="936"/>
      <c r="F502" s="905"/>
      <c r="G502" s="896"/>
      <c r="H502" s="897"/>
      <c r="I502" s="897"/>
      <c r="J502" s="898"/>
      <c r="K502" s="898"/>
      <c r="L502" s="898"/>
      <c r="M502" s="898"/>
      <c r="N502" s="898"/>
      <c r="O502" s="898"/>
      <c r="P502" s="898"/>
      <c r="Q502" s="898"/>
      <c r="R502" s="898"/>
      <c r="S502" s="898"/>
      <c r="T502" s="898"/>
      <c r="U502" s="898"/>
      <c r="V502" s="898"/>
      <c r="W502" s="898"/>
      <c r="X502" s="898"/>
      <c r="Y502" s="898"/>
      <c r="Z502" s="898"/>
      <c r="AA502" s="898"/>
      <c r="AB502" s="898"/>
      <c r="AC502" s="898"/>
      <c r="AD502" s="898"/>
      <c r="AE502" s="898"/>
      <c r="AF502" s="898"/>
      <c r="AG502" s="898"/>
      <c r="AH502" s="898"/>
      <c r="AI502" s="898"/>
      <c r="AJ502" s="898"/>
      <c r="AK502" s="898"/>
      <c r="AL502" s="898"/>
      <c r="AM502" s="897"/>
      <c r="AN502" s="897"/>
      <c r="AO502" s="897"/>
      <c r="AP502" s="897"/>
      <c r="AQ502" s="897"/>
      <c r="AR502" s="897"/>
      <c r="AS502" s="897"/>
      <c r="AT502" s="897"/>
    </row>
    <row r="503" spans="1:46" s="930" customFormat="1">
      <c r="A503" s="892"/>
      <c r="B503" s="899"/>
      <c r="C503" s="900"/>
      <c r="D503" s="894"/>
      <c r="E503" s="936"/>
      <c r="F503" s="905"/>
      <c r="G503" s="896"/>
      <c r="H503" s="897"/>
      <c r="I503" s="897"/>
      <c r="J503" s="898"/>
      <c r="K503" s="898"/>
      <c r="L503" s="898"/>
      <c r="M503" s="898"/>
      <c r="N503" s="898"/>
      <c r="O503" s="898"/>
      <c r="P503" s="898"/>
      <c r="Q503" s="898"/>
      <c r="R503" s="898"/>
      <c r="S503" s="898"/>
      <c r="T503" s="898"/>
      <c r="U503" s="898"/>
      <c r="V503" s="898"/>
      <c r="W503" s="898"/>
      <c r="X503" s="898"/>
      <c r="Y503" s="898"/>
      <c r="Z503" s="898"/>
      <c r="AA503" s="898"/>
      <c r="AB503" s="898"/>
      <c r="AC503" s="898"/>
      <c r="AD503" s="898"/>
      <c r="AE503" s="898"/>
      <c r="AF503" s="898"/>
      <c r="AG503" s="898"/>
      <c r="AH503" s="898"/>
      <c r="AI503" s="898"/>
      <c r="AJ503" s="898"/>
      <c r="AK503" s="898"/>
      <c r="AL503" s="898"/>
      <c r="AM503" s="897"/>
      <c r="AN503" s="897"/>
      <c r="AO503" s="897"/>
      <c r="AP503" s="897"/>
      <c r="AQ503" s="897"/>
      <c r="AR503" s="897"/>
      <c r="AS503" s="897"/>
      <c r="AT503" s="897"/>
    </row>
    <row r="504" spans="1:46" s="930" customFormat="1">
      <c r="A504" s="892"/>
      <c r="B504" s="899"/>
      <c r="C504" s="900"/>
      <c r="D504" s="894"/>
      <c r="E504" s="936"/>
      <c r="F504" s="905"/>
      <c r="G504" s="896"/>
      <c r="H504" s="897"/>
      <c r="I504" s="897"/>
      <c r="J504" s="898"/>
      <c r="K504" s="898"/>
      <c r="L504" s="898"/>
      <c r="M504" s="898"/>
      <c r="N504" s="898"/>
      <c r="O504" s="898"/>
      <c r="P504" s="898"/>
      <c r="Q504" s="898"/>
      <c r="R504" s="898"/>
      <c r="S504" s="898"/>
      <c r="T504" s="898"/>
      <c r="U504" s="898"/>
      <c r="V504" s="898"/>
      <c r="W504" s="898"/>
      <c r="X504" s="898"/>
      <c r="Y504" s="898"/>
      <c r="Z504" s="898"/>
      <c r="AA504" s="898"/>
      <c r="AB504" s="898"/>
      <c r="AC504" s="898"/>
      <c r="AD504" s="898"/>
      <c r="AE504" s="898"/>
      <c r="AF504" s="898"/>
      <c r="AG504" s="898"/>
      <c r="AH504" s="898"/>
      <c r="AI504" s="898"/>
      <c r="AJ504" s="898"/>
      <c r="AK504" s="898"/>
      <c r="AL504" s="898"/>
      <c r="AM504" s="897"/>
      <c r="AN504" s="897"/>
      <c r="AO504" s="897"/>
      <c r="AP504" s="897"/>
      <c r="AQ504" s="897"/>
      <c r="AR504" s="897"/>
      <c r="AS504" s="897"/>
      <c r="AT504" s="897"/>
    </row>
    <row r="505" spans="1:46" s="930" customFormat="1">
      <c r="A505" s="892"/>
      <c r="B505" s="899"/>
      <c r="C505" s="900"/>
      <c r="D505" s="894"/>
      <c r="E505" s="936"/>
      <c r="F505" s="905"/>
      <c r="G505" s="896"/>
      <c r="H505" s="897"/>
      <c r="I505" s="897"/>
      <c r="J505" s="898"/>
      <c r="K505" s="898"/>
      <c r="L505" s="898"/>
      <c r="M505" s="898"/>
      <c r="N505" s="898"/>
      <c r="O505" s="898"/>
      <c r="P505" s="898"/>
      <c r="Q505" s="898"/>
      <c r="R505" s="898"/>
      <c r="S505" s="898"/>
      <c r="T505" s="898"/>
      <c r="U505" s="898"/>
      <c r="V505" s="898"/>
      <c r="W505" s="898"/>
      <c r="X505" s="898"/>
      <c r="Y505" s="898"/>
      <c r="Z505" s="898"/>
      <c r="AA505" s="898"/>
      <c r="AB505" s="898"/>
      <c r="AC505" s="898"/>
      <c r="AD505" s="898"/>
      <c r="AE505" s="898"/>
      <c r="AF505" s="898"/>
      <c r="AG505" s="898"/>
      <c r="AH505" s="898"/>
      <c r="AI505" s="898"/>
      <c r="AJ505" s="898"/>
      <c r="AK505" s="898"/>
      <c r="AL505" s="898"/>
      <c r="AM505" s="897"/>
      <c r="AN505" s="897"/>
      <c r="AO505" s="897"/>
      <c r="AP505" s="897"/>
      <c r="AQ505" s="897"/>
      <c r="AR505" s="897"/>
      <c r="AS505" s="897"/>
      <c r="AT505" s="897"/>
    </row>
    <row r="506" spans="1:46" s="930" customFormat="1">
      <c r="A506" s="892"/>
      <c r="B506" s="899"/>
      <c r="C506" s="900"/>
      <c r="D506" s="894"/>
      <c r="E506" s="936"/>
      <c r="F506" s="905"/>
      <c r="G506" s="896"/>
      <c r="H506" s="897"/>
      <c r="I506" s="897"/>
      <c r="J506" s="898"/>
      <c r="K506" s="898"/>
      <c r="L506" s="898"/>
      <c r="M506" s="898"/>
      <c r="N506" s="898"/>
      <c r="O506" s="898"/>
      <c r="P506" s="898"/>
      <c r="Q506" s="898"/>
      <c r="R506" s="898"/>
      <c r="S506" s="898"/>
      <c r="T506" s="898"/>
      <c r="U506" s="898"/>
      <c r="V506" s="898"/>
      <c r="W506" s="898"/>
      <c r="X506" s="898"/>
      <c r="Y506" s="898"/>
      <c r="Z506" s="898"/>
      <c r="AA506" s="898"/>
      <c r="AB506" s="898"/>
      <c r="AC506" s="898"/>
      <c r="AD506" s="898"/>
      <c r="AE506" s="898"/>
      <c r="AF506" s="898"/>
      <c r="AG506" s="898"/>
      <c r="AH506" s="898"/>
      <c r="AI506" s="898"/>
      <c r="AJ506" s="898"/>
      <c r="AK506" s="898"/>
      <c r="AL506" s="898"/>
      <c r="AM506" s="897"/>
      <c r="AN506" s="897"/>
      <c r="AO506" s="897"/>
      <c r="AP506" s="897"/>
      <c r="AQ506" s="897"/>
      <c r="AR506" s="897"/>
      <c r="AS506" s="897"/>
      <c r="AT506" s="897"/>
    </row>
    <row r="507" spans="1:46" s="930" customFormat="1">
      <c r="A507" s="892"/>
      <c r="B507" s="899"/>
      <c r="C507" s="900"/>
      <c r="D507" s="894"/>
      <c r="E507" s="936"/>
      <c r="F507" s="905"/>
      <c r="G507" s="896"/>
      <c r="H507" s="897"/>
      <c r="I507" s="897"/>
      <c r="J507" s="898"/>
      <c r="K507" s="898"/>
      <c r="L507" s="898"/>
      <c r="M507" s="898"/>
      <c r="N507" s="898"/>
      <c r="O507" s="898"/>
      <c r="P507" s="898"/>
      <c r="Q507" s="898"/>
      <c r="R507" s="898"/>
      <c r="S507" s="898"/>
      <c r="T507" s="898"/>
      <c r="U507" s="898"/>
      <c r="V507" s="898"/>
      <c r="W507" s="898"/>
      <c r="X507" s="898"/>
      <c r="Y507" s="898"/>
      <c r="Z507" s="898"/>
      <c r="AA507" s="898"/>
      <c r="AB507" s="898"/>
      <c r="AC507" s="898"/>
      <c r="AD507" s="898"/>
      <c r="AE507" s="898"/>
      <c r="AF507" s="898"/>
      <c r="AG507" s="898"/>
      <c r="AH507" s="898"/>
      <c r="AI507" s="898"/>
      <c r="AJ507" s="898"/>
      <c r="AK507" s="898"/>
      <c r="AL507" s="898"/>
      <c r="AM507" s="897"/>
      <c r="AN507" s="897"/>
      <c r="AO507" s="897"/>
      <c r="AP507" s="897"/>
      <c r="AQ507" s="897"/>
      <c r="AR507" s="897"/>
      <c r="AS507" s="897"/>
      <c r="AT507" s="897"/>
    </row>
    <row r="508" spans="1:46" s="930" customFormat="1">
      <c r="A508" s="892"/>
      <c r="B508" s="899"/>
      <c r="C508" s="900"/>
      <c r="D508" s="894"/>
      <c r="E508" s="936"/>
      <c r="F508" s="905"/>
      <c r="G508" s="896"/>
      <c r="H508" s="897"/>
      <c r="I508" s="897"/>
      <c r="J508" s="898"/>
      <c r="K508" s="898"/>
      <c r="L508" s="898"/>
      <c r="M508" s="898"/>
      <c r="N508" s="898"/>
      <c r="O508" s="898"/>
      <c r="P508" s="898"/>
      <c r="Q508" s="898"/>
      <c r="R508" s="898"/>
      <c r="S508" s="898"/>
      <c r="T508" s="898"/>
      <c r="U508" s="898"/>
      <c r="V508" s="898"/>
      <c r="W508" s="898"/>
      <c r="X508" s="898"/>
      <c r="Y508" s="898"/>
      <c r="Z508" s="898"/>
      <c r="AA508" s="898"/>
      <c r="AB508" s="898"/>
      <c r="AC508" s="898"/>
      <c r="AD508" s="898"/>
      <c r="AE508" s="898"/>
      <c r="AF508" s="898"/>
      <c r="AG508" s="898"/>
      <c r="AH508" s="898"/>
      <c r="AI508" s="898"/>
      <c r="AJ508" s="898"/>
      <c r="AK508" s="898"/>
      <c r="AL508" s="898"/>
      <c r="AM508" s="897"/>
      <c r="AN508" s="897"/>
      <c r="AO508" s="897"/>
      <c r="AP508" s="897"/>
      <c r="AQ508" s="897"/>
      <c r="AR508" s="897"/>
      <c r="AS508" s="897"/>
      <c r="AT508" s="897"/>
    </row>
    <row r="509" spans="1:46" s="930" customFormat="1">
      <c r="A509" s="892"/>
      <c r="B509" s="899"/>
      <c r="C509" s="900"/>
      <c r="D509" s="894"/>
      <c r="E509" s="936"/>
      <c r="F509" s="905"/>
      <c r="G509" s="896"/>
      <c r="H509" s="897"/>
      <c r="I509" s="897"/>
      <c r="J509" s="898"/>
      <c r="K509" s="898"/>
      <c r="L509" s="898"/>
      <c r="M509" s="898"/>
      <c r="N509" s="898"/>
      <c r="O509" s="898"/>
      <c r="P509" s="898"/>
      <c r="Q509" s="898"/>
      <c r="R509" s="898"/>
      <c r="S509" s="898"/>
      <c r="T509" s="898"/>
      <c r="U509" s="898"/>
      <c r="V509" s="898"/>
      <c r="W509" s="898"/>
      <c r="X509" s="898"/>
      <c r="Y509" s="898"/>
      <c r="Z509" s="898"/>
      <c r="AA509" s="898"/>
      <c r="AB509" s="898"/>
      <c r="AC509" s="898"/>
      <c r="AD509" s="898"/>
      <c r="AE509" s="898"/>
      <c r="AF509" s="898"/>
      <c r="AG509" s="898"/>
      <c r="AH509" s="898"/>
      <c r="AI509" s="898"/>
      <c r="AJ509" s="898"/>
      <c r="AK509" s="898"/>
      <c r="AL509" s="898"/>
      <c r="AM509" s="897"/>
      <c r="AN509" s="897"/>
      <c r="AO509" s="897"/>
      <c r="AP509" s="897"/>
      <c r="AQ509" s="897"/>
      <c r="AR509" s="897"/>
      <c r="AS509" s="897"/>
      <c r="AT509" s="897"/>
    </row>
    <row r="510" spans="1:46" s="930" customFormat="1">
      <c r="A510" s="892"/>
      <c r="B510" s="899"/>
      <c r="C510" s="900"/>
      <c r="D510" s="894"/>
      <c r="E510" s="936"/>
      <c r="F510" s="905"/>
      <c r="G510" s="896"/>
      <c r="H510" s="897"/>
      <c r="I510" s="897"/>
      <c r="J510" s="898"/>
      <c r="K510" s="898"/>
      <c r="L510" s="898"/>
      <c r="M510" s="898"/>
      <c r="N510" s="898"/>
      <c r="O510" s="898"/>
      <c r="P510" s="898"/>
      <c r="Q510" s="898"/>
      <c r="R510" s="898"/>
      <c r="S510" s="898"/>
      <c r="T510" s="898"/>
      <c r="U510" s="898"/>
      <c r="V510" s="898"/>
      <c r="W510" s="898"/>
      <c r="X510" s="898"/>
      <c r="Y510" s="898"/>
      <c r="Z510" s="898"/>
      <c r="AA510" s="898"/>
      <c r="AB510" s="898"/>
      <c r="AC510" s="898"/>
      <c r="AD510" s="898"/>
      <c r="AE510" s="898"/>
      <c r="AF510" s="898"/>
      <c r="AG510" s="898"/>
      <c r="AH510" s="898"/>
      <c r="AI510" s="898"/>
      <c r="AJ510" s="898"/>
      <c r="AK510" s="898"/>
      <c r="AL510" s="898"/>
      <c r="AM510" s="897"/>
      <c r="AN510" s="897"/>
      <c r="AO510" s="897"/>
      <c r="AP510" s="897"/>
      <c r="AQ510" s="897"/>
      <c r="AR510" s="897"/>
      <c r="AS510" s="897"/>
      <c r="AT510" s="897"/>
    </row>
    <row r="511" spans="1:46" s="930" customFormat="1">
      <c r="A511" s="892"/>
      <c r="B511" s="899"/>
      <c r="C511" s="900"/>
      <c r="D511" s="894"/>
      <c r="E511" s="936"/>
      <c r="F511" s="905"/>
      <c r="G511" s="896"/>
      <c r="H511" s="897"/>
      <c r="I511" s="897"/>
      <c r="J511" s="898"/>
      <c r="K511" s="898"/>
      <c r="L511" s="898"/>
      <c r="M511" s="898"/>
      <c r="N511" s="898"/>
      <c r="O511" s="898"/>
      <c r="P511" s="898"/>
      <c r="Q511" s="898"/>
      <c r="R511" s="898"/>
      <c r="S511" s="898"/>
      <c r="T511" s="898"/>
      <c r="U511" s="898"/>
      <c r="V511" s="898"/>
      <c r="W511" s="898"/>
      <c r="X511" s="898"/>
      <c r="Y511" s="898"/>
      <c r="Z511" s="898"/>
      <c r="AA511" s="898"/>
      <c r="AB511" s="898"/>
      <c r="AC511" s="898"/>
      <c r="AD511" s="898"/>
      <c r="AE511" s="898"/>
      <c r="AF511" s="898"/>
      <c r="AG511" s="898"/>
      <c r="AH511" s="898"/>
      <c r="AI511" s="898"/>
      <c r="AJ511" s="898"/>
      <c r="AK511" s="898"/>
      <c r="AL511" s="898"/>
      <c r="AM511" s="897"/>
      <c r="AN511" s="897"/>
      <c r="AO511" s="897"/>
      <c r="AP511" s="897"/>
      <c r="AQ511" s="897"/>
      <c r="AR511" s="897"/>
      <c r="AS511" s="897"/>
      <c r="AT511" s="897"/>
    </row>
    <row r="512" spans="1:46" s="930" customFormat="1">
      <c r="A512" s="892"/>
      <c r="B512" s="899"/>
      <c r="C512" s="900"/>
      <c r="D512" s="894"/>
      <c r="E512" s="936"/>
      <c r="F512" s="905"/>
      <c r="G512" s="896"/>
      <c r="H512" s="897"/>
      <c r="I512" s="897"/>
      <c r="J512" s="898"/>
      <c r="K512" s="898"/>
      <c r="L512" s="898"/>
      <c r="M512" s="898"/>
      <c r="N512" s="898"/>
      <c r="O512" s="898"/>
      <c r="P512" s="898"/>
      <c r="Q512" s="898"/>
      <c r="R512" s="898"/>
      <c r="S512" s="898"/>
      <c r="T512" s="898"/>
      <c r="U512" s="898"/>
      <c r="V512" s="898"/>
      <c r="W512" s="898"/>
      <c r="X512" s="898"/>
      <c r="Y512" s="898"/>
      <c r="Z512" s="898"/>
      <c r="AA512" s="898"/>
      <c r="AB512" s="898"/>
      <c r="AC512" s="898"/>
      <c r="AD512" s="898"/>
      <c r="AE512" s="898"/>
      <c r="AF512" s="898"/>
      <c r="AG512" s="898"/>
      <c r="AH512" s="898"/>
      <c r="AI512" s="898"/>
      <c r="AJ512" s="898"/>
      <c r="AK512" s="898"/>
      <c r="AL512" s="898"/>
      <c r="AM512" s="897"/>
      <c r="AN512" s="897"/>
      <c r="AO512" s="897"/>
      <c r="AP512" s="897"/>
      <c r="AQ512" s="897"/>
      <c r="AR512" s="897"/>
      <c r="AS512" s="897"/>
      <c r="AT512" s="897"/>
    </row>
    <row r="513" spans="1:46" s="930" customFormat="1">
      <c r="A513" s="892"/>
      <c r="B513" s="899"/>
      <c r="C513" s="900"/>
      <c r="D513" s="894"/>
      <c r="E513" s="936"/>
      <c r="F513" s="905"/>
      <c r="G513" s="896"/>
      <c r="H513" s="897"/>
      <c r="I513" s="897"/>
      <c r="J513" s="898"/>
      <c r="K513" s="898"/>
      <c r="L513" s="898"/>
      <c r="M513" s="898"/>
      <c r="N513" s="898"/>
      <c r="O513" s="898"/>
      <c r="P513" s="898"/>
      <c r="Q513" s="898"/>
      <c r="R513" s="898"/>
      <c r="S513" s="898"/>
      <c r="T513" s="898"/>
      <c r="U513" s="898"/>
      <c r="V513" s="898"/>
      <c r="W513" s="898"/>
      <c r="X513" s="898"/>
      <c r="Y513" s="898"/>
      <c r="Z513" s="898"/>
      <c r="AA513" s="898"/>
      <c r="AB513" s="898"/>
      <c r="AC513" s="898"/>
      <c r="AD513" s="898"/>
      <c r="AE513" s="898"/>
      <c r="AF513" s="898"/>
      <c r="AG513" s="898"/>
      <c r="AH513" s="898"/>
      <c r="AI513" s="898"/>
      <c r="AJ513" s="898"/>
      <c r="AK513" s="898"/>
      <c r="AL513" s="898"/>
      <c r="AM513" s="897"/>
      <c r="AN513" s="897"/>
      <c r="AO513" s="897"/>
      <c r="AP513" s="897"/>
      <c r="AQ513" s="897"/>
      <c r="AR513" s="897"/>
      <c r="AS513" s="897"/>
      <c r="AT513" s="897"/>
    </row>
    <row r="514" spans="1:46" s="930" customFormat="1">
      <c r="A514" s="892"/>
      <c r="B514" s="899"/>
      <c r="C514" s="900"/>
      <c r="D514" s="894"/>
      <c r="E514" s="936"/>
      <c r="F514" s="905"/>
      <c r="G514" s="896"/>
      <c r="H514" s="897"/>
      <c r="I514" s="897"/>
      <c r="J514" s="898"/>
      <c r="K514" s="898"/>
      <c r="L514" s="898"/>
      <c r="M514" s="898"/>
      <c r="N514" s="898"/>
      <c r="O514" s="898"/>
      <c r="P514" s="898"/>
      <c r="Q514" s="898"/>
      <c r="R514" s="898"/>
      <c r="S514" s="898"/>
      <c r="T514" s="898"/>
      <c r="U514" s="898"/>
      <c r="V514" s="898"/>
      <c r="W514" s="898"/>
      <c r="X514" s="898"/>
      <c r="Y514" s="898"/>
      <c r="Z514" s="898"/>
      <c r="AA514" s="898"/>
      <c r="AB514" s="898"/>
      <c r="AC514" s="898"/>
      <c r="AD514" s="898"/>
      <c r="AE514" s="898"/>
      <c r="AF514" s="898"/>
      <c r="AG514" s="898"/>
      <c r="AH514" s="898"/>
      <c r="AI514" s="898"/>
      <c r="AJ514" s="898"/>
      <c r="AK514" s="898"/>
      <c r="AL514" s="898"/>
      <c r="AM514" s="897"/>
      <c r="AN514" s="897"/>
      <c r="AO514" s="897"/>
      <c r="AP514" s="897"/>
      <c r="AQ514" s="897"/>
      <c r="AR514" s="897"/>
      <c r="AS514" s="897"/>
      <c r="AT514" s="897"/>
    </row>
    <row r="515" spans="1:46" s="930" customFormat="1">
      <c r="A515" s="892"/>
      <c r="B515" s="899"/>
      <c r="C515" s="900"/>
      <c r="D515" s="894"/>
      <c r="E515" s="936"/>
      <c r="F515" s="905"/>
      <c r="G515" s="896"/>
      <c r="H515" s="897"/>
      <c r="I515" s="897"/>
      <c r="J515" s="898"/>
      <c r="K515" s="898"/>
      <c r="L515" s="898"/>
      <c r="M515" s="898"/>
      <c r="N515" s="898"/>
      <c r="O515" s="898"/>
      <c r="P515" s="898"/>
      <c r="Q515" s="898"/>
      <c r="R515" s="898"/>
      <c r="S515" s="898"/>
      <c r="T515" s="898"/>
      <c r="U515" s="898"/>
      <c r="V515" s="898"/>
      <c r="W515" s="898"/>
      <c r="X515" s="898"/>
      <c r="Y515" s="898"/>
      <c r="Z515" s="898"/>
      <c r="AA515" s="898"/>
      <c r="AB515" s="898"/>
      <c r="AC515" s="898"/>
      <c r="AD515" s="898"/>
      <c r="AE515" s="898"/>
      <c r="AF515" s="898"/>
      <c r="AG515" s="898"/>
      <c r="AH515" s="898"/>
      <c r="AI515" s="898"/>
      <c r="AJ515" s="898"/>
      <c r="AK515" s="898"/>
      <c r="AL515" s="898"/>
      <c r="AM515" s="897"/>
      <c r="AN515" s="897"/>
      <c r="AO515" s="897"/>
      <c r="AP515" s="897"/>
      <c r="AQ515" s="897"/>
      <c r="AR515" s="897"/>
      <c r="AS515" s="897"/>
      <c r="AT515" s="897"/>
    </row>
    <row r="516" spans="1:46" s="930" customFormat="1">
      <c r="A516" s="892"/>
      <c r="B516" s="899"/>
      <c r="C516" s="900"/>
      <c r="D516" s="894"/>
      <c r="E516" s="936"/>
      <c r="F516" s="905"/>
      <c r="G516" s="896"/>
      <c r="H516" s="897"/>
      <c r="I516" s="897"/>
      <c r="J516" s="898"/>
      <c r="K516" s="898"/>
      <c r="L516" s="898"/>
      <c r="M516" s="898"/>
      <c r="N516" s="898"/>
      <c r="O516" s="898"/>
      <c r="P516" s="898"/>
      <c r="Q516" s="898"/>
      <c r="R516" s="898"/>
      <c r="S516" s="898"/>
      <c r="T516" s="898"/>
      <c r="U516" s="898"/>
      <c r="V516" s="898"/>
      <c r="W516" s="898"/>
      <c r="X516" s="898"/>
      <c r="Y516" s="898"/>
      <c r="Z516" s="898"/>
      <c r="AA516" s="898"/>
      <c r="AB516" s="898"/>
      <c r="AC516" s="898"/>
      <c r="AD516" s="898"/>
      <c r="AE516" s="898"/>
      <c r="AF516" s="898"/>
      <c r="AG516" s="898"/>
      <c r="AH516" s="898"/>
      <c r="AI516" s="898"/>
      <c r="AJ516" s="898"/>
      <c r="AK516" s="898"/>
      <c r="AL516" s="898"/>
      <c r="AM516" s="897"/>
      <c r="AN516" s="897"/>
      <c r="AO516" s="897"/>
      <c r="AP516" s="897"/>
      <c r="AQ516" s="897"/>
      <c r="AR516" s="897"/>
      <c r="AS516" s="897"/>
      <c r="AT516" s="897"/>
    </row>
    <row r="517" spans="1:46" s="930" customFormat="1">
      <c r="A517" s="892"/>
      <c r="B517" s="899"/>
      <c r="C517" s="900"/>
      <c r="D517" s="894"/>
      <c r="E517" s="936"/>
      <c r="F517" s="905"/>
      <c r="G517" s="896"/>
      <c r="H517" s="897"/>
      <c r="I517" s="897"/>
      <c r="J517" s="898"/>
      <c r="K517" s="898"/>
      <c r="L517" s="898"/>
      <c r="M517" s="898"/>
      <c r="N517" s="898"/>
      <c r="O517" s="898"/>
      <c r="P517" s="898"/>
      <c r="Q517" s="898"/>
      <c r="R517" s="898"/>
      <c r="S517" s="898"/>
      <c r="T517" s="898"/>
      <c r="U517" s="898"/>
      <c r="V517" s="898"/>
      <c r="W517" s="898"/>
      <c r="X517" s="898"/>
      <c r="Y517" s="898"/>
      <c r="Z517" s="898"/>
      <c r="AA517" s="898"/>
      <c r="AB517" s="898"/>
      <c r="AC517" s="898"/>
      <c r="AD517" s="898"/>
      <c r="AE517" s="898"/>
      <c r="AF517" s="898"/>
      <c r="AG517" s="898"/>
      <c r="AH517" s="898"/>
      <c r="AI517" s="898"/>
      <c r="AJ517" s="898"/>
      <c r="AK517" s="898"/>
      <c r="AL517" s="898"/>
      <c r="AM517" s="897"/>
      <c r="AN517" s="897"/>
      <c r="AO517" s="897"/>
      <c r="AP517" s="897"/>
      <c r="AQ517" s="897"/>
      <c r="AR517" s="897"/>
      <c r="AS517" s="897"/>
      <c r="AT517" s="897"/>
    </row>
    <row r="518" spans="1:46" s="930" customFormat="1">
      <c r="A518" s="892"/>
      <c r="B518" s="899"/>
      <c r="C518" s="900"/>
      <c r="D518" s="894"/>
      <c r="E518" s="936"/>
      <c r="F518" s="905"/>
      <c r="G518" s="896"/>
      <c r="H518" s="897"/>
      <c r="I518" s="897"/>
      <c r="J518" s="898"/>
      <c r="K518" s="898"/>
      <c r="L518" s="898"/>
      <c r="M518" s="898"/>
      <c r="N518" s="898"/>
      <c r="O518" s="898"/>
      <c r="P518" s="898"/>
      <c r="Q518" s="898"/>
      <c r="R518" s="898"/>
      <c r="S518" s="898"/>
      <c r="T518" s="898"/>
      <c r="U518" s="898"/>
      <c r="V518" s="898"/>
      <c r="W518" s="898"/>
      <c r="X518" s="898"/>
      <c r="Y518" s="898"/>
      <c r="Z518" s="898"/>
      <c r="AA518" s="898"/>
      <c r="AB518" s="898"/>
      <c r="AC518" s="898"/>
      <c r="AD518" s="898"/>
      <c r="AE518" s="898"/>
      <c r="AF518" s="898"/>
      <c r="AG518" s="898"/>
      <c r="AH518" s="898"/>
      <c r="AI518" s="898"/>
      <c r="AJ518" s="898"/>
      <c r="AK518" s="898"/>
      <c r="AL518" s="898"/>
      <c r="AM518" s="897"/>
      <c r="AN518" s="897"/>
      <c r="AO518" s="897"/>
      <c r="AP518" s="897"/>
      <c r="AQ518" s="897"/>
      <c r="AR518" s="897"/>
      <c r="AS518" s="897"/>
      <c r="AT518" s="897"/>
    </row>
    <row r="519" spans="1:46" s="930" customFormat="1">
      <c r="A519" s="892"/>
      <c r="B519" s="899"/>
      <c r="C519" s="900"/>
      <c r="D519" s="894"/>
      <c r="E519" s="936"/>
      <c r="F519" s="905"/>
      <c r="G519" s="896"/>
      <c r="H519" s="897"/>
      <c r="I519" s="897"/>
      <c r="J519" s="898"/>
      <c r="K519" s="898"/>
      <c r="L519" s="898"/>
      <c r="M519" s="898"/>
      <c r="N519" s="898"/>
      <c r="O519" s="898"/>
      <c r="P519" s="898"/>
      <c r="Q519" s="898"/>
      <c r="R519" s="898"/>
      <c r="S519" s="898"/>
      <c r="T519" s="898"/>
      <c r="U519" s="898"/>
      <c r="V519" s="898"/>
      <c r="W519" s="898"/>
      <c r="X519" s="898"/>
      <c r="Y519" s="898"/>
      <c r="Z519" s="898"/>
      <c r="AA519" s="898"/>
      <c r="AB519" s="898"/>
      <c r="AC519" s="898"/>
      <c r="AD519" s="898"/>
      <c r="AE519" s="898"/>
      <c r="AF519" s="898"/>
      <c r="AG519" s="898"/>
      <c r="AH519" s="898"/>
      <c r="AI519" s="898"/>
      <c r="AJ519" s="898"/>
      <c r="AK519" s="898"/>
      <c r="AL519" s="898"/>
      <c r="AM519" s="897"/>
      <c r="AN519" s="897"/>
      <c r="AO519" s="897"/>
      <c r="AP519" s="897"/>
      <c r="AQ519" s="897"/>
      <c r="AR519" s="897"/>
      <c r="AS519" s="897"/>
      <c r="AT519" s="897"/>
    </row>
    <row r="520" spans="1:46" s="930" customFormat="1">
      <c r="A520" s="892"/>
      <c r="B520" s="899"/>
      <c r="C520" s="900"/>
      <c r="D520" s="894"/>
      <c r="E520" s="936"/>
      <c r="F520" s="905"/>
      <c r="G520" s="896"/>
      <c r="H520" s="897"/>
      <c r="I520" s="897"/>
      <c r="J520" s="898"/>
      <c r="K520" s="898"/>
      <c r="L520" s="898"/>
      <c r="M520" s="898"/>
      <c r="N520" s="898"/>
      <c r="O520" s="898"/>
      <c r="P520" s="898"/>
      <c r="Q520" s="898"/>
      <c r="R520" s="898"/>
      <c r="S520" s="898"/>
      <c r="T520" s="898"/>
      <c r="U520" s="898"/>
      <c r="V520" s="898"/>
      <c r="W520" s="898"/>
      <c r="X520" s="898"/>
      <c r="Y520" s="898"/>
      <c r="Z520" s="898"/>
      <c r="AA520" s="898"/>
      <c r="AB520" s="898"/>
      <c r="AC520" s="898"/>
      <c r="AD520" s="898"/>
      <c r="AE520" s="898"/>
      <c r="AF520" s="898"/>
      <c r="AG520" s="898"/>
      <c r="AH520" s="898"/>
      <c r="AI520" s="898"/>
      <c r="AJ520" s="898"/>
      <c r="AK520" s="898"/>
      <c r="AL520" s="898"/>
      <c r="AM520" s="897"/>
      <c r="AN520" s="897"/>
      <c r="AO520" s="897"/>
      <c r="AP520" s="897"/>
      <c r="AQ520" s="897"/>
      <c r="AR520" s="897"/>
      <c r="AS520" s="897"/>
      <c r="AT520" s="897"/>
    </row>
    <row r="521" spans="1:46" s="930" customFormat="1">
      <c r="A521" s="892"/>
      <c r="B521" s="899"/>
      <c r="C521" s="900"/>
      <c r="D521" s="894"/>
      <c r="E521" s="936"/>
      <c r="F521" s="905"/>
      <c r="G521" s="896"/>
      <c r="H521" s="897"/>
      <c r="I521" s="897"/>
      <c r="J521" s="898"/>
      <c r="K521" s="898"/>
      <c r="L521" s="898"/>
      <c r="M521" s="898"/>
      <c r="N521" s="898"/>
      <c r="O521" s="898"/>
      <c r="P521" s="898"/>
      <c r="Q521" s="898"/>
      <c r="R521" s="898"/>
      <c r="S521" s="898"/>
      <c r="T521" s="898"/>
      <c r="U521" s="898"/>
      <c r="V521" s="898"/>
      <c r="W521" s="898"/>
      <c r="X521" s="898"/>
      <c r="Y521" s="898"/>
      <c r="Z521" s="898"/>
      <c r="AA521" s="898"/>
      <c r="AB521" s="898"/>
      <c r="AC521" s="898"/>
      <c r="AD521" s="898"/>
      <c r="AE521" s="898"/>
      <c r="AF521" s="898"/>
      <c r="AG521" s="898"/>
      <c r="AH521" s="898"/>
      <c r="AI521" s="898"/>
      <c r="AJ521" s="898"/>
      <c r="AK521" s="898"/>
      <c r="AL521" s="898"/>
      <c r="AM521" s="897"/>
      <c r="AN521" s="897"/>
      <c r="AO521" s="897"/>
      <c r="AP521" s="897"/>
      <c r="AQ521" s="897"/>
      <c r="AR521" s="897"/>
      <c r="AS521" s="897"/>
      <c r="AT521" s="897"/>
    </row>
    <row r="522" spans="1:46" s="930" customFormat="1">
      <c r="A522" s="892"/>
      <c r="B522" s="899"/>
      <c r="C522" s="900"/>
      <c r="D522" s="894"/>
      <c r="E522" s="936"/>
      <c r="F522" s="905"/>
      <c r="G522" s="896"/>
      <c r="H522" s="897"/>
      <c r="I522" s="897"/>
      <c r="J522" s="898"/>
      <c r="K522" s="898"/>
      <c r="L522" s="898"/>
      <c r="M522" s="898"/>
      <c r="N522" s="898"/>
      <c r="O522" s="898"/>
      <c r="P522" s="898"/>
      <c r="Q522" s="898"/>
      <c r="R522" s="898"/>
      <c r="S522" s="898"/>
      <c r="T522" s="898"/>
      <c r="U522" s="898"/>
      <c r="V522" s="898"/>
      <c r="W522" s="898"/>
      <c r="X522" s="898"/>
      <c r="Y522" s="898"/>
      <c r="Z522" s="898"/>
      <c r="AA522" s="898"/>
      <c r="AB522" s="898"/>
      <c r="AC522" s="898"/>
      <c r="AD522" s="898"/>
      <c r="AE522" s="898"/>
      <c r="AF522" s="898"/>
      <c r="AG522" s="898"/>
      <c r="AH522" s="898"/>
      <c r="AI522" s="898"/>
      <c r="AJ522" s="898"/>
      <c r="AK522" s="898"/>
      <c r="AL522" s="898"/>
      <c r="AM522" s="897"/>
      <c r="AN522" s="897"/>
      <c r="AO522" s="897"/>
      <c r="AP522" s="897"/>
      <c r="AQ522" s="897"/>
      <c r="AR522" s="897"/>
      <c r="AS522" s="897"/>
      <c r="AT522" s="897"/>
    </row>
    <row r="523" spans="1:46" s="930" customFormat="1">
      <c r="A523" s="892"/>
      <c r="B523" s="899"/>
      <c r="C523" s="900"/>
      <c r="D523" s="894"/>
      <c r="E523" s="936"/>
      <c r="F523" s="905"/>
      <c r="G523" s="896"/>
      <c r="H523" s="897"/>
      <c r="I523" s="897"/>
      <c r="J523" s="898"/>
      <c r="K523" s="898"/>
      <c r="L523" s="898"/>
      <c r="M523" s="898"/>
      <c r="N523" s="898"/>
      <c r="O523" s="898"/>
      <c r="P523" s="898"/>
      <c r="Q523" s="898"/>
      <c r="R523" s="898"/>
      <c r="S523" s="898"/>
      <c r="T523" s="898"/>
      <c r="U523" s="898"/>
      <c r="V523" s="898"/>
      <c r="W523" s="898"/>
      <c r="X523" s="898"/>
      <c r="Y523" s="898"/>
      <c r="Z523" s="898"/>
      <c r="AA523" s="898"/>
      <c r="AB523" s="898"/>
      <c r="AC523" s="898"/>
      <c r="AD523" s="898"/>
      <c r="AE523" s="898"/>
      <c r="AF523" s="898"/>
      <c r="AG523" s="898"/>
      <c r="AH523" s="898"/>
      <c r="AI523" s="898"/>
      <c r="AJ523" s="898"/>
      <c r="AK523" s="898"/>
      <c r="AL523" s="898"/>
      <c r="AM523" s="897"/>
      <c r="AN523" s="897"/>
      <c r="AO523" s="897"/>
      <c r="AP523" s="897"/>
      <c r="AQ523" s="897"/>
      <c r="AR523" s="897"/>
      <c r="AS523" s="897"/>
      <c r="AT523" s="897"/>
    </row>
    <row r="524" spans="1:46" s="930" customFormat="1">
      <c r="A524" s="892"/>
      <c r="B524" s="899"/>
      <c r="C524" s="900"/>
      <c r="D524" s="894"/>
      <c r="E524" s="936"/>
      <c r="F524" s="905"/>
      <c r="G524" s="896"/>
      <c r="H524" s="897"/>
      <c r="I524" s="897"/>
      <c r="J524" s="898"/>
      <c r="K524" s="898"/>
      <c r="L524" s="898"/>
      <c r="M524" s="898"/>
      <c r="N524" s="898"/>
      <c r="O524" s="898"/>
      <c r="P524" s="898"/>
      <c r="Q524" s="898"/>
      <c r="R524" s="898"/>
      <c r="S524" s="898"/>
      <c r="T524" s="898"/>
      <c r="U524" s="898"/>
      <c r="V524" s="898"/>
      <c r="W524" s="898"/>
      <c r="X524" s="898"/>
      <c r="Y524" s="898"/>
      <c r="Z524" s="898"/>
      <c r="AA524" s="898"/>
      <c r="AB524" s="898"/>
      <c r="AC524" s="898"/>
      <c r="AD524" s="898"/>
      <c r="AE524" s="898"/>
      <c r="AF524" s="898"/>
      <c r="AG524" s="898"/>
      <c r="AH524" s="898"/>
      <c r="AI524" s="898"/>
      <c r="AJ524" s="898"/>
      <c r="AK524" s="898"/>
      <c r="AL524" s="898"/>
      <c r="AM524" s="897"/>
      <c r="AN524" s="897"/>
      <c r="AO524" s="897"/>
      <c r="AP524" s="897"/>
      <c r="AQ524" s="897"/>
      <c r="AR524" s="897"/>
      <c r="AS524" s="897"/>
      <c r="AT524" s="897"/>
    </row>
    <row r="525" spans="1:46" s="930" customFormat="1">
      <c r="A525" s="892"/>
      <c r="B525" s="899"/>
      <c r="C525" s="900"/>
      <c r="D525" s="894"/>
      <c r="E525" s="936"/>
      <c r="F525" s="905"/>
      <c r="G525" s="896"/>
      <c r="H525" s="897"/>
      <c r="I525" s="897"/>
      <c r="J525" s="898"/>
      <c r="K525" s="898"/>
      <c r="L525" s="898"/>
      <c r="M525" s="898"/>
      <c r="N525" s="898"/>
      <c r="O525" s="898"/>
      <c r="P525" s="898"/>
      <c r="Q525" s="898"/>
      <c r="R525" s="898"/>
      <c r="S525" s="898"/>
      <c r="T525" s="898"/>
      <c r="U525" s="898"/>
      <c r="V525" s="898"/>
      <c r="W525" s="898"/>
      <c r="X525" s="898"/>
      <c r="Y525" s="898"/>
      <c r="Z525" s="898"/>
      <c r="AA525" s="898"/>
      <c r="AB525" s="898"/>
      <c r="AC525" s="898"/>
      <c r="AD525" s="898"/>
      <c r="AE525" s="898"/>
      <c r="AF525" s="898"/>
      <c r="AG525" s="898"/>
      <c r="AH525" s="898"/>
      <c r="AI525" s="898"/>
      <c r="AJ525" s="898"/>
      <c r="AK525" s="898"/>
      <c r="AL525" s="898"/>
      <c r="AM525" s="897"/>
      <c r="AN525" s="897"/>
      <c r="AO525" s="897"/>
      <c r="AP525" s="897"/>
      <c r="AQ525" s="897"/>
      <c r="AR525" s="897"/>
      <c r="AS525" s="897"/>
      <c r="AT525" s="897"/>
    </row>
    <row r="526" spans="1:46" s="930" customFormat="1">
      <c r="A526" s="892"/>
      <c r="B526" s="899"/>
      <c r="C526" s="900"/>
      <c r="D526" s="894"/>
      <c r="E526" s="936"/>
      <c r="F526" s="905"/>
      <c r="G526" s="896"/>
      <c r="H526" s="897"/>
      <c r="I526" s="897"/>
      <c r="J526" s="898"/>
      <c r="K526" s="898"/>
      <c r="L526" s="898"/>
      <c r="M526" s="898"/>
      <c r="N526" s="898"/>
      <c r="O526" s="898"/>
      <c r="P526" s="898"/>
      <c r="Q526" s="898"/>
      <c r="R526" s="898"/>
      <c r="S526" s="898"/>
      <c r="T526" s="898"/>
      <c r="U526" s="898"/>
      <c r="V526" s="898"/>
      <c r="W526" s="898"/>
      <c r="X526" s="898"/>
      <c r="Y526" s="898"/>
      <c r="Z526" s="898"/>
      <c r="AA526" s="898"/>
      <c r="AB526" s="898"/>
      <c r="AC526" s="898"/>
      <c r="AD526" s="898"/>
      <c r="AE526" s="898"/>
      <c r="AF526" s="898"/>
      <c r="AG526" s="898"/>
      <c r="AH526" s="898"/>
      <c r="AI526" s="898"/>
      <c r="AJ526" s="898"/>
      <c r="AK526" s="898"/>
      <c r="AL526" s="898"/>
      <c r="AM526" s="897"/>
      <c r="AN526" s="897"/>
      <c r="AO526" s="897"/>
      <c r="AP526" s="897"/>
      <c r="AQ526" s="897"/>
      <c r="AR526" s="897"/>
      <c r="AS526" s="897"/>
      <c r="AT526" s="897"/>
    </row>
    <row r="527" spans="1:46" s="930" customFormat="1">
      <c r="A527" s="892"/>
      <c r="B527" s="899"/>
      <c r="C527" s="900"/>
      <c r="D527" s="894"/>
      <c r="E527" s="936"/>
      <c r="F527" s="905"/>
      <c r="G527" s="896"/>
      <c r="H527" s="897"/>
      <c r="I527" s="897"/>
      <c r="J527" s="898"/>
      <c r="K527" s="898"/>
      <c r="L527" s="898"/>
      <c r="M527" s="898"/>
      <c r="N527" s="898"/>
      <c r="O527" s="898"/>
      <c r="P527" s="898"/>
      <c r="Q527" s="898"/>
      <c r="R527" s="898"/>
      <c r="S527" s="898"/>
      <c r="T527" s="898"/>
      <c r="U527" s="898"/>
      <c r="V527" s="898"/>
      <c r="W527" s="898"/>
      <c r="X527" s="898"/>
      <c r="Y527" s="898"/>
      <c r="Z527" s="898"/>
      <c r="AA527" s="898"/>
      <c r="AB527" s="898"/>
      <c r="AC527" s="898"/>
      <c r="AD527" s="898"/>
      <c r="AE527" s="898"/>
      <c r="AF527" s="898"/>
      <c r="AG527" s="898"/>
      <c r="AH527" s="898"/>
      <c r="AI527" s="898"/>
      <c r="AJ527" s="898"/>
      <c r="AK527" s="898"/>
      <c r="AL527" s="898"/>
      <c r="AM527" s="897"/>
      <c r="AN527" s="897"/>
      <c r="AO527" s="897"/>
      <c r="AP527" s="897"/>
      <c r="AQ527" s="897"/>
      <c r="AR527" s="897"/>
      <c r="AS527" s="897"/>
      <c r="AT527" s="897"/>
    </row>
    <row r="528" spans="1:46" s="930" customFormat="1">
      <c r="A528" s="892"/>
      <c r="B528" s="899"/>
      <c r="C528" s="900"/>
      <c r="D528" s="894"/>
      <c r="E528" s="936"/>
      <c r="F528" s="905"/>
      <c r="G528" s="896"/>
      <c r="H528" s="897"/>
      <c r="I528" s="897"/>
      <c r="J528" s="898"/>
      <c r="K528" s="898"/>
      <c r="L528" s="898"/>
      <c r="M528" s="898"/>
      <c r="N528" s="898"/>
      <c r="O528" s="898"/>
      <c r="P528" s="898"/>
      <c r="Q528" s="898"/>
      <c r="R528" s="898"/>
      <c r="S528" s="898"/>
      <c r="T528" s="898"/>
      <c r="U528" s="898"/>
      <c r="V528" s="898"/>
      <c r="W528" s="898"/>
      <c r="X528" s="898"/>
      <c r="Y528" s="898"/>
      <c r="Z528" s="898"/>
      <c r="AA528" s="898"/>
      <c r="AB528" s="898"/>
      <c r="AC528" s="898"/>
      <c r="AD528" s="898"/>
      <c r="AE528" s="898"/>
      <c r="AF528" s="898"/>
      <c r="AG528" s="898"/>
      <c r="AH528" s="898"/>
      <c r="AI528" s="898"/>
      <c r="AJ528" s="898"/>
      <c r="AK528" s="898"/>
      <c r="AL528" s="898"/>
      <c r="AM528" s="897"/>
      <c r="AN528" s="897"/>
      <c r="AO528" s="897"/>
      <c r="AP528" s="897"/>
      <c r="AQ528" s="897"/>
      <c r="AR528" s="897"/>
      <c r="AS528" s="897"/>
      <c r="AT528" s="897"/>
    </row>
    <row r="529" spans="1:46" s="930" customFormat="1">
      <c r="A529" s="892"/>
      <c r="B529" s="899"/>
      <c r="C529" s="900"/>
      <c r="D529" s="894"/>
      <c r="E529" s="936"/>
      <c r="F529" s="905"/>
      <c r="G529" s="896"/>
      <c r="H529" s="897"/>
      <c r="I529" s="897"/>
      <c r="J529" s="898"/>
      <c r="K529" s="898"/>
      <c r="L529" s="898"/>
      <c r="M529" s="898"/>
      <c r="N529" s="898"/>
      <c r="O529" s="898"/>
      <c r="P529" s="898"/>
      <c r="Q529" s="898"/>
      <c r="R529" s="898"/>
      <c r="S529" s="898"/>
      <c r="T529" s="898"/>
      <c r="U529" s="898"/>
      <c r="V529" s="898"/>
      <c r="W529" s="898"/>
      <c r="X529" s="898"/>
      <c r="Y529" s="898"/>
      <c r="Z529" s="898"/>
      <c r="AA529" s="898"/>
      <c r="AB529" s="898"/>
      <c r="AC529" s="898"/>
      <c r="AD529" s="898"/>
      <c r="AE529" s="898"/>
      <c r="AF529" s="898"/>
      <c r="AG529" s="898"/>
      <c r="AH529" s="898"/>
      <c r="AI529" s="898"/>
      <c r="AJ529" s="898"/>
      <c r="AK529" s="898"/>
      <c r="AL529" s="898"/>
      <c r="AM529" s="897"/>
      <c r="AN529" s="897"/>
      <c r="AO529" s="897"/>
      <c r="AP529" s="897"/>
      <c r="AQ529" s="897"/>
      <c r="AR529" s="897"/>
      <c r="AS529" s="897"/>
      <c r="AT529" s="897"/>
    </row>
    <row r="530" spans="1:46" s="930" customFormat="1">
      <c r="A530" s="892"/>
      <c r="B530" s="899"/>
      <c r="C530" s="900"/>
      <c r="D530" s="894"/>
      <c r="E530" s="936"/>
      <c r="F530" s="905"/>
      <c r="G530" s="896"/>
      <c r="H530" s="897"/>
      <c r="I530" s="897"/>
      <c r="J530" s="897"/>
      <c r="K530" s="897"/>
      <c r="L530" s="898"/>
      <c r="M530" s="898"/>
      <c r="N530" s="898"/>
      <c r="O530" s="898"/>
      <c r="P530" s="898"/>
      <c r="Q530" s="898"/>
      <c r="R530" s="898"/>
      <c r="S530" s="898"/>
      <c r="T530" s="898"/>
      <c r="U530" s="898"/>
      <c r="V530" s="898"/>
      <c r="W530" s="898"/>
      <c r="X530" s="898"/>
      <c r="Y530" s="898"/>
      <c r="Z530" s="898"/>
      <c r="AA530" s="898"/>
      <c r="AB530" s="898"/>
      <c r="AC530" s="898"/>
      <c r="AD530" s="898"/>
      <c r="AE530" s="898"/>
      <c r="AF530" s="898"/>
      <c r="AG530" s="898"/>
      <c r="AH530" s="898"/>
      <c r="AI530" s="898"/>
      <c r="AJ530" s="898"/>
      <c r="AK530" s="898"/>
      <c r="AL530" s="898"/>
      <c r="AM530" s="897"/>
      <c r="AN530" s="897"/>
      <c r="AO530" s="897"/>
      <c r="AP530" s="897"/>
      <c r="AQ530" s="897"/>
      <c r="AR530" s="897"/>
      <c r="AS530" s="897"/>
      <c r="AT530" s="897"/>
    </row>
    <row r="531" spans="1:46" s="930" customFormat="1">
      <c r="A531" s="892"/>
      <c r="B531" s="899"/>
      <c r="C531" s="900"/>
      <c r="D531" s="894"/>
      <c r="E531" s="936"/>
      <c r="F531" s="905"/>
      <c r="G531" s="896"/>
      <c r="H531" s="897"/>
      <c r="I531" s="897"/>
      <c r="J531" s="897"/>
      <c r="K531" s="897"/>
      <c r="L531" s="898"/>
      <c r="M531" s="898"/>
      <c r="N531" s="898"/>
      <c r="O531" s="898"/>
      <c r="P531" s="898"/>
      <c r="Q531" s="898"/>
      <c r="R531" s="898"/>
      <c r="S531" s="898"/>
      <c r="T531" s="898"/>
      <c r="U531" s="898"/>
      <c r="V531" s="898"/>
      <c r="W531" s="898"/>
      <c r="X531" s="898"/>
      <c r="Y531" s="898"/>
      <c r="Z531" s="898"/>
      <c r="AA531" s="898"/>
      <c r="AB531" s="898"/>
      <c r="AC531" s="898"/>
      <c r="AD531" s="898"/>
      <c r="AE531" s="898"/>
      <c r="AF531" s="898"/>
      <c r="AG531" s="898"/>
      <c r="AH531" s="898"/>
      <c r="AI531" s="898"/>
      <c r="AJ531" s="898"/>
      <c r="AK531" s="898"/>
      <c r="AL531" s="898"/>
      <c r="AM531" s="897"/>
      <c r="AN531" s="897"/>
      <c r="AO531" s="897"/>
      <c r="AP531" s="897"/>
      <c r="AQ531" s="897"/>
      <c r="AR531" s="897"/>
      <c r="AS531" s="897"/>
      <c r="AT531" s="897"/>
    </row>
    <row r="532" spans="1:46" s="930" customFormat="1">
      <c r="A532" s="892"/>
      <c r="B532" s="899"/>
      <c r="C532" s="900"/>
      <c r="D532" s="894"/>
      <c r="E532" s="936"/>
      <c r="F532" s="905"/>
      <c r="G532" s="896"/>
      <c r="H532" s="897"/>
      <c r="I532" s="897"/>
      <c r="J532" s="897"/>
      <c r="K532" s="897"/>
      <c r="L532" s="898"/>
      <c r="M532" s="898"/>
      <c r="N532" s="898"/>
      <c r="O532" s="898"/>
      <c r="P532" s="898"/>
      <c r="Q532" s="898"/>
      <c r="R532" s="898"/>
      <c r="S532" s="898"/>
      <c r="T532" s="898"/>
      <c r="U532" s="898"/>
      <c r="V532" s="898"/>
      <c r="W532" s="898"/>
      <c r="X532" s="898"/>
      <c r="Y532" s="898"/>
      <c r="Z532" s="898"/>
      <c r="AA532" s="898"/>
      <c r="AB532" s="898"/>
      <c r="AC532" s="898"/>
      <c r="AD532" s="898"/>
      <c r="AE532" s="898"/>
      <c r="AF532" s="898"/>
      <c r="AG532" s="898"/>
      <c r="AH532" s="898"/>
      <c r="AI532" s="898"/>
      <c r="AJ532" s="898"/>
      <c r="AK532" s="898"/>
      <c r="AL532" s="898"/>
      <c r="AM532" s="897"/>
      <c r="AN532" s="897"/>
      <c r="AO532" s="897"/>
      <c r="AP532" s="897"/>
      <c r="AQ532" s="897"/>
      <c r="AR532" s="897"/>
      <c r="AS532" s="897"/>
      <c r="AT532" s="897"/>
    </row>
    <row r="533" spans="1:46" s="930" customFormat="1">
      <c r="A533" s="892"/>
      <c r="B533" s="899"/>
      <c r="C533" s="900"/>
      <c r="D533" s="894"/>
      <c r="E533" s="936"/>
      <c r="F533" s="905"/>
      <c r="G533" s="896"/>
      <c r="H533" s="897"/>
      <c r="I533" s="897"/>
      <c r="J533" s="897"/>
      <c r="K533" s="897"/>
      <c r="L533" s="898"/>
      <c r="M533" s="898"/>
      <c r="N533" s="898"/>
      <c r="O533" s="898"/>
      <c r="P533" s="898"/>
      <c r="Q533" s="898"/>
      <c r="R533" s="898"/>
      <c r="S533" s="898"/>
      <c r="T533" s="898"/>
      <c r="U533" s="898"/>
      <c r="V533" s="898"/>
      <c r="W533" s="898"/>
      <c r="X533" s="898"/>
      <c r="Y533" s="898"/>
      <c r="Z533" s="898"/>
      <c r="AA533" s="898"/>
      <c r="AB533" s="898"/>
      <c r="AC533" s="898"/>
      <c r="AD533" s="898"/>
      <c r="AE533" s="898"/>
      <c r="AF533" s="898"/>
      <c r="AG533" s="898"/>
      <c r="AH533" s="898"/>
      <c r="AI533" s="898"/>
      <c r="AJ533" s="898"/>
      <c r="AK533" s="898"/>
      <c r="AL533" s="898"/>
      <c r="AM533" s="897"/>
      <c r="AN533" s="897"/>
      <c r="AO533" s="897"/>
      <c r="AP533" s="897"/>
      <c r="AQ533" s="897"/>
      <c r="AR533" s="897"/>
      <c r="AS533" s="897"/>
      <c r="AT533" s="897"/>
    </row>
    <row r="534" spans="1:46" s="930" customFormat="1">
      <c r="A534" s="892"/>
      <c r="B534" s="899"/>
      <c r="C534" s="900"/>
      <c r="D534" s="894"/>
      <c r="E534" s="936"/>
      <c r="F534" s="905"/>
      <c r="G534" s="896"/>
      <c r="H534" s="897"/>
      <c r="I534" s="897"/>
      <c r="J534" s="897"/>
      <c r="K534" s="897"/>
      <c r="L534" s="898"/>
      <c r="M534" s="898"/>
      <c r="N534" s="898"/>
      <c r="O534" s="898"/>
      <c r="P534" s="898"/>
      <c r="Q534" s="898"/>
      <c r="R534" s="898"/>
      <c r="S534" s="898"/>
      <c r="T534" s="898"/>
      <c r="U534" s="898"/>
      <c r="V534" s="898"/>
      <c r="W534" s="898"/>
      <c r="X534" s="898"/>
      <c r="Y534" s="898"/>
      <c r="Z534" s="898"/>
      <c r="AA534" s="898"/>
      <c r="AB534" s="898"/>
      <c r="AC534" s="898"/>
      <c r="AD534" s="898"/>
      <c r="AE534" s="898"/>
      <c r="AF534" s="898"/>
      <c r="AG534" s="898"/>
      <c r="AH534" s="898"/>
      <c r="AI534" s="898"/>
      <c r="AJ534" s="898"/>
      <c r="AK534" s="898"/>
      <c r="AL534" s="898"/>
      <c r="AM534" s="897"/>
      <c r="AN534" s="897"/>
      <c r="AO534" s="897"/>
      <c r="AP534" s="897"/>
      <c r="AQ534" s="897"/>
      <c r="AR534" s="897"/>
      <c r="AS534" s="897"/>
      <c r="AT534" s="897"/>
    </row>
    <row r="535" spans="1:46" s="930" customFormat="1">
      <c r="A535" s="892"/>
      <c r="B535" s="899"/>
      <c r="C535" s="900"/>
      <c r="D535" s="894"/>
      <c r="E535" s="936"/>
      <c r="F535" s="905"/>
      <c r="G535" s="896"/>
      <c r="H535" s="897"/>
      <c r="I535" s="897"/>
      <c r="J535" s="897"/>
      <c r="K535" s="897"/>
      <c r="L535" s="898"/>
      <c r="M535" s="898"/>
      <c r="N535" s="898"/>
      <c r="O535" s="898"/>
      <c r="P535" s="898"/>
      <c r="Q535" s="898"/>
      <c r="R535" s="898"/>
      <c r="S535" s="898"/>
      <c r="T535" s="898"/>
      <c r="U535" s="898"/>
      <c r="V535" s="898"/>
      <c r="W535" s="898"/>
      <c r="X535" s="898"/>
      <c r="Y535" s="898"/>
      <c r="Z535" s="898"/>
      <c r="AA535" s="898"/>
      <c r="AB535" s="898"/>
      <c r="AC535" s="898"/>
      <c r="AD535" s="898"/>
      <c r="AE535" s="898"/>
      <c r="AF535" s="898"/>
      <c r="AG535" s="898"/>
      <c r="AH535" s="898"/>
      <c r="AI535" s="898"/>
      <c r="AJ535" s="898"/>
      <c r="AK535" s="898"/>
      <c r="AL535" s="898"/>
      <c r="AM535" s="897"/>
      <c r="AN535" s="897"/>
      <c r="AO535" s="897"/>
      <c r="AP535" s="897"/>
      <c r="AQ535" s="897"/>
      <c r="AR535" s="897"/>
      <c r="AS535" s="897"/>
      <c r="AT535" s="897"/>
    </row>
    <row r="536" spans="1:46" s="930" customFormat="1">
      <c r="A536" s="892"/>
      <c r="B536" s="899"/>
      <c r="C536" s="900"/>
      <c r="D536" s="894"/>
      <c r="E536" s="936"/>
      <c r="F536" s="905"/>
      <c r="G536" s="896"/>
      <c r="H536" s="897"/>
      <c r="I536" s="897"/>
      <c r="J536" s="897"/>
      <c r="K536" s="897"/>
      <c r="L536" s="898"/>
      <c r="M536" s="898"/>
      <c r="N536" s="898"/>
      <c r="O536" s="898"/>
      <c r="P536" s="898"/>
      <c r="Q536" s="898"/>
      <c r="R536" s="898"/>
      <c r="S536" s="898"/>
      <c r="T536" s="898"/>
      <c r="U536" s="898"/>
      <c r="V536" s="898"/>
      <c r="W536" s="898"/>
      <c r="X536" s="898"/>
      <c r="Y536" s="898"/>
      <c r="Z536" s="898"/>
      <c r="AA536" s="898"/>
      <c r="AB536" s="898"/>
      <c r="AC536" s="898"/>
      <c r="AD536" s="898"/>
      <c r="AE536" s="898"/>
      <c r="AF536" s="898"/>
      <c r="AG536" s="898"/>
      <c r="AH536" s="898"/>
      <c r="AI536" s="898"/>
      <c r="AJ536" s="898"/>
      <c r="AK536" s="898"/>
      <c r="AL536" s="898"/>
      <c r="AM536" s="897"/>
      <c r="AN536" s="897"/>
      <c r="AO536" s="897"/>
      <c r="AP536" s="897"/>
      <c r="AQ536" s="897"/>
      <c r="AR536" s="897"/>
      <c r="AS536" s="897"/>
      <c r="AT536" s="897"/>
    </row>
    <row r="537" spans="1:46" s="930" customFormat="1">
      <c r="A537" s="892"/>
      <c r="B537" s="899"/>
      <c r="C537" s="900"/>
      <c r="D537" s="894"/>
      <c r="E537" s="936"/>
      <c r="F537" s="905"/>
      <c r="G537" s="896"/>
      <c r="H537" s="897"/>
      <c r="I537" s="897"/>
      <c r="J537" s="897"/>
      <c r="K537" s="897"/>
      <c r="L537" s="898"/>
      <c r="M537" s="898"/>
      <c r="N537" s="898"/>
      <c r="O537" s="898"/>
      <c r="P537" s="898"/>
      <c r="Q537" s="898"/>
      <c r="R537" s="898"/>
      <c r="S537" s="898"/>
      <c r="T537" s="898"/>
      <c r="U537" s="898"/>
      <c r="V537" s="898"/>
      <c r="W537" s="898"/>
      <c r="X537" s="898"/>
      <c r="Y537" s="898"/>
      <c r="Z537" s="898"/>
      <c r="AA537" s="898"/>
      <c r="AB537" s="898"/>
      <c r="AC537" s="898"/>
      <c r="AD537" s="898"/>
      <c r="AE537" s="898"/>
      <c r="AF537" s="898"/>
      <c r="AG537" s="898"/>
      <c r="AH537" s="898"/>
      <c r="AI537" s="898"/>
      <c r="AJ537" s="898"/>
      <c r="AK537" s="898"/>
      <c r="AL537" s="898"/>
      <c r="AM537" s="897"/>
      <c r="AN537" s="897"/>
      <c r="AO537" s="897"/>
      <c r="AP537" s="897"/>
      <c r="AQ537" s="897"/>
      <c r="AR537" s="897"/>
      <c r="AS537" s="897"/>
      <c r="AT537" s="897"/>
    </row>
    <row r="538" spans="1:46" s="930" customFormat="1">
      <c r="A538" s="892"/>
      <c r="B538" s="899"/>
      <c r="C538" s="900"/>
      <c r="D538" s="894"/>
      <c r="E538" s="936"/>
      <c r="F538" s="905"/>
      <c r="G538" s="896"/>
      <c r="H538" s="897"/>
      <c r="I538" s="897"/>
      <c r="J538" s="897"/>
      <c r="K538" s="897"/>
      <c r="L538" s="898"/>
      <c r="M538" s="898"/>
      <c r="N538" s="898"/>
      <c r="O538" s="898"/>
      <c r="P538" s="898"/>
      <c r="Q538" s="898"/>
      <c r="R538" s="898"/>
      <c r="S538" s="898"/>
      <c r="T538" s="898"/>
      <c r="U538" s="898"/>
      <c r="V538" s="898"/>
      <c r="W538" s="898"/>
      <c r="X538" s="898"/>
      <c r="Y538" s="898"/>
      <c r="Z538" s="898"/>
      <c r="AA538" s="898"/>
      <c r="AB538" s="898"/>
      <c r="AC538" s="898"/>
      <c r="AD538" s="898"/>
      <c r="AE538" s="898"/>
      <c r="AF538" s="898"/>
      <c r="AG538" s="898"/>
      <c r="AH538" s="898"/>
      <c r="AI538" s="898"/>
      <c r="AJ538" s="898"/>
      <c r="AK538" s="898"/>
      <c r="AL538" s="898"/>
      <c r="AM538" s="897"/>
      <c r="AN538" s="897"/>
      <c r="AO538" s="897"/>
      <c r="AP538" s="897"/>
      <c r="AQ538" s="897"/>
      <c r="AR538" s="897"/>
      <c r="AS538" s="897"/>
      <c r="AT538" s="897"/>
    </row>
    <row r="539" spans="1:46" s="930" customFormat="1">
      <c r="A539" s="892"/>
      <c r="B539" s="899"/>
      <c r="C539" s="900"/>
      <c r="D539" s="894"/>
      <c r="E539" s="936"/>
      <c r="F539" s="905"/>
      <c r="G539" s="896"/>
      <c r="H539" s="897"/>
      <c r="I539" s="897"/>
      <c r="J539" s="897"/>
      <c r="K539" s="897"/>
      <c r="L539" s="898"/>
      <c r="M539" s="898"/>
      <c r="N539" s="898"/>
      <c r="O539" s="898"/>
      <c r="P539" s="898"/>
      <c r="Q539" s="898"/>
      <c r="R539" s="898"/>
      <c r="S539" s="898"/>
      <c r="T539" s="898"/>
      <c r="U539" s="898"/>
      <c r="V539" s="898"/>
      <c r="W539" s="898"/>
      <c r="X539" s="898"/>
      <c r="Y539" s="898"/>
      <c r="Z539" s="898"/>
      <c r="AA539" s="898"/>
      <c r="AB539" s="898"/>
      <c r="AC539" s="898"/>
      <c r="AD539" s="898"/>
      <c r="AE539" s="898"/>
      <c r="AF539" s="898"/>
      <c r="AG539" s="898"/>
      <c r="AH539" s="898"/>
      <c r="AI539" s="898"/>
      <c r="AJ539" s="898"/>
      <c r="AK539" s="898"/>
      <c r="AL539" s="898"/>
      <c r="AM539" s="897"/>
      <c r="AN539" s="897"/>
      <c r="AO539" s="897"/>
      <c r="AP539" s="897"/>
      <c r="AQ539" s="897"/>
      <c r="AR539" s="897"/>
      <c r="AS539" s="897"/>
      <c r="AT539" s="897"/>
    </row>
    <row r="540" spans="1:46" s="930" customFormat="1">
      <c r="A540" s="892"/>
      <c r="B540" s="899"/>
      <c r="C540" s="900"/>
      <c r="D540" s="894"/>
      <c r="E540" s="936"/>
      <c r="F540" s="905"/>
      <c r="G540" s="896"/>
      <c r="H540" s="897"/>
      <c r="I540" s="897"/>
      <c r="J540" s="897"/>
      <c r="K540" s="897"/>
      <c r="L540" s="898"/>
      <c r="M540" s="898"/>
      <c r="N540" s="898"/>
      <c r="O540" s="898"/>
      <c r="P540" s="898"/>
      <c r="Q540" s="898"/>
      <c r="R540" s="898"/>
      <c r="S540" s="898"/>
      <c r="T540" s="898"/>
      <c r="U540" s="898"/>
      <c r="V540" s="898"/>
      <c r="W540" s="898"/>
      <c r="X540" s="898"/>
      <c r="Y540" s="898"/>
      <c r="Z540" s="898"/>
      <c r="AA540" s="898"/>
      <c r="AB540" s="898"/>
      <c r="AC540" s="898"/>
      <c r="AD540" s="898"/>
      <c r="AE540" s="898"/>
      <c r="AF540" s="898"/>
      <c r="AG540" s="898"/>
      <c r="AH540" s="898"/>
      <c r="AI540" s="898"/>
      <c r="AJ540" s="898"/>
      <c r="AK540" s="898"/>
      <c r="AL540" s="898"/>
      <c r="AM540" s="897"/>
      <c r="AN540" s="897"/>
      <c r="AO540" s="897"/>
      <c r="AP540" s="897"/>
      <c r="AQ540" s="897"/>
      <c r="AR540" s="897"/>
      <c r="AS540" s="897"/>
      <c r="AT540" s="897"/>
    </row>
    <row r="541" spans="1:46" s="930" customFormat="1">
      <c r="A541" s="892"/>
      <c r="B541" s="899"/>
      <c r="C541" s="900"/>
      <c r="D541" s="894"/>
      <c r="E541" s="936"/>
      <c r="F541" s="905"/>
      <c r="G541" s="896"/>
      <c r="H541" s="897"/>
      <c r="I541" s="897"/>
      <c r="J541" s="897"/>
      <c r="K541" s="897"/>
      <c r="L541" s="898"/>
      <c r="M541" s="898"/>
      <c r="N541" s="898"/>
      <c r="O541" s="898"/>
      <c r="P541" s="898"/>
      <c r="Q541" s="898"/>
      <c r="R541" s="898"/>
      <c r="S541" s="898"/>
      <c r="T541" s="898"/>
      <c r="U541" s="898"/>
      <c r="V541" s="898"/>
      <c r="W541" s="898"/>
      <c r="X541" s="898"/>
      <c r="Y541" s="898"/>
      <c r="Z541" s="898"/>
      <c r="AA541" s="898"/>
      <c r="AB541" s="898"/>
      <c r="AC541" s="898"/>
      <c r="AD541" s="898"/>
      <c r="AE541" s="898"/>
      <c r="AF541" s="898"/>
      <c r="AG541" s="898"/>
      <c r="AH541" s="898"/>
      <c r="AI541" s="898"/>
      <c r="AJ541" s="898"/>
      <c r="AK541" s="898"/>
      <c r="AL541" s="898"/>
      <c r="AM541" s="897"/>
      <c r="AN541" s="897"/>
      <c r="AO541" s="897"/>
      <c r="AP541" s="897"/>
      <c r="AQ541" s="897"/>
      <c r="AR541" s="897"/>
      <c r="AS541" s="897"/>
      <c r="AT541" s="897"/>
    </row>
    <row r="542" spans="1:46" s="930" customFormat="1">
      <c r="A542" s="892"/>
      <c r="B542" s="899"/>
      <c r="C542" s="900"/>
      <c r="D542" s="894"/>
      <c r="E542" s="936"/>
      <c r="F542" s="905"/>
      <c r="G542" s="896"/>
      <c r="H542" s="897"/>
      <c r="I542" s="897"/>
      <c r="J542" s="897"/>
      <c r="K542" s="897"/>
      <c r="L542" s="898"/>
      <c r="M542" s="898"/>
      <c r="N542" s="898"/>
      <c r="O542" s="898"/>
      <c r="P542" s="898"/>
      <c r="Q542" s="898"/>
      <c r="R542" s="898"/>
      <c r="S542" s="898"/>
      <c r="T542" s="898"/>
      <c r="U542" s="898"/>
      <c r="V542" s="898"/>
      <c r="W542" s="898"/>
      <c r="X542" s="898"/>
      <c r="Y542" s="898"/>
      <c r="Z542" s="898"/>
      <c r="AA542" s="898"/>
      <c r="AB542" s="898"/>
      <c r="AC542" s="898"/>
      <c r="AD542" s="898"/>
      <c r="AE542" s="898"/>
      <c r="AF542" s="898"/>
      <c r="AG542" s="898"/>
      <c r="AH542" s="898"/>
      <c r="AI542" s="898"/>
      <c r="AJ542" s="898"/>
      <c r="AK542" s="898"/>
      <c r="AL542" s="898"/>
      <c r="AM542" s="897"/>
      <c r="AN542" s="897"/>
      <c r="AO542" s="897"/>
      <c r="AP542" s="897"/>
      <c r="AQ542" s="897"/>
      <c r="AR542" s="897"/>
      <c r="AS542" s="897"/>
      <c r="AT542" s="897"/>
    </row>
    <row r="543" spans="1:46" s="930" customFormat="1">
      <c r="A543" s="892"/>
      <c r="B543" s="899"/>
      <c r="C543" s="900"/>
      <c r="D543" s="894"/>
      <c r="E543" s="936"/>
      <c r="F543" s="905"/>
      <c r="G543" s="896"/>
      <c r="H543" s="897"/>
      <c r="I543" s="897"/>
      <c r="J543" s="897"/>
      <c r="K543" s="897"/>
      <c r="L543" s="898"/>
      <c r="M543" s="898"/>
      <c r="N543" s="898"/>
      <c r="O543" s="898"/>
      <c r="P543" s="898"/>
      <c r="Q543" s="898"/>
      <c r="R543" s="898"/>
      <c r="S543" s="898"/>
      <c r="T543" s="898"/>
      <c r="U543" s="898"/>
      <c r="V543" s="898"/>
      <c r="W543" s="898"/>
      <c r="X543" s="898"/>
      <c r="Y543" s="898"/>
      <c r="Z543" s="898"/>
      <c r="AA543" s="898"/>
      <c r="AB543" s="898"/>
      <c r="AC543" s="898"/>
      <c r="AD543" s="898"/>
      <c r="AE543" s="898"/>
      <c r="AF543" s="898"/>
      <c r="AG543" s="898"/>
      <c r="AH543" s="898"/>
      <c r="AI543" s="898"/>
      <c r="AJ543" s="898"/>
      <c r="AK543" s="898"/>
      <c r="AL543" s="898"/>
      <c r="AM543" s="897"/>
      <c r="AN543" s="897"/>
      <c r="AO543" s="897"/>
      <c r="AP543" s="897"/>
      <c r="AQ543" s="897"/>
      <c r="AR543" s="897"/>
      <c r="AS543" s="897"/>
      <c r="AT543" s="897"/>
    </row>
    <row r="544" spans="1:46" s="930" customFormat="1">
      <c r="A544" s="892"/>
      <c r="B544" s="899"/>
      <c r="C544" s="900"/>
      <c r="D544" s="894"/>
      <c r="E544" s="936"/>
      <c r="F544" s="905"/>
      <c r="G544" s="896"/>
      <c r="H544" s="897"/>
      <c r="I544" s="897"/>
      <c r="J544" s="897"/>
      <c r="K544" s="897"/>
      <c r="L544" s="898"/>
      <c r="M544" s="898"/>
      <c r="N544" s="898"/>
      <c r="O544" s="898"/>
      <c r="P544" s="898"/>
      <c r="Q544" s="898"/>
      <c r="R544" s="898"/>
      <c r="S544" s="898"/>
      <c r="T544" s="898"/>
      <c r="U544" s="898"/>
      <c r="V544" s="898"/>
      <c r="W544" s="898"/>
      <c r="X544" s="898"/>
      <c r="Y544" s="898"/>
      <c r="Z544" s="898"/>
      <c r="AA544" s="898"/>
      <c r="AB544" s="898"/>
      <c r="AC544" s="898"/>
      <c r="AD544" s="898"/>
      <c r="AE544" s="898"/>
      <c r="AF544" s="898"/>
      <c r="AG544" s="898"/>
      <c r="AH544" s="898"/>
      <c r="AI544" s="898"/>
      <c r="AJ544" s="898"/>
      <c r="AK544" s="898"/>
      <c r="AL544" s="898"/>
      <c r="AM544" s="897"/>
      <c r="AN544" s="897"/>
      <c r="AO544" s="897"/>
      <c r="AP544" s="897"/>
      <c r="AQ544" s="897"/>
      <c r="AR544" s="897"/>
      <c r="AS544" s="897"/>
      <c r="AT544" s="897"/>
    </row>
    <row r="545" spans="1:46" s="930" customFormat="1">
      <c r="A545" s="892"/>
      <c r="B545" s="899"/>
      <c r="C545" s="900"/>
      <c r="D545" s="894"/>
      <c r="E545" s="936"/>
      <c r="F545" s="905"/>
      <c r="G545" s="896"/>
      <c r="H545" s="897"/>
      <c r="I545" s="897"/>
      <c r="J545" s="897"/>
      <c r="K545" s="897"/>
      <c r="L545" s="898"/>
      <c r="M545" s="898"/>
      <c r="N545" s="898"/>
      <c r="O545" s="898"/>
      <c r="P545" s="898"/>
      <c r="Q545" s="898"/>
      <c r="R545" s="898"/>
      <c r="S545" s="898"/>
      <c r="T545" s="898"/>
      <c r="U545" s="898"/>
      <c r="V545" s="898"/>
      <c r="W545" s="898"/>
      <c r="X545" s="898"/>
      <c r="Y545" s="898"/>
      <c r="Z545" s="898"/>
      <c r="AA545" s="898"/>
      <c r="AB545" s="898"/>
      <c r="AC545" s="898"/>
      <c r="AD545" s="898"/>
      <c r="AE545" s="898"/>
      <c r="AF545" s="898"/>
      <c r="AG545" s="898"/>
      <c r="AH545" s="898"/>
      <c r="AI545" s="898"/>
      <c r="AJ545" s="898"/>
      <c r="AK545" s="898"/>
      <c r="AL545" s="898"/>
      <c r="AM545" s="897"/>
      <c r="AN545" s="897"/>
      <c r="AO545" s="897"/>
      <c r="AP545" s="897"/>
      <c r="AQ545" s="897"/>
      <c r="AR545" s="897"/>
      <c r="AS545" s="897"/>
      <c r="AT545" s="897"/>
    </row>
    <row r="546" spans="1:46" s="930" customFormat="1">
      <c r="A546" s="892"/>
      <c r="B546" s="899"/>
      <c r="C546" s="900"/>
      <c r="D546" s="894"/>
      <c r="E546" s="936"/>
      <c r="F546" s="905"/>
      <c r="G546" s="896"/>
      <c r="H546" s="897"/>
      <c r="I546" s="897"/>
      <c r="J546" s="897"/>
      <c r="K546" s="897"/>
      <c r="L546" s="898"/>
      <c r="M546" s="898"/>
      <c r="N546" s="898"/>
      <c r="O546" s="898"/>
      <c r="P546" s="898"/>
      <c r="Q546" s="898"/>
      <c r="R546" s="898"/>
      <c r="S546" s="898"/>
      <c r="T546" s="898"/>
      <c r="U546" s="898"/>
      <c r="V546" s="898"/>
      <c r="W546" s="898"/>
      <c r="X546" s="898"/>
      <c r="Y546" s="898"/>
      <c r="Z546" s="898"/>
      <c r="AA546" s="898"/>
      <c r="AB546" s="898"/>
      <c r="AC546" s="898"/>
      <c r="AD546" s="898"/>
      <c r="AE546" s="898"/>
      <c r="AF546" s="898"/>
      <c r="AG546" s="898"/>
      <c r="AH546" s="898"/>
      <c r="AI546" s="898"/>
      <c r="AJ546" s="898"/>
      <c r="AK546" s="898"/>
      <c r="AL546" s="898"/>
      <c r="AM546" s="897"/>
      <c r="AN546" s="897"/>
      <c r="AO546" s="897"/>
      <c r="AP546" s="897"/>
      <c r="AQ546" s="897"/>
      <c r="AR546" s="897"/>
      <c r="AS546" s="897"/>
      <c r="AT546" s="897"/>
    </row>
    <row r="547" spans="1:46" s="930" customFormat="1">
      <c r="A547" s="892"/>
      <c r="B547" s="899"/>
      <c r="C547" s="900"/>
      <c r="D547" s="894"/>
      <c r="E547" s="936"/>
      <c r="F547" s="905"/>
      <c r="G547" s="896"/>
      <c r="H547" s="897"/>
      <c r="I547" s="897"/>
      <c r="J547" s="897"/>
      <c r="K547" s="897"/>
      <c r="L547" s="898"/>
      <c r="M547" s="898"/>
      <c r="N547" s="898"/>
      <c r="O547" s="898"/>
      <c r="P547" s="898"/>
      <c r="Q547" s="898"/>
      <c r="R547" s="898"/>
      <c r="S547" s="898"/>
      <c r="T547" s="898"/>
      <c r="U547" s="898"/>
      <c r="V547" s="898"/>
      <c r="W547" s="898"/>
      <c r="X547" s="898"/>
      <c r="Y547" s="898"/>
      <c r="Z547" s="898"/>
      <c r="AA547" s="898"/>
      <c r="AB547" s="898"/>
      <c r="AC547" s="898"/>
      <c r="AD547" s="898"/>
      <c r="AE547" s="898"/>
      <c r="AF547" s="898"/>
      <c r="AG547" s="898"/>
      <c r="AH547" s="898"/>
      <c r="AI547" s="898"/>
      <c r="AJ547" s="898"/>
      <c r="AK547" s="898"/>
      <c r="AL547" s="898"/>
      <c r="AM547" s="897"/>
      <c r="AN547" s="897"/>
      <c r="AO547" s="897"/>
      <c r="AP547" s="897"/>
      <c r="AQ547" s="897"/>
      <c r="AR547" s="897"/>
      <c r="AS547" s="897"/>
      <c r="AT547" s="897"/>
    </row>
    <row r="548" spans="1:46" s="930" customFormat="1">
      <c r="A548" s="892"/>
      <c r="B548" s="899"/>
      <c r="C548" s="900"/>
      <c r="D548" s="894"/>
      <c r="E548" s="936"/>
      <c r="F548" s="905"/>
      <c r="G548" s="896"/>
      <c r="H548" s="897"/>
      <c r="I548" s="897"/>
      <c r="J548" s="897"/>
      <c r="K548" s="897"/>
      <c r="L548" s="898"/>
      <c r="M548" s="898"/>
      <c r="N548" s="898"/>
      <c r="O548" s="898"/>
      <c r="P548" s="898"/>
      <c r="Q548" s="898"/>
      <c r="R548" s="898"/>
      <c r="S548" s="898"/>
      <c r="T548" s="898"/>
      <c r="U548" s="898"/>
      <c r="V548" s="898"/>
      <c r="W548" s="898"/>
      <c r="X548" s="898"/>
      <c r="Y548" s="898"/>
      <c r="Z548" s="898"/>
      <c r="AA548" s="898"/>
      <c r="AB548" s="898"/>
      <c r="AC548" s="898"/>
      <c r="AD548" s="898"/>
      <c r="AE548" s="898"/>
      <c r="AF548" s="898"/>
      <c r="AG548" s="898"/>
      <c r="AH548" s="898"/>
      <c r="AI548" s="898"/>
      <c r="AJ548" s="898"/>
      <c r="AK548" s="898"/>
      <c r="AL548" s="898"/>
      <c r="AM548" s="897"/>
      <c r="AN548" s="897"/>
      <c r="AO548" s="897"/>
      <c r="AP548" s="897"/>
      <c r="AQ548" s="897"/>
      <c r="AR548" s="897"/>
      <c r="AS548" s="897"/>
      <c r="AT548" s="897"/>
    </row>
    <row r="549" spans="1:46" s="930" customFormat="1">
      <c r="A549" s="892"/>
      <c r="B549" s="899"/>
      <c r="C549" s="900"/>
      <c r="D549" s="894"/>
      <c r="E549" s="936"/>
      <c r="F549" s="905"/>
      <c r="G549" s="896"/>
      <c r="H549" s="897"/>
      <c r="I549" s="897"/>
      <c r="J549" s="897"/>
      <c r="K549" s="897"/>
      <c r="L549" s="898"/>
      <c r="M549" s="898"/>
      <c r="N549" s="898"/>
      <c r="O549" s="898"/>
      <c r="P549" s="898"/>
      <c r="Q549" s="898"/>
      <c r="R549" s="898"/>
      <c r="S549" s="898"/>
      <c r="T549" s="898"/>
      <c r="U549" s="898"/>
      <c r="V549" s="898"/>
      <c r="W549" s="898"/>
      <c r="X549" s="898"/>
      <c r="Y549" s="898"/>
      <c r="Z549" s="898"/>
      <c r="AA549" s="898"/>
      <c r="AB549" s="898"/>
      <c r="AC549" s="898"/>
      <c r="AD549" s="898"/>
      <c r="AE549" s="898"/>
      <c r="AF549" s="898"/>
      <c r="AG549" s="898"/>
      <c r="AH549" s="898"/>
      <c r="AI549" s="898"/>
      <c r="AJ549" s="898"/>
      <c r="AK549" s="898"/>
      <c r="AL549" s="898"/>
      <c r="AM549" s="897"/>
      <c r="AN549" s="897"/>
      <c r="AO549" s="897"/>
      <c r="AP549" s="897"/>
      <c r="AQ549" s="897"/>
      <c r="AR549" s="897"/>
      <c r="AS549" s="897"/>
      <c r="AT549" s="897"/>
    </row>
    <row r="550" spans="1:46" s="930" customFormat="1">
      <c r="A550" s="892"/>
      <c r="B550" s="899"/>
      <c r="C550" s="900"/>
      <c r="D550" s="894"/>
      <c r="E550" s="936"/>
      <c r="F550" s="905"/>
      <c r="G550" s="896"/>
      <c r="H550" s="897"/>
      <c r="I550" s="897"/>
      <c r="J550" s="897"/>
      <c r="K550" s="897"/>
      <c r="L550" s="898"/>
      <c r="M550" s="898"/>
      <c r="N550" s="898"/>
      <c r="O550" s="898"/>
      <c r="P550" s="898"/>
      <c r="Q550" s="898"/>
      <c r="R550" s="898"/>
      <c r="S550" s="898"/>
      <c r="T550" s="898"/>
      <c r="U550" s="898"/>
      <c r="V550" s="898"/>
      <c r="W550" s="898"/>
      <c r="X550" s="898"/>
      <c r="Y550" s="898"/>
      <c r="Z550" s="898"/>
      <c r="AA550" s="898"/>
      <c r="AB550" s="898"/>
      <c r="AC550" s="898"/>
      <c r="AD550" s="898"/>
      <c r="AE550" s="898"/>
      <c r="AF550" s="898"/>
      <c r="AG550" s="898"/>
      <c r="AH550" s="898"/>
      <c r="AI550" s="898"/>
      <c r="AJ550" s="898"/>
      <c r="AK550" s="898"/>
      <c r="AL550" s="898"/>
      <c r="AM550" s="897"/>
      <c r="AN550" s="897"/>
      <c r="AO550" s="897"/>
      <c r="AP550" s="897"/>
      <c r="AQ550" s="897"/>
      <c r="AR550" s="897"/>
      <c r="AS550" s="897"/>
      <c r="AT550" s="897"/>
    </row>
    <row r="551" spans="1:46" s="930" customFormat="1">
      <c r="A551" s="892"/>
      <c r="B551" s="899"/>
      <c r="C551" s="900"/>
      <c r="D551" s="894"/>
      <c r="E551" s="936"/>
      <c r="F551" s="905"/>
      <c r="G551" s="896"/>
      <c r="H551" s="897"/>
      <c r="I551" s="897"/>
      <c r="J551" s="897"/>
      <c r="K551" s="897"/>
      <c r="L551" s="898"/>
      <c r="M551" s="898"/>
      <c r="N551" s="898"/>
      <c r="O551" s="898"/>
      <c r="P551" s="898"/>
      <c r="Q551" s="898"/>
      <c r="R551" s="898"/>
      <c r="S551" s="898"/>
      <c r="T551" s="898"/>
      <c r="U551" s="898"/>
      <c r="V551" s="898"/>
      <c r="W551" s="898"/>
      <c r="X551" s="898"/>
      <c r="Y551" s="898"/>
      <c r="Z551" s="898"/>
      <c r="AA551" s="898"/>
      <c r="AB551" s="898"/>
      <c r="AC551" s="898"/>
      <c r="AD551" s="898"/>
      <c r="AE551" s="898"/>
      <c r="AF551" s="898"/>
      <c r="AG551" s="898"/>
      <c r="AH551" s="898"/>
      <c r="AI551" s="898"/>
      <c r="AJ551" s="898"/>
      <c r="AK551" s="898"/>
      <c r="AL551" s="898"/>
      <c r="AM551" s="897"/>
      <c r="AN551" s="897"/>
      <c r="AO551" s="897"/>
      <c r="AP551" s="897"/>
      <c r="AQ551" s="897"/>
      <c r="AR551" s="897"/>
      <c r="AS551" s="897"/>
      <c r="AT551" s="897"/>
    </row>
    <row r="552" spans="1:46" s="930" customFormat="1">
      <c r="A552" s="892"/>
      <c r="B552" s="899"/>
      <c r="C552" s="900"/>
      <c r="D552" s="894"/>
      <c r="E552" s="936"/>
      <c r="F552" s="905"/>
      <c r="G552" s="896"/>
      <c r="H552" s="897"/>
      <c r="I552" s="897"/>
      <c r="J552" s="897"/>
      <c r="K552" s="897"/>
      <c r="L552" s="898"/>
      <c r="M552" s="898"/>
      <c r="N552" s="898"/>
      <c r="O552" s="898"/>
      <c r="P552" s="898"/>
      <c r="Q552" s="898"/>
      <c r="R552" s="898"/>
      <c r="S552" s="898"/>
      <c r="T552" s="898"/>
      <c r="U552" s="898"/>
      <c r="V552" s="898"/>
      <c r="W552" s="898"/>
      <c r="X552" s="898"/>
      <c r="Y552" s="898"/>
      <c r="Z552" s="898"/>
      <c r="AA552" s="898"/>
      <c r="AB552" s="898"/>
      <c r="AC552" s="898"/>
      <c r="AD552" s="898"/>
      <c r="AE552" s="898"/>
      <c r="AF552" s="898"/>
      <c r="AG552" s="898"/>
      <c r="AH552" s="898"/>
      <c r="AI552" s="898"/>
      <c r="AJ552" s="898"/>
      <c r="AK552" s="898"/>
      <c r="AL552" s="898"/>
      <c r="AM552" s="897"/>
      <c r="AN552" s="897"/>
      <c r="AO552" s="897"/>
      <c r="AP552" s="897"/>
      <c r="AQ552" s="897"/>
      <c r="AR552" s="897"/>
      <c r="AS552" s="897"/>
      <c r="AT552" s="897"/>
    </row>
    <row r="553" spans="1:46" s="930" customFormat="1">
      <c r="A553" s="892"/>
      <c r="B553" s="899"/>
      <c r="C553" s="900"/>
      <c r="D553" s="894"/>
      <c r="E553" s="936"/>
      <c r="F553" s="905"/>
      <c r="G553" s="896"/>
      <c r="H553" s="897"/>
      <c r="I553" s="897"/>
      <c r="J553" s="897"/>
      <c r="K553" s="897"/>
      <c r="L553" s="898"/>
      <c r="M553" s="898"/>
      <c r="N553" s="898"/>
      <c r="O553" s="898"/>
      <c r="P553" s="898"/>
      <c r="Q553" s="898"/>
      <c r="R553" s="898"/>
      <c r="S553" s="898"/>
      <c r="T553" s="898"/>
      <c r="U553" s="898"/>
      <c r="V553" s="898"/>
      <c r="W553" s="898"/>
      <c r="X553" s="898"/>
      <c r="Y553" s="898"/>
      <c r="Z553" s="898"/>
      <c r="AA553" s="898"/>
      <c r="AB553" s="898"/>
      <c r="AC553" s="898"/>
      <c r="AD553" s="898"/>
      <c r="AE553" s="898"/>
      <c r="AF553" s="898"/>
      <c r="AG553" s="898"/>
      <c r="AH553" s="898"/>
      <c r="AI553" s="898"/>
      <c r="AJ553" s="898"/>
      <c r="AK553" s="898"/>
      <c r="AL553" s="898"/>
      <c r="AM553" s="897"/>
      <c r="AN553" s="897"/>
      <c r="AO553" s="897"/>
      <c r="AP553" s="897"/>
      <c r="AQ553" s="897"/>
      <c r="AR553" s="897"/>
      <c r="AS553" s="897"/>
      <c r="AT553" s="897"/>
    </row>
    <row r="554" spans="1:46" s="930" customFormat="1">
      <c r="A554" s="892"/>
      <c r="B554" s="899"/>
      <c r="C554" s="900"/>
      <c r="D554" s="894"/>
      <c r="E554" s="936"/>
      <c r="F554" s="905"/>
      <c r="G554" s="896"/>
      <c r="H554" s="897"/>
      <c r="I554" s="897"/>
      <c r="J554" s="897"/>
      <c r="K554" s="897"/>
      <c r="L554" s="898"/>
      <c r="M554" s="898"/>
      <c r="N554" s="898"/>
      <c r="O554" s="898"/>
      <c r="P554" s="898"/>
      <c r="Q554" s="898"/>
      <c r="R554" s="898"/>
      <c r="S554" s="898"/>
      <c r="T554" s="898"/>
      <c r="U554" s="898"/>
      <c r="V554" s="898"/>
      <c r="W554" s="898"/>
      <c r="X554" s="898"/>
      <c r="Y554" s="898"/>
      <c r="Z554" s="898"/>
      <c r="AA554" s="898"/>
      <c r="AB554" s="898"/>
      <c r="AC554" s="898"/>
      <c r="AD554" s="898"/>
      <c r="AE554" s="898"/>
      <c r="AF554" s="898"/>
      <c r="AG554" s="898"/>
      <c r="AH554" s="898"/>
      <c r="AI554" s="898"/>
      <c r="AJ554" s="898"/>
      <c r="AK554" s="898"/>
      <c r="AL554" s="898"/>
      <c r="AM554" s="897"/>
      <c r="AN554" s="897"/>
      <c r="AO554" s="897"/>
      <c r="AP554" s="897"/>
      <c r="AQ554" s="897"/>
      <c r="AR554" s="897"/>
      <c r="AS554" s="897"/>
      <c r="AT554" s="897"/>
    </row>
    <row r="555" spans="1:46" s="930" customFormat="1">
      <c r="A555" s="892"/>
      <c r="B555" s="899"/>
      <c r="C555" s="900"/>
      <c r="D555" s="894"/>
      <c r="E555" s="936"/>
      <c r="F555" s="905"/>
      <c r="G555" s="896"/>
      <c r="H555" s="897"/>
      <c r="I555" s="897"/>
      <c r="J555" s="897"/>
      <c r="K555" s="897"/>
      <c r="L555" s="898"/>
      <c r="M555" s="898"/>
      <c r="N555" s="898"/>
      <c r="O555" s="898"/>
      <c r="P555" s="898"/>
      <c r="Q555" s="898"/>
      <c r="R555" s="898"/>
      <c r="S555" s="898"/>
      <c r="T555" s="898"/>
      <c r="U555" s="898"/>
      <c r="V555" s="898"/>
      <c r="W555" s="898"/>
      <c r="X555" s="898"/>
      <c r="Y555" s="898"/>
      <c r="Z555" s="898"/>
      <c r="AA555" s="898"/>
      <c r="AB555" s="898"/>
      <c r="AC555" s="898"/>
      <c r="AD555" s="898"/>
      <c r="AE555" s="898"/>
      <c r="AF555" s="898"/>
      <c r="AG555" s="898"/>
      <c r="AH555" s="898"/>
      <c r="AI555" s="898"/>
      <c r="AJ555" s="898"/>
      <c r="AK555" s="898"/>
      <c r="AL555" s="898"/>
      <c r="AM555" s="897"/>
      <c r="AN555" s="897"/>
      <c r="AO555" s="897"/>
      <c r="AP555" s="897"/>
      <c r="AQ555" s="897"/>
      <c r="AR555" s="897"/>
      <c r="AS555" s="897"/>
      <c r="AT555" s="897"/>
    </row>
    <row r="556" spans="1:46" s="930" customFormat="1">
      <c r="A556" s="892"/>
      <c r="B556" s="899"/>
      <c r="C556" s="900"/>
      <c r="D556" s="894"/>
      <c r="E556" s="936"/>
      <c r="F556" s="905"/>
      <c r="G556" s="896"/>
      <c r="H556" s="897"/>
      <c r="I556" s="897"/>
      <c r="J556" s="897"/>
      <c r="K556" s="897"/>
      <c r="L556" s="898"/>
      <c r="M556" s="898"/>
      <c r="N556" s="898"/>
      <c r="O556" s="898"/>
      <c r="P556" s="898"/>
      <c r="Q556" s="898"/>
      <c r="R556" s="898"/>
      <c r="S556" s="898"/>
      <c r="T556" s="898"/>
      <c r="U556" s="898"/>
      <c r="V556" s="898"/>
      <c r="W556" s="898"/>
      <c r="X556" s="898"/>
      <c r="Y556" s="898"/>
      <c r="Z556" s="898"/>
      <c r="AA556" s="898"/>
      <c r="AB556" s="898"/>
      <c r="AC556" s="898"/>
      <c r="AD556" s="898"/>
      <c r="AE556" s="898"/>
      <c r="AF556" s="898"/>
      <c r="AG556" s="898"/>
      <c r="AH556" s="898"/>
      <c r="AI556" s="898"/>
      <c r="AJ556" s="898"/>
      <c r="AK556" s="898"/>
      <c r="AL556" s="898"/>
      <c r="AM556" s="897"/>
      <c r="AN556" s="897"/>
      <c r="AO556" s="897"/>
      <c r="AP556" s="897"/>
      <c r="AQ556" s="897"/>
      <c r="AR556" s="897"/>
      <c r="AS556" s="897"/>
      <c r="AT556" s="897"/>
    </row>
    <row r="557" spans="1:46" s="930" customFormat="1">
      <c r="A557" s="892"/>
      <c r="B557" s="899"/>
      <c r="C557" s="900"/>
      <c r="D557" s="894"/>
      <c r="E557" s="936"/>
      <c r="F557" s="905"/>
      <c r="G557" s="896"/>
      <c r="H557" s="897"/>
      <c r="I557" s="897"/>
      <c r="J557" s="897"/>
      <c r="K557" s="897"/>
      <c r="L557" s="898"/>
      <c r="M557" s="898"/>
      <c r="N557" s="898"/>
      <c r="O557" s="898"/>
      <c r="P557" s="898"/>
      <c r="Q557" s="898"/>
      <c r="R557" s="898"/>
      <c r="S557" s="898"/>
      <c r="T557" s="898"/>
      <c r="U557" s="898"/>
      <c r="V557" s="898"/>
      <c r="W557" s="898"/>
      <c r="X557" s="898"/>
      <c r="Y557" s="898"/>
      <c r="Z557" s="898"/>
      <c r="AA557" s="898"/>
      <c r="AB557" s="898"/>
      <c r="AC557" s="898"/>
      <c r="AD557" s="898"/>
      <c r="AE557" s="898"/>
      <c r="AF557" s="898"/>
      <c r="AG557" s="898"/>
      <c r="AH557" s="898"/>
      <c r="AI557" s="898"/>
      <c r="AJ557" s="898"/>
      <c r="AK557" s="898"/>
      <c r="AL557" s="898"/>
      <c r="AM557" s="897"/>
      <c r="AN557" s="897"/>
      <c r="AO557" s="897"/>
      <c r="AP557" s="897"/>
      <c r="AQ557" s="897"/>
      <c r="AR557" s="897"/>
      <c r="AS557" s="897"/>
      <c r="AT557" s="897"/>
    </row>
    <row r="558" spans="1:46" s="930" customFormat="1">
      <c r="A558" s="892"/>
      <c r="B558" s="899"/>
      <c r="C558" s="900"/>
      <c r="D558" s="894"/>
      <c r="E558" s="936"/>
      <c r="F558" s="905"/>
      <c r="G558" s="896"/>
      <c r="H558" s="897"/>
      <c r="I558" s="897"/>
      <c r="J558" s="897"/>
      <c r="K558" s="897"/>
      <c r="L558" s="898"/>
      <c r="M558" s="898"/>
      <c r="N558" s="898"/>
      <c r="O558" s="898"/>
      <c r="P558" s="898"/>
      <c r="Q558" s="898"/>
      <c r="R558" s="898"/>
      <c r="S558" s="898"/>
      <c r="T558" s="898"/>
      <c r="U558" s="898"/>
      <c r="V558" s="898"/>
      <c r="W558" s="898"/>
      <c r="X558" s="898"/>
      <c r="Y558" s="898"/>
      <c r="Z558" s="898"/>
      <c r="AA558" s="898"/>
      <c r="AB558" s="898"/>
      <c r="AC558" s="898"/>
      <c r="AD558" s="898"/>
      <c r="AE558" s="898"/>
      <c r="AF558" s="898"/>
      <c r="AG558" s="898"/>
      <c r="AH558" s="898"/>
      <c r="AI558" s="898"/>
      <c r="AJ558" s="898"/>
      <c r="AK558" s="898"/>
      <c r="AL558" s="898"/>
      <c r="AM558" s="897"/>
      <c r="AN558" s="897"/>
      <c r="AO558" s="897"/>
      <c r="AP558" s="897"/>
      <c r="AQ558" s="897"/>
      <c r="AR558" s="897"/>
      <c r="AS558" s="897"/>
      <c r="AT558" s="897"/>
    </row>
    <row r="559" spans="1:46" s="930" customFormat="1">
      <c r="A559" s="892"/>
      <c r="B559" s="899"/>
      <c r="C559" s="900"/>
      <c r="D559" s="894"/>
      <c r="E559" s="936"/>
      <c r="F559" s="905"/>
      <c r="G559" s="896"/>
      <c r="H559" s="897"/>
      <c r="I559" s="897"/>
      <c r="J559" s="897"/>
      <c r="K559" s="897"/>
      <c r="L559" s="898"/>
      <c r="M559" s="898"/>
      <c r="N559" s="898"/>
      <c r="O559" s="898"/>
      <c r="P559" s="898"/>
      <c r="Q559" s="898"/>
      <c r="R559" s="898"/>
      <c r="S559" s="898"/>
      <c r="T559" s="898"/>
      <c r="U559" s="898"/>
      <c r="V559" s="898"/>
      <c r="W559" s="898"/>
      <c r="X559" s="898"/>
      <c r="Y559" s="898"/>
      <c r="Z559" s="898"/>
      <c r="AA559" s="898"/>
      <c r="AB559" s="898"/>
      <c r="AC559" s="898"/>
      <c r="AD559" s="898"/>
      <c r="AE559" s="898"/>
      <c r="AF559" s="898"/>
      <c r="AG559" s="898"/>
      <c r="AH559" s="898"/>
      <c r="AI559" s="898"/>
      <c r="AJ559" s="898"/>
      <c r="AK559" s="898"/>
      <c r="AL559" s="898"/>
      <c r="AM559" s="897"/>
      <c r="AN559" s="897"/>
      <c r="AO559" s="897"/>
      <c r="AP559" s="897"/>
      <c r="AQ559" s="897"/>
      <c r="AR559" s="897"/>
      <c r="AS559" s="897"/>
      <c r="AT559" s="897"/>
    </row>
    <row r="560" spans="1:46" s="930" customFormat="1">
      <c r="A560" s="892"/>
      <c r="B560" s="899"/>
      <c r="C560" s="900"/>
      <c r="D560" s="894"/>
      <c r="E560" s="936"/>
      <c r="F560" s="905"/>
      <c r="G560" s="896"/>
      <c r="H560" s="897"/>
      <c r="I560" s="897"/>
      <c r="J560" s="897"/>
      <c r="K560" s="897"/>
      <c r="L560" s="898"/>
      <c r="M560" s="898"/>
      <c r="N560" s="898"/>
      <c r="O560" s="898"/>
      <c r="P560" s="898"/>
      <c r="Q560" s="898"/>
      <c r="R560" s="898"/>
      <c r="S560" s="898"/>
      <c r="T560" s="898"/>
      <c r="U560" s="898"/>
      <c r="V560" s="898"/>
      <c r="W560" s="898"/>
      <c r="X560" s="898"/>
      <c r="Y560" s="898"/>
      <c r="Z560" s="898"/>
      <c r="AA560" s="898"/>
      <c r="AB560" s="898"/>
      <c r="AC560" s="898"/>
      <c r="AD560" s="898"/>
      <c r="AE560" s="898"/>
      <c r="AF560" s="898"/>
      <c r="AG560" s="898"/>
      <c r="AH560" s="898"/>
      <c r="AI560" s="898"/>
      <c r="AJ560" s="898"/>
      <c r="AK560" s="898"/>
      <c r="AL560" s="898"/>
      <c r="AM560" s="897"/>
      <c r="AN560" s="897"/>
      <c r="AO560" s="897"/>
      <c r="AP560" s="897"/>
      <c r="AQ560" s="897"/>
      <c r="AR560" s="897"/>
      <c r="AS560" s="897"/>
      <c r="AT560" s="897"/>
    </row>
    <row r="561" spans="1:46" s="930" customFormat="1">
      <c r="A561" s="892"/>
      <c r="B561" s="899"/>
      <c r="C561" s="900"/>
      <c r="D561" s="894"/>
      <c r="E561" s="936"/>
      <c r="F561" s="905"/>
      <c r="G561" s="896"/>
      <c r="H561" s="897"/>
      <c r="I561" s="897"/>
      <c r="J561" s="897"/>
      <c r="K561" s="897"/>
      <c r="L561" s="898"/>
      <c r="M561" s="898"/>
      <c r="N561" s="898"/>
      <c r="O561" s="898"/>
      <c r="P561" s="898"/>
      <c r="Q561" s="898"/>
      <c r="R561" s="898"/>
      <c r="S561" s="898"/>
      <c r="T561" s="898"/>
      <c r="U561" s="898"/>
      <c r="V561" s="898"/>
      <c r="W561" s="898"/>
      <c r="X561" s="898"/>
      <c r="Y561" s="898"/>
      <c r="Z561" s="898"/>
      <c r="AA561" s="898"/>
      <c r="AB561" s="898"/>
      <c r="AC561" s="898"/>
      <c r="AD561" s="898"/>
      <c r="AE561" s="898"/>
      <c r="AF561" s="898"/>
      <c r="AG561" s="898"/>
      <c r="AH561" s="898"/>
      <c r="AI561" s="898"/>
      <c r="AJ561" s="898"/>
      <c r="AK561" s="898"/>
      <c r="AL561" s="898"/>
      <c r="AM561" s="897"/>
      <c r="AN561" s="897"/>
      <c r="AO561" s="897"/>
      <c r="AP561" s="897"/>
      <c r="AQ561" s="897"/>
      <c r="AR561" s="897"/>
      <c r="AS561" s="897"/>
      <c r="AT561" s="897"/>
    </row>
    <row r="562" spans="1:46" s="930" customFormat="1">
      <c r="A562" s="892"/>
      <c r="B562" s="899"/>
      <c r="C562" s="900"/>
      <c r="D562" s="894"/>
      <c r="E562" s="936"/>
      <c r="F562" s="905"/>
      <c r="G562" s="896"/>
      <c r="H562" s="897"/>
      <c r="I562" s="897"/>
      <c r="J562" s="897"/>
      <c r="K562" s="897"/>
      <c r="L562" s="898"/>
      <c r="M562" s="898"/>
      <c r="N562" s="898"/>
      <c r="O562" s="898"/>
      <c r="P562" s="898"/>
      <c r="Q562" s="898"/>
      <c r="R562" s="898"/>
      <c r="S562" s="898"/>
      <c r="T562" s="898"/>
      <c r="U562" s="898"/>
      <c r="V562" s="898"/>
      <c r="W562" s="898"/>
      <c r="X562" s="898"/>
      <c r="Y562" s="898"/>
      <c r="Z562" s="898"/>
      <c r="AA562" s="898"/>
      <c r="AB562" s="898"/>
      <c r="AC562" s="898"/>
      <c r="AD562" s="898"/>
      <c r="AE562" s="898"/>
      <c r="AF562" s="898"/>
      <c r="AG562" s="898"/>
      <c r="AH562" s="898"/>
      <c r="AI562" s="898"/>
      <c r="AJ562" s="898"/>
      <c r="AK562" s="898"/>
      <c r="AL562" s="898"/>
      <c r="AM562" s="897"/>
      <c r="AN562" s="897"/>
      <c r="AO562" s="897"/>
      <c r="AP562" s="897"/>
      <c r="AQ562" s="897"/>
      <c r="AR562" s="897"/>
      <c r="AS562" s="897"/>
      <c r="AT562" s="897"/>
    </row>
    <row r="563" spans="1:46" s="930" customFormat="1">
      <c r="A563" s="892"/>
      <c r="B563" s="899"/>
      <c r="C563" s="900"/>
      <c r="D563" s="894"/>
      <c r="E563" s="936"/>
      <c r="F563" s="905"/>
      <c r="G563" s="896"/>
      <c r="H563" s="897"/>
      <c r="I563" s="897"/>
      <c r="J563" s="897"/>
      <c r="K563" s="897"/>
      <c r="L563" s="898"/>
      <c r="M563" s="898"/>
      <c r="N563" s="898"/>
      <c r="O563" s="898"/>
      <c r="P563" s="898"/>
      <c r="Q563" s="898"/>
      <c r="R563" s="898"/>
      <c r="S563" s="898"/>
      <c r="T563" s="898"/>
      <c r="U563" s="898"/>
      <c r="V563" s="898"/>
      <c r="W563" s="898"/>
      <c r="X563" s="898"/>
      <c r="Y563" s="898"/>
      <c r="Z563" s="898"/>
      <c r="AA563" s="898"/>
      <c r="AB563" s="898"/>
      <c r="AC563" s="898"/>
      <c r="AD563" s="898"/>
      <c r="AE563" s="898"/>
      <c r="AF563" s="898"/>
      <c r="AG563" s="898"/>
      <c r="AH563" s="898"/>
      <c r="AI563" s="898"/>
      <c r="AJ563" s="898"/>
      <c r="AK563" s="898"/>
      <c r="AL563" s="898"/>
      <c r="AM563" s="897"/>
      <c r="AN563" s="897"/>
      <c r="AO563" s="897"/>
      <c r="AP563" s="897"/>
      <c r="AQ563" s="897"/>
      <c r="AR563" s="897"/>
      <c r="AS563" s="897"/>
      <c r="AT563" s="897"/>
    </row>
    <row r="564" spans="1:46" s="930" customFormat="1">
      <c r="A564" s="892"/>
      <c r="B564" s="899"/>
      <c r="C564" s="900"/>
      <c r="D564" s="894"/>
      <c r="E564" s="936"/>
      <c r="F564" s="905"/>
      <c r="G564" s="896"/>
      <c r="H564" s="897"/>
      <c r="I564" s="897"/>
      <c r="J564" s="897"/>
      <c r="K564" s="897"/>
      <c r="L564" s="898"/>
      <c r="M564" s="898"/>
      <c r="N564" s="898"/>
      <c r="O564" s="898"/>
      <c r="P564" s="898"/>
      <c r="Q564" s="898"/>
      <c r="R564" s="898"/>
      <c r="S564" s="898"/>
      <c r="T564" s="898"/>
      <c r="U564" s="898"/>
      <c r="V564" s="898"/>
      <c r="W564" s="898"/>
      <c r="X564" s="898"/>
      <c r="Y564" s="898"/>
      <c r="Z564" s="898"/>
      <c r="AA564" s="898"/>
      <c r="AB564" s="898"/>
      <c r="AC564" s="898"/>
      <c r="AD564" s="898"/>
      <c r="AE564" s="898"/>
      <c r="AF564" s="898"/>
      <c r="AG564" s="898"/>
      <c r="AH564" s="898"/>
      <c r="AI564" s="898"/>
      <c r="AJ564" s="898"/>
      <c r="AK564" s="898"/>
      <c r="AL564" s="898"/>
      <c r="AM564" s="897"/>
      <c r="AN564" s="897"/>
      <c r="AO564" s="897"/>
      <c r="AP564" s="897"/>
      <c r="AQ564" s="897"/>
      <c r="AR564" s="897"/>
      <c r="AS564" s="897"/>
      <c r="AT564" s="897"/>
    </row>
    <row r="565" spans="1:46" s="930" customFormat="1">
      <c r="A565" s="892"/>
      <c r="B565" s="899"/>
      <c r="C565" s="900"/>
      <c r="D565" s="894"/>
      <c r="E565" s="936"/>
      <c r="F565" s="905"/>
      <c r="G565" s="896"/>
      <c r="H565" s="897"/>
      <c r="I565" s="897"/>
      <c r="J565" s="897"/>
      <c r="K565" s="897"/>
      <c r="L565" s="898"/>
      <c r="M565" s="898"/>
      <c r="N565" s="898"/>
      <c r="O565" s="898"/>
      <c r="P565" s="898"/>
      <c r="Q565" s="898"/>
      <c r="R565" s="898"/>
      <c r="S565" s="898"/>
      <c r="T565" s="898"/>
      <c r="U565" s="898"/>
      <c r="V565" s="898"/>
      <c r="W565" s="898"/>
      <c r="X565" s="898"/>
      <c r="Y565" s="898"/>
      <c r="Z565" s="898"/>
      <c r="AA565" s="898"/>
      <c r="AB565" s="898"/>
      <c r="AC565" s="898"/>
      <c r="AD565" s="898"/>
      <c r="AE565" s="898"/>
      <c r="AF565" s="898"/>
      <c r="AG565" s="898"/>
      <c r="AH565" s="898"/>
      <c r="AI565" s="898"/>
      <c r="AJ565" s="898"/>
      <c r="AK565" s="898"/>
      <c r="AL565" s="898"/>
      <c r="AM565" s="897"/>
      <c r="AN565" s="897"/>
      <c r="AO565" s="897"/>
      <c r="AP565" s="897"/>
      <c r="AQ565" s="897"/>
      <c r="AR565" s="897"/>
      <c r="AS565" s="897"/>
      <c r="AT565" s="897"/>
    </row>
    <row r="566" spans="1:46" s="930" customFormat="1">
      <c r="A566" s="892"/>
      <c r="B566" s="899"/>
      <c r="C566" s="900"/>
      <c r="D566" s="894"/>
      <c r="E566" s="936"/>
      <c r="F566" s="905"/>
      <c r="G566" s="896"/>
      <c r="H566" s="897"/>
      <c r="I566" s="897"/>
      <c r="J566" s="897"/>
      <c r="K566" s="897"/>
      <c r="L566" s="898"/>
      <c r="M566" s="898"/>
      <c r="N566" s="898"/>
      <c r="O566" s="898"/>
      <c r="P566" s="898"/>
      <c r="Q566" s="898"/>
      <c r="R566" s="898"/>
      <c r="S566" s="898"/>
      <c r="T566" s="898"/>
      <c r="U566" s="898"/>
      <c r="V566" s="898"/>
      <c r="W566" s="898"/>
      <c r="X566" s="898"/>
      <c r="Y566" s="898"/>
      <c r="Z566" s="898"/>
      <c r="AA566" s="898"/>
      <c r="AB566" s="898"/>
      <c r="AC566" s="898"/>
      <c r="AD566" s="898"/>
      <c r="AE566" s="898"/>
      <c r="AF566" s="898"/>
      <c r="AG566" s="898"/>
      <c r="AH566" s="898"/>
      <c r="AI566" s="898"/>
      <c r="AJ566" s="898"/>
      <c r="AK566" s="898"/>
      <c r="AL566" s="898"/>
      <c r="AM566" s="897"/>
      <c r="AN566" s="897"/>
      <c r="AO566" s="897"/>
      <c r="AP566" s="897"/>
      <c r="AQ566" s="897"/>
      <c r="AR566" s="897"/>
      <c r="AS566" s="897"/>
      <c r="AT566" s="897"/>
    </row>
    <row r="567" spans="1:46" s="930" customFormat="1">
      <c r="A567" s="892"/>
      <c r="B567" s="899"/>
      <c r="C567" s="900"/>
      <c r="D567" s="894"/>
      <c r="E567" s="936"/>
      <c r="F567" s="905"/>
      <c r="G567" s="896"/>
      <c r="H567" s="897"/>
      <c r="I567" s="897"/>
      <c r="J567" s="897"/>
      <c r="K567" s="897"/>
      <c r="L567" s="898"/>
      <c r="M567" s="898"/>
      <c r="N567" s="898"/>
      <c r="O567" s="898"/>
      <c r="P567" s="898"/>
      <c r="Q567" s="898"/>
      <c r="R567" s="898"/>
      <c r="S567" s="898"/>
      <c r="T567" s="898"/>
      <c r="U567" s="898"/>
      <c r="V567" s="898"/>
      <c r="W567" s="898"/>
      <c r="X567" s="898"/>
      <c r="Y567" s="898"/>
      <c r="Z567" s="898"/>
      <c r="AA567" s="898"/>
      <c r="AB567" s="898"/>
      <c r="AC567" s="898"/>
      <c r="AD567" s="898"/>
      <c r="AE567" s="898"/>
      <c r="AF567" s="898"/>
      <c r="AG567" s="898"/>
      <c r="AH567" s="898"/>
      <c r="AI567" s="898"/>
      <c r="AJ567" s="898"/>
      <c r="AK567" s="898"/>
      <c r="AL567" s="898"/>
      <c r="AM567" s="897"/>
      <c r="AN567" s="897"/>
      <c r="AO567" s="897"/>
      <c r="AP567" s="897"/>
      <c r="AQ567" s="897"/>
      <c r="AR567" s="897"/>
      <c r="AS567" s="897"/>
      <c r="AT567" s="897"/>
    </row>
    <row r="568" spans="1:46" s="930" customFormat="1">
      <c r="A568" s="892"/>
      <c r="B568" s="899"/>
      <c r="C568" s="900"/>
      <c r="D568" s="894"/>
      <c r="E568" s="936"/>
      <c r="F568" s="905"/>
      <c r="G568" s="896"/>
      <c r="H568" s="897"/>
      <c r="I568" s="897"/>
      <c r="J568" s="897"/>
      <c r="K568" s="897"/>
      <c r="L568" s="898"/>
      <c r="M568" s="898"/>
      <c r="N568" s="898"/>
      <c r="O568" s="898"/>
      <c r="P568" s="898"/>
      <c r="Q568" s="898"/>
      <c r="R568" s="898"/>
      <c r="S568" s="898"/>
      <c r="T568" s="898"/>
      <c r="U568" s="898"/>
      <c r="V568" s="898"/>
      <c r="W568" s="898"/>
      <c r="X568" s="898"/>
      <c r="Y568" s="898"/>
      <c r="Z568" s="898"/>
      <c r="AA568" s="898"/>
      <c r="AB568" s="898"/>
      <c r="AC568" s="898"/>
      <c r="AD568" s="898"/>
      <c r="AE568" s="898"/>
      <c r="AF568" s="898"/>
      <c r="AG568" s="898"/>
      <c r="AH568" s="898"/>
      <c r="AI568" s="898"/>
      <c r="AJ568" s="898"/>
      <c r="AK568" s="898"/>
      <c r="AL568" s="898"/>
      <c r="AM568" s="897"/>
      <c r="AN568" s="897"/>
      <c r="AO568" s="897"/>
      <c r="AP568" s="897"/>
      <c r="AQ568" s="897"/>
      <c r="AR568" s="897"/>
      <c r="AS568" s="897"/>
      <c r="AT568" s="897"/>
    </row>
    <row r="569" spans="1:46" s="930" customFormat="1">
      <c r="A569" s="892"/>
      <c r="B569" s="899"/>
      <c r="C569" s="900"/>
      <c r="D569" s="894"/>
      <c r="E569" s="936"/>
      <c r="F569" s="905"/>
      <c r="G569" s="896"/>
      <c r="H569" s="897"/>
      <c r="I569" s="897"/>
      <c r="J569" s="897"/>
      <c r="K569" s="897"/>
      <c r="L569" s="898"/>
      <c r="M569" s="898"/>
      <c r="N569" s="898"/>
      <c r="O569" s="898"/>
      <c r="P569" s="898"/>
      <c r="Q569" s="898"/>
      <c r="R569" s="898"/>
      <c r="S569" s="898"/>
      <c r="T569" s="898"/>
      <c r="U569" s="898"/>
      <c r="V569" s="898"/>
      <c r="W569" s="898"/>
      <c r="X569" s="898"/>
      <c r="Y569" s="898"/>
      <c r="Z569" s="898"/>
      <c r="AA569" s="898"/>
      <c r="AB569" s="898"/>
      <c r="AC569" s="898"/>
      <c r="AD569" s="898"/>
      <c r="AE569" s="898"/>
      <c r="AF569" s="898"/>
      <c r="AG569" s="898"/>
      <c r="AH569" s="898"/>
      <c r="AI569" s="898"/>
      <c r="AJ569" s="898"/>
      <c r="AK569" s="898"/>
      <c r="AL569" s="898"/>
      <c r="AM569" s="897"/>
      <c r="AN569" s="897"/>
      <c r="AO569" s="897"/>
      <c r="AP569" s="897"/>
      <c r="AQ569" s="897"/>
      <c r="AR569" s="897"/>
      <c r="AS569" s="897"/>
      <c r="AT569" s="897"/>
    </row>
    <row r="570" spans="1:46" s="930" customFormat="1">
      <c r="A570" s="892"/>
      <c r="B570" s="899"/>
      <c r="C570" s="900"/>
      <c r="D570" s="894"/>
      <c r="E570" s="936"/>
      <c r="F570" s="905"/>
      <c r="G570" s="896"/>
      <c r="H570" s="897"/>
      <c r="I570" s="897"/>
      <c r="J570" s="897"/>
      <c r="K570" s="897"/>
      <c r="L570" s="898"/>
      <c r="M570" s="898"/>
      <c r="N570" s="898"/>
      <c r="O570" s="898"/>
      <c r="P570" s="898"/>
      <c r="Q570" s="898"/>
      <c r="R570" s="898"/>
      <c r="S570" s="898"/>
      <c r="T570" s="898"/>
      <c r="U570" s="898"/>
      <c r="V570" s="898"/>
      <c r="W570" s="898"/>
      <c r="X570" s="898"/>
      <c r="Y570" s="898"/>
      <c r="Z570" s="898"/>
      <c r="AA570" s="898"/>
      <c r="AB570" s="898"/>
      <c r="AC570" s="898"/>
      <c r="AD570" s="898"/>
      <c r="AE570" s="898"/>
      <c r="AF570" s="898"/>
      <c r="AG570" s="898"/>
      <c r="AH570" s="898"/>
      <c r="AI570" s="898"/>
      <c r="AJ570" s="898"/>
      <c r="AK570" s="898"/>
      <c r="AL570" s="898"/>
      <c r="AM570" s="897"/>
      <c r="AN570" s="897"/>
      <c r="AO570" s="897"/>
      <c r="AP570" s="897"/>
      <c r="AQ570" s="897"/>
      <c r="AR570" s="897"/>
      <c r="AS570" s="897"/>
      <c r="AT570" s="897"/>
    </row>
    <row r="571" spans="1:46" s="930" customFormat="1">
      <c r="A571" s="892"/>
      <c r="B571" s="899"/>
      <c r="C571" s="900"/>
      <c r="D571" s="894"/>
      <c r="E571" s="936"/>
      <c r="F571" s="905"/>
      <c r="G571" s="896"/>
      <c r="H571" s="897"/>
      <c r="I571" s="897"/>
      <c r="J571" s="897"/>
      <c r="K571" s="897"/>
      <c r="L571" s="898"/>
      <c r="M571" s="898"/>
      <c r="N571" s="898"/>
      <c r="O571" s="898"/>
      <c r="P571" s="898"/>
      <c r="Q571" s="898"/>
      <c r="R571" s="898"/>
      <c r="S571" s="898"/>
      <c r="T571" s="898"/>
      <c r="U571" s="898"/>
      <c r="V571" s="898"/>
      <c r="W571" s="898"/>
      <c r="X571" s="898"/>
      <c r="Y571" s="898"/>
      <c r="Z571" s="898"/>
      <c r="AA571" s="898"/>
      <c r="AB571" s="898"/>
      <c r="AC571" s="898"/>
      <c r="AD571" s="898"/>
      <c r="AE571" s="898"/>
      <c r="AF571" s="898"/>
      <c r="AG571" s="898"/>
      <c r="AH571" s="898"/>
      <c r="AI571" s="898"/>
      <c r="AJ571" s="898"/>
      <c r="AK571" s="898"/>
      <c r="AL571" s="898"/>
      <c r="AM571" s="897"/>
      <c r="AN571" s="897"/>
      <c r="AO571" s="897"/>
      <c r="AP571" s="897"/>
      <c r="AQ571" s="897"/>
      <c r="AR571" s="897"/>
      <c r="AS571" s="897"/>
      <c r="AT571" s="897"/>
    </row>
    <row r="572" spans="1:46" s="930" customFormat="1">
      <c r="A572" s="892"/>
      <c r="B572" s="899"/>
      <c r="C572" s="900"/>
      <c r="D572" s="894"/>
      <c r="E572" s="936"/>
      <c r="F572" s="905"/>
      <c r="G572" s="896"/>
      <c r="H572" s="897"/>
      <c r="I572" s="897"/>
      <c r="J572" s="897"/>
      <c r="K572" s="897"/>
      <c r="L572" s="898"/>
      <c r="M572" s="898"/>
      <c r="N572" s="898"/>
      <c r="O572" s="898"/>
      <c r="P572" s="898"/>
      <c r="Q572" s="898"/>
      <c r="R572" s="898"/>
      <c r="S572" s="898"/>
      <c r="T572" s="898"/>
      <c r="U572" s="898"/>
      <c r="V572" s="898"/>
      <c r="W572" s="898"/>
      <c r="X572" s="898"/>
      <c r="Y572" s="898"/>
      <c r="Z572" s="898"/>
      <c r="AA572" s="898"/>
      <c r="AB572" s="898"/>
      <c r="AC572" s="898"/>
      <c r="AD572" s="898"/>
      <c r="AE572" s="898"/>
      <c r="AF572" s="898"/>
      <c r="AG572" s="898"/>
      <c r="AH572" s="898"/>
      <c r="AI572" s="898"/>
      <c r="AJ572" s="898"/>
      <c r="AK572" s="898"/>
      <c r="AL572" s="898"/>
      <c r="AM572" s="897"/>
      <c r="AN572" s="897"/>
      <c r="AO572" s="897"/>
      <c r="AP572" s="897"/>
      <c r="AQ572" s="897"/>
      <c r="AR572" s="897"/>
      <c r="AS572" s="897"/>
      <c r="AT572" s="897"/>
    </row>
    <row r="573" spans="1:46" s="930" customFormat="1">
      <c r="A573" s="892"/>
      <c r="B573" s="899"/>
      <c r="C573" s="900"/>
      <c r="D573" s="894"/>
      <c r="E573" s="936"/>
      <c r="F573" s="905"/>
      <c r="G573" s="896"/>
      <c r="H573" s="897"/>
      <c r="I573" s="897"/>
      <c r="J573" s="897"/>
      <c r="K573" s="897"/>
      <c r="L573" s="898"/>
      <c r="M573" s="898"/>
      <c r="N573" s="898"/>
      <c r="O573" s="898"/>
      <c r="P573" s="898"/>
      <c r="Q573" s="898"/>
      <c r="R573" s="898"/>
      <c r="S573" s="898"/>
      <c r="T573" s="898"/>
      <c r="U573" s="898"/>
      <c r="V573" s="898"/>
      <c r="W573" s="898"/>
      <c r="X573" s="898"/>
      <c r="Y573" s="898"/>
      <c r="Z573" s="898"/>
      <c r="AA573" s="898"/>
      <c r="AB573" s="898"/>
      <c r="AC573" s="898"/>
      <c r="AD573" s="898"/>
      <c r="AE573" s="898"/>
      <c r="AF573" s="898"/>
      <c r="AG573" s="898"/>
      <c r="AH573" s="898"/>
      <c r="AI573" s="898"/>
      <c r="AJ573" s="898"/>
      <c r="AK573" s="898"/>
      <c r="AL573" s="898"/>
      <c r="AM573" s="897"/>
      <c r="AN573" s="897"/>
      <c r="AO573" s="897"/>
      <c r="AP573" s="897"/>
      <c r="AQ573" s="897"/>
      <c r="AR573" s="897"/>
      <c r="AS573" s="897"/>
      <c r="AT573" s="897"/>
    </row>
    <row r="574" spans="1:46" s="930" customFormat="1">
      <c r="A574" s="892"/>
      <c r="B574" s="899"/>
      <c r="C574" s="900"/>
      <c r="D574" s="894"/>
      <c r="E574" s="936"/>
      <c r="F574" s="905"/>
      <c r="G574" s="896"/>
      <c r="H574" s="897"/>
      <c r="I574" s="897"/>
      <c r="J574" s="897"/>
      <c r="K574" s="897"/>
      <c r="L574" s="898"/>
      <c r="M574" s="898"/>
      <c r="N574" s="898"/>
      <c r="O574" s="898"/>
      <c r="P574" s="898"/>
      <c r="Q574" s="898"/>
      <c r="R574" s="898"/>
      <c r="S574" s="898"/>
      <c r="T574" s="898"/>
      <c r="U574" s="898"/>
      <c r="V574" s="898"/>
      <c r="W574" s="898"/>
      <c r="X574" s="898"/>
      <c r="Y574" s="898"/>
      <c r="Z574" s="898"/>
      <c r="AA574" s="898"/>
      <c r="AB574" s="898"/>
      <c r="AC574" s="898"/>
      <c r="AD574" s="898"/>
      <c r="AE574" s="898"/>
      <c r="AF574" s="898"/>
      <c r="AG574" s="898"/>
      <c r="AH574" s="898"/>
      <c r="AI574" s="898"/>
      <c r="AJ574" s="898"/>
      <c r="AK574" s="898"/>
      <c r="AL574" s="898"/>
      <c r="AM574" s="897"/>
      <c r="AN574" s="897"/>
      <c r="AO574" s="897"/>
      <c r="AP574" s="897"/>
      <c r="AQ574" s="897"/>
      <c r="AR574" s="897"/>
      <c r="AS574" s="897"/>
      <c r="AT574" s="897"/>
    </row>
    <row r="575" spans="1:46" s="930" customFormat="1">
      <c r="A575" s="892"/>
      <c r="B575" s="899"/>
      <c r="C575" s="900"/>
      <c r="D575" s="894"/>
      <c r="E575" s="936"/>
      <c r="F575" s="905"/>
      <c r="G575" s="896"/>
      <c r="H575" s="897"/>
      <c r="I575" s="897"/>
      <c r="J575" s="897"/>
      <c r="K575" s="897"/>
      <c r="L575" s="898"/>
      <c r="M575" s="898"/>
      <c r="N575" s="898"/>
      <c r="O575" s="898"/>
      <c r="P575" s="898"/>
      <c r="Q575" s="898"/>
      <c r="R575" s="898"/>
      <c r="S575" s="898"/>
      <c r="T575" s="898"/>
      <c r="U575" s="898"/>
      <c r="V575" s="898"/>
      <c r="W575" s="898"/>
      <c r="X575" s="898"/>
      <c r="Y575" s="898"/>
      <c r="Z575" s="898"/>
      <c r="AA575" s="898"/>
      <c r="AB575" s="898"/>
      <c r="AC575" s="898"/>
      <c r="AD575" s="898"/>
      <c r="AE575" s="898"/>
      <c r="AF575" s="898"/>
      <c r="AG575" s="898"/>
      <c r="AH575" s="898"/>
      <c r="AI575" s="898"/>
      <c r="AJ575" s="898"/>
      <c r="AK575" s="898"/>
      <c r="AL575" s="898"/>
      <c r="AM575" s="897"/>
      <c r="AN575" s="897"/>
      <c r="AO575" s="897"/>
      <c r="AP575" s="897"/>
      <c r="AQ575" s="897"/>
      <c r="AR575" s="897"/>
      <c r="AS575" s="897"/>
      <c r="AT575" s="897"/>
    </row>
    <row r="576" spans="1:46" s="930" customFormat="1">
      <c r="A576" s="892"/>
      <c r="B576" s="899"/>
      <c r="C576" s="900"/>
      <c r="D576" s="894"/>
      <c r="E576" s="936"/>
      <c r="F576" s="905"/>
      <c r="G576" s="896"/>
      <c r="H576" s="897"/>
      <c r="I576" s="897"/>
      <c r="J576" s="897"/>
      <c r="K576" s="897"/>
      <c r="L576" s="898"/>
      <c r="M576" s="898"/>
      <c r="N576" s="898"/>
      <c r="O576" s="898"/>
      <c r="P576" s="898"/>
      <c r="Q576" s="898"/>
      <c r="R576" s="898"/>
      <c r="S576" s="898"/>
      <c r="T576" s="898"/>
      <c r="U576" s="898"/>
      <c r="V576" s="898"/>
      <c r="W576" s="898"/>
      <c r="X576" s="898"/>
      <c r="Y576" s="898"/>
      <c r="Z576" s="898"/>
      <c r="AA576" s="898"/>
      <c r="AB576" s="898"/>
      <c r="AC576" s="898"/>
      <c r="AD576" s="898"/>
      <c r="AE576" s="898"/>
      <c r="AF576" s="898"/>
      <c r="AG576" s="898"/>
      <c r="AH576" s="898"/>
      <c r="AI576" s="898"/>
      <c r="AJ576" s="898"/>
      <c r="AK576" s="898"/>
      <c r="AL576" s="898"/>
      <c r="AM576" s="897"/>
      <c r="AN576" s="897"/>
      <c r="AO576" s="897"/>
      <c r="AP576" s="897"/>
      <c r="AQ576" s="897"/>
      <c r="AR576" s="897"/>
      <c r="AS576" s="897"/>
      <c r="AT576" s="897"/>
    </row>
    <row r="577" spans="1:46" s="930" customFormat="1">
      <c r="A577" s="892"/>
      <c r="B577" s="899"/>
      <c r="C577" s="900"/>
      <c r="D577" s="894"/>
      <c r="E577" s="936"/>
      <c r="F577" s="905"/>
      <c r="G577" s="896"/>
      <c r="H577" s="897"/>
      <c r="I577" s="897"/>
      <c r="J577" s="897"/>
      <c r="K577" s="897"/>
      <c r="L577" s="898"/>
      <c r="M577" s="898"/>
      <c r="N577" s="898"/>
      <c r="O577" s="898"/>
      <c r="P577" s="898"/>
      <c r="Q577" s="898"/>
      <c r="R577" s="898"/>
      <c r="S577" s="898"/>
      <c r="T577" s="898"/>
      <c r="U577" s="898"/>
      <c r="V577" s="898"/>
      <c r="W577" s="898"/>
      <c r="X577" s="898"/>
      <c r="Y577" s="898"/>
      <c r="Z577" s="898"/>
      <c r="AA577" s="898"/>
      <c r="AB577" s="898"/>
      <c r="AC577" s="898"/>
      <c r="AD577" s="898"/>
      <c r="AE577" s="898"/>
      <c r="AF577" s="898"/>
      <c r="AG577" s="898"/>
      <c r="AH577" s="898"/>
      <c r="AI577" s="898"/>
      <c r="AJ577" s="898"/>
      <c r="AK577" s="898"/>
      <c r="AL577" s="898"/>
      <c r="AM577" s="897"/>
      <c r="AN577" s="897"/>
      <c r="AO577" s="897"/>
      <c r="AP577" s="897"/>
      <c r="AQ577" s="897"/>
      <c r="AR577" s="897"/>
      <c r="AS577" s="897"/>
      <c r="AT577" s="897"/>
    </row>
    <row r="578" spans="1:46" s="930" customFormat="1">
      <c r="A578" s="892"/>
      <c r="B578" s="899"/>
      <c r="C578" s="900"/>
      <c r="D578" s="894"/>
      <c r="E578" s="936"/>
      <c r="F578" s="905"/>
      <c r="G578" s="896"/>
      <c r="H578" s="897"/>
      <c r="I578" s="897"/>
      <c r="J578" s="897"/>
      <c r="K578" s="897"/>
      <c r="L578" s="898"/>
      <c r="M578" s="898"/>
      <c r="N578" s="898"/>
      <c r="O578" s="898"/>
      <c r="P578" s="898"/>
      <c r="Q578" s="898"/>
      <c r="R578" s="898"/>
      <c r="S578" s="898"/>
      <c r="T578" s="898"/>
      <c r="U578" s="898"/>
      <c r="V578" s="898"/>
      <c r="W578" s="898"/>
      <c r="X578" s="898"/>
      <c r="Y578" s="898"/>
      <c r="Z578" s="898"/>
      <c r="AA578" s="898"/>
      <c r="AB578" s="898"/>
      <c r="AC578" s="898"/>
      <c r="AD578" s="898"/>
      <c r="AE578" s="898"/>
      <c r="AF578" s="898"/>
      <c r="AG578" s="898"/>
      <c r="AH578" s="898"/>
      <c r="AI578" s="898"/>
      <c r="AJ578" s="898"/>
      <c r="AK578" s="898"/>
      <c r="AL578" s="898"/>
      <c r="AM578" s="897"/>
      <c r="AN578" s="897"/>
      <c r="AO578" s="897"/>
      <c r="AP578" s="897"/>
      <c r="AQ578" s="897"/>
      <c r="AR578" s="897"/>
      <c r="AS578" s="897"/>
      <c r="AT578" s="897"/>
    </row>
    <row r="579" spans="1:46" s="930" customFormat="1">
      <c r="A579" s="892"/>
      <c r="B579" s="899"/>
      <c r="C579" s="900"/>
      <c r="D579" s="894"/>
      <c r="E579" s="936"/>
      <c r="F579" s="905"/>
      <c r="G579" s="896"/>
      <c r="H579" s="897"/>
      <c r="I579" s="897"/>
      <c r="J579" s="897"/>
      <c r="K579" s="897"/>
      <c r="L579" s="898"/>
      <c r="M579" s="898"/>
      <c r="N579" s="898"/>
      <c r="O579" s="898"/>
      <c r="P579" s="898"/>
      <c r="Q579" s="898"/>
      <c r="R579" s="898"/>
      <c r="S579" s="898"/>
      <c r="T579" s="898"/>
      <c r="U579" s="898"/>
      <c r="V579" s="898"/>
      <c r="W579" s="898"/>
      <c r="X579" s="898"/>
      <c r="Y579" s="898"/>
      <c r="Z579" s="898"/>
      <c r="AA579" s="898"/>
      <c r="AB579" s="898"/>
      <c r="AC579" s="898"/>
      <c r="AD579" s="898"/>
      <c r="AE579" s="898"/>
      <c r="AF579" s="898"/>
      <c r="AG579" s="898"/>
      <c r="AH579" s="898"/>
      <c r="AI579" s="898"/>
      <c r="AJ579" s="898"/>
      <c r="AK579" s="898"/>
      <c r="AL579" s="898"/>
      <c r="AM579" s="897"/>
      <c r="AN579" s="897"/>
      <c r="AO579" s="897"/>
      <c r="AP579" s="897"/>
      <c r="AQ579" s="897"/>
      <c r="AR579" s="897"/>
      <c r="AS579" s="897"/>
      <c r="AT579" s="897"/>
    </row>
    <row r="580" spans="1:46" s="930" customFormat="1">
      <c r="A580" s="892"/>
      <c r="B580" s="899"/>
      <c r="C580" s="900"/>
      <c r="D580" s="894"/>
      <c r="E580" s="936"/>
      <c r="F580" s="905"/>
      <c r="G580" s="896"/>
      <c r="H580" s="897"/>
      <c r="I580" s="897"/>
      <c r="J580" s="897"/>
      <c r="K580" s="897"/>
      <c r="L580" s="898"/>
      <c r="M580" s="898"/>
      <c r="N580" s="898"/>
      <c r="O580" s="898"/>
      <c r="P580" s="898"/>
      <c r="Q580" s="898"/>
      <c r="R580" s="898"/>
      <c r="S580" s="898"/>
      <c r="T580" s="898"/>
      <c r="U580" s="898"/>
      <c r="V580" s="898"/>
      <c r="W580" s="898"/>
      <c r="X580" s="898"/>
      <c r="Y580" s="898"/>
      <c r="Z580" s="898"/>
      <c r="AA580" s="898"/>
      <c r="AB580" s="898"/>
      <c r="AC580" s="898"/>
      <c r="AD580" s="898"/>
      <c r="AE580" s="898"/>
      <c r="AF580" s="898"/>
      <c r="AG580" s="898"/>
      <c r="AH580" s="898"/>
      <c r="AI580" s="898"/>
      <c r="AJ580" s="898"/>
      <c r="AK580" s="898"/>
      <c r="AL580" s="898"/>
      <c r="AM580" s="897"/>
      <c r="AN580" s="897"/>
      <c r="AO580" s="897"/>
      <c r="AP580" s="897"/>
      <c r="AQ580" s="897"/>
      <c r="AR580" s="897"/>
      <c r="AS580" s="897"/>
      <c r="AT580" s="897"/>
    </row>
    <row r="581" spans="1:46" s="930" customFormat="1">
      <c r="A581" s="892"/>
      <c r="B581" s="899"/>
      <c r="C581" s="900"/>
      <c r="D581" s="894"/>
      <c r="E581" s="936"/>
      <c r="F581" s="905"/>
      <c r="G581" s="896"/>
      <c r="H581" s="897"/>
      <c r="I581" s="897"/>
      <c r="J581" s="897"/>
      <c r="K581" s="897"/>
      <c r="L581" s="898"/>
      <c r="M581" s="898"/>
      <c r="N581" s="898"/>
      <c r="O581" s="898"/>
      <c r="P581" s="898"/>
      <c r="Q581" s="898"/>
      <c r="R581" s="898"/>
      <c r="S581" s="898"/>
      <c r="T581" s="898"/>
      <c r="U581" s="898"/>
      <c r="V581" s="898"/>
      <c r="W581" s="898"/>
      <c r="X581" s="898"/>
      <c r="Y581" s="898"/>
      <c r="Z581" s="898"/>
      <c r="AA581" s="898"/>
      <c r="AB581" s="898"/>
      <c r="AC581" s="898"/>
      <c r="AD581" s="898"/>
      <c r="AE581" s="898"/>
      <c r="AF581" s="898"/>
      <c r="AG581" s="898"/>
      <c r="AH581" s="898"/>
      <c r="AI581" s="898"/>
      <c r="AJ581" s="898"/>
      <c r="AK581" s="898"/>
      <c r="AL581" s="898"/>
      <c r="AM581" s="897"/>
      <c r="AN581" s="897"/>
      <c r="AO581" s="897"/>
      <c r="AP581" s="897"/>
      <c r="AQ581" s="897"/>
      <c r="AR581" s="897"/>
      <c r="AS581" s="897"/>
      <c r="AT581" s="897"/>
    </row>
    <row r="582" spans="1:46" s="930" customFormat="1">
      <c r="A582" s="892"/>
      <c r="B582" s="899"/>
      <c r="C582" s="900"/>
      <c r="D582" s="894"/>
      <c r="E582" s="936"/>
      <c r="F582" s="905"/>
      <c r="G582" s="896"/>
      <c r="H582" s="897"/>
      <c r="I582" s="897"/>
      <c r="J582" s="897"/>
      <c r="K582" s="897"/>
      <c r="L582" s="898"/>
      <c r="M582" s="898"/>
      <c r="N582" s="898"/>
      <c r="O582" s="898"/>
      <c r="P582" s="898"/>
      <c r="Q582" s="898"/>
      <c r="R582" s="898"/>
      <c r="S582" s="898"/>
      <c r="T582" s="898"/>
      <c r="U582" s="898"/>
      <c r="V582" s="898"/>
      <c r="W582" s="898"/>
      <c r="X582" s="898"/>
      <c r="Y582" s="898"/>
      <c r="Z582" s="898"/>
      <c r="AA582" s="898"/>
      <c r="AB582" s="898"/>
      <c r="AC582" s="898"/>
      <c r="AD582" s="898"/>
      <c r="AE582" s="898"/>
      <c r="AF582" s="898"/>
      <c r="AG582" s="898"/>
      <c r="AH582" s="898"/>
      <c r="AI582" s="898"/>
      <c r="AJ582" s="898"/>
      <c r="AK582" s="898"/>
      <c r="AL582" s="898"/>
      <c r="AM582" s="897"/>
      <c r="AN582" s="897"/>
      <c r="AO582" s="897"/>
      <c r="AP582" s="897"/>
      <c r="AQ582" s="897"/>
      <c r="AR582" s="897"/>
      <c r="AS582" s="897"/>
      <c r="AT582" s="897"/>
    </row>
    <row r="583" spans="1:46" s="930" customFormat="1">
      <c r="A583" s="892"/>
      <c r="B583" s="899"/>
      <c r="C583" s="900"/>
      <c r="D583" s="894"/>
      <c r="E583" s="936"/>
      <c r="F583" s="905"/>
      <c r="G583" s="896"/>
      <c r="H583" s="897"/>
      <c r="I583" s="897"/>
      <c r="J583" s="897"/>
      <c r="K583" s="897"/>
      <c r="L583" s="898"/>
      <c r="M583" s="898"/>
      <c r="N583" s="898"/>
      <c r="O583" s="898"/>
      <c r="P583" s="898"/>
      <c r="Q583" s="898"/>
      <c r="R583" s="898"/>
      <c r="S583" s="898"/>
      <c r="T583" s="898"/>
      <c r="U583" s="898"/>
      <c r="V583" s="898"/>
      <c r="W583" s="898"/>
      <c r="X583" s="898"/>
      <c r="Y583" s="898"/>
      <c r="Z583" s="898"/>
      <c r="AA583" s="898"/>
      <c r="AB583" s="898"/>
      <c r="AC583" s="898"/>
      <c r="AD583" s="898"/>
      <c r="AE583" s="898"/>
      <c r="AF583" s="898"/>
      <c r="AG583" s="898"/>
      <c r="AH583" s="898"/>
      <c r="AI583" s="898"/>
      <c r="AJ583" s="898"/>
      <c r="AK583" s="898"/>
      <c r="AL583" s="898"/>
      <c r="AM583" s="897"/>
      <c r="AN583" s="897"/>
      <c r="AO583" s="897"/>
      <c r="AP583" s="897"/>
      <c r="AQ583" s="897"/>
      <c r="AR583" s="897"/>
      <c r="AS583" s="897"/>
      <c r="AT583" s="897"/>
    </row>
    <row r="584" spans="1:46" s="930" customFormat="1">
      <c r="A584" s="892"/>
      <c r="B584" s="899"/>
      <c r="C584" s="900"/>
      <c r="D584" s="894"/>
      <c r="E584" s="936"/>
      <c r="F584" s="905"/>
      <c r="G584" s="896"/>
      <c r="H584" s="897"/>
      <c r="I584" s="897"/>
      <c r="J584" s="897"/>
      <c r="K584" s="897"/>
      <c r="L584" s="898"/>
      <c r="M584" s="898"/>
      <c r="N584" s="898"/>
      <c r="O584" s="898"/>
      <c r="P584" s="898"/>
      <c r="Q584" s="898"/>
      <c r="R584" s="898"/>
      <c r="S584" s="898"/>
      <c r="T584" s="898"/>
      <c r="U584" s="898"/>
      <c r="V584" s="898"/>
      <c r="W584" s="898"/>
      <c r="X584" s="898"/>
      <c r="Y584" s="898"/>
      <c r="Z584" s="898"/>
      <c r="AA584" s="898"/>
      <c r="AB584" s="898"/>
      <c r="AC584" s="898"/>
      <c r="AD584" s="898"/>
      <c r="AE584" s="898"/>
      <c r="AF584" s="898"/>
      <c r="AG584" s="898"/>
      <c r="AH584" s="898"/>
      <c r="AI584" s="898"/>
      <c r="AJ584" s="898"/>
      <c r="AK584" s="898"/>
      <c r="AL584" s="898"/>
      <c r="AM584" s="897"/>
      <c r="AN584" s="897"/>
      <c r="AO584" s="897"/>
      <c r="AP584" s="897"/>
      <c r="AQ584" s="897"/>
      <c r="AR584" s="897"/>
      <c r="AS584" s="897"/>
      <c r="AT584" s="897"/>
    </row>
    <row r="585" spans="1:46" s="930" customFormat="1">
      <c r="A585" s="892"/>
      <c r="B585" s="899"/>
      <c r="C585" s="900"/>
      <c r="D585" s="894"/>
      <c r="E585" s="936"/>
      <c r="F585" s="905"/>
      <c r="G585" s="896"/>
      <c r="H585" s="897"/>
      <c r="I585" s="897"/>
      <c r="J585" s="897"/>
      <c r="K585" s="897"/>
      <c r="L585" s="898"/>
      <c r="M585" s="898"/>
      <c r="N585" s="898"/>
      <c r="O585" s="898"/>
      <c r="P585" s="898"/>
      <c r="Q585" s="898"/>
      <c r="R585" s="898"/>
      <c r="S585" s="898"/>
      <c r="T585" s="898"/>
      <c r="U585" s="898"/>
      <c r="V585" s="898"/>
      <c r="W585" s="898"/>
      <c r="X585" s="898"/>
      <c r="Y585" s="898"/>
      <c r="Z585" s="898"/>
      <c r="AA585" s="898"/>
      <c r="AB585" s="898"/>
      <c r="AC585" s="898"/>
      <c r="AD585" s="898"/>
      <c r="AE585" s="898"/>
      <c r="AF585" s="898"/>
      <c r="AG585" s="898"/>
      <c r="AH585" s="898"/>
      <c r="AI585" s="898"/>
      <c r="AJ585" s="898"/>
      <c r="AK585" s="898"/>
      <c r="AL585" s="898"/>
      <c r="AM585" s="897"/>
      <c r="AN585" s="897"/>
      <c r="AO585" s="897"/>
      <c r="AP585" s="897"/>
      <c r="AQ585" s="897"/>
      <c r="AR585" s="897"/>
      <c r="AS585" s="897"/>
      <c r="AT585" s="897"/>
    </row>
    <row r="586" spans="1:46" s="930" customFormat="1">
      <c r="A586" s="892"/>
      <c r="B586" s="899"/>
      <c r="C586" s="900"/>
      <c r="D586" s="894"/>
      <c r="E586" s="936"/>
      <c r="F586" s="905"/>
      <c r="G586" s="896"/>
      <c r="H586" s="897"/>
      <c r="I586" s="897"/>
      <c r="J586" s="897"/>
      <c r="K586" s="897"/>
      <c r="L586" s="898"/>
      <c r="M586" s="898"/>
      <c r="N586" s="898"/>
      <c r="O586" s="898"/>
      <c r="P586" s="898"/>
      <c r="Q586" s="898"/>
      <c r="R586" s="898"/>
      <c r="S586" s="898"/>
      <c r="T586" s="898"/>
      <c r="U586" s="898"/>
      <c r="V586" s="898"/>
      <c r="W586" s="898"/>
      <c r="X586" s="898"/>
      <c r="Y586" s="898"/>
      <c r="Z586" s="898"/>
      <c r="AA586" s="898"/>
      <c r="AB586" s="898"/>
      <c r="AC586" s="898"/>
      <c r="AD586" s="898"/>
      <c r="AE586" s="898"/>
      <c r="AF586" s="898"/>
      <c r="AG586" s="898"/>
      <c r="AH586" s="898"/>
      <c r="AI586" s="898"/>
      <c r="AJ586" s="898"/>
      <c r="AK586" s="898"/>
      <c r="AL586" s="898"/>
      <c r="AM586" s="897"/>
      <c r="AN586" s="897"/>
      <c r="AO586" s="897"/>
      <c r="AP586" s="897"/>
      <c r="AQ586" s="897"/>
      <c r="AR586" s="897"/>
      <c r="AS586" s="897"/>
      <c r="AT586" s="897"/>
    </row>
    <row r="587" spans="1:46" s="930" customFormat="1">
      <c r="A587" s="892"/>
      <c r="B587" s="899"/>
      <c r="C587" s="900"/>
      <c r="D587" s="894"/>
      <c r="E587" s="936"/>
      <c r="F587" s="905"/>
      <c r="G587" s="896"/>
      <c r="H587" s="897"/>
      <c r="I587" s="897"/>
      <c r="J587" s="897"/>
      <c r="K587" s="897"/>
      <c r="L587" s="898"/>
      <c r="M587" s="898"/>
      <c r="N587" s="898"/>
      <c r="O587" s="898"/>
      <c r="P587" s="898"/>
      <c r="Q587" s="898"/>
      <c r="R587" s="898"/>
      <c r="S587" s="898"/>
      <c r="T587" s="898"/>
      <c r="U587" s="898"/>
      <c r="V587" s="898"/>
      <c r="W587" s="898"/>
      <c r="X587" s="898"/>
      <c r="Y587" s="898"/>
      <c r="Z587" s="898"/>
      <c r="AA587" s="898"/>
      <c r="AB587" s="898"/>
      <c r="AC587" s="898"/>
      <c r="AD587" s="898"/>
      <c r="AE587" s="898"/>
      <c r="AF587" s="898"/>
      <c r="AG587" s="898"/>
      <c r="AH587" s="898"/>
      <c r="AI587" s="898"/>
      <c r="AJ587" s="898"/>
      <c r="AK587" s="898"/>
      <c r="AL587" s="898"/>
      <c r="AM587" s="897"/>
      <c r="AN587" s="897"/>
      <c r="AO587" s="897"/>
      <c r="AP587" s="897"/>
      <c r="AQ587" s="897"/>
      <c r="AR587" s="897"/>
      <c r="AS587" s="897"/>
      <c r="AT587" s="897"/>
    </row>
    <row r="588" spans="1:46" s="930" customFormat="1">
      <c r="A588" s="892"/>
      <c r="B588" s="899"/>
      <c r="C588" s="900"/>
      <c r="D588" s="894"/>
      <c r="E588" s="936"/>
      <c r="F588" s="905"/>
      <c r="G588" s="896"/>
      <c r="H588" s="897"/>
      <c r="I588" s="897"/>
      <c r="J588" s="897"/>
      <c r="K588" s="897"/>
      <c r="L588" s="898"/>
      <c r="M588" s="898"/>
      <c r="N588" s="898"/>
      <c r="O588" s="898"/>
      <c r="P588" s="898"/>
      <c r="Q588" s="898"/>
      <c r="R588" s="898"/>
      <c r="S588" s="898"/>
      <c r="T588" s="898"/>
      <c r="U588" s="898"/>
      <c r="V588" s="898"/>
      <c r="W588" s="898"/>
      <c r="X588" s="898"/>
      <c r="Y588" s="898"/>
      <c r="Z588" s="898"/>
      <c r="AA588" s="898"/>
      <c r="AB588" s="898"/>
      <c r="AC588" s="898"/>
      <c r="AD588" s="898"/>
      <c r="AE588" s="898"/>
      <c r="AF588" s="898"/>
      <c r="AG588" s="898"/>
      <c r="AH588" s="898"/>
      <c r="AI588" s="898"/>
      <c r="AJ588" s="898"/>
      <c r="AK588" s="898"/>
      <c r="AL588" s="898"/>
      <c r="AM588" s="897"/>
      <c r="AN588" s="897"/>
      <c r="AO588" s="897"/>
      <c r="AP588" s="897"/>
      <c r="AQ588" s="897"/>
      <c r="AR588" s="897"/>
      <c r="AS588" s="897"/>
      <c r="AT588" s="897"/>
    </row>
    <row r="589" spans="1:46" s="930" customFormat="1">
      <c r="A589" s="892"/>
      <c r="B589" s="899"/>
      <c r="C589" s="900"/>
      <c r="D589" s="894"/>
      <c r="E589" s="936"/>
      <c r="F589" s="905"/>
      <c r="G589" s="896"/>
      <c r="H589" s="897"/>
      <c r="I589" s="897"/>
      <c r="J589" s="897"/>
      <c r="K589" s="897"/>
      <c r="L589" s="898"/>
      <c r="M589" s="898"/>
      <c r="N589" s="898"/>
      <c r="O589" s="898"/>
      <c r="P589" s="898"/>
      <c r="Q589" s="898"/>
      <c r="R589" s="898"/>
      <c r="S589" s="898"/>
      <c r="T589" s="898"/>
      <c r="U589" s="898"/>
      <c r="V589" s="898"/>
      <c r="W589" s="898"/>
      <c r="X589" s="898"/>
      <c r="Y589" s="898"/>
      <c r="Z589" s="898"/>
      <c r="AA589" s="898"/>
      <c r="AB589" s="898"/>
      <c r="AC589" s="898"/>
      <c r="AD589" s="898"/>
      <c r="AE589" s="898"/>
      <c r="AF589" s="898"/>
      <c r="AG589" s="898"/>
      <c r="AH589" s="898"/>
      <c r="AI589" s="898"/>
      <c r="AJ589" s="898"/>
      <c r="AK589" s="898"/>
      <c r="AL589" s="898"/>
      <c r="AM589" s="897"/>
      <c r="AN589" s="897"/>
      <c r="AO589" s="897"/>
      <c r="AP589" s="897"/>
      <c r="AQ589" s="897"/>
      <c r="AR589" s="897"/>
      <c r="AS589" s="897"/>
      <c r="AT589" s="897"/>
    </row>
    <row r="590" spans="1:46" s="930" customFormat="1">
      <c r="A590" s="892"/>
      <c r="B590" s="899"/>
      <c r="C590" s="900"/>
      <c r="D590" s="894"/>
      <c r="E590" s="936"/>
      <c r="F590" s="905"/>
      <c r="G590" s="896"/>
      <c r="H590" s="897"/>
      <c r="I590" s="897"/>
      <c r="J590" s="897"/>
      <c r="K590" s="897"/>
      <c r="L590" s="898"/>
      <c r="M590" s="898"/>
      <c r="N590" s="898"/>
      <c r="O590" s="898"/>
      <c r="P590" s="898"/>
      <c r="Q590" s="898"/>
      <c r="R590" s="898"/>
      <c r="S590" s="898"/>
      <c r="T590" s="898"/>
      <c r="U590" s="898"/>
      <c r="V590" s="898"/>
      <c r="W590" s="898"/>
      <c r="X590" s="898"/>
      <c r="Y590" s="898"/>
      <c r="Z590" s="898"/>
      <c r="AA590" s="898"/>
      <c r="AB590" s="898"/>
      <c r="AC590" s="898"/>
      <c r="AD590" s="898"/>
      <c r="AE590" s="898"/>
      <c r="AF590" s="898"/>
      <c r="AG590" s="898"/>
      <c r="AH590" s="898"/>
      <c r="AI590" s="898"/>
      <c r="AJ590" s="898"/>
      <c r="AK590" s="898"/>
      <c r="AL590" s="898"/>
      <c r="AM590" s="897"/>
      <c r="AN590" s="897"/>
      <c r="AO590" s="897"/>
      <c r="AP590" s="897"/>
      <c r="AQ590" s="897"/>
      <c r="AR590" s="897"/>
      <c r="AS590" s="897"/>
      <c r="AT590" s="897"/>
    </row>
    <row r="591" spans="1:46" s="930" customFormat="1">
      <c r="A591" s="892"/>
      <c r="B591" s="899"/>
      <c r="C591" s="900"/>
      <c r="D591" s="894"/>
      <c r="E591" s="936"/>
      <c r="F591" s="905"/>
      <c r="G591" s="896"/>
      <c r="H591" s="897"/>
      <c r="I591" s="897"/>
      <c r="J591" s="897"/>
      <c r="K591" s="897"/>
      <c r="L591" s="898"/>
      <c r="M591" s="898"/>
      <c r="N591" s="898"/>
      <c r="O591" s="898"/>
      <c r="P591" s="898"/>
      <c r="Q591" s="898"/>
      <c r="R591" s="898"/>
      <c r="S591" s="898"/>
      <c r="T591" s="898"/>
      <c r="U591" s="898"/>
      <c r="V591" s="898"/>
      <c r="W591" s="898"/>
      <c r="X591" s="898"/>
      <c r="Y591" s="898"/>
      <c r="Z591" s="898"/>
      <c r="AA591" s="898"/>
      <c r="AB591" s="898"/>
      <c r="AC591" s="898"/>
      <c r="AD591" s="898"/>
      <c r="AE591" s="898"/>
      <c r="AF591" s="898"/>
      <c r="AG591" s="898"/>
      <c r="AH591" s="898"/>
      <c r="AI591" s="898"/>
      <c r="AJ591" s="898"/>
      <c r="AK591" s="898"/>
      <c r="AL591" s="898"/>
      <c r="AM591" s="897"/>
      <c r="AN591" s="897"/>
      <c r="AO591" s="897"/>
      <c r="AP591" s="897"/>
      <c r="AQ591" s="897"/>
      <c r="AR591" s="897"/>
      <c r="AS591" s="897"/>
      <c r="AT591" s="897"/>
    </row>
    <row r="592" spans="1:46" s="930" customFormat="1">
      <c r="A592" s="892"/>
      <c r="B592" s="899"/>
      <c r="C592" s="900"/>
      <c r="D592" s="894"/>
      <c r="E592" s="936"/>
      <c r="F592" s="905"/>
      <c r="G592" s="896"/>
      <c r="H592" s="897"/>
      <c r="I592" s="897"/>
      <c r="J592" s="897"/>
      <c r="K592" s="897"/>
      <c r="L592" s="898"/>
      <c r="M592" s="898"/>
      <c r="N592" s="898"/>
      <c r="O592" s="898"/>
      <c r="P592" s="898"/>
      <c r="Q592" s="898"/>
      <c r="R592" s="898"/>
      <c r="S592" s="898"/>
      <c r="T592" s="898"/>
      <c r="U592" s="898"/>
      <c r="V592" s="898"/>
      <c r="W592" s="898"/>
      <c r="X592" s="898"/>
      <c r="Y592" s="898"/>
      <c r="Z592" s="898"/>
      <c r="AA592" s="898"/>
      <c r="AB592" s="898"/>
      <c r="AC592" s="898"/>
      <c r="AD592" s="898"/>
      <c r="AE592" s="898"/>
      <c r="AF592" s="898"/>
      <c r="AG592" s="898"/>
      <c r="AH592" s="898"/>
      <c r="AI592" s="898"/>
      <c r="AJ592" s="898"/>
      <c r="AK592" s="898"/>
      <c r="AL592" s="898"/>
      <c r="AM592" s="897"/>
      <c r="AN592" s="897"/>
      <c r="AO592" s="897"/>
      <c r="AP592" s="897"/>
      <c r="AQ592" s="897"/>
      <c r="AR592" s="897"/>
      <c r="AS592" s="897"/>
      <c r="AT592" s="897"/>
    </row>
    <row r="593" spans="1:46" s="930" customFormat="1">
      <c r="A593" s="892"/>
      <c r="B593" s="899"/>
      <c r="C593" s="900"/>
      <c r="D593" s="894"/>
      <c r="E593" s="936"/>
      <c r="F593" s="905"/>
      <c r="G593" s="896"/>
      <c r="H593" s="897"/>
      <c r="I593" s="897"/>
      <c r="J593" s="897"/>
      <c r="K593" s="897"/>
      <c r="L593" s="898"/>
      <c r="M593" s="898"/>
      <c r="N593" s="898"/>
      <c r="O593" s="898"/>
      <c r="P593" s="898"/>
      <c r="Q593" s="898"/>
      <c r="R593" s="898"/>
      <c r="S593" s="898"/>
      <c r="T593" s="898"/>
      <c r="U593" s="898"/>
      <c r="V593" s="898"/>
      <c r="W593" s="898"/>
      <c r="X593" s="898"/>
      <c r="Y593" s="898"/>
      <c r="Z593" s="898"/>
      <c r="AA593" s="898"/>
      <c r="AB593" s="898"/>
      <c r="AC593" s="898"/>
      <c r="AD593" s="898"/>
      <c r="AE593" s="898"/>
      <c r="AF593" s="898"/>
      <c r="AG593" s="898"/>
      <c r="AH593" s="898"/>
      <c r="AI593" s="898"/>
      <c r="AJ593" s="898"/>
      <c r="AK593" s="898"/>
      <c r="AL593" s="898"/>
      <c r="AM593" s="897"/>
      <c r="AN593" s="897"/>
      <c r="AO593" s="897"/>
      <c r="AP593" s="897"/>
      <c r="AQ593" s="897"/>
      <c r="AR593" s="897"/>
      <c r="AS593" s="897"/>
      <c r="AT593" s="897"/>
    </row>
    <row r="594" spans="1:46" s="930" customFormat="1">
      <c r="A594" s="892"/>
      <c r="B594" s="899"/>
      <c r="C594" s="900"/>
      <c r="D594" s="894"/>
      <c r="E594" s="936"/>
      <c r="F594" s="905"/>
      <c r="G594" s="896"/>
      <c r="H594" s="897"/>
      <c r="I594" s="897"/>
      <c r="J594" s="897"/>
      <c r="K594" s="897"/>
      <c r="L594" s="898"/>
      <c r="M594" s="898"/>
      <c r="N594" s="898"/>
      <c r="O594" s="898"/>
      <c r="P594" s="898"/>
      <c r="Q594" s="898"/>
      <c r="R594" s="898"/>
      <c r="S594" s="898"/>
      <c r="T594" s="898"/>
      <c r="U594" s="898"/>
      <c r="V594" s="898"/>
      <c r="W594" s="898"/>
      <c r="X594" s="898"/>
      <c r="Y594" s="898"/>
      <c r="Z594" s="898"/>
      <c r="AA594" s="898"/>
      <c r="AB594" s="898"/>
      <c r="AC594" s="898"/>
      <c r="AD594" s="898"/>
      <c r="AE594" s="898"/>
      <c r="AF594" s="898"/>
      <c r="AG594" s="898"/>
      <c r="AH594" s="898"/>
      <c r="AI594" s="898"/>
      <c r="AJ594" s="898"/>
      <c r="AK594" s="898"/>
      <c r="AL594" s="898"/>
      <c r="AM594" s="897"/>
      <c r="AN594" s="897"/>
      <c r="AO594" s="897"/>
      <c r="AP594" s="897"/>
      <c r="AQ594" s="897"/>
      <c r="AR594" s="897"/>
      <c r="AS594" s="897"/>
      <c r="AT594" s="897"/>
    </row>
    <row r="595" spans="1:46" s="930" customFormat="1">
      <c r="A595" s="892"/>
      <c r="B595" s="899"/>
      <c r="C595" s="900"/>
      <c r="D595" s="894"/>
      <c r="E595" s="936"/>
      <c r="F595" s="905"/>
      <c r="G595" s="896"/>
      <c r="H595" s="897"/>
      <c r="I595" s="897"/>
      <c r="J595" s="897"/>
      <c r="K595" s="897"/>
      <c r="L595" s="898"/>
      <c r="M595" s="898"/>
      <c r="N595" s="898"/>
      <c r="O595" s="898"/>
      <c r="P595" s="898"/>
      <c r="Q595" s="898"/>
      <c r="R595" s="898"/>
      <c r="S595" s="898"/>
      <c r="T595" s="898"/>
      <c r="U595" s="898"/>
      <c r="V595" s="898"/>
      <c r="W595" s="898"/>
      <c r="X595" s="898"/>
      <c r="Y595" s="898"/>
      <c r="Z595" s="898"/>
      <c r="AA595" s="898"/>
      <c r="AB595" s="898"/>
      <c r="AC595" s="898"/>
      <c r="AD595" s="898"/>
      <c r="AE595" s="898"/>
      <c r="AF595" s="898"/>
      <c r="AG595" s="898"/>
      <c r="AH595" s="898"/>
      <c r="AI595" s="898"/>
      <c r="AJ595" s="898"/>
      <c r="AK595" s="898"/>
      <c r="AL595" s="898"/>
      <c r="AM595" s="897"/>
      <c r="AN595" s="897"/>
      <c r="AO595" s="897"/>
      <c r="AP595" s="897"/>
      <c r="AQ595" s="897"/>
      <c r="AR595" s="897"/>
      <c r="AS595" s="897"/>
      <c r="AT595" s="897"/>
    </row>
    <row r="596" spans="1:46" s="930" customFormat="1">
      <c r="A596" s="892"/>
      <c r="B596" s="899"/>
      <c r="C596" s="900"/>
      <c r="D596" s="894"/>
      <c r="E596" s="936"/>
      <c r="F596" s="905"/>
      <c r="G596" s="896"/>
      <c r="H596" s="897"/>
      <c r="I596" s="897"/>
      <c r="J596" s="897"/>
      <c r="K596" s="897"/>
      <c r="L596" s="898"/>
      <c r="M596" s="898"/>
      <c r="N596" s="898"/>
      <c r="O596" s="898"/>
      <c r="P596" s="898"/>
      <c r="Q596" s="898"/>
      <c r="R596" s="898"/>
      <c r="S596" s="898"/>
      <c r="T596" s="898"/>
      <c r="U596" s="898"/>
      <c r="V596" s="898"/>
      <c r="W596" s="898"/>
      <c r="X596" s="898"/>
      <c r="Y596" s="898"/>
      <c r="Z596" s="898"/>
      <c r="AA596" s="898"/>
      <c r="AB596" s="898"/>
      <c r="AC596" s="898"/>
      <c r="AD596" s="898"/>
      <c r="AE596" s="898"/>
      <c r="AF596" s="898"/>
      <c r="AG596" s="898"/>
      <c r="AH596" s="898"/>
      <c r="AI596" s="898"/>
      <c r="AJ596" s="898"/>
      <c r="AK596" s="898"/>
      <c r="AL596" s="898"/>
      <c r="AM596" s="897"/>
      <c r="AN596" s="897"/>
      <c r="AO596" s="897"/>
      <c r="AP596" s="897"/>
      <c r="AQ596" s="897"/>
      <c r="AR596" s="897"/>
      <c r="AS596" s="897"/>
      <c r="AT596" s="897"/>
    </row>
    <row r="597" spans="1:46" s="930" customFormat="1">
      <c r="A597" s="892"/>
      <c r="B597" s="899"/>
      <c r="C597" s="900"/>
      <c r="D597" s="894"/>
      <c r="E597" s="936"/>
      <c r="F597" s="905"/>
      <c r="G597" s="896"/>
      <c r="H597" s="897"/>
      <c r="I597" s="897"/>
      <c r="J597" s="897"/>
      <c r="K597" s="897"/>
      <c r="L597" s="898"/>
      <c r="M597" s="898"/>
      <c r="N597" s="898"/>
      <c r="O597" s="898"/>
      <c r="P597" s="898"/>
      <c r="Q597" s="898"/>
      <c r="R597" s="898"/>
      <c r="S597" s="898"/>
      <c r="T597" s="898"/>
      <c r="U597" s="898"/>
      <c r="V597" s="898"/>
      <c r="W597" s="898"/>
      <c r="X597" s="898"/>
      <c r="Y597" s="898"/>
      <c r="Z597" s="898"/>
      <c r="AA597" s="898"/>
      <c r="AB597" s="898"/>
      <c r="AC597" s="898"/>
      <c r="AD597" s="898"/>
      <c r="AE597" s="898"/>
      <c r="AF597" s="898"/>
      <c r="AG597" s="898"/>
      <c r="AH597" s="898"/>
      <c r="AI597" s="898"/>
      <c r="AJ597" s="898"/>
      <c r="AK597" s="898"/>
      <c r="AL597" s="898"/>
      <c r="AM597" s="897"/>
      <c r="AN597" s="897"/>
      <c r="AO597" s="897"/>
      <c r="AP597" s="897"/>
      <c r="AQ597" s="897"/>
      <c r="AR597" s="897"/>
      <c r="AS597" s="897"/>
      <c r="AT597" s="897"/>
    </row>
    <row r="598" spans="1:46" s="930" customFormat="1">
      <c r="A598" s="892"/>
      <c r="B598" s="899"/>
      <c r="C598" s="900"/>
      <c r="D598" s="894"/>
      <c r="E598" s="936"/>
      <c r="F598" s="905"/>
      <c r="G598" s="896"/>
      <c r="H598" s="897"/>
      <c r="I598" s="897"/>
      <c r="J598" s="897"/>
      <c r="K598" s="897"/>
      <c r="L598" s="898"/>
      <c r="M598" s="898"/>
      <c r="N598" s="898"/>
      <c r="O598" s="898"/>
      <c r="P598" s="898"/>
      <c r="Q598" s="898"/>
      <c r="R598" s="898"/>
      <c r="S598" s="898"/>
      <c r="T598" s="898"/>
      <c r="U598" s="898"/>
      <c r="V598" s="898"/>
      <c r="W598" s="898"/>
      <c r="X598" s="898"/>
      <c r="Y598" s="898"/>
      <c r="Z598" s="898"/>
      <c r="AA598" s="898"/>
      <c r="AB598" s="898"/>
      <c r="AC598" s="898"/>
      <c r="AD598" s="898"/>
      <c r="AE598" s="898"/>
      <c r="AF598" s="898"/>
      <c r="AG598" s="898"/>
      <c r="AH598" s="898"/>
      <c r="AI598" s="898"/>
      <c r="AJ598" s="898"/>
      <c r="AK598" s="898"/>
      <c r="AL598" s="898"/>
      <c r="AM598" s="897"/>
      <c r="AN598" s="897"/>
      <c r="AO598" s="897"/>
      <c r="AP598" s="897"/>
      <c r="AQ598" s="897"/>
      <c r="AR598" s="897"/>
      <c r="AS598" s="897"/>
      <c r="AT598" s="897"/>
    </row>
    <row r="599" spans="1:46" s="930" customFormat="1">
      <c r="A599" s="892"/>
      <c r="B599" s="899"/>
      <c r="C599" s="900"/>
      <c r="D599" s="894"/>
      <c r="E599" s="936"/>
      <c r="F599" s="905"/>
      <c r="G599" s="896"/>
      <c r="H599" s="897"/>
      <c r="I599" s="897"/>
      <c r="J599" s="897"/>
      <c r="K599" s="897"/>
      <c r="L599" s="898"/>
      <c r="M599" s="898"/>
      <c r="N599" s="898"/>
      <c r="O599" s="898"/>
      <c r="P599" s="898"/>
      <c r="Q599" s="898"/>
      <c r="R599" s="898"/>
      <c r="S599" s="898"/>
      <c r="T599" s="898"/>
      <c r="U599" s="898"/>
      <c r="V599" s="898"/>
      <c r="W599" s="898"/>
      <c r="X599" s="898"/>
      <c r="Y599" s="898"/>
      <c r="Z599" s="898"/>
      <c r="AA599" s="898"/>
      <c r="AB599" s="898"/>
      <c r="AC599" s="898"/>
      <c r="AD599" s="898"/>
      <c r="AE599" s="898"/>
      <c r="AF599" s="898"/>
      <c r="AG599" s="898"/>
      <c r="AH599" s="898"/>
      <c r="AI599" s="898"/>
      <c r="AJ599" s="898"/>
      <c r="AK599" s="898"/>
      <c r="AL599" s="898"/>
      <c r="AM599" s="897"/>
      <c r="AN599" s="897"/>
      <c r="AO599" s="897"/>
      <c r="AP599" s="897"/>
      <c r="AQ599" s="897"/>
      <c r="AR599" s="897"/>
      <c r="AS599" s="897"/>
      <c r="AT599" s="897"/>
    </row>
    <row r="600" spans="1:46" s="930" customFormat="1">
      <c r="A600" s="892"/>
      <c r="B600" s="899"/>
      <c r="C600" s="900"/>
      <c r="D600" s="894"/>
      <c r="E600" s="936"/>
      <c r="F600" s="905"/>
      <c r="G600" s="896"/>
      <c r="H600" s="897"/>
      <c r="I600" s="897"/>
      <c r="J600" s="897"/>
      <c r="K600" s="897"/>
      <c r="L600" s="898"/>
      <c r="M600" s="898"/>
      <c r="N600" s="898"/>
      <c r="O600" s="898"/>
      <c r="P600" s="898"/>
      <c r="Q600" s="898"/>
      <c r="R600" s="898"/>
      <c r="S600" s="898"/>
      <c r="T600" s="898"/>
      <c r="U600" s="898"/>
      <c r="V600" s="898"/>
      <c r="W600" s="898"/>
      <c r="X600" s="898"/>
      <c r="Y600" s="898"/>
      <c r="Z600" s="898"/>
      <c r="AA600" s="898"/>
      <c r="AB600" s="898"/>
      <c r="AC600" s="898"/>
      <c r="AD600" s="898"/>
      <c r="AE600" s="898"/>
      <c r="AF600" s="898"/>
      <c r="AG600" s="898"/>
      <c r="AH600" s="898"/>
      <c r="AI600" s="898"/>
      <c r="AJ600" s="898"/>
      <c r="AK600" s="898"/>
      <c r="AL600" s="898"/>
      <c r="AM600" s="897"/>
      <c r="AN600" s="897"/>
      <c r="AO600" s="897"/>
      <c r="AP600" s="897"/>
      <c r="AQ600" s="897"/>
      <c r="AR600" s="897"/>
      <c r="AS600" s="897"/>
      <c r="AT600" s="897"/>
    </row>
    <row r="601" spans="1:46" s="930" customFormat="1">
      <c r="A601" s="892"/>
      <c r="B601" s="899"/>
      <c r="C601" s="900"/>
      <c r="D601" s="894"/>
      <c r="E601" s="936"/>
      <c r="F601" s="905"/>
      <c r="G601" s="896"/>
      <c r="H601" s="897"/>
      <c r="I601" s="897"/>
      <c r="J601" s="897"/>
      <c r="K601" s="897"/>
      <c r="L601" s="898"/>
      <c r="M601" s="898"/>
      <c r="N601" s="898"/>
      <c r="O601" s="898"/>
      <c r="P601" s="898"/>
      <c r="Q601" s="898"/>
      <c r="R601" s="898"/>
      <c r="S601" s="898"/>
      <c r="T601" s="898"/>
      <c r="U601" s="898"/>
      <c r="V601" s="898"/>
      <c r="W601" s="898"/>
      <c r="X601" s="898"/>
      <c r="Y601" s="898"/>
      <c r="Z601" s="898"/>
      <c r="AA601" s="898"/>
      <c r="AB601" s="898"/>
      <c r="AC601" s="898"/>
      <c r="AD601" s="898"/>
      <c r="AE601" s="898"/>
      <c r="AF601" s="898"/>
      <c r="AG601" s="898"/>
      <c r="AH601" s="898"/>
      <c r="AI601" s="898"/>
      <c r="AJ601" s="898"/>
      <c r="AK601" s="898"/>
      <c r="AL601" s="898"/>
      <c r="AM601" s="897"/>
      <c r="AN601" s="897"/>
      <c r="AO601" s="897"/>
      <c r="AP601" s="897"/>
      <c r="AQ601" s="897"/>
      <c r="AR601" s="897"/>
      <c r="AS601" s="897"/>
      <c r="AT601" s="897"/>
    </row>
    <row r="602" spans="1:46" s="930" customFormat="1">
      <c r="A602" s="892"/>
      <c r="B602" s="899"/>
      <c r="C602" s="900"/>
      <c r="D602" s="894"/>
      <c r="E602" s="936"/>
      <c r="F602" s="905"/>
      <c r="G602" s="896"/>
      <c r="H602" s="897"/>
      <c r="I602" s="897"/>
      <c r="J602" s="897"/>
      <c r="K602" s="897"/>
      <c r="L602" s="898"/>
      <c r="M602" s="898"/>
      <c r="N602" s="898"/>
      <c r="O602" s="898"/>
      <c r="P602" s="898"/>
      <c r="Q602" s="898"/>
      <c r="R602" s="898"/>
      <c r="S602" s="898"/>
      <c r="T602" s="898"/>
      <c r="U602" s="898"/>
      <c r="V602" s="898"/>
      <c r="W602" s="898"/>
      <c r="X602" s="898"/>
      <c r="Y602" s="898"/>
      <c r="Z602" s="898"/>
      <c r="AA602" s="898"/>
      <c r="AB602" s="898"/>
      <c r="AC602" s="898"/>
      <c r="AD602" s="898"/>
      <c r="AE602" s="898"/>
      <c r="AF602" s="898"/>
      <c r="AG602" s="898"/>
      <c r="AH602" s="898"/>
      <c r="AI602" s="898"/>
      <c r="AJ602" s="898"/>
      <c r="AK602" s="898"/>
      <c r="AL602" s="898"/>
      <c r="AM602" s="897"/>
      <c r="AN602" s="897"/>
      <c r="AO602" s="897"/>
      <c r="AP602" s="897"/>
      <c r="AQ602" s="897"/>
      <c r="AR602" s="897"/>
      <c r="AS602" s="897"/>
      <c r="AT602" s="897"/>
    </row>
    <row r="603" spans="1:46" s="930" customFormat="1">
      <c r="A603" s="892"/>
      <c r="B603" s="899"/>
      <c r="C603" s="900"/>
      <c r="D603" s="894"/>
      <c r="E603" s="936"/>
      <c r="F603" s="905"/>
      <c r="G603" s="896"/>
      <c r="H603" s="897"/>
      <c r="I603" s="897"/>
      <c r="J603" s="897"/>
      <c r="K603" s="897"/>
      <c r="L603" s="898"/>
      <c r="M603" s="898"/>
      <c r="N603" s="898"/>
      <c r="O603" s="898"/>
      <c r="P603" s="898"/>
      <c r="Q603" s="898"/>
      <c r="R603" s="898"/>
      <c r="S603" s="898"/>
      <c r="T603" s="898"/>
      <c r="U603" s="898"/>
      <c r="V603" s="898"/>
      <c r="W603" s="898"/>
      <c r="X603" s="898"/>
      <c r="Y603" s="898"/>
      <c r="Z603" s="898"/>
      <c r="AA603" s="898"/>
      <c r="AB603" s="898"/>
      <c r="AC603" s="898"/>
      <c r="AD603" s="898"/>
      <c r="AE603" s="898"/>
      <c r="AF603" s="898"/>
      <c r="AG603" s="898"/>
      <c r="AH603" s="898"/>
      <c r="AI603" s="898"/>
      <c r="AJ603" s="898"/>
      <c r="AK603" s="898"/>
      <c r="AL603" s="898"/>
      <c r="AM603" s="897"/>
      <c r="AN603" s="897"/>
      <c r="AO603" s="897"/>
      <c r="AP603" s="897"/>
      <c r="AQ603" s="897"/>
      <c r="AR603" s="897"/>
      <c r="AS603" s="897"/>
      <c r="AT603" s="897"/>
    </row>
    <row r="604" spans="1:46" s="930" customFormat="1">
      <c r="A604" s="892"/>
      <c r="B604" s="899"/>
      <c r="C604" s="900"/>
      <c r="D604" s="894"/>
      <c r="E604" s="936"/>
      <c r="F604" s="905"/>
      <c r="G604" s="896"/>
      <c r="H604" s="897"/>
      <c r="I604" s="897"/>
      <c r="J604" s="897"/>
      <c r="K604" s="897"/>
      <c r="L604" s="898"/>
      <c r="M604" s="898"/>
      <c r="N604" s="898"/>
      <c r="O604" s="898"/>
      <c r="P604" s="898"/>
      <c r="Q604" s="898"/>
      <c r="R604" s="898"/>
      <c r="S604" s="898"/>
      <c r="T604" s="898"/>
      <c r="U604" s="898"/>
      <c r="V604" s="898"/>
      <c r="W604" s="898"/>
      <c r="X604" s="898"/>
      <c r="Y604" s="898"/>
      <c r="Z604" s="898"/>
      <c r="AA604" s="898"/>
      <c r="AB604" s="898"/>
      <c r="AC604" s="898"/>
      <c r="AD604" s="898"/>
      <c r="AE604" s="898"/>
      <c r="AF604" s="898"/>
      <c r="AG604" s="898"/>
      <c r="AH604" s="898"/>
      <c r="AI604" s="898"/>
      <c r="AJ604" s="898"/>
      <c r="AK604" s="898"/>
      <c r="AL604" s="898"/>
      <c r="AM604" s="897"/>
      <c r="AN604" s="897"/>
      <c r="AO604" s="897"/>
      <c r="AP604" s="897"/>
      <c r="AQ604" s="897"/>
      <c r="AR604" s="897"/>
      <c r="AS604" s="897"/>
      <c r="AT604" s="897"/>
    </row>
    <row r="605" spans="1:46" s="930" customFormat="1">
      <c r="A605" s="892"/>
      <c r="B605" s="899"/>
      <c r="C605" s="900"/>
      <c r="D605" s="894"/>
      <c r="E605" s="936"/>
      <c r="F605" s="905"/>
      <c r="G605" s="896"/>
      <c r="H605" s="897"/>
      <c r="I605" s="897"/>
      <c r="J605" s="897"/>
      <c r="K605" s="897"/>
      <c r="L605" s="898"/>
      <c r="M605" s="898"/>
      <c r="N605" s="898"/>
      <c r="O605" s="898"/>
      <c r="P605" s="898"/>
      <c r="Q605" s="898"/>
      <c r="R605" s="898"/>
      <c r="S605" s="898"/>
      <c r="T605" s="898"/>
      <c r="U605" s="898"/>
      <c r="V605" s="898"/>
      <c r="W605" s="898"/>
      <c r="X605" s="898"/>
      <c r="Y605" s="898"/>
      <c r="Z605" s="898"/>
      <c r="AA605" s="898"/>
      <c r="AB605" s="898"/>
      <c r="AC605" s="898"/>
      <c r="AD605" s="898"/>
      <c r="AE605" s="898"/>
      <c r="AF605" s="898"/>
      <c r="AG605" s="898"/>
      <c r="AH605" s="898"/>
      <c r="AI605" s="898"/>
      <c r="AJ605" s="898"/>
      <c r="AK605" s="898"/>
      <c r="AL605" s="898"/>
      <c r="AM605" s="897"/>
      <c r="AN605" s="897"/>
      <c r="AO605" s="897"/>
      <c r="AP605" s="897"/>
      <c r="AQ605" s="897"/>
      <c r="AR605" s="897"/>
      <c r="AS605" s="897"/>
      <c r="AT605" s="897"/>
    </row>
    <row r="606" spans="1:46" s="930" customFormat="1">
      <c r="A606" s="892"/>
      <c r="B606" s="899"/>
      <c r="C606" s="900"/>
      <c r="D606" s="894"/>
      <c r="E606" s="936"/>
      <c r="F606" s="905"/>
      <c r="G606" s="896"/>
      <c r="H606" s="897"/>
      <c r="I606" s="897"/>
      <c r="J606" s="897"/>
      <c r="K606" s="897"/>
      <c r="L606" s="898"/>
      <c r="M606" s="898"/>
      <c r="N606" s="898"/>
      <c r="O606" s="898"/>
      <c r="P606" s="898"/>
      <c r="Q606" s="898"/>
      <c r="R606" s="898"/>
      <c r="S606" s="898"/>
      <c r="T606" s="898"/>
      <c r="U606" s="898"/>
      <c r="V606" s="898"/>
      <c r="W606" s="898"/>
      <c r="X606" s="898"/>
      <c r="Y606" s="898"/>
      <c r="Z606" s="898"/>
      <c r="AA606" s="898"/>
      <c r="AB606" s="898"/>
      <c r="AC606" s="898"/>
      <c r="AD606" s="898"/>
      <c r="AE606" s="898"/>
      <c r="AF606" s="898"/>
      <c r="AG606" s="898"/>
      <c r="AH606" s="898"/>
      <c r="AI606" s="898"/>
      <c r="AJ606" s="898"/>
      <c r="AK606" s="898"/>
      <c r="AL606" s="898"/>
      <c r="AM606" s="897"/>
      <c r="AN606" s="897"/>
      <c r="AO606" s="897"/>
      <c r="AP606" s="897"/>
      <c r="AQ606" s="897"/>
      <c r="AR606" s="897"/>
      <c r="AS606" s="897"/>
      <c r="AT606" s="897"/>
    </row>
    <row r="607" spans="1:46" s="930" customFormat="1">
      <c r="A607" s="892"/>
      <c r="B607" s="899"/>
      <c r="C607" s="900"/>
      <c r="D607" s="894"/>
      <c r="E607" s="936"/>
      <c r="F607" s="905"/>
      <c r="G607" s="896"/>
      <c r="H607" s="897"/>
      <c r="I607" s="897"/>
      <c r="J607" s="897"/>
      <c r="K607" s="897"/>
      <c r="L607" s="898"/>
      <c r="M607" s="898"/>
      <c r="N607" s="898"/>
      <c r="O607" s="898"/>
      <c r="P607" s="898"/>
      <c r="Q607" s="898"/>
      <c r="R607" s="898"/>
      <c r="S607" s="898"/>
      <c r="T607" s="898"/>
      <c r="U607" s="898"/>
      <c r="V607" s="898"/>
      <c r="W607" s="898"/>
      <c r="X607" s="898"/>
      <c r="Y607" s="898"/>
      <c r="Z607" s="898"/>
      <c r="AA607" s="898"/>
      <c r="AB607" s="898"/>
      <c r="AC607" s="898"/>
      <c r="AD607" s="898"/>
      <c r="AE607" s="898"/>
      <c r="AF607" s="898"/>
      <c r="AG607" s="898"/>
      <c r="AH607" s="898"/>
      <c r="AI607" s="898"/>
      <c r="AJ607" s="898"/>
      <c r="AK607" s="898"/>
      <c r="AL607" s="898"/>
      <c r="AM607" s="897"/>
      <c r="AN607" s="897"/>
      <c r="AO607" s="897"/>
      <c r="AP607" s="897"/>
      <c r="AQ607" s="897"/>
      <c r="AR607" s="897"/>
      <c r="AS607" s="897"/>
      <c r="AT607" s="897"/>
    </row>
    <row r="608" spans="1:46" s="930" customFormat="1">
      <c r="A608" s="892"/>
      <c r="B608" s="899"/>
      <c r="C608" s="900"/>
      <c r="D608" s="894"/>
      <c r="E608" s="936"/>
      <c r="F608" s="905"/>
      <c r="G608" s="896"/>
      <c r="H608" s="897"/>
      <c r="I608" s="897"/>
      <c r="J608" s="897"/>
      <c r="K608" s="897"/>
      <c r="L608" s="898"/>
      <c r="M608" s="898"/>
      <c r="N608" s="898"/>
      <c r="O608" s="898"/>
      <c r="P608" s="898"/>
      <c r="Q608" s="898"/>
      <c r="R608" s="898"/>
      <c r="S608" s="898"/>
      <c r="T608" s="898"/>
      <c r="U608" s="898"/>
      <c r="V608" s="898"/>
      <c r="W608" s="898"/>
      <c r="X608" s="898"/>
      <c r="Y608" s="898"/>
      <c r="Z608" s="898"/>
      <c r="AA608" s="898"/>
      <c r="AB608" s="898"/>
      <c r="AC608" s="898"/>
      <c r="AD608" s="898"/>
      <c r="AE608" s="898"/>
      <c r="AF608" s="898"/>
      <c r="AG608" s="898"/>
      <c r="AH608" s="898"/>
      <c r="AI608" s="898"/>
      <c r="AJ608" s="898"/>
      <c r="AK608" s="898"/>
      <c r="AL608" s="898"/>
      <c r="AM608" s="897"/>
      <c r="AN608" s="897"/>
      <c r="AO608" s="897"/>
      <c r="AP608" s="897"/>
      <c r="AQ608" s="897"/>
      <c r="AR608" s="897"/>
      <c r="AS608" s="897"/>
      <c r="AT608" s="897"/>
    </row>
    <row r="609" spans="1:46" s="930" customFormat="1">
      <c r="A609" s="892"/>
      <c r="B609" s="899"/>
      <c r="C609" s="900"/>
      <c r="D609" s="894"/>
      <c r="E609" s="936"/>
      <c r="F609" s="905"/>
      <c r="G609" s="896"/>
      <c r="H609" s="897"/>
      <c r="I609" s="897"/>
      <c r="J609" s="897"/>
      <c r="K609" s="897"/>
      <c r="L609" s="898"/>
      <c r="M609" s="898"/>
      <c r="N609" s="898"/>
      <c r="O609" s="898"/>
      <c r="P609" s="898"/>
      <c r="Q609" s="898"/>
      <c r="R609" s="898"/>
      <c r="S609" s="898"/>
      <c r="T609" s="898"/>
      <c r="U609" s="898"/>
      <c r="V609" s="898"/>
      <c r="W609" s="898"/>
      <c r="X609" s="898"/>
      <c r="Y609" s="898"/>
      <c r="Z609" s="898"/>
      <c r="AA609" s="898"/>
      <c r="AB609" s="898"/>
      <c r="AC609" s="898"/>
      <c r="AD609" s="898"/>
      <c r="AE609" s="898"/>
      <c r="AF609" s="898"/>
      <c r="AG609" s="898"/>
      <c r="AH609" s="898"/>
      <c r="AI609" s="898"/>
      <c r="AJ609" s="898"/>
      <c r="AK609" s="898"/>
      <c r="AL609" s="898"/>
      <c r="AM609" s="897"/>
      <c r="AN609" s="897"/>
      <c r="AO609" s="897"/>
      <c r="AP609" s="897"/>
      <c r="AQ609" s="897"/>
      <c r="AR609" s="897"/>
      <c r="AS609" s="897"/>
      <c r="AT609" s="897"/>
    </row>
    <row r="610" spans="1:46" s="930" customFormat="1">
      <c r="A610" s="892"/>
      <c r="B610" s="899"/>
      <c r="C610" s="900"/>
      <c r="D610" s="894"/>
      <c r="E610" s="936"/>
      <c r="F610" s="905"/>
      <c r="G610" s="896"/>
      <c r="H610" s="897"/>
      <c r="I610" s="897"/>
      <c r="J610" s="897"/>
      <c r="K610" s="897"/>
      <c r="L610" s="898"/>
      <c r="M610" s="898"/>
      <c r="N610" s="898"/>
      <c r="O610" s="898"/>
      <c r="P610" s="898"/>
      <c r="Q610" s="898"/>
      <c r="R610" s="898"/>
      <c r="S610" s="898"/>
      <c r="T610" s="898"/>
      <c r="U610" s="898"/>
      <c r="V610" s="898"/>
      <c r="W610" s="898"/>
      <c r="X610" s="898"/>
      <c r="Y610" s="898"/>
      <c r="Z610" s="898"/>
      <c r="AA610" s="898"/>
      <c r="AB610" s="898"/>
      <c r="AC610" s="898"/>
      <c r="AD610" s="898"/>
      <c r="AE610" s="898"/>
      <c r="AF610" s="898"/>
      <c r="AG610" s="898"/>
      <c r="AH610" s="898"/>
      <c r="AI610" s="898"/>
      <c r="AJ610" s="898"/>
      <c r="AK610" s="898"/>
      <c r="AL610" s="898"/>
      <c r="AM610" s="897"/>
      <c r="AN610" s="897"/>
      <c r="AO610" s="897"/>
      <c r="AP610" s="897"/>
      <c r="AQ610" s="897"/>
      <c r="AR610" s="897"/>
      <c r="AS610" s="897"/>
      <c r="AT610" s="897"/>
    </row>
    <row r="611" spans="1:46" s="930" customFormat="1">
      <c r="A611" s="892"/>
      <c r="B611" s="899"/>
      <c r="C611" s="900"/>
      <c r="D611" s="894"/>
      <c r="E611" s="936"/>
      <c r="F611" s="905"/>
      <c r="G611" s="896"/>
      <c r="H611" s="897"/>
      <c r="I611" s="897"/>
      <c r="J611" s="897"/>
      <c r="K611" s="897"/>
      <c r="L611" s="898"/>
      <c r="M611" s="898"/>
      <c r="N611" s="898"/>
      <c r="O611" s="898"/>
      <c r="P611" s="898"/>
      <c r="Q611" s="898"/>
      <c r="R611" s="898"/>
      <c r="S611" s="898"/>
      <c r="T611" s="898"/>
      <c r="U611" s="898"/>
      <c r="V611" s="898"/>
      <c r="W611" s="898"/>
      <c r="X611" s="898"/>
      <c r="Y611" s="898"/>
      <c r="Z611" s="898"/>
      <c r="AA611" s="898"/>
      <c r="AB611" s="898"/>
      <c r="AC611" s="898"/>
      <c r="AD611" s="898"/>
      <c r="AE611" s="898"/>
      <c r="AF611" s="898"/>
      <c r="AG611" s="898"/>
      <c r="AH611" s="898"/>
      <c r="AI611" s="898"/>
      <c r="AJ611" s="898"/>
      <c r="AK611" s="898"/>
      <c r="AL611" s="898"/>
      <c r="AM611" s="897"/>
      <c r="AN611" s="897"/>
      <c r="AO611" s="897"/>
      <c r="AP611" s="897"/>
      <c r="AQ611" s="897"/>
      <c r="AR611" s="897"/>
      <c r="AS611" s="897"/>
      <c r="AT611" s="897"/>
    </row>
    <row r="612" spans="1:46" s="930" customFormat="1">
      <c r="A612" s="892"/>
      <c r="B612" s="899"/>
      <c r="C612" s="900"/>
      <c r="D612" s="894"/>
      <c r="E612" s="936"/>
      <c r="F612" s="905"/>
      <c r="G612" s="896"/>
      <c r="H612" s="897"/>
      <c r="I612" s="897"/>
      <c r="J612" s="897"/>
      <c r="K612" s="897"/>
      <c r="L612" s="898"/>
      <c r="M612" s="898"/>
      <c r="N612" s="898"/>
      <c r="O612" s="898"/>
      <c r="P612" s="898"/>
      <c r="Q612" s="898"/>
      <c r="R612" s="898"/>
      <c r="S612" s="898"/>
      <c r="T612" s="898"/>
      <c r="U612" s="898"/>
      <c r="V612" s="898"/>
      <c r="W612" s="898"/>
      <c r="X612" s="898"/>
      <c r="Y612" s="898"/>
      <c r="Z612" s="898"/>
      <c r="AA612" s="898"/>
      <c r="AB612" s="898"/>
      <c r="AC612" s="898"/>
      <c r="AD612" s="898"/>
      <c r="AE612" s="898"/>
      <c r="AF612" s="898"/>
      <c r="AG612" s="898"/>
      <c r="AH612" s="898"/>
      <c r="AI612" s="898"/>
      <c r="AJ612" s="898"/>
      <c r="AK612" s="898"/>
      <c r="AL612" s="898"/>
      <c r="AM612" s="897"/>
      <c r="AN612" s="897"/>
      <c r="AO612" s="897"/>
      <c r="AP612" s="897"/>
      <c r="AQ612" s="897"/>
      <c r="AR612" s="897"/>
      <c r="AS612" s="897"/>
      <c r="AT612" s="897"/>
    </row>
    <row r="613" spans="1:46" s="930" customFormat="1">
      <c r="A613" s="892"/>
      <c r="B613" s="899"/>
      <c r="C613" s="900"/>
      <c r="D613" s="894"/>
      <c r="E613" s="936"/>
      <c r="F613" s="905"/>
      <c r="G613" s="896"/>
      <c r="H613" s="897"/>
      <c r="I613" s="897"/>
      <c r="J613" s="897"/>
      <c r="K613" s="897"/>
      <c r="L613" s="898"/>
      <c r="M613" s="898"/>
      <c r="N613" s="898"/>
      <c r="O613" s="898"/>
      <c r="P613" s="898"/>
      <c r="Q613" s="898"/>
      <c r="R613" s="898"/>
      <c r="S613" s="898"/>
      <c r="T613" s="898"/>
      <c r="U613" s="898"/>
      <c r="V613" s="898"/>
      <c r="W613" s="898"/>
      <c r="X613" s="898"/>
      <c r="Y613" s="898"/>
      <c r="Z613" s="898"/>
      <c r="AA613" s="898"/>
      <c r="AB613" s="898"/>
      <c r="AC613" s="898"/>
      <c r="AD613" s="898"/>
      <c r="AE613" s="898"/>
      <c r="AF613" s="898"/>
      <c r="AG613" s="898"/>
      <c r="AH613" s="898"/>
      <c r="AI613" s="898"/>
      <c r="AJ613" s="898"/>
      <c r="AK613" s="898"/>
      <c r="AL613" s="898"/>
      <c r="AM613" s="897"/>
      <c r="AN613" s="897"/>
      <c r="AO613" s="897"/>
      <c r="AP613" s="897"/>
      <c r="AQ613" s="897"/>
      <c r="AR613" s="897"/>
      <c r="AS613" s="897"/>
      <c r="AT613" s="897"/>
    </row>
    <row r="614" spans="1:46" s="930" customFormat="1">
      <c r="A614" s="892"/>
      <c r="B614" s="899"/>
      <c r="C614" s="900"/>
      <c r="D614" s="894"/>
      <c r="E614" s="936"/>
      <c r="F614" s="905"/>
      <c r="G614" s="896"/>
      <c r="H614" s="897"/>
      <c r="I614" s="897"/>
      <c r="J614" s="897"/>
      <c r="K614" s="897"/>
      <c r="L614" s="898"/>
      <c r="M614" s="898"/>
      <c r="N614" s="898"/>
      <c r="O614" s="898"/>
      <c r="P614" s="898"/>
      <c r="Q614" s="898"/>
      <c r="R614" s="898"/>
      <c r="S614" s="898"/>
      <c r="T614" s="898"/>
      <c r="U614" s="898"/>
      <c r="V614" s="898"/>
      <c r="W614" s="898"/>
      <c r="X614" s="898"/>
      <c r="Y614" s="898"/>
      <c r="Z614" s="898"/>
      <c r="AA614" s="898"/>
      <c r="AB614" s="898"/>
      <c r="AC614" s="898"/>
      <c r="AD614" s="898"/>
      <c r="AE614" s="898"/>
      <c r="AF614" s="898"/>
      <c r="AG614" s="898"/>
      <c r="AH614" s="898"/>
      <c r="AI614" s="898"/>
      <c r="AJ614" s="898"/>
      <c r="AK614" s="898"/>
      <c r="AL614" s="898"/>
      <c r="AM614" s="897"/>
      <c r="AN614" s="897"/>
      <c r="AO614" s="897"/>
      <c r="AP614" s="897"/>
      <c r="AQ614" s="897"/>
      <c r="AR614" s="897"/>
      <c r="AS614" s="897"/>
      <c r="AT614" s="897"/>
    </row>
    <row r="615" spans="1:46" s="930" customFormat="1">
      <c r="A615" s="892"/>
      <c r="B615" s="899"/>
      <c r="C615" s="900"/>
      <c r="D615" s="894"/>
      <c r="E615" s="936"/>
      <c r="F615" s="905"/>
      <c r="G615" s="896"/>
      <c r="H615" s="897"/>
      <c r="I615" s="897"/>
      <c r="J615" s="897"/>
      <c r="K615" s="897"/>
      <c r="L615" s="898"/>
      <c r="M615" s="898"/>
      <c r="N615" s="898"/>
      <c r="O615" s="898"/>
      <c r="P615" s="898"/>
      <c r="Q615" s="898"/>
      <c r="R615" s="898"/>
      <c r="S615" s="898"/>
      <c r="T615" s="898"/>
      <c r="U615" s="898"/>
      <c r="V615" s="898"/>
      <c r="W615" s="898"/>
      <c r="X615" s="898"/>
      <c r="Y615" s="898"/>
      <c r="Z615" s="898"/>
      <c r="AA615" s="898"/>
      <c r="AB615" s="898"/>
      <c r="AC615" s="898"/>
      <c r="AD615" s="898"/>
      <c r="AE615" s="898"/>
      <c r="AF615" s="898"/>
      <c r="AG615" s="898"/>
      <c r="AH615" s="898"/>
      <c r="AI615" s="898"/>
      <c r="AJ615" s="898"/>
      <c r="AK615" s="898"/>
      <c r="AL615" s="898"/>
      <c r="AM615" s="897"/>
      <c r="AN615" s="897"/>
      <c r="AO615" s="897"/>
      <c r="AP615" s="897"/>
      <c r="AQ615" s="897"/>
      <c r="AR615" s="897"/>
      <c r="AS615" s="897"/>
      <c r="AT615" s="897"/>
    </row>
    <row r="616" spans="1:46" s="930" customFormat="1">
      <c r="A616" s="892"/>
      <c r="B616" s="899"/>
      <c r="C616" s="900"/>
      <c r="D616" s="894"/>
      <c r="E616" s="936"/>
      <c r="F616" s="905"/>
      <c r="G616" s="896"/>
      <c r="H616" s="897"/>
      <c r="I616" s="897"/>
      <c r="J616" s="897"/>
      <c r="K616" s="897"/>
      <c r="L616" s="898"/>
      <c r="M616" s="898"/>
      <c r="N616" s="898"/>
      <c r="O616" s="898"/>
      <c r="P616" s="898"/>
      <c r="Q616" s="898"/>
      <c r="R616" s="898"/>
      <c r="S616" s="898"/>
      <c r="T616" s="898"/>
      <c r="U616" s="898"/>
      <c r="V616" s="898"/>
      <c r="W616" s="898"/>
      <c r="X616" s="898"/>
      <c r="Y616" s="898"/>
      <c r="Z616" s="898"/>
      <c r="AA616" s="898"/>
      <c r="AB616" s="898"/>
      <c r="AC616" s="898"/>
      <c r="AD616" s="898"/>
      <c r="AE616" s="898"/>
      <c r="AF616" s="898"/>
      <c r="AG616" s="898"/>
      <c r="AH616" s="898"/>
      <c r="AI616" s="898"/>
      <c r="AJ616" s="898"/>
      <c r="AK616" s="898"/>
      <c r="AL616" s="898"/>
      <c r="AM616" s="897"/>
      <c r="AN616" s="897"/>
      <c r="AO616" s="897"/>
      <c r="AP616" s="897"/>
      <c r="AQ616" s="897"/>
      <c r="AR616" s="897"/>
      <c r="AS616" s="897"/>
      <c r="AT616" s="897"/>
    </row>
    <row r="617" spans="1:46" s="930" customFormat="1">
      <c r="A617" s="892"/>
      <c r="B617" s="899"/>
      <c r="C617" s="900"/>
      <c r="D617" s="894"/>
      <c r="E617" s="936"/>
      <c r="F617" s="905"/>
      <c r="G617" s="896"/>
      <c r="H617" s="897"/>
      <c r="I617" s="897"/>
      <c r="J617" s="897"/>
      <c r="K617" s="897"/>
      <c r="L617" s="898"/>
      <c r="M617" s="898"/>
      <c r="N617" s="898"/>
      <c r="O617" s="898"/>
      <c r="P617" s="898"/>
      <c r="Q617" s="898"/>
      <c r="R617" s="898"/>
      <c r="S617" s="898"/>
      <c r="T617" s="898"/>
      <c r="U617" s="898"/>
      <c r="V617" s="898"/>
      <c r="W617" s="898"/>
      <c r="X617" s="898"/>
      <c r="Y617" s="898"/>
      <c r="Z617" s="898"/>
      <c r="AA617" s="898"/>
      <c r="AB617" s="898"/>
      <c r="AC617" s="898"/>
      <c r="AD617" s="898"/>
      <c r="AE617" s="898"/>
      <c r="AF617" s="898"/>
      <c r="AG617" s="898"/>
      <c r="AH617" s="898"/>
      <c r="AI617" s="898"/>
      <c r="AJ617" s="898"/>
      <c r="AK617" s="898"/>
      <c r="AL617" s="898"/>
      <c r="AM617" s="897"/>
      <c r="AN617" s="897"/>
      <c r="AO617" s="897"/>
      <c r="AP617" s="897"/>
      <c r="AQ617" s="897"/>
      <c r="AR617" s="897"/>
      <c r="AS617" s="897"/>
      <c r="AT617" s="897"/>
    </row>
    <row r="618" spans="1:46" s="930" customFormat="1">
      <c r="A618" s="892"/>
      <c r="B618" s="899"/>
      <c r="C618" s="900"/>
      <c r="D618" s="894"/>
      <c r="E618" s="936"/>
      <c r="F618" s="905"/>
      <c r="G618" s="896"/>
      <c r="H618" s="897"/>
      <c r="I618" s="897"/>
      <c r="J618" s="897"/>
      <c r="K618" s="897"/>
      <c r="L618" s="898"/>
      <c r="M618" s="898"/>
      <c r="N618" s="898"/>
      <c r="O618" s="898"/>
      <c r="P618" s="898"/>
      <c r="Q618" s="898"/>
      <c r="R618" s="898"/>
      <c r="S618" s="898"/>
      <c r="T618" s="898"/>
      <c r="U618" s="898"/>
      <c r="V618" s="898"/>
      <c r="W618" s="898"/>
      <c r="X618" s="898"/>
      <c r="Y618" s="898"/>
      <c r="Z618" s="898"/>
      <c r="AA618" s="898"/>
      <c r="AB618" s="898"/>
      <c r="AC618" s="898"/>
      <c r="AD618" s="898"/>
      <c r="AE618" s="898"/>
      <c r="AF618" s="898"/>
      <c r="AG618" s="898"/>
      <c r="AH618" s="898"/>
      <c r="AI618" s="898"/>
      <c r="AJ618" s="898"/>
      <c r="AK618" s="898"/>
      <c r="AL618" s="898"/>
      <c r="AM618" s="897"/>
      <c r="AN618" s="897"/>
      <c r="AO618" s="897"/>
      <c r="AP618" s="897"/>
      <c r="AQ618" s="897"/>
      <c r="AR618" s="897"/>
      <c r="AS618" s="897"/>
      <c r="AT618" s="897"/>
    </row>
    <row r="619" spans="1:46" s="930" customFormat="1">
      <c r="A619" s="892"/>
      <c r="B619" s="899"/>
      <c r="C619" s="900"/>
      <c r="D619" s="894"/>
      <c r="E619" s="936"/>
      <c r="F619" s="905"/>
      <c r="G619" s="896"/>
      <c r="H619" s="897"/>
      <c r="I619" s="897"/>
      <c r="J619" s="897"/>
      <c r="K619" s="897"/>
      <c r="L619" s="898"/>
      <c r="M619" s="898"/>
      <c r="N619" s="898"/>
      <c r="O619" s="898"/>
      <c r="P619" s="898"/>
      <c r="Q619" s="898"/>
      <c r="R619" s="898"/>
      <c r="S619" s="898"/>
      <c r="T619" s="898"/>
      <c r="U619" s="898"/>
      <c r="V619" s="898"/>
      <c r="W619" s="898"/>
      <c r="X619" s="898"/>
      <c r="Y619" s="898"/>
      <c r="Z619" s="898"/>
      <c r="AA619" s="898"/>
      <c r="AB619" s="898"/>
      <c r="AC619" s="898"/>
      <c r="AD619" s="898"/>
      <c r="AE619" s="898"/>
      <c r="AF619" s="898"/>
      <c r="AG619" s="898"/>
      <c r="AH619" s="898"/>
      <c r="AI619" s="898"/>
      <c r="AJ619" s="898"/>
      <c r="AK619" s="898"/>
      <c r="AL619" s="898"/>
      <c r="AM619" s="897"/>
      <c r="AN619" s="897"/>
      <c r="AO619" s="897"/>
      <c r="AP619" s="897"/>
      <c r="AQ619" s="897"/>
      <c r="AR619" s="897"/>
      <c r="AS619" s="897"/>
      <c r="AT619" s="897"/>
    </row>
    <row r="620" spans="1:46" s="930" customFormat="1">
      <c r="A620" s="892"/>
      <c r="B620" s="899"/>
      <c r="C620" s="900"/>
      <c r="D620" s="894"/>
      <c r="E620" s="936"/>
      <c r="F620" s="905"/>
      <c r="G620" s="896"/>
      <c r="H620" s="897"/>
      <c r="I620" s="897"/>
      <c r="J620" s="897"/>
      <c r="K620" s="897"/>
      <c r="L620" s="898"/>
      <c r="M620" s="898"/>
      <c r="N620" s="898"/>
      <c r="O620" s="898"/>
      <c r="P620" s="898"/>
      <c r="Q620" s="898"/>
      <c r="R620" s="898"/>
      <c r="S620" s="898"/>
      <c r="T620" s="898"/>
      <c r="U620" s="898"/>
      <c r="V620" s="898"/>
      <c r="W620" s="898"/>
      <c r="X620" s="898"/>
      <c r="Y620" s="898"/>
      <c r="Z620" s="898"/>
      <c r="AA620" s="898"/>
      <c r="AB620" s="898"/>
      <c r="AC620" s="898"/>
      <c r="AD620" s="898"/>
      <c r="AE620" s="898"/>
      <c r="AF620" s="898"/>
      <c r="AG620" s="898"/>
      <c r="AH620" s="898"/>
      <c r="AI620" s="898"/>
      <c r="AJ620" s="898"/>
      <c r="AK620" s="898"/>
      <c r="AL620" s="898"/>
      <c r="AM620" s="897"/>
      <c r="AN620" s="897"/>
      <c r="AO620" s="897"/>
      <c r="AP620" s="897"/>
      <c r="AQ620" s="897"/>
      <c r="AR620" s="897"/>
      <c r="AS620" s="897"/>
      <c r="AT620" s="897"/>
    </row>
    <row r="621" spans="1:46" s="930" customFormat="1">
      <c r="A621" s="892"/>
      <c r="B621" s="899"/>
      <c r="C621" s="900"/>
      <c r="D621" s="894"/>
      <c r="E621" s="936"/>
      <c r="F621" s="905"/>
      <c r="G621" s="896"/>
      <c r="H621" s="897"/>
      <c r="I621" s="897"/>
      <c r="J621" s="897"/>
      <c r="K621" s="897"/>
      <c r="L621" s="898"/>
      <c r="M621" s="898"/>
      <c r="N621" s="898"/>
      <c r="O621" s="898"/>
      <c r="P621" s="898"/>
      <c r="Q621" s="898"/>
      <c r="R621" s="898"/>
      <c r="S621" s="898"/>
      <c r="T621" s="898"/>
      <c r="U621" s="898"/>
      <c r="V621" s="898"/>
      <c r="W621" s="898"/>
      <c r="X621" s="898"/>
      <c r="Y621" s="898"/>
      <c r="Z621" s="898"/>
      <c r="AA621" s="898"/>
      <c r="AB621" s="898"/>
      <c r="AC621" s="898"/>
      <c r="AD621" s="898"/>
      <c r="AE621" s="898"/>
      <c r="AF621" s="898"/>
      <c r="AG621" s="898"/>
      <c r="AH621" s="898"/>
      <c r="AI621" s="898"/>
      <c r="AJ621" s="898"/>
      <c r="AK621" s="898"/>
      <c r="AL621" s="898"/>
      <c r="AM621" s="897"/>
      <c r="AN621" s="897"/>
      <c r="AO621" s="897"/>
      <c r="AP621" s="897"/>
      <c r="AQ621" s="897"/>
      <c r="AR621" s="897"/>
      <c r="AS621" s="897"/>
      <c r="AT621" s="897"/>
    </row>
    <row r="622" spans="1:46" s="930" customFormat="1">
      <c r="A622" s="892"/>
      <c r="B622" s="899"/>
      <c r="C622" s="900"/>
      <c r="D622" s="894"/>
      <c r="E622" s="936"/>
      <c r="F622" s="905"/>
      <c r="G622" s="896"/>
      <c r="H622" s="897"/>
      <c r="I622" s="897"/>
      <c r="J622" s="897"/>
      <c r="K622" s="897"/>
      <c r="L622" s="898"/>
      <c r="M622" s="898"/>
      <c r="N622" s="898"/>
      <c r="O622" s="898"/>
      <c r="P622" s="898"/>
      <c r="Q622" s="898"/>
      <c r="R622" s="898"/>
      <c r="S622" s="898"/>
      <c r="T622" s="898"/>
      <c r="U622" s="898"/>
      <c r="V622" s="898"/>
      <c r="W622" s="898"/>
      <c r="X622" s="898"/>
      <c r="Y622" s="898"/>
      <c r="Z622" s="898"/>
      <c r="AA622" s="898"/>
      <c r="AB622" s="898"/>
      <c r="AC622" s="898"/>
      <c r="AD622" s="898"/>
      <c r="AE622" s="898"/>
      <c r="AF622" s="898"/>
      <c r="AG622" s="898"/>
      <c r="AH622" s="898"/>
      <c r="AI622" s="898"/>
      <c r="AJ622" s="898"/>
      <c r="AK622" s="898"/>
      <c r="AL622" s="898"/>
      <c r="AM622" s="897"/>
      <c r="AN622" s="897"/>
      <c r="AO622" s="897"/>
      <c r="AP622" s="897"/>
      <c r="AQ622" s="897"/>
      <c r="AR622" s="897"/>
      <c r="AS622" s="897"/>
      <c r="AT622" s="897"/>
    </row>
    <row r="623" spans="1:46" s="930" customFormat="1">
      <c r="A623" s="892"/>
      <c r="B623" s="899"/>
      <c r="C623" s="900"/>
      <c r="D623" s="894"/>
      <c r="E623" s="936"/>
      <c r="F623" s="905"/>
      <c r="G623" s="896"/>
      <c r="H623" s="897"/>
      <c r="I623" s="897"/>
      <c r="J623" s="897"/>
      <c r="K623" s="897"/>
      <c r="L623" s="898"/>
      <c r="M623" s="898"/>
      <c r="N623" s="898"/>
      <c r="O623" s="898"/>
      <c r="P623" s="898"/>
      <c r="Q623" s="898"/>
      <c r="R623" s="898"/>
      <c r="S623" s="898"/>
      <c r="T623" s="898"/>
      <c r="U623" s="898"/>
      <c r="V623" s="898"/>
      <c r="W623" s="898"/>
      <c r="X623" s="898"/>
      <c r="Y623" s="898"/>
      <c r="Z623" s="898"/>
      <c r="AA623" s="898"/>
      <c r="AB623" s="898"/>
      <c r="AC623" s="898"/>
      <c r="AD623" s="898"/>
      <c r="AE623" s="898"/>
      <c r="AF623" s="898"/>
      <c r="AG623" s="898"/>
      <c r="AH623" s="898"/>
      <c r="AI623" s="898"/>
      <c r="AJ623" s="898"/>
      <c r="AK623" s="898"/>
      <c r="AL623" s="898"/>
      <c r="AM623" s="897"/>
      <c r="AN623" s="897"/>
      <c r="AO623" s="897"/>
      <c r="AP623" s="897"/>
      <c r="AQ623" s="897"/>
      <c r="AR623" s="897"/>
      <c r="AS623" s="897"/>
      <c r="AT623" s="897"/>
    </row>
    <row r="624" spans="1:46" s="930" customFormat="1">
      <c r="A624" s="892"/>
      <c r="B624" s="899"/>
      <c r="C624" s="900"/>
      <c r="D624" s="894"/>
      <c r="E624" s="936"/>
      <c r="F624" s="905"/>
      <c r="G624" s="896"/>
      <c r="H624" s="897"/>
      <c r="I624" s="897"/>
      <c r="J624" s="897"/>
      <c r="K624" s="897"/>
      <c r="L624" s="898"/>
      <c r="M624" s="898"/>
      <c r="N624" s="898"/>
      <c r="O624" s="898"/>
      <c r="P624" s="898"/>
      <c r="Q624" s="898"/>
      <c r="R624" s="898"/>
      <c r="S624" s="898"/>
      <c r="T624" s="898"/>
      <c r="U624" s="898"/>
      <c r="V624" s="898"/>
      <c r="W624" s="898"/>
      <c r="X624" s="898"/>
      <c r="Y624" s="898"/>
      <c r="Z624" s="898"/>
      <c r="AA624" s="898"/>
      <c r="AB624" s="898"/>
      <c r="AC624" s="898"/>
      <c r="AD624" s="898"/>
      <c r="AE624" s="898"/>
      <c r="AF624" s="898"/>
      <c r="AG624" s="898"/>
      <c r="AH624" s="898"/>
      <c r="AI624" s="898"/>
      <c r="AJ624" s="898"/>
      <c r="AK624" s="898"/>
      <c r="AL624" s="898"/>
      <c r="AM624" s="897"/>
      <c r="AN624" s="897"/>
      <c r="AO624" s="897"/>
      <c r="AP624" s="897"/>
      <c r="AQ624" s="897"/>
      <c r="AR624" s="897"/>
      <c r="AS624" s="897"/>
      <c r="AT624" s="897"/>
    </row>
    <row r="625" spans="1:46" s="930" customFormat="1">
      <c r="A625" s="892"/>
      <c r="B625" s="899"/>
      <c r="C625" s="900"/>
      <c r="D625" s="894"/>
      <c r="E625" s="936"/>
      <c r="F625" s="905"/>
      <c r="G625" s="896"/>
      <c r="H625" s="897"/>
      <c r="I625" s="897"/>
      <c r="J625" s="897"/>
      <c r="K625" s="897"/>
      <c r="L625" s="898"/>
      <c r="M625" s="898"/>
      <c r="N625" s="898"/>
      <c r="O625" s="898"/>
      <c r="P625" s="898"/>
      <c r="Q625" s="898"/>
      <c r="R625" s="898"/>
      <c r="S625" s="898"/>
      <c r="T625" s="898"/>
      <c r="U625" s="898"/>
      <c r="V625" s="898"/>
      <c r="W625" s="898"/>
      <c r="X625" s="898"/>
      <c r="Y625" s="898"/>
      <c r="Z625" s="898"/>
      <c r="AA625" s="898"/>
      <c r="AB625" s="898"/>
      <c r="AC625" s="898"/>
      <c r="AD625" s="898"/>
      <c r="AE625" s="898"/>
      <c r="AF625" s="898"/>
      <c r="AG625" s="898"/>
      <c r="AH625" s="898"/>
      <c r="AI625" s="898"/>
      <c r="AJ625" s="898"/>
      <c r="AK625" s="898"/>
      <c r="AL625" s="898"/>
      <c r="AM625" s="897"/>
      <c r="AN625" s="897"/>
      <c r="AO625" s="897"/>
      <c r="AP625" s="897"/>
      <c r="AQ625" s="897"/>
      <c r="AR625" s="897"/>
      <c r="AS625" s="897"/>
      <c r="AT625" s="897"/>
    </row>
    <row r="626" spans="1:46" s="930" customFormat="1">
      <c r="A626" s="892"/>
      <c r="B626" s="899"/>
      <c r="C626" s="900"/>
      <c r="D626" s="894"/>
      <c r="E626" s="936"/>
      <c r="F626" s="905"/>
      <c r="G626" s="896"/>
      <c r="H626" s="897"/>
      <c r="I626" s="897"/>
      <c r="J626" s="897"/>
      <c r="K626" s="897"/>
      <c r="L626" s="898"/>
      <c r="M626" s="898"/>
      <c r="N626" s="898"/>
      <c r="O626" s="898"/>
      <c r="P626" s="898"/>
      <c r="Q626" s="898"/>
      <c r="R626" s="898"/>
      <c r="S626" s="898"/>
      <c r="T626" s="898"/>
      <c r="U626" s="898"/>
      <c r="V626" s="898"/>
      <c r="W626" s="898"/>
      <c r="X626" s="898"/>
      <c r="Y626" s="898"/>
      <c r="Z626" s="898"/>
      <c r="AA626" s="898"/>
      <c r="AB626" s="898"/>
      <c r="AC626" s="898"/>
      <c r="AD626" s="898"/>
      <c r="AE626" s="898"/>
      <c r="AF626" s="898"/>
      <c r="AG626" s="898"/>
      <c r="AH626" s="898"/>
      <c r="AI626" s="898"/>
      <c r="AJ626" s="898"/>
      <c r="AK626" s="898"/>
      <c r="AL626" s="898"/>
      <c r="AM626" s="897"/>
      <c r="AN626" s="897"/>
      <c r="AO626" s="897"/>
      <c r="AP626" s="897"/>
      <c r="AQ626" s="897"/>
      <c r="AR626" s="897"/>
      <c r="AS626" s="897"/>
      <c r="AT626" s="897"/>
    </row>
    <row r="627" spans="1:46" s="930" customFormat="1">
      <c r="A627" s="892"/>
      <c r="B627" s="899"/>
      <c r="C627" s="900"/>
      <c r="D627" s="894"/>
      <c r="E627" s="936"/>
      <c r="F627" s="905"/>
      <c r="G627" s="896"/>
      <c r="H627" s="897"/>
      <c r="I627" s="897"/>
      <c r="J627" s="897"/>
      <c r="K627" s="897"/>
      <c r="L627" s="898"/>
      <c r="M627" s="898"/>
      <c r="N627" s="898"/>
      <c r="O627" s="898"/>
      <c r="P627" s="898"/>
      <c r="Q627" s="898"/>
      <c r="R627" s="898"/>
      <c r="S627" s="898"/>
      <c r="T627" s="898"/>
      <c r="U627" s="898"/>
      <c r="V627" s="898"/>
      <c r="W627" s="898"/>
      <c r="X627" s="898"/>
      <c r="Y627" s="898"/>
      <c r="Z627" s="898"/>
      <c r="AA627" s="898"/>
      <c r="AB627" s="898"/>
      <c r="AC627" s="898"/>
      <c r="AD627" s="898"/>
      <c r="AE627" s="898"/>
      <c r="AF627" s="898"/>
      <c r="AG627" s="898"/>
      <c r="AH627" s="898"/>
      <c r="AI627" s="898"/>
      <c r="AJ627" s="898"/>
      <c r="AK627" s="898"/>
      <c r="AL627" s="898"/>
      <c r="AM627" s="897"/>
      <c r="AN627" s="897"/>
      <c r="AO627" s="897"/>
      <c r="AP627" s="897"/>
      <c r="AQ627" s="897"/>
      <c r="AR627" s="897"/>
      <c r="AS627" s="897"/>
      <c r="AT627" s="897"/>
    </row>
    <row r="628" spans="1:46" s="930" customFormat="1">
      <c r="A628" s="892"/>
      <c r="B628" s="899"/>
      <c r="C628" s="900"/>
      <c r="D628" s="894"/>
      <c r="E628" s="936"/>
      <c r="F628" s="905"/>
      <c r="G628" s="896"/>
      <c r="H628" s="897"/>
      <c r="I628" s="897"/>
      <c r="J628" s="897"/>
      <c r="K628" s="897"/>
      <c r="L628" s="898"/>
      <c r="M628" s="898"/>
      <c r="N628" s="898"/>
      <c r="O628" s="898"/>
      <c r="P628" s="898"/>
      <c r="Q628" s="898"/>
      <c r="R628" s="898"/>
      <c r="S628" s="898"/>
      <c r="T628" s="898"/>
      <c r="U628" s="898"/>
      <c r="V628" s="898"/>
      <c r="W628" s="898"/>
      <c r="X628" s="898"/>
      <c r="Y628" s="898"/>
      <c r="Z628" s="898"/>
      <c r="AA628" s="898"/>
      <c r="AB628" s="898"/>
      <c r="AC628" s="898"/>
      <c r="AD628" s="898"/>
      <c r="AE628" s="898"/>
      <c r="AF628" s="898"/>
      <c r="AG628" s="898"/>
      <c r="AH628" s="898"/>
      <c r="AI628" s="898"/>
      <c r="AJ628" s="898"/>
      <c r="AK628" s="898"/>
      <c r="AL628" s="898"/>
      <c r="AM628" s="897"/>
      <c r="AN628" s="897"/>
      <c r="AO628" s="897"/>
      <c r="AP628" s="897"/>
      <c r="AQ628" s="897"/>
      <c r="AR628" s="897"/>
      <c r="AS628" s="897"/>
      <c r="AT628" s="897"/>
    </row>
    <row r="629" spans="1:46" s="930" customFormat="1">
      <c r="A629" s="892"/>
      <c r="B629" s="899"/>
      <c r="C629" s="900"/>
      <c r="D629" s="894"/>
      <c r="E629" s="936"/>
      <c r="F629" s="905"/>
      <c r="G629" s="896"/>
      <c r="H629" s="897"/>
      <c r="I629" s="897"/>
      <c r="J629" s="897"/>
      <c r="K629" s="897"/>
      <c r="L629" s="898"/>
      <c r="M629" s="898"/>
      <c r="N629" s="898"/>
      <c r="O629" s="898"/>
      <c r="P629" s="898"/>
      <c r="Q629" s="898"/>
      <c r="R629" s="898"/>
      <c r="S629" s="898"/>
      <c r="T629" s="898"/>
      <c r="U629" s="898"/>
      <c r="V629" s="898"/>
      <c r="W629" s="898"/>
      <c r="X629" s="898"/>
      <c r="Y629" s="898"/>
      <c r="Z629" s="898"/>
      <c r="AA629" s="898"/>
      <c r="AB629" s="898"/>
      <c r="AC629" s="898"/>
      <c r="AD629" s="898"/>
      <c r="AE629" s="898"/>
      <c r="AF629" s="898"/>
      <c r="AG629" s="898"/>
      <c r="AH629" s="898"/>
      <c r="AI629" s="898"/>
      <c r="AJ629" s="898"/>
      <c r="AK629" s="898"/>
      <c r="AL629" s="898"/>
      <c r="AM629" s="897"/>
      <c r="AN629" s="897"/>
      <c r="AO629" s="897"/>
      <c r="AP629" s="897"/>
      <c r="AQ629" s="897"/>
      <c r="AR629" s="897"/>
      <c r="AS629" s="897"/>
      <c r="AT629" s="897"/>
    </row>
    <row r="630" spans="1:46" s="930" customFormat="1">
      <c r="A630" s="892"/>
      <c r="B630" s="899"/>
      <c r="C630" s="900"/>
      <c r="D630" s="894"/>
      <c r="E630" s="936"/>
      <c r="F630" s="905"/>
      <c r="G630" s="896"/>
      <c r="H630" s="897"/>
      <c r="I630" s="897"/>
      <c r="J630" s="897"/>
      <c r="K630" s="897"/>
      <c r="L630" s="898"/>
      <c r="M630" s="898"/>
      <c r="N630" s="898"/>
      <c r="O630" s="898"/>
      <c r="P630" s="898"/>
      <c r="Q630" s="898"/>
      <c r="R630" s="898"/>
      <c r="S630" s="898"/>
      <c r="T630" s="898"/>
      <c r="U630" s="898"/>
      <c r="V630" s="898"/>
      <c r="W630" s="898"/>
      <c r="X630" s="898"/>
      <c r="Y630" s="898"/>
      <c r="Z630" s="898"/>
      <c r="AA630" s="898"/>
      <c r="AB630" s="898"/>
      <c r="AC630" s="898"/>
      <c r="AD630" s="898"/>
      <c r="AE630" s="898"/>
      <c r="AF630" s="898"/>
      <c r="AG630" s="898"/>
      <c r="AH630" s="898"/>
      <c r="AI630" s="898"/>
      <c r="AJ630" s="898"/>
      <c r="AK630" s="898"/>
      <c r="AL630" s="898"/>
      <c r="AM630" s="897"/>
      <c r="AN630" s="897"/>
      <c r="AO630" s="897"/>
      <c r="AP630" s="897"/>
      <c r="AQ630" s="897"/>
      <c r="AR630" s="897"/>
      <c r="AS630" s="897"/>
      <c r="AT630" s="897"/>
    </row>
    <row r="631" spans="1:46" s="930" customFormat="1">
      <c r="A631" s="892"/>
      <c r="B631" s="899"/>
      <c r="C631" s="900"/>
      <c r="D631" s="894"/>
      <c r="E631" s="936"/>
      <c r="F631" s="905"/>
      <c r="G631" s="896"/>
      <c r="H631" s="897"/>
      <c r="I631" s="897"/>
      <c r="J631" s="897"/>
      <c r="K631" s="897"/>
      <c r="L631" s="898"/>
      <c r="M631" s="898"/>
      <c r="N631" s="898"/>
      <c r="O631" s="898"/>
      <c r="P631" s="898"/>
      <c r="Q631" s="898"/>
      <c r="R631" s="898"/>
      <c r="S631" s="898"/>
      <c r="T631" s="898"/>
      <c r="U631" s="898"/>
      <c r="V631" s="898"/>
      <c r="W631" s="898"/>
      <c r="X631" s="898"/>
      <c r="Y631" s="898"/>
      <c r="Z631" s="898"/>
      <c r="AA631" s="898"/>
      <c r="AB631" s="898"/>
      <c r="AC631" s="898"/>
      <c r="AD631" s="898"/>
      <c r="AE631" s="898"/>
      <c r="AF631" s="898"/>
      <c r="AG631" s="898"/>
      <c r="AH631" s="898"/>
      <c r="AI631" s="898"/>
      <c r="AJ631" s="898"/>
      <c r="AK631" s="898"/>
      <c r="AL631" s="898"/>
      <c r="AM631" s="897"/>
      <c r="AN631" s="897"/>
      <c r="AO631" s="897"/>
      <c r="AP631" s="897"/>
      <c r="AQ631" s="897"/>
      <c r="AR631" s="897"/>
      <c r="AS631" s="897"/>
      <c r="AT631" s="897"/>
    </row>
    <row r="632" spans="1:46" s="930" customFormat="1">
      <c r="A632" s="892"/>
      <c r="B632" s="899"/>
      <c r="C632" s="900"/>
      <c r="D632" s="894"/>
      <c r="E632" s="936"/>
      <c r="F632" s="905"/>
      <c r="G632" s="896"/>
      <c r="H632" s="897"/>
      <c r="I632" s="897"/>
      <c r="J632" s="897"/>
      <c r="K632" s="897"/>
      <c r="L632" s="898"/>
      <c r="M632" s="898"/>
      <c r="N632" s="898"/>
      <c r="O632" s="898"/>
      <c r="P632" s="898"/>
      <c r="Q632" s="898"/>
      <c r="R632" s="898"/>
      <c r="S632" s="898"/>
      <c r="T632" s="898"/>
      <c r="U632" s="898"/>
      <c r="V632" s="898"/>
      <c r="W632" s="898"/>
      <c r="X632" s="898"/>
      <c r="Y632" s="898"/>
      <c r="Z632" s="898"/>
      <c r="AA632" s="898"/>
      <c r="AB632" s="898"/>
      <c r="AC632" s="898"/>
      <c r="AD632" s="898"/>
      <c r="AE632" s="898"/>
      <c r="AF632" s="898"/>
      <c r="AG632" s="898"/>
      <c r="AH632" s="898"/>
      <c r="AI632" s="898"/>
      <c r="AJ632" s="898"/>
      <c r="AK632" s="898"/>
      <c r="AL632" s="898"/>
      <c r="AM632" s="897"/>
      <c r="AN632" s="897"/>
      <c r="AO632" s="897"/>
      <c r="AP632" s="897"/>
      <c r="AQ632" s="897"/>
      <c r="AR632" s="897"/>
      <c r="AS632" s="897"/>
      <c r="AT632" s="897"/>
    </row>
    <row r="633" spans="1:46" s="930" customFormat="1">
      <c r="A633" s="892"/>
      <c r="B633" s="899"/>
      <c r="C633" s="900"/>
      <c r="D633" s="894"/>
      <c r="E633" s="936"/>
      <c r="F633" s="905"/>
      <c r="G633" s="896"/>
      <c r="H633" s="897"/>
      <c r="I633" s="897"/>
      <c r="J633" s="897"/>
      <c r="K633" s="897"/>
      <c r="L633" s="898"/>
      <c r="M633" s="898"/>
      <c r="N633" s="898"/>
      <c r="O633" s="898"/>
      <c r="P633" s="898"/>
      <c r="Q633" s="898"/>
      <c r="R633" s="898"/>
      <c r="S633" s="898"/>
      <c r="T633" s="898"/>
      <c r="U633" s="898"/>
      <c r="V633" s="898"/>
      <c r="W633" s="898"/>
      <c r="X633" s="898"/>
      <c r="Y633" s="898"/>
      <c r="Z633" s="898"/>
      <c r="AA633" s="898"/>
      <c r="AB633" s="898"/>
      <c r="AC633" s="898"/>
      <c r="AD633" s="898"/>
      <c r="AE633" s="898"/>
      <c r="AF633" s="898"/>
      <c r="AG633" s="898"/>
      <c r="AH633" s="898"/>
      <c r="AI633" s="898"/>
      <c r="AJ633" s="898"/>
      <c r="AK633" s="898"/>
      <c r="AL633" s="898"/>
      <c r="AM633" s="897"/>
      <c r="AN633" s="897"/>
      <c r="AO633" s="897"/>
      <c r="AP633" s="897"/>
      <c r="AQ633" s="897"/>
      <c r="AR633" s="897"/>
      <c r="AS633" s="897"/>
      <c r="AT633" s="897"/>
    </row>
    <row r="634" spans="1:46" s="930" customFormat="1">
      <c r="A634" s="892"/>
      <c r="B634" s="899"/>
      <c r="C634" s="900"/>
      <c r="D634" s="894"/>
      <c r="E634" s="936"/>
      <c r="F634" s="905"/>
      <c r="G634" s="896"/>
      <c r="H634" s="897"/>
      <c r="I634" s="897"/>
      <c r="J634" s="897"/>
      <c r="K634" s="897"/>
      <c r="L634" s="898"/>
      <c r="M634" s="898"/>
      <c r="N634" s="898"/>
      <c r="O634" s="898"/>
      <c r="P634" s="898"/>
      <c r="Q634" s="898"/>
      <c r="R634" s="898"/>
      <c r="S634" s="898"/>
      <c r="T634" s="898"/>
      <c r="U634" s="898"/>
      <c r="V634" s="898"/>
      <c r="W634" s="898"/>
      <c r="X634" s="898"/>
      <c r="Y634" s="898"/>
      <c r="Z634" s="898"/>
      <c r="AA634" s="898"/>
      <c r="AB634" s="898"/>
      <c r="AC634" s="898"/>
      <c r="AD634" s="898"/>
      <c r="AE634" s="898"/>
      <c r="AF634" s="898"/>
      <c r="AG634" s="898"/>
      <c r="AH634" s="898"/>
      <c r="AI634" s="898"/>
      <c r="AJ634" s="898"/>
      <c r="AK634" s="898"/>
      <c r="AL634" s="898"/>
      <c r="AM634" s="897"/>
      <c r="AN634" s="897"/>
      <c r="AO634" s="897"/>
      <c r="AP634" s="897"/>
      <c r="AQ634" s="897"/>
      <c r="AR634" s="897"/>
      <c r="AS634" s="897"/>
      <c r="AT634" s="897"/>
    </row>
    <row r="635" spans="1:46" s="930" customFormat="1">
      <c r="A635" s="892"/>
      <c r="B635" s="899"/>
      <c r="C635" s="900"/>
      <c r="D635" s="894"/>
      <c r="E635" s="936"/>
      <c r="F635" s="905"/>
      <c r="G635" s="896"/>
      <c r="H635" s="897"/>
      <c r="I635" s="897"/>
      <c r="J635" s="897"/>
      <c r="K635" s="897"/>
      <c r="L635" s="898"/>
      <c r="M635" s="898"/>
      <c r="N635" s="898"/>
      <c r="O635" s="898"/>
      <c r="P635" s="898"/>
      <c r="Q635" s="898"/>
      <c r="R635" s="898"/>
      <c r="S635" s="898"/>
      <c r="T635" s="898"/>
      <c r="U635" s="898"/>
      <c r="V635" s="898"/>
      <c r="W635" s="898"/>
      <c r="X635" s="898"/>
      <c r="Y635" s="898"/>
      <c r="Z635" s="898"/>
      <c r="AA635" s="898"/>
      <c r="AB635" s="898"/>
      <c r="AC635" s="898"/>
      <c r="AD635" s="898"/>
      <c r="AE635" s="898"/>
      <c r="AF635" s="898"/>
      <c r="AG635" s="898"/>
      <c r="AH635" s="898"/>
      <c r="AI635" s="898"/>
      <c r="AJ635" s="898"/>
      <c r="AK635" s="898"/>
      <c r="AL635" s="898"/>
      <c r="AM635" s="897"/>
      <c r="AN635" s="897"/>
      <c r="AO635" s="897"/>
      <c r="AP635" s="897"/>
      <c r="AQ635" s="897"/>
      <c r="AR635" s="897"/>
      <c r="AS635" s="897"/>
      <c r="AT635" s="897"/>
    </row>
    <row r="636" spans="1:46" s="930" customFormat="1">
      <c r="A636" s="892"/>
      <c r="B636" s="899"/>
      <c r="C636" s="900"/>
      <c r="D636" s="894"/>
      <c r="E636" s="936"/>
      <c r="F636" s="905"/>
      <c r="G636" s="896"/>
      <c r="H636" s="897"/>
      <c r="I636" s="897"/>
      <c r="J636" s="897"/>
      <c r="K636" s="897"/>
      <c r="L636" s="898"/>
      <c r="M636" s="898"/>
      <c r="N636" s="898"/>
      <c r="O636" s="898"/>
      <c r="P636" s="898"/>
      <c r="Q636" s="898"/>
      <c r="R636" s="898"/>
      <c r="S636" s="898"/>
      <c r="T636" s="898"/>
      <c r="U636" s="898"/>
      <c r="V636" s="898"/>
      <c r="W636" s="898"/>
      <c r="X636" s="898"/>
      <c r="Y636" s="898"/>
      <c r="Z636" s="898"/>
      <c r="AA636" s="898"/>
      <c r="AB636" s="898"/>
      <c r="AC636" s="898"/>
      <c r="AD636" s="898"/>
      <c r="AE636" s="898"/>
      <c r="AF636" s="898"/>
      <c r="AG636" s="898"/>
      <c r="AH636" s="898"/>
      <c r="AI636" s="898"/>
      <c r="AJ636" s="898"/>
      <c r="AK636" s="898"/>
      <c r="AL636" s="898"/>
      <c r="AM636" s="897"/>
      <c r="AN636" s="897"/>
      <c r="AO636" s="897"/>
      <c r="AP636" s="897"/>
      <c r="AQ636" s="897"/>
      <c r="AR636" s="897"/>
      <c r="AS636" s="897"/>
      <c r="AT636" s="897"/>
    </row>
    <row r="637" spans="1:46" s="930" customFormat="1">
      <c r="A637" s="892"/>
      <c r="B637" s="899"/>
      <c r="C637" s="900"/>
      <c r="D637" s="894"/>
      <c r="E637" s="936"/>
      <c r="F637" s="905"/>
      <c r="G637" s="896"/>
      <c r="H637" s="897"/>
      <c r="I637" s="897"/>
      <c r="J637" s="897"/>
      <c r="K637" s="897"/>
      <c r="L637" s="898"/>
      <c r="M637" s="898"/>
      <c r="N637" s="898"/>
      <c r="O637" s="898"/>
      <c r="P637" s="898"/>
      <c r="Q637" s="898"/>
      <c r="R637" s="898"/>
      <c r="S637" s="898"/>
      <c r="T637" s="898"/>
      <c r="U637" s="898"/>
      <c r="V637" s="898"/>
      <c r="W637" s="898"/>
      <c r="X637" s="898"/>
      <c r="Y637" s="898"/>
      <c r="Z637" s="898"/>
      <c r="AA637" s="898"/>
      <c r="AB637" s="898"/>
      <c r="AC637" s="898"/>
      <c r="AD637" s="898"/>
      <c r="AE637" s="898"/>
      <c r="AF637" s="898"/>
      <c r="AG637" s="898"/>
      <c r="AH637" s="898"/>
      <c r="AI637" s="898"/>
      <c r="AJ637" s="898"/>
      <c r="AK637" s="898"/>
      <c r="AL637" s="898"/>
      <c r="AM637" s="897"/>
      <c r="AN637" s="897"/>
      <c r="AO637" s="897"/>
      <c r="AP637" s="897"/>
      <c r="AQ637" s="897"/>
      <c r="AR637" s="897"/>
      <c r="AS637" s="897"/>
      <c r="AT637" s="897"/>
    </row>
    <row r="638" spans="1:46" s="930" customFormat="1">
      <c r="A638" s="892"/>
      <c r="B638" s="899"/>
      <c r="C638" s="900"/>
      <c r="D638" s="894"/>
      <c r="E638" s="936"/>
      <c r="F638" s="905"/>
      <c r="G638" s="896"/>
      <c r="H638" s="897"/>
      <c r="I638" s="897"/>
      <c r="J638" s="897"/>
      <c r="K638" s="897"/>
      <c r="L638" s="898"/>
      <c r="M638" s="898"/>
      <c r="N638" s="898"/>
      <c r="O638" s="898"/>
      <c r="P638" s="898"/>
      <c r="Q638" s="898"/>
      <c r="R638" s="898"/>
      <c r="S638" s="898"/>
      <c r="T638" s="898"/>
      <c r="U638" s="898"/>
      <c r="V638" s="898"/>
      <c r="W638" s="898"/>
      <c r="X638" s="898"/>
      <c r="Y638" s="898"/>
      <c r="Z638" s="898"/>
      <c r="AA638" s="898"/>
      <c r="AB638" s="898"/>
      <c r="AC638" s="898"/>
      <c r="AD638" s="898"/>
      <c r="AE638" s="898"/>
      <c r="AF638" s="898"/>
      <c r="AG638" s="898"/>
      <c r="AH638" s="898"/>
      <c r="AI638" s="898"/>
      <c r="AJ638" s="898"/>
      <c r="AK638" s="898"/>
      <c r="AL638" s="898"/>
      <c r="AM638" s="897"/>
      <c r="AN638" s="897"/>
      <c r="AO638" s="897"/>
      <c r="AP638" s="897"/>
      <c r="AQ638" s="897"/>
      <c r="AR638" s="897"/>
      <c r="AS638" s="897"/>
      <c r="AT638" s="897"/>
    </row>
    <row r="639" spans="1:46" s="930" customFormat="1">
      <c r="A639" s="892"/>
      <c r="B639" s="899"/>
      <c r="C639" s="900"/>
      <c r="D639" s="894"/>
      <c r="E639" s="936"/>
      <c r="F639" s="905"/>
      <c r="G639" s="896"/>
      <c r="H639" s="897"/>
      <c r="I639" s="897"/>
      <c r="J639" s="897"/>
      <c r="K639" s="897"/>
      <c r="L639" s="898"/>
      <c r="M639" s="898"/>
      <c r="N639" s="898"/>
      <c r="O639" s="898"/>
      <c r="P639" s="898"/>
      <c r="Q639" s="898"/>
      <c r="R639" s="898"/>
      <c r="S639" s="898"/>
      <c r="T639" s="898"/>
      <c r="U639" s="898"/>
      <c r="V639" s="898"/>
      <c r="W639" s="898"/>
      <c r="X639" s="898"/>
      <c r="Y639" s="898"/>
      <c r="Z639" s="898"/>
      <c r="AA639" s="898"/>
      <c r="AB639" s="898"/>
      <c r="AC639" s="898"/>
      <c r="AD639" s="898"/>
      <c r="AE639" s="898"/>
      <c r="AF639" s="898"/>
      <c r="AG639" s="898"/>
      <c r="AH639" s="898"/>
      <c r="AI639" s="898"/>
      <c r="AJ639" s="898"/>
      <c r="AK639" s="898"/>
      <c r="AL639" s="898"/>
      <c r="AM639" s="897"/>
      <c r="AN639" s="897"/>
      <c r="AO639" s="897"/>
      <c r="AP639" s="897"/>
      <c r="AQ639" s="897"/>
      <c r="AR639" s="897"/>
      <c r="AS639" s="897"/>
      <c r="AT639" s="897"/>
    </row>
    <row r="640" spans="1:46" s="930" customFormat="1">
      <c r="A640" s="892"/>
      <c r="B640" s="899"/>
      <c r="C640" s="900"/>
      <c r="D640" s="894"/>
      <c r="E640" s="936"/>
      <c r="F640" s="905"/>
      <c r="G640" s="896"/>
      <c r="H640" s="897"/>
      <c r="I640" s="897"/>
      <c r="J640" s="897"/>
      <c r="K640" s="897"/>
      <c r="L640" s="898"/>
      <c r="M640" s="898"/>
      <c r="N640" s="898"/>
      <c r="O640" s="898"/>
      <c r="P640" s="898"/>
      <c r="Q640" s="898"/>
      <c r="R640" s="898"/>
      <c r="S640" s="898"/>
      <c r="T640" s="898"/>
      <c r="U640" s="898"/>
      <c r="V640" s="898"/>
      <c r="W640" s="898"/>
      <c r="X640" s="898"/>
      <c r="Y640" s="898"/>
      <c r="Z640" s="898"/>
      <c r="AA640" s="898"/>
      <c r="AB640" s="898"/>
      <c r="AC640" s="898"/>
      <c r="AD640" s="898"/>
      <c r="AE640" s="898"/>
      <c r="AF640" s="898"/>
      <c r="AG640" s="898"/>
      <c r="AH640" s="898"/>
      <c r="AI640" s="898"/>
      <c r="AJ640" s="898"/>
      <c r="AK640" s="898"/>
      <c r="AL640" s="898"/>
      <c r="AM640" s="897"/>
      <c r="AN640" s="897"/>
      <c r="AO640" s="897"/>
      <c r="AP640" s="897"/>
      <c r="AQ640" s="897"/>
      <c r="AR640" s="897"/>
      <c r="AS640" s="897"/>
      <c r="AT640" s="897"/>
    </row>
    <row r="641" spans="1:46" s="930" customFormat="1">
      <c r="A641" s="892"/>
      <c r="B641" s="899"/>
      <c r="C641" s="900"/>
      <c r="D641" s="894"/>
      <c r="E641" s="936"/>
      <c r="F641" s="905"/>
      <c r="G641" s="896"/>
      <c r="H641" s="897"/>
      <c r="I641" s="897"/>
      <c r="J641" s="897"/>
      <c r="K641" s="897"/>
      <c r="L641" s="898"/>
      <c r="M641" s="898"/>
      <c r="N641" s="898"/>
      <c r="O641" s="898"/>
      <c r="P641" s="898"/>
      <c r="Q641" s="898"/>
      <c r="R641" s="898"/>
      <c r="S641" s="898"/>
      <c r="T641" s="898"/>
      <c r="U641" s="898"/>
      <c r="V641" s="898"/>
      <c r="W641" s="898"/>
      <c r="X641" s="898"/>
      <c r="Y641" s="898"/>
      <c r="Z641" s="898"/>
      <c r="AA641" s="898"/>
      <c r="AB641" s="898"/>
      <c r="AC641" s="898"/>
      <c r="AD641" s="898"/>
      <c r="AE641" s="898"/>
      <c r="AF641" s="898"/>
      <c r="AG641" s="898"/>
      <c r="AH641" s="898"/>
      <c r="AI641" s="898"/>
      <c r="AJ641" s="898"/>
      <c r="AK641" s="898"/>
      <c r="AL641" s="898"/>
      <c r="AM641" s="897"/>
      <c r="AN641" s="897"/>
      <c r="AO641" s="897"/>
      <c r="AP641" s="897"/>
      <c r="AQ641" s="897"/>
      <c r="AR641" s="897"/>
      <c r="AS641" s="897"/>
      <c r="AT641" s="897"/>
    </row>
    <row r="642" spans="1:46" s="930" customFormat="1">
      <c r="A642" s="892"/>
      <c r="B642" s="899"/>
      <c r="C642" s="900"/>
      <c r="D642" s="894"/>
      <c r="E642" s="936"/>
      <c r="F642" s="905"/>
      <c r="G642" s="896"/>
      <c r="H642" s="897"/>
      <c r="I642" s="897"/>
      <c r="J642" s="897"/>
      <c r="K642" s="897"/>
      <c r="L642" s="898"/>
      <c r="M642" s="898"/>
      <c r="N642" s="898"/>
      <c r="O642" s="898"/>
      <c r="P642" s="898"/>
      <c r="Q642" s="898"/>
      <c r="R642" s="898"/>
      <c r="S642" s="898"/>
      <c r="T642" s="898"/>
      <c r="U642" s="898"/>
      <c r="V642" s="898"/>
      <c r="W642" s="898"/>
      <c r="X642" s="898"/>
      <c r="Y642" s="898"/>
      <c r="Z642" s="898"/>
      <c r="AA642" s="898"/>
      <c r="AB642" s="898"/>
      <c r="AC642" s="898"/>
      <c r="AD642" s="898"/>
      <c r="AE642" s="898"/>
      <c r="AF642" s="898"/>
      <c r="AG642" s="898"/>
      <c r="AH642" s="898"/>
      <c r="AI642" s="898"/>
      <c r="AJ642" s="898"/>
      <c r="AK642" s="898"/>
      <c r="AL642" s="898"/>
      <c r="AM642" s="897"/>
      <c r="AN642" s="897"/>
      <c r="AO642" s="897"/>
      <c r="AP642" s="897"/>
      <c r="AQ642" s="897"/>
      <c r="AR642" s="897"/>
      <c r="AS642" s="897"/>
      <c r="AT642" s="897"/>
    </row>
    <row r="643" spans="1:46" s="930" customFormat="1">
      <c r="A643" s="892"/>
      <c r="B643" s="899"/>
      <c r="C643" s="900"/>
      <c r="D643" s="894"/>
      <c r="E643" s="936"/>
      <c r="F643" s="905"/>
      <c r="G643" s="896"/>
      <c r="H643" s="897"/>
      <c r="I643" s="897"/>
      <c r="J643" s="897"/>
      <c r="K643" s="897"/>
      <c r="L643" s="898"/>
      <c r="M643" s="898"/>
      <c r="N643" s="898"/>
      <c r="O643" s="898"/>
      <c r="P643" s="898"/>
      <c r="Q643" s="898"/>
      <c r="R643" s="898"/>
      <c r="S643" s="898"/>
      <c r="T643" s="898"/>
      <c r="U643" s="898"/>
      <c r="V643" s="898"/>
      <c r="W643" s="898"/>
      <c r="X643" s="898"/>
      <c r="Y643" s="898"/>
      <c r="Z643" s="898"/>
      <c r="AA643" s="898"/>
      <c r="AB643" s="898"/>
      <c r="AC643" s="898"/>
      <c r="AD643" s="898"/>
      <c r="AE643" s="898"/>
      <c r="AF643" s="898"/>
      <c r="AG643" s="898"/>
      <c r="AH643" s="898"/>
      <c r="AI643" s="898"/>
      <c r="AJ643" s="898"/>
      <c r="AK643" s="898"/>
      <c r="AL643" s="898"/>
      <c r="AM643" s="897"/>
      <c r="AN643" s="897"/>
      <c r="AO643" s="897"/>
      <c r="AP643" s="897"/>
      <c r="AQ643" s="897"/>
      <c r="AR643" s="897"/>
      <c r="AS643" s="897"/>
      <c r="AT643" s="897"/>
    </row>
    <row r="644" spans="1:46" s="930" customFormat="1">
      <c r="A644" s="892"/>
      <c r="B644" s="899"/>
      <c r="C644" s="900"/>
      <c r="D644" s="894"/>
      <c r="E644" s="936"/>
      <c r="F644" s="905"/>
      <c r="G644" s="896"/>
      <c r="H644" s="897"/>
      <c r="I644" s="897"/>
      <c r="J644" s="897"/>
      <c r="K644" s="897"/>
      <c r="L644" s="898"/>
      <c r="M644" s="898"/>
      <c r="N644" s="898"/>
      <c r="O644" s="898"/>
      <c r="P644" s="898"/>
      <c r="Q644" s="898"/>
      <c r="R644" s="898"/>
      <c r="S644" s="898"/>
      <c r="T644" s="898"/>
      <c r="U644" s="898"/>
      <c r="V644" s="898"/>
      <c r="W644" s="898"/>
      <c r="X644" s="898"/>
      <c r="Y644" s="898"/>
      <c r="Z644" s="898"/>
      <c r="AA644" s="898"/>
      <c r="AB644" s="898"/>
      <c r="AC644" s="898"/>
      <c r="AD644" s="898"/>
      <c r="AE644" s="898"/>
      <c r="AF644" s="898"/>
      <c r="AG644" s="898"/>
      <c r="AH644" s="898"/>
      <c r="AI644" s="898"/>
      <c r="AJ644" s="898"/>
      <c r="AK644" s="898"/>
      <c r="AL644" s="898"/>
      <c r="AM644" s="897"/>
      <c r="AN644" s="897"/>
      <c r="AO644" s="897"/>
      <c r="AP644" s="897"/>
      <c r="AQ644" s="897"/>
      <c r="AR644" s="897"/>
      <c r="AS644" s="897"/>
      <c r="AT644" s="897"/>
    </row>
    <row r="645" spans="1:46" s="930" customFormat="1">
      <c r="A645" s="892"/>
      <c r="B645" s="899"/>
      <c r="C645" s="900"/>
      <c r="D645" s="894"/>
      <c r="E645" s="936"/>
      <c r="F645" s="905"/>
      <c r="G645" s="896"/>
      <c r="H645" s="897"/>
      <c r="I645" s="897"/>
      <c r="J645" s="897"/>
      <c r="K645" s="897"/>
      <c r="L645" s="898"/>
      <c r="M645" s="898"/>
      <c r="N645" s="898"/>
      <c r="O645" s="898"/>
      <c r="P645" s="898"/>
      <c r="Q645" s="898"/>
      <c r="R645" s="898"/>
      <c r="S645" s="898"/>
      <c r="T645" s="898"/>
      <c r="U645" s="898"/>
      <c r="V645" s="898"/>
      <c r="W645" s="898"/>
      <c r="X645" s="898"/>
      <c r="Y645" s="898"/>
      <c r="Z645" s="898"/>
      <c r="AA645" s="898"/>
      <c r="AB645" s="898"/>
      <c r="AC645" s="898"/>
      <c r="AD645" s="898"/>
      <c r="AE645" s="898"/>
      <c r="AF645" s="898"/>
      <c r="AG645" s="898"/>
      <c r="AH645" s="898"/>
      <c r="AI645" s="898"/>
      <c r="AJ645" s="898"/>
      <c r="AK645" s="898"/>
      <c r="AL645" s="898"/>
      <c r="AM645" s="897"/>
      <c r="AN645" s="897"/>
      <c r="AO645" s="897"/>
      <c r="AP645" s="897"/>
      <c r="AQ645" s="897"/>
      <c r="AR645" s="897"/>
      <c r="AS645" s="897"/>
      <c r="AT645" s="897"/>
    </row>
    <row r="646" spans="1:46" s="930" customFormat="1">
      <c r="A646" s="892"/>
      <c r="B646" s="899"/>
      <c r="C646" s="900"/>
      <c r="D646" s="894"/>
      <c r="E646" s="936"/>
      <c r="F646" s="905"/>
      <c r="G646" s="896"/>
      <c r="H646" s="897"/>
      <c r="I646" s="897"/>
      <c r="J646" s="897"/>
      <c r="K646" s="897"/>
      <c r="L646" s="898"/>
      <c r="M646" s="898"/>
      <c r="N646" s="898"/>
      <c r="O646" s="898"/>
      <c r="P646" s="898"/>
      <c r="Q646" s="898"/>
      <c r="R646" s="898"/>
      <c r="S646" s="898"/>
      <c r="T646" s="898"/>
      <c r="U646" s="898"/>
      <c r="V646" s="898"/>
      <c r="W646" s="898"/>
      <c r="X646" s="898"/>
      <c r="Y646" s="898"/>
      <c r="Z646" s="898"/>
      <c r="AA646" s="898"/>
      <c r="AB646" s="898"/>
      <c r="AC646" s="898"/>
      <c r="AD646" s="898"/>
      <c r="AE646" s="898"/>
      <c r="AF646" s="898"/>
      <c r="AG646" s="898"/>
      <c r="AH646" s="898"/>
      <c r="AI646" s="898"/>
      <c r="AJ646" s="898"/>
      <c r="AK646" s="898"/>
      <c r="AL646" s="898"/>
      <c r="AM646" s="897"/>
      <c r="AN646" s="897"/>
      <c r="AO646" s="897"/>
      <c r="AP646" s="897"/>
      <c r="AQ646" s="897"/>
      <c r="AR646" s="897"/>
      <c r="AS646" s="897"/>
      <c r="AT646" s="897"/>
    </row>
    <row r="647" spans="1:46" s="930" customFormat="1">
      <c r="A647" s="892"/>
      <c r="B647" s="899"/>
      <c r="C647" s="900"/>
      <c r="D647" s="894"/>
      <c r="E647" s="936"/>
      <c r="F647" s="905"/>
      <c r="G647" s="896"/>
      <c r="H647" s="897"/>
      <c r="I647" s="897"/>
      <c r="J647" s="897"/>
      <c r="K647" s="897"/>
      <c r="L647" s="898"/>
      <c r="M647" s="898"/>
      <c r="N647" s="898"/>
      <c r="O647" s="898"/>
      <c r="P647" s="898"/>
      <c r="Q647" s="898"/>
      <c r="R647" s="898"/>
      <c r="S647" s="898"/>
      <c r="T647" s="898"/>
      <c r="U647" s="898"/>
      <c r="V647" s="898"/>
      <c r="W647" s="898"/>
      <c r="X647" s="898"/>
      <c r="Y647" s="898"/>
      <c r="Z647" s="898"/>
      <c r="AA647" s="898"/>
      <c r="AB647" s="898"/>
      <c r="AC647" s="898"/>
      <c r="AD647" s="898"/>
      <c r="AE647" s="898"/>
      <c r="AF647" s="898"/>
      <c r="AG647" s="898"/>
      <c r="AH647" s="898"/>
      <c r="AI647" s="898"/>
      <c r="AJ647" s="898"/>
      <c r="AK647" s="898"/>
      <c r="AL647" s="898"/>
      <c r="AM647" s="897"/>
      <c r="AN647" s="897"/>
      <c r="AO647" s="897"/>
      <c r="AP647" s="897"/>
      <c r="AQ647" s="897"/>
      <c r="AR647" s="897"/>
      <c r="AS647" s="897"/>
      <c r="AT647" s="897"/>
    </row>
    <row r="648" spans="1:46" s="930" customFormat="1">
      <c r="A648" s="892"/>
      <c r="B648" s="899"/>
      <c r="C648" s="900"/>
      <c r="D648" s="894"/>
      <c r="E648" s="936"/>
      <c r="F648" s="905"/>
      <c r="G648" s="896"/>
      <c r="H648" s="897"/>
      <c r="I648" s="897"/>
      <c r="J648" s="897"/>
      <c r="K648" s="897"/>
      <c r="L648" s="898"/>
      <c r="M648" s="898"/>
      <c r="N648" s="898"/>
      <c r="O648" s="898"/>
      <c r="P648" s="898"/>
      <c r="Q648" s="898"/>
      <c r="R648" s="898"/>
      <c r="S648" s="898"/>
      <c r="T648" s="898"/>
      <c r="U648" s="898"/>
      <c r="V648" s="898"/>
      <c r="W648" s="898"/>
      <c r="X648" s="898"/>
      <c r="Y648" s="898"/>
      <c r="Z648" s="898"/>
      <c r="AA648" s="898"/>
      <c r="AB648" s="898"/>
      <c r="AC648" s="898"/>
      <c r="AD648" s="898"/>
      <c r="AE648" s="898"/>
      <c r="AF648" s="898"/>
      <c r="AG648" s="898"/>
      <c r="AH648" s="898"/>
      <c r="AI648" s="898"/>
      <c r="AJ648" s="898"/>
      <c r="AK648" s="898"/>
      <c r="AL648" s="898"/>
      <c r="AM648" s="897"/>
      <c r="AN648" s="897"/>
      <c r="AO648" s="897"/>
      <c r="AP648" s="897"/>
      <c r="AQ648" s="897"/>
      <c r="AR648" s="897"/>
      <c r="AS648" s="897"/>
      <c r="AT648" s="897"/>
    </row>
    <row r="649" spans="1:46" s="930" customFormat="1">
      <c r="A649" s="892"/>
      <c r="B649" s="899"/>
      <c r="C649" s="900"/>
      <c r="D649" s="894"/>
      <c r="E649" s="936"/>
      <c r="F649" s="905"/>
      <c r="G649" s="896"/>
      <c r="H649" s="897"/>
      <c r="I649" s="897"/>
      <c r="J649" s="897"/>
      <c r="K649" s="897"/>
      <c r="L649" s="898"/>
      <c r="M649" s="898"/>
      <c r="N649" s="898"/>
      <c r="O649" s="898"/>
      <c r="P649" s="898"/>
      <c r="Q649" s="898"/>
      <c r="R649" s="898"/>
      <c r="S649" s="898"/>
      <c r="T649" s="898"/>
      <c r="U649" s="898"/>
      <c r="V649" s="898"/>
      <c r="W649" s="898"/>
      <c r="X649" s="898"/>
      <c r="Y649" s="898"/>
      <c r="Z649" s="898"/>
      <c r="AA649" s="898"/>
      <c r="AB649" s="898"/>
      <c r="AC649" s="898"/>
      <c r="AD649" s="898"/>
      <c r="AE649" s="898"/>
      <c r="AF649" s="898"/>
      <c r="AG649" s="898"/>
      <c r="AH649" s="898"/>
      <c r="AI649" s="898"/>
      <c r="AJ649" s="898"/>
      <c r="AK649" s="898"/>
      <c r="AL649" s="898"/>
      <c r="AM649" s="897"/>
      <c r="AN649" s="897"/>
      <c r="AO649" s="897"/>
      <c r="AP649" s="897"/>
      <c r="AQ649" s="897"/>
      <c r="AR649" s="897"/>
      <c r="AS649" s="897"/>
      <c r="AT649" s="897"/>
    </row>
    <row r="650" spans="1:46" s="930" customFormat="1">
      <c r="A650" s="892"/>
      <c r="B650" s="899"/>
      <c r="C650" s="900"/>
      <c r="D650" s="894"/>
      <c r="E650" s="936"/>
      <c r="F650" s="905"/>
      <c r="G650" s="896"/>
      <c r="H650" s="897"/>
      <c r="I650" s="897"/>
      <c r="J650" s="897"/>
      <c r="K650" s="897"/>
      <c r="L650" s="898"/>
      <c r="M650" s="898"/>
      <c r="N650" s="898"/>
      <c r="O650" s="898"/>
      <c r="P650" s="898"/>
      <c r="Q650" s="898"/>
      <c r="R650" s="898"/>
      <c r="S650" s="898"/>
      <c r="T650" s="898"/>
      <c r="U650" s="898"/>
      <c r="V650" s="898"/>
      <c r="W650" s="898"/>
      <c r="X650" s="898"/>
      <c r="Y650" s="898"/>
      <c r="Z650" s="898"/>
      <c r="AA650" s="898"/>
      <c r="AB650" s="898"/>
      <c r="AC650" s="898"/>
      <c r="AD650" s="898"/>
      <c r="AE650" s="898"/>
      <c r="AF650" s="898"/>
      <c r="AG650" s="898"/>
      <c r="AH650" s="898"/>
      <c r="AI650" s="898"/>
      <c r="AJ650" s="898"/>
      <c r="AK650" s="898"/>
      <c r="AL650" s="898"/>
      <c r="AM650" s="897"/>
      <c r="AN650" s="897"/>
      <c r="AO650" s="897"/>
      <c r="AP650" s="897"/>
      <c r="AQ650" s="897"/>
      <c r="AR650" s="897"/>
      <c r="AS650" s="897"/>
      <c r="AT650" s="897"/>
    </row>
    <row r="651" spans="1:46" s="930" customFormat="1">
      <c r="A651" s="892"/>
      <c r="B651" s="899"/>
      <c r="C651" s="900"/>
      <c r="D651" s="894"/>
      <c r="E651" s="936"/>
      <c r="F651" s="905"/>
      <c r="G651" s="896"/>
      <c r="H651" s="897"/>
      <c r="I651" s="897"/>
      <c r="J651" s="897"/>
      <c r="K651" s="897"/>
      <c r="L651" s="898"/>
      <c r="M651" s="898"/>
      <c r="N651" s="898"/>
      <c r="O651" s="898"/>
      <c r="P651" s="898"/>
      <c r="Q651" s="898"/>
      <c r="R651" s="898"/>
      <c r="S651" s="898"/>
      <c r="T651" s="898"/>
      <c r="U651" s="898"/>
      <c r="V651" s="898"/>
      <c r="W651" s="898"/>
      <c r="X651" s="898"/>
      <c r="Y651" s="898"/>
      <c r="Z651" s="898"/>
      <c r="AA651" s="898"/>
      <c r="AB651" s="898"/>
      <c r="AC651" s="898"/>
      <c r="AD651" s="898"/>
      <c r="AE651" s="898"/>
      <c r="AF651" s="898"/>
      <c r="AG651" s="898"/>
      <c r="AH651" s="898"/>
      <c r="AI651" s="898"/>
      <c r="AJ651" s="898"/>
      <c r="AK651" s="898"/>
      <c r="AL651" s="898"/>
      <c r="AM651" s="897"/>
      <c r="AN651" s="897"/>
      <c r="AO651" s="897"/>
      <c r="AP651" s="897"/>
      <c r="AQ651" s="897"/>
      <c r="AR651" s="897"/>
      <c r="AS651" s="897"/>
      <c r="AT651" s="897"/>
    </row>
    <row r="652" spans="1:46" s="930" customFormat="1">
      <c r="A652" s="892"/>
      <c r="B652" s="899"/>
      <c r="C652" s="900"/>
      <c r="D652" s="894"/>
      <c r="E652" s="936"/>
      <c r="F652" s="905"/>
      <c r="G652" s="896"/>
      <c r="H652" s="897"/>
      <c r="I652" s="897"/>
      <c r="J652" s="897"/>
      <c r="K652" s="897"/>
      <c r="L652" s="898"/>
      <c r="M652" s="898"/>
      <c r="N652" s="898"/>
      <c r="O652" s="898"/>
      <c r="P652" s="898"/>
      <c r="Q652" s="898"/>
      <c r="R652" s="898"/>
      <c r="S652" s="898"/>
      <c r="T652" s="898"/>
      <c r="U652" s="898"/>
      <c r="V652" s="898"/>
      <c r="W652" s="898"/>
      <c r="X652" s="898"/>
      <c r="Y652" s="898"/>
      <c r="Z652" s="898"/>
      <c r="AA652" s="898"/>
      <c r="AB652" s="898"/>
      <c r="AC652" s="898"/>
      <c r="AD652" s="898"/>
      <c r="AE652" s="898"/>
      <c r="AF652" s="898"/>
      <c r="AG652" s="898"/>
      <c r="AH652" s="898"/>
      <c r="AI652" s="898"/>
      <c r="AJ652" s="898"/>
      <c r="AK652" s="898"/>
      <c r="AL652" s="898"/>
      <c r="AM652" s="897"/>
      <c r="AN652" s="897"/>
      <c r="AO652" s="897"/>
      <c r="AP652" s="897"/>
      <c r="AQ652" s="897"/>
      <c r="AR652" s="897"/>
      <c r="AS652" s="897"/>
      <c r="AT652" s="897"/>
    </row>
    <row r="653" spans="1:46" s="930" customFormat="1">
      <c r="A653" s="892"/>
      <c r="B653" s="899"/>
      <c r="C653" s="900"/>
      <c r="D653" s="894"/>
      <c r="E653" s="936"/>
      <c r="F653" s="905"/>
      <c r="G653" s="896"/>
      <c r="H653" s="897"/>
      <c r="I653" s="897"/>
      <c r="J653" s="897"/>
      <c r="K653" s="897"/>
      <c r="L653" s="898"/>
      <c r="M653" s="898"/>
      <c r="N653" s="898"/>
      <c r="O653" s="898"/>
      <c r="P653" s="898"/>
      <c r="Q653" s="898"/>
      <c r="R653" s="898"/>
      <c r="S653" s="898"/>
      <c r="T653" s="898"/>
      <c r="U653" s="898"/>
      <c r="V653" s="898"/>
      <c r="W653" s="898"/>
      <c r="X653" s="898"/>
      <c r="Y653" s="898"/>
      <c r="Z653" s="898"/>
      <c r="AA653" s="898"/>
      <c r="AB653" s="898"/>
      <c r="AC653" s="898"/>
      <c r="AD653" s="898"/>
      <c r="AE653" s="898"/>
      <c r="AF653" s="898"/>
      <c r="AG653" s="898"/>
      <c r="AH653" s="898"/>
      <c r="AI653" s="898"/>
      <c r="AJ653" s="898"/>
      <c r="AK653" s="898"/>
      <c r="AL653" s="898"/>
      <c r="AM653" s="897"/>
      <c r="AN653" s="897"/>
      <c r="AO653" s="897"/>
      <c r="AP653" s="897"/>
      <c r="AQ653" s="897"/>
      <c r="AR653" s="897"/>
      <c r="AS653" s="897"/>
      <c r="AT653" s="897"/>
    </row>
    <row r="654" spans="1:46" s="930" customFormat="1">
      <c r="A654" s="892"/>
      <c r="B654" s="899"/>
      <c r="C654" s="900"/>
      <c r="D654" s="894"/>
      <c r="E654" s="936"/>
      <c r="F654" s="905"/>
      <c r="G654" s="896"/>
      <c r="H654" s="897"/>
      <c r="I654" s="897"/>
      <c r="J654" s="897"/>
      <c r="K654" s="897"/>
      <c r="L654" s="898"/>
      <c r="M654" s="898"/>
      <c r="N654" s="898"/>
      <c r="O654" s="898"/>
      <c r="P654" s="898"/>
      <c r="Q654" s="898"/>
      <c r="R654" s="898"/>
      <c r="S654" s="898"/>
      <c r="T654" s="898"/>
      <c r="U654" s="898"/>
      <c r="V654" s="898"/>
      <c r="W654" s="898"/>
      <c r="X654" s="898"/>
      <c r="Y654" s="898"/>
      <c r="Z654" s="898"/>
      <c r="AA654" s="898"/>
      <c r="AB654" s="898"/>
      <c r="AC654" s="898"/>
      <c r="AD654" s="898"/>
      <c r="AE654" s="898"/>
      <c r="AF654" s="898"/>
      <c r="AG654" s="898"/>
      <c r="AH654" s="898"/>
      <c r="AI654" s="898"/>
      <c r="AJ654" s="898"/>
      <c r="AK654" s="898"/>
      <c r="AL654" s="898"/>
      <c r="AM654" s="897"/>
      <c r="AN654" s="897"/>
      <c r="AO654" s="897"/>
      <c r="AP654" s="897"/>
      <c r="AQ654" s="897"/>
      <c r="AR654" s="897"/>
      <c r="AS654" s="897"/>
      <c r="AT654" s="897"/>
    </row>
    <row r="655" spans="1:46" s="930" customFormat="1">
      <c r="A655" s="892"/>
      <c r="B655" s="899"/>
      <c r="C655" s="900"/>
      <c r="D655" s="894"/>
      <c r="E655" s="936"/>
      <c r="F655" s="905"/>
      <c r="G655" s="896"/>
      <c r="H655" s="897"/>
      <c r="I655" s="897"/>
      <c r="J655" s="897"/>
      <c r="K655" s="897"/>
      <c r="L655" s="898"/>
      <c r="M655" s="898"/>
      <c r="N655" s="898"/>
      <c r="O655" s="898"/>
      <c r="P655" s="898"/>
      <c r="Q655" s="898"/>
      <c r="R655" s="898"/>
      <c r="S655" s="898"/>
      <c r="T655" s="898"/>
      <c r="U655" s="898"/>
      <c r="V655" s="898"/>
      <c r="W655" s="898"/>
      <c r="X655" s="898"/>
      <c r="Y655" s="898"/>
      <c r="Z655" s="898"/>
      <c r="AA655" s="898"/>
      <c r="AB655" s="898"/>
      <c r="AC655" s="898"/>
      <c r="AD655" s="898"/>
      <c r="AE655" s="898"/>
      <c r="AF655" s="898"/>
      <c r="AG655" s="898"/>
      <c r="AH655" s="898"/>
      <c r="AI655" s="898"/>
      <c r="AJ655" s="898"/>
      <c r="AK655" s="898"/>
      <c r="AL655" s="898"/>
      <c r="AM655" s="897"/>
      <c r="AN655" s="897"/>
      <c r="AO655" s="897"/>
      <c r="AP655" s="897"/>
      <c r="AQ655" s="897"/>
      <c r="AR655" s="897"/>
      <c r="AS655" s="897"/>
      <c r="AT655" s="897"/>
    </row>
    <row r="656" spans="1:46" s="930" customFormat="1">
      <c r="A656" s="892"/>
      <c r="B656" s="899"/>
      <c r="C656" s="900"/>
      <c r="D656" s="894"/>
      <c r="E656" s="936"/>
      <c r="F656" s="905"/>
      <c r="G656" s="896"/>
      <c r="H656" s="897"/>
      <c r="I656" s="897"/>
      <c r="J656" s="897"/>
      <c r="K656" s="897"/>
      <c r="L656" s="898"/>
      <c r="M656" s="898"/>
      <c r="N656" s="898"/>
      <c r="O656" s="898"/>
      <c r="P656" s="898"/>
      <c r="Q656" s="898"/>
      <c r="R656" s="898"/>
      <c r="S656" s="898"/>
      <c r="T656" s="898"/>
      <c r="U656" s="898"/>
      <c r="V656" s="898"/>
      <c r="W656" s="898"/>
      <c r="X656" s="898"/>
      <c r="Y656" s="898"/>
      <c r="Z656" s="898"/>
      <c r="AA656" s="898"/>
      <c r="AB656" s="898"/>
      <c r="AC656" s="898"/>
      <c r="AD656" s="898"/>
      <c r="AE656" s="898"/>
      <c r="AF656" s="898"/>
      <c r="AG656" s="898"/>
      <c r="AH656" s="898"/>
      <c r="AI656" s="898"/>
      <c r="AJ656" s="898"/>
      <c r="AK656" s="898"/>
      <c r="AL656" s="898"/>
      <c r="AM656" s="897"/>
      <c r="AN656" s="897"/>
      <c r="AO656" s="897"/>
      <c r="AP656" s="897"/>
      <c r="AQ656" s="897"/>
      <c r="AR656" s="897"/>
      <c r="AS656" s="897"/>
      <c r="AT656" s="897"/>
    </row>
    <row r="657" spans="1:46" s="930" customFormat="1">
      <c r="A657" s="892"/>
      <c r="B657" s="899"/>
      <c r="C657" s="900"/>
      <c r="D657" s="894"/>
      <c r="E657" s="936"/>
      <c r="F657" s="905"/>
      <c r="G657" s="896"/>
      <c r="H657" s="897"/>
      <c r="I657" s="897"/>
      <c r="J657" s="897"/>
      <c r="K657" s="897"/>
      <c r="L657" s="898"/>
      <c r="M657" s="898"/>
      <c r="N657" s="898"/>
      <c r="O657" s="898"/>
      <c r="P657" s="898"/>
      <c r="Q657" s="898"/>
      <c r="R657" s="898"/>
      <c r="S657" s="898"/>
      <c r="T657" s="898"/>
      <c r="U657" s="898"/>
      <c r="V657" s="898"/>
      <c r="W657" s="898"/>
      <c r="X657" s="898"/>
      <c r="Y657" s="898"/>
      <c r="Z657" s="898"/>
      <c r="AA657" s="898"/>
      <c r="AB657" s="898"/>
      <c r="AC657" s="898"/>
      <c r="AD657" s="898"/>
      <c r="AE657" s="898"/>
      <c r="AF657" s="898"/>
      <c r="AG657" s="898"/>
      <c r="AH657" s="898"/>
      <c r="AI657" s="898"/>
      <c r="AJ657" s="898"/>
      <c r="AK657" s="898"/>
      <c r="AL657" s="898"/>
      <c r="AM657" s="897"/>
      <c r="AN657" s="897"/>
      <c r="AO657" s="897"/>
      <c r="AP657" s="897"/>
      <c r="AQ657" s="897"/>
      <c r="AR657" s="897"/>
      <c r="AS657" s="897"/>
      <c r="AT657" s="897"/>
    </row>
    <row r="658" spans="1:46" s="930" customFormat="1">
      <c r="A658" s="892"/>
      <c r="B658" s="899"/>
      <c r="C658" s="900"/>
      <c r="D658" s="894"/>
      <c r="E658" s="936"/>
      <c r="F658" s="905"/>
      <c r="G658" s="896"/>
      <c r="H658" s="897"/>
      <c r="I658" s="897"/>
      <c r="J658" s="897"/>
      <c r="K658" s="897"/>
      <c r="L658" s="898"/>
      <c r="M658" s="898"/>
      <c r="N658" s="898"/>
      <c r="O658" s="898"/>
      <c r="P658" s="898"/>
      <c r="Q658" s="898"/>
      <c r="R658" s="898"/>
      <c r="S658" s="898"/>
      <c r="T658" s="898"/>
      <c r="U658" s="898"/>
      <c r="V658" s="898"/>
      <c r="W658" s="898"/>
      <c r="X658" s="898"/>
      <c r="Y658" s="898"/>
      <c r="Z658" s="898"/>
      <c r="AA658" s="898"/>
      <c r="AB658" s="898"/>
      <c r="AC658" s="898"/>
      <c r="AD658" s="898"/>
      <c r="AE658" s="898"/>
      <c r="AF658" s="898"/>
      <c r="AG658" s="898"/>
      <c r="AH658" s="898"/>
      <c r="AI658" s="898"/>
      <c r="AJ658" s="898"/>
      <c r="AK658" s="898"/>
      <c r="AL658" s="898"/>
      <c r="AM658" s="897"/>
      <c r="AN658" s="897"/>
      <c r="AO658" s="897"/>
      <c r="AP658" s="897"/>
      <c r="AQ658" s="897"/>
      <c r="AR658" s="897"/>
      <c r="AS658" s="897"/>
      <c r="AT658" s="897"/>
    </row>
    <row r="659" spans="1:46" s="930" customFormat="1">
      <c r="A659" s="892"/>
      <c r="B659" s="899"/>
      <c r="C659" s="900"/>
      <c r="D659" s="894"/>
      <c r="E659" s="936"/>
      <c r="F659" s="905"/>
      <c r="G659" s="896"/>
      <c r="H659" s="897"/>
      <c r="I659" s="897"/>
      <c r="J659" s="897"/>
      <c r="K659" s="897"/>
      <c r="L659" s="898"/>
      <c r="M659" s="898"/>
      <c r="N659" s="898"/>
      <c r="O659" s="898"/>
      <c r="P659" s="898"/>
      <c r="Q659" s="898"/>
      <c r="R659" s="898"/>
      <c r="S659" s="898"/>
      <c r="T659" s="898"/>
      <c r="U659" s="898"/>
      <c r="V659" s="898"/>
      <c r="W659" s="898"/>
      <c r="X659" s="898"/>
      <c r="Y659" s="898"/>
      <c r="Z659" s="898"/>
      <c r="AA659" s="898"/>
      <c r="AB659" s="898"/>
      <c r="AC659" s="898"/>
      <c r="AD659" s="898"/>
      <c r="AE659" s="898"/>
      <c r="AF659" s="898"/>
      <c r="AG659" s="898"/>
      <c r="AH659" s="898"/>
      <c r="AI659" s="898"/>
      <c r="AJ659" s="898"/>
      <c r="AK659" s="898"/>
      <c r="AL659" s="898"/>
      <c r="AM659" s="897"/>
      <c r="AN659" s="897"/>
      <c r="AO659" s="897"/>
      <c r="AP659" s="897"/>
      <c r="AQ659" s="897"/>
      <c r="AR659" s="897"/>
      <c r="AS659" s="897"/>
      <c r="AT659" s="897"/>
    </row>
    <row r="660" spans="1:46" s="930" customFormat="1">
      <c r="A660" s="892"/>
      <c r="B660" s="899"/>
      <c r="C660" s="900"/>
      <c r="D660" s="894"/>
      <c r="E660" s="936"/>
      <c r="F660" s="905"/>
      <c r="G660" s="896"/>
      <c r="H660" s="897"/>
      <c r="I660" s="897"/>
      <c r="J660" s="897"/>
      <c r="K660" s="897"/>
      <c r="L660" s="898"/>
      <c r="M660" s="898"/>
      <c r="N660" s="898"/>
      <c r="O660" s="898"/>
      <c r="P660" s="898"/>
      <c r="Q660" s="898"/>
      <c r="R660" s="898"/>
      <c r="S660" s="898"/>
      <c r="T660" s="898"/>
      <c r="U660" s="898"/>
      <c r="V660" s="898"/>
      <c r="W660" s="898"/>
      <c r="X660" s="898"/>
      <c r="Y660" s="898"/>
      <c r="Z660" s="898"/>
      <c r="AA660" s="898"/>
      <c r="AB660" s="898"/>
      <c r="AC660" s="898"/>
      <c r="AD660" s="898"/>
      <c r="AE660" s="898"/>
      <c r="AF660" s="898"/>
      <c r="AG660" s="898"/>
      <c r="AH660" s="898"/>
      <c r="AI660" s="898"/>
      <c r="AJ660" s="898"/>
      <c r="AK660" s="898"/>
      <c r="AL660" s="898"/>
      <c r="AM660" s="897"/>
      <c r="AN660" s="897"/>
      <c r="AO660" s="897"/>
      <c r="AP660" s="897"/>
      <c r="AQ660" s="897"/>
      <c r="AR660" s="897"/>
      <c r="AS660" s="897"/>
      <c r="AT660" s="897"/>
    </row>
    <row r="661" spans="1:46" s="930" customFormat="1">
      <c r="A661" s="892"/>
      <c r="B661" s="899"/>
      <c r="C661" s="900"/>
      <c r="D661" s="894"/>
      <c r="E661" s="936"/>
      <c r="F661" s="905"/>
      <c r="G661" s="896"/>
      <c r="H661" s="897"/>
      <c r="I661" s="897"/>
      <c r="J661" s="897"/>
      <c r="K661" s="897"/>
      <c r="L661" s="898"/>
      <c r="M661" s="898"/>
      <c r="N661" s="898"/>
      <c r="O661" s="898"/>
      <c r="P661" s="898"/>
      <c r="Q661" s="898"/>
      <c r="R661" s="898"/>
      <c r="S661" s="898"/>
      <c r="T661" s="898"/>
      <c r="U661" s="898"/>
      <c r="V661" s="898"/>
      <c r="W661" s="898"/>
      <c r="X661" s="898"/>
      <c r="Y661" s="898"/>
      <c r="Z661" s="898"/>
      <c r="AA661" s="898"/>
      <c r="AB661" s="898"/>
      <c r="AC661" s="898"/>
      <c r="AD661" s="898"/>
      <c r="AE661" s="898"/>
      <c r="AF661" s="898"/>
      <c r="AG661" s="898"/>
      <c r="AH661" s="898"/>
      <c r="AI661" s="898"/>
      <c r="AJ661" s="898"/>
      <c r="AK661" s="898"/>
      <c r="AL661" s="898"/>
      <c r="AM661" s="897"/>
      <c r="AN661" s="897"/>
      <c r="AO661" s="897"/>
      <c r="AP661" s="897"/>
      <c r="AQ661" s="897"/>
      <c r="AR661" s="897"/>
      <c r="AS661" s="897"/>
      <c r="AT661" s="897"/>
    </row>
    <row r="662" spans="1:46" s="930" customFormat="1">
      <c r="A662" s="892"/>
      <c r="B662" s="899"/>
      <c r="C662" s="900"/>
      <c r="D662" s="894"/>
      <c r="E662" s="936"/>
      <c r="F662" s="905"/>
      <c r="G662" s="896"/>
      <c r="H662" s="897"/>
      <c r="I662" s="897"/>
      <c r="J662" s="897"/>
      <c r="K662" s="897"/>
      <c r="L662" s="898"/>
      <c r="M662" s="898"/>
      <c r="N662" s="898"/>
      <c r="O662" s="898"/>
      <c r="P662" s="898"/>
      <c r="Q662" s="898"/>
      <c r="R662" s="898"/>
      <c r="S662" s="898"/>
      <c r="T662" s="898"/>
      <c r="U662" s="898"/>
      <c r="V662" s="898"/>
      <c r="W662" s="898"/>
      <c r="X662" s="898"/>
      <c r="Y662" s="898"/>
      <c r="Z662" s="898"/>
      <c r="AA662" s="898"/>
      <c r="AB662" s="898"/>
      <c r="AC662" s="898"/>
      <c r="AD662" s="898"/>
      <c r="AE662" s="898"/>
      <c r="AF662" s="898"/>
      <c r="AG662" s="898"/>
      <c r="AH662" s="898"/>
      <c r="AI662" s="898"/>
      <c r="AJ662" s="898"/>
      <c r="AK662" s="898"/>
      <c r="AL662" s="898"/>
      <c r="AM662" s="897"/>
      <c r="AN662" s="897"/>
      <c r="AO662" s="897"/>
      <c r="AP662" s="897"/>
      <c r="AQ662" s="897"/>
      <c r="AR662" s="897"/>
      <c r="AS662" s="897"/>
      <c r="AT662" s="897"/>
    </row>
    <row r="663" spans="1:46" s="930" customFormat="1">
      <c r="A663" s="892"/>
      <c r="B663" s="899"/>
      <c r="C663" s="900"/>
      <c r="D663" s="894"/>
      <c r="E663" s="936"/>
      <c r="F663" s="905"/>
      <c r="G663" s="896"/>
      <c r="H663" s="897"/>
      <c r="I663" s="897"/>
      <c r="J663" s="897"/>
      <c r="K663" s="897"/>
      <c r="L663" s="898"/>
      <c r="M663" s="898"/>
      <c r="N663" s="898"/>
      <c r="O663" s="898"/>
      <c r="P663" s="898"/>
      <c r="Q663" s="898"/>
      <c r="R663" s="898"/>
      <c r="S663" s="898"/>
      <c r="T663" s="898"/>
      <c r="U663" s="898"/>
      <c r="V663" s="898"/>
      <c r="W663" s="898"/>
      <c r="X663" s="898"/>
      <c r="Y663" s="898"/>
      <c r="Z663" s="898"/>
      <c r="AA663" s="898"/>
      <c r="AB663" s="898"/>
      <c r="AC663" s="898"/>
      <c r="AD663" s="898"/>
      <c r="AE663" s="898"/>
      <c r="AF663" s="898"/>
      <c r="AG663" s="898"/>
      <c r="AH663" s="898"/>
      <c r="AI663" s="898"/>
      <c r="AJ663" s="898"/>
      <c r="AK663" s="898"/>
      <c r="AL663" s="898"/>
      <c r="AM663" s="897"/>
      <c r="AN663" s="897"/>
      <c r="AO663" s="897"/>
      <c r="AP663" s="897"/>
      <c r="AQ663" s="897"/>
      <c r="AR663" s="897"/>
      <c r="AS663" s="897"/>
      <c r="AT663" s="897"/>
    </row>
    <row r="664" spans="1:46" s="930" customFormat="1">
      <c r="A664" s="892"/>
      <c r="B664" s="899"/>
      <c r="C664" s="900"/>
      <c r="D664" s="894"/>
      <c r="E664" s="936"/>
      <c r="F664" s="905"/>
      <c r="G664" s="896"/>
      <c r="H664" s="897"/>
      <c r="I664" s="897"/>
      <c r="J664" s="897"/>
      <c r="K664" s="897"/>
      <c r="L664" s="898"/>
      <c r="M664" s="898"/>
      <c r="N664" s="898"/>
      <c r="O664" s="898"/>
      <c r="P664" s="898"/>
      <c r="Q664" s="898"/>
      <c r="R664" s="898"/>
      <c r="S664" s="898"/>
      <c r="T664" s="898"/>
      <c r="U664" s="898"/>
      <c r="V664" s="898"/>
      <c r="W664" s="898"/>
      <c r="X664" s="898"/>
      <c r="Y664" s="898"/>
      <c r="Z664" s="898"/>
      <c r="AA664" s="898"/>
      <c r="AB664" s="898"/>
      <c r="AC664" s="898"/>
      <c r="AD664" s="898"/>
      <c r="AE664" s="898"/>
      <c r="AF664" s="898"/>
      <c r="AG664" s="898"/>
      <c r="AH664" s="898"/>
      <c r="AI664" s="898"/>
      <c r="AJ664" s="898"/>
      <c r="AK664" s="898"/>
      <c r="AL664" s="898"/>
      <c r="AM664" s="897"/>
      <c r="AN664" s="897"/>
      <c r="AO664" s="897"/>
      <c r="AP664" s="897"/>
      <c r="AQ664" s="897"/>
      <c r="AR664" s="897"/>
      <c r="AS664" s="897"/>
      <c r="AT664" s="897"/>
    </row>
    <row r="665" spans="1:46" s="930" customFormat="1">
      <c r="A665" s="892"/>
      <c r="B665" s="899"/>
      <c r="C665" s="900"/>
      <c r="D665" s="894"/>
      <c r="E665" s="936"/>
      <c r="F665" s="905"/>
      <c r="G665" s="896"/>
      <c r="H665" s="897"/>
      <c r="I665" s="897"/>
      <c r="J665" s="897"/>
      <c r="K665" s="897"/>
      <c r="L665" s="898"/>
      <c r="M665" s="898"/>
      <c r="N665" s="898"/>
      <c r="O665" s="898"/>
      <c r="P665" s="898"/>
      <c r="Q665" s="898"/>
      <c r="R665" s="898"/>
      <c r="S665" s="898"/>
      <c r="T665" s="898"/>
      <c r="U665" s="898"/>
      <c r="V665" s="898"/>
      <c r="W665" s="898"/>
      <c r="X665" s="898"/>
      <c r="Y665" s="898"/>
      <c r="Z665" s="898"/>
      <c r="AA665" s="898"/>
      <c r="AB665" s="898"/>
      <c r="AC665" s="898"/>
      <c r="AD665" s="898"/>
      <c r="AE665" s="898"/>
      <c r="AF665" s="898"/>
      <c r="AG665" s="898"/>
      <c r="AH665" s="898"/>
      <c r="AI665" s="898"/>
      <c r="AJ665" s="898"/>
      <c r="AK665" s="898"/>
      <c r="AL665" s="898"/>
      <c r="AM665" s="897"/>
      <c r="AN665" s="897"/>
      <c r="AO665" s="897"/>
      <c r="AP665" s="897"/>
      <c r="AQ665" s="897"/>
      <c r="AR665" s="897"/>
      <c r="AS665" s="897"/>
      <c r="AT665" s="897"/>
    </row>
    <row r="666" spans="1:46" s="930" customFormat="1">
      <c r="A666" s="892"/>
      <c r="B666" s="899"/>
      <c r="C666" s="900"/>
      <c r="D666" s="894"/>
      <c r="E666" s="936"/>
      <c r="F666" s="905"/>
      <c r="G666" s="896"/>
      <c r="H666" s="897"/>
      <c r="I666" s="897"/>
      <c r="J666" s="897"/>
      <c r="K666" s="897"/>
      <c r="L666" s="898"/>
      <c r="M666" s="898"/>
      <c r="N666" s="898"/>
      <c r="O666" s="898"/>
      <c r="P666" s="898"/>
      <c r="Q666" s="898"/>
      <c r="R666" s="898"/>
      <c r="S666" s="898"/>
      <c r="T666" s="898"/>
      <c r="U666" s="898"/>
      <c r="V666" s="898"/>
      <c r="W666" s="898"/>
      <c r="X666" s="898"/>
      <c r="Y666" s="898"/>
      <c r="Z666" s="898"/>
      <c r="AA666" s="898"/>
      <c r="AB666" s="898"/>
      <c r="AC666" s="898"/>
      <c r="AD666" s="898"/>
      <c r="AE666" s="898"/>
      <c r="AF666" s="898"/>
      <c r="AG666" s="898"/>
      <c r="AH666" s="898"/>
      <c r="AI666" s="898"/>
      <c r="AJ666" s="898"/>
      <c r="AK666" s="898"/>
      <c r="AL666" s="898"/>
      <c r="AM666" s="897"/>
      <c r="AN666" s="897"/>
      <c r="AO666" s="897"/>
      <c r="AP666" s="897"/>
      <c r="AQ666" s="897"/>
      <c r="AR666" s="897"/>
      <c r="AS666" s="897"/>
      <c r="AT666" s="897"/>
    </row>
    <row r="667" spans="1:46" s="930" customFormat="1">
      <c r="A667" s="892"/>
      <c r="B667" s="899"/>
      <c r="C667" s="900"/>
      <c r="D667" s="894"/>
      <c r="E667" s="936"/>
      <c r="F667" s="905"/>
      <c r="G667" s="896"/>
      <c r="H667" s="897"/>
      <c r="I667" s="897"/>
      <c r="J667" s="897"/>
      <c r="K667" s="897"/>
      <c r="L667" s="898"/>
      <c r="M667" s="898"/>
      <c r="N667" s="898"/>
      <c r="O667" s="898"/>
      <c r="P667" s="898"/>
      <c r="Q667" s="898"/>
      <c r="R667" s="898"/>
      <c r="S667" s="898"/>
      <c r="T667" s="898"/>
      <c r="U667" s="898"/>
      <c r="V667" s="898"/>
      <c r="W667" s="898"/>
      <c r="X667" s="898"/>
      <c r="Y667" s="898"/>
      <c r="Z667" s="898"/>
      <c r="AA667" s="898"/>
      <c r="AB667" s="898"/>
      <c r="AC667" s="898"/>
      <c r="AD667" s="898"/>
      <c r="AE667" s="898"/>
      <c r="AF667" s="898"/>
      <c r="AG667" s="898"/>
      <c r="AH667" s="898"/>
      <c r="AI667" s="898"/>
      <c r="AJ667" s="898"/>
      <c r="AK667" s="898"/>
      <c r="AL667" s="898"/>
      <c r="AM667" s="897"/>
      <c r="AN667" s="897"/>
      <c r="AO667" s="897"/>
      <c r="AP667" s="897"/>
      <c r="AQ667" s="897"/>
      <c r="AR667" s="897"/>
      <c r="AS667" s="897"/>
      <c r="AT667" s="897"/>
    </row>
    <row r="668" spans="1:46" s="930" customFormat="1">
      <c r="A668" s="892"/>
      <c r="B668" s="899"/>
      <c r="C668" s="900"/>
      <c r="D668" s="894"/>
      <c r="E668" s="936"/>
      <c r="F668" s="905"/>
      <c r="G668" s="896"/>
      <c r="H668" s="897"/>
      <c r="I668" s="897"/>
      <c r="J668" s="897"/>
      <c r="K668" s="897"/>
      <c r="L668" s="898"/>
      <c r="M668" s="898"/>
      <c r="N668" s="898"/>
      <c r="O668" s="898"/>
      <c r="P668" s="898"/>
      <c r="Q668" s="898"/>
      <c r="R668" s="898"/>
      <c r="S668" s="898"/>
      <c r="T668" s="898"/>
      <c r="U668" s="898"/>
      <c r="V668" s="898"/>
      <c r="W668" s="898"/>
      <c r="X668" s="898"/>
      <c r="Y668" s="898"/>
      <c r="Z668" s="898"/>
      <c r="AA668" s="898"/>
      <c r="AB668" s="898"/>
      <c r="AC668" s="898"/>
      <c r="AD668" s="898"/>
      <c r="AE668" s="898"/>
      <c r="AF668" s="898"/>
      <c r="AG668" s="898"/>
      <c r="AH668" s="898"/>
      <c r="AI668" s="898"/>
      <c r="AJ668" s="898"/>
      <c r="AK668" s="898"/>
      <c r="AL668" s="898"/>
      <c r="AM668" s="897"/>
      <c r="AN668" s="897"/>
      <c r="AO668" s="897"/>
      <c r="AP668" s="897"/>
      <c r="AQ668" s="897"/>
      <c r="AR668" s="897"/>
      <c r="AS668" s="897"/>
      <c r="AT668" s="897"/>
    </row>
    <row r="669" spans="1:46" s="930" customFormat="1">
      <c r="A669" s="892"/>
      <c r="B669" s="899"/>
      <c r="C669" s="900"/>
      <c r="D669" s="894"/>
      <c r="E669" s="936"/>
      <c r="F669" s="905"/>
      <c r="G669" s="896"/>
      <c r="H669" s="897"/>
      <c r="I669" s="897"/>
      <c r="J669" s="897"/>
      <c r="K669" s="897"/>
      <c r="L669" s="898"/>
      <c r="M669" s="898"/>
      <c r="N669" s="898"/>
      <c r="O669" s="898"/>
      <c r="P669" s="898"/>
      <c r="Q669" s="898"/>
      <c r="R669" s="898"/>
      <c r="S669" s="898"/>
      <c r="T669" s="898"/>
      <c r="U669" s="898"/>
      <c r="V669" s="898"/>
      <c r="W669" s="898"/>
      <c r="X669" s="898"/>
      <c r="Y669" s="898"/>
      <c r="Z669" s="898"/>
      <c r="AA669" s="898"/>
      <c r="AB669" s="898"/>
      <c r="AC669" s="898"/>
      <c r="AD669" s="898"/>
      <c r="AE669" s="898"/>
      <c r="AF669" s="898"/>
      <c r="AG669" s="898"/>
      <c r="AH669" s="898"/>
      <c r="AI669" s="898"/>
      <c r="AJ669" s="898"/>
      <c r="AK669" s="898"/>
      <c r="AL669" s="898"/>
      <c r="AM669" s="897"/>
      <c r="AN669" s="897"/>
      <c r="AO669" s="897"/>
      <c r="AP669" s="897"/>
      <c r="AQ669" s="897"/>
      <c r="AR669" s="897"/>
      <c r="AS669" s="897"/>
      <c r="AT669" s="897"/>
    </row>
    <row r="670" spans="1:46" s="930" customFormat="1">
      <c r="A670" s="892"/>
      <c r="B670" s="899"/>
      <c r="C670" s="900"/>
      <c r="D670" s="894"/>
      <c r="E670" s="936"/>
      <c r="F670" s="905"/>
      <c r="G670" s="896"/>
      <c r="H670" s="897"/>
      <c r="I670" s="897"/>
      <c r="J670" s="897"/>
      <c r="K670" s="897"/>
      <c r="L670" s="898"/>
      <c r="M670" s="898"/>
      <c r="N670" s="898"/>
      <c r="O670" s="898"/>
      <c r="P670" s="898"/>
      <c r="Q670" s="898"/>
      <c r="R670" s="898"/>
      <c r="S670" s="898"/>
      <c r="T670" s="898"/>
      <c r="U670" s="898"/>
      <c r="V670" s="898"/>
      <c r="W670" s="898"/>
      <c r="X670" s="898"/>
      <c r="Y670" s="898"/>
      <c r="Z670" s="898"/>
      <c r="AA670" s="898"/>
      <c r="AB670" s="898"/>
      <c r="AC670" s="898"/>
      <c r="AD670" s="898"/>
      <c r="AE670" s="898"/>
      <c r="AF670" s="898"/>
      <c r="AG670" s="898"/>
      <c r="AH670" s="898"/>
      <c r="AI670" s="898"/>
      <c r="AJ670" s="898"/>
      <c r="AK670" s="898"/>
      <c r="AL670" s="898"/>
      <c r="AM670" s="897"/>
      <c r="AN670" s="897"/>
      <c r="AO670" s="897"/>
      <c r="AP670" s="897"/>
      <c r="AQ670" s="897"/>
      <c r="AR670" s="897"/>
      <c r="AS670" s="897"/>
      <c r="AT670" s="897"/>
    </row>
    <row r="671" spans="1:46" s="930" customFormat="1">
      <c r="A671" s="892"/>
      <c r="B671" s="899"/>
      <c r="C671" s="900"/>
      <c r="D671" s="894"/>
      <c r="E671" s="936"/>
      <c r="F671" s="905"/>
      <c r="G671" s="896"/>
      <c r="H671" s="897"/>
      <c r="I671" s="897"/>
      <c r="J671" s="897"/>
      <c r="K671" s="897"/>
      <c r="L671" s="898"/>
      <c r="M671" s="898"/>
      <c r="N671" s="898"/>
      <c r="O671" s="898"/>
      <c r="P671" s="898"/>
      <c r="Q671" s="898"/>
      <c r="R671" s="898"/>
      <c r="S671" s="898"/>
      <c r="T671" s="898"/>
      <c r="U671" s="898"/>
      <c r="V671" s="898"/>
      <c r="W671" s="898"/>
      <c r="X671" s="898"/>
      <c r="Y671" s="898"/>
      <c r="Z671" s="898"/>
      <c r="AA671" s="898"/>
      <c r="AB671" s="898"/>
      <c r="AC671" s="898"/>
      <c r="AD671" s="898"/>
      <c r="AE671" s="898"/>
      <c r="AF671" s="898"/>
      <c r="AG671" s="898"/>
      <c r="AH671" s="898"/>
      <c r="AI671" s="898"/>
      <c r="AJ671" s="898"/>
      <c r="AK671" s="898"/>
      <c r="AL671" s="898"/>
      <c r="AM671" s="897"/>
      <c r="AN671" s="897"/>
      <c r="AO671" s="897"/>
      <c r="AP671" s="897"/>
      <c r="AQ671" s="897"/>
      <c r="AR671" s="897"/>
      <c r="AS671" s="897"/>
      <c r="AT671" s="897"/>
    </row>
    <row r="672" spans="1:46" s="930" customFormat="1">
      <c r="A672" s="892"/>
      <c r="B672" s="899"/>
      <c r="C672" s="900"/>
      <c r="D672" s="894"/>
      <c r="E672" s="936"/>
      <c r="F672" s="905"/>
      <c r="G672" s="896"/>
      <c r="H672" s="897"/>
      <c r="I672" s="897"/>
      <c r="J672" s="897"/>
      <c r="K672" s="897"/>
      <c r="L672" s="898"/>
      <c r="M672" s="898"/>
      <c r="N672" s="898"/>
      <c r="O672" s="898"/>
      <c r="P672" s="898"/>
      <c r="Q672" s="898"/>
      <c r="R672" s="898"/>
      <c r="S672" s="898"/>
      <c r="T672" s="898"/>
      <c r="U672" s="898"/>
      <c r="V672" s="898"/>
      <c r="W672" s="898"/>
      <c r="X672" s="898"/>
      <c r="Y672" s="898"/>
      <c r="Z672" s="898"/>
      <c r="AA672" s="898"/>
      <c r="AB672" s="898"/>
      <c r="AC672" s="898"/>
      <c r="AD672" s="898"/>
      <c r="AE672" s="898"/>
      <c r="AF672" s="898"/>
      <c r="AG672" s="898"/>
      <c r="AH672" s="898"/>
      <c r="AI672" s="898"/>
      <c r="AJ672" s="898"/>
      <c r="AK672" s="898"/>
      <c r="AL672" s="898"/>
      <c r="AM672" s="897"/>
      <c r="AN672" s="897"/>
      <c r="AO672" s="897"/>
      <c r="AP672" s="897"/>
      <c r="AQ672" s="897"/>
      <c r="AR672" s="897"/>
      <c r="AS672" s="897"/>
      <c r="AT672" s="897"/>
    </row>
    <row r="673" spans="1:46" s="930" customFormat="1">
      <c r="A673" s="892"/>
      <c r="B673" s="899"/>
      <c r="C673" s="900"/>
      <c r="D673" s="894"/>
      <c r="E673" s="936"/>
      <c r="F673" s="905"/>
      <c r="G673" s="896"/>
      <c r="H673" s="897"/>
      <c r="I673" s="897"/>
      <c r="J673" s="897"/>
      <c r="K673" s="897"/>
      <c r="L673" s="898"/>
      <c r="M673" s="898"/>
      <c r="N673" s="898"/>
      <c r="O673" s="898"/>
      <c r="P673" s="898"/>
      <c r="Q673" s="898"/>
      <c r="R673" s="898"/>
      <c r="S673" s="898"/>
      <c r="T673" s="898"/>
      <c r="U673" s="898"/>
      <c r="V673" s="898"/>
      <c r="W673" s="898"/>
      <c r="X673" s="898"/>
      <c r="Y673" s="898"/>
      <c r="Z673" s="898"/>
      <c r="AA673" s="898"/>
      <c r="AB673" s="898"/>
      <c r="AC673" s="898"/>
      <c r="AD673" s="898"/>
      <c r="AE673" s="898"/>
      <c r="AF673" s="898"/>
      <c r="AG673" s="898"/>
      <c r="AH673" s="898"/>
      <c r="AI673" s="898"/>
      <c r="AJ673" s="898"/>
      <c r="AK673" s="898"/>
      <c r="AL673" s="898"/>
      <c r="AM673" s="897"/>
      <c r="AN673" s="897"/>
      <c r="AO673" s="897"/>
      <c r="AP673" s="897"/>
      <c r="AQ673" s="897"/>
      <c r="AR673" s="897"/>
      <c r="AS673" s="897"/>
      <c r="AT673" s="897"/>
    </row>
    <row r="674" spans="1:46" s="930" customFormat="1">
      <c r="A674" s="892"/>
      <c r="B674" s="899"/>
      <c r="C674" s="900"/>
      <c r="D674" s="894"/>
      <c r="E674" s="936"/>
      <c r="F674" s="905"/>
      <c r="G674" s="896"/>
      <c r="H674" s="897"/>
      <c r="I674" s="897"/>
      <c r="J674" s="897"/>
      <c r="K674" s="897"/>
      <c r="L674" s="898"/>
      <c r="M674" s="898"/>
      <c r="N674" s="898"/>
      <c r="O674" s="898"/>
      <c r="P674" s="898"/>
      <c r="Q674" s="898"/>
      <c r="R674" s="898"/>
      <c r="S674" s="898"/>
      <c r="T674" s="898"/>
      <c r="U674" s="898"/>
      <c r="V674" s="898"/>
      <c r="W674" s="898"/>
      <c r="X674" s="898"/>
      <c r="Y674" s="898"/>
      <c r="Z674" s="898"/>
      <c r="AA674" s="898"/>
      <c r="AB674" s="898"/>
      <c r="AC674" s="898"/>
      <c r="AD674" s="898"/>
      <c r="AE674" s="898"/>
      <c r="AF674" s="898"/>
      <c r="AG674" s="898"/>
      <c r="AH674" s="898"/>
      <c r="AI674" s="898"/>
      <c r="AJ674" s="898"/>
      <c r="AK674" s="898"/>
      <c r="AL674" s="898"/>
      <c r="AM674" s="897"/>
      <c r="AN674" s="897"/>
      <c r="AO674" s="897"/>
      <c r="AP674" s="897"/>
      <c r="AQ674" s="897"/>
      <c r="AR674" s="897"/>
      <c r="AS674" s="897"/>
      <c r="AT674" s="897"/>
    </row>
    <row r="675" spans="1:46" s="930" customFormat="1">
      <c r="A675" s="892"/>
      <c r="B675" s="899"/>
      <c r="C675" s="900"/>
      <c r="D675" s="894"/>
      <c r="E675" s="936"/>
      <c r="F675" s="905"/>
      <c r="G675" s="896"/>
      <c r="H675" s="897"/>
      <c r="I675" s="897"/>
      <c r="J675" s="897"/>
      <c r="K675" s="897"/>
      <c r="L675" s="898"/>
      <c r="M675" s="898"/>
      <c r="N675" s="898"/>
      <c r="O675" s="898"/>
      <c r="P675" s="898"/>
      <c r="Q675" s="898"/>
      <c r="R675" s="898"/>
      <c r="S675" s="898"/>
      <c r="T675" s="898"/>
      <c r="U675" s="898"/>
      <c r="V675" s="898"/>
      <c r="W675" s="898"/>
      <c r="X675" s="898"/>
      <c r="Y675" s="898"/>
      <c r="Z675" s="898"/>
      <c r="AA675" s="898"/>
      <c r="AB675" s="898"/>
      <c r="AC675" s="898"/>
      <c r="AD675" s="898"/>
      <c r="AE675" s="898"/>
      <c r="AF675" s="898"/>
      <c r="AG675" s="898"/>
      <c r="AH675" s="898"/>
      <c r="AI675" s="898"/>
      <c r="AJ675" s="898"/>
      <c r="AK675" s="898"/>
      <c r="AL675" s="898"/>
      <c r="AM675" s="897"/>
      <c r="AN675" s="897"/>
      <c r="AO675" s="897"/>
      <c r="AP675" s="897"/>
      <c r="AQ675" s="897"/>
      <c r="AR675" s="897"/>
      <c r="AS675" s="897"/>
      <c r="AT675" s="897"/>
    </row>
    <row r="676" spans="1:46" s="930" customFormat="1">
      <c r="A676" s="892"/>
      <c r="B676" s="899"/>
      <c r="C676" s="900"/>
      <c r="D676" s="894"/>
      <c r="E676" s="936"/>
      <c r="F676" s="905"/>
      <c r="G676" s="896"/>
      <c r="H676" s="897"/>
      <c r="I676" s="897"/>
      <c r="J676" s="897"/>
      <c r="K676" s="897"/>
      <c r="L676" s="898"/>
      <c r="M676" s="898"/>
      <c r="N676" s="898"/>
      <c r="O676" s="898"/>
      <c r="P676" s="898"/>
      <c r="Q676" s="898"/>
      <c r="R676" s="898"/>
      <c r="S676" s="898"/>
      <c r="T676" s="898"/>
      <c r="U676" s="898"/>
      <c r="V676" s="898"/>
      <c r="W676" s="898"/>
      <c r="X676" s="898"/>
      <c r="Y676" s="898"/>
      <c r="Z676" s="898"/>
      <c r="AA676" s="898"/>
      <c r="AB676" s="898"/>
      <c r="AC676" s="898"/>
      <c r="AD676" s="898"/>
      <c r="AE676" s="898"/>
      <c r="AF676" s="898"/>
      <c r="AG676" s="898"/>
      <c r="AH676" s="898"/>
      <c r="AI676" s="898"/>
      <c r="AJ676" s="898"/>
      <c r="AK676" s="898"/>
      <c r="AL676" s="898"/>
      <c r="AM676" s="897"/>
      <c r="AN676" s="897"/>
      <c r="AO676" s="897"/>
      <c r="AP676" s="897"/>
      <c r="AQ676" s="897"/>
      <c r="AR676" s="897"/>
      <c r="AS676" s="897"/>
      <c r="AT676" s="897"/>
    </row>
    <row r="677" spans="1:46" s="930" customFormat="1">
      <c r="A677" s="892"/>
      <c r="B677" s="899"/>
      <c r="C677" s="900"/>
      <c r="D677" s="894"/>
      <c r="E677" s="936"/>
      <c r="F677" s="905"/>
      <c r="G677" s="896"/>
      <c r="H677" s="897"/>
      <c r="I677" s="897"/>
      <c r="J677" s="897"/>
      <c r="K677" s="897"/>
      <c r="L677" s="898"/>
      <c r="M677" s="898"/>
      <c r="N677" s="898"/>
      <c r="O677" s="898"/>
      <c r="P677" s="898"/>
      <c r="Q677" s="898"/>
      <c r="R677" s="898"/>
      <c r="S677" s="898"/>
      <c r="T677" s="898"/>
      <c r="U677" s="898"/>
      <c r="V677" s="898"/>
      <c r="W677" s="898"/>
      <c r="X677" s="898"/>
      <c r="Y677" s="898"/>
      <c r="Z677" s="898"/>
      <c r="AA677" s="898"/>
      <c r="AB677" s="898"/>
      <c r="AC677" s="898"/>
      <c r="AD677" s="898"/>
      <c r="AE677" s="898"/>
      <c r="AF677" s="898"/>
      <c r="AG677" s="898"/>
      <c r="AH677" s="898"/>
      <c r="AI677" s="898"/>
      <c r="AJ677" s="898"/>
      <c r="AK677" s="898"/>
      <c r="AL677" s="898"/>
      <c r="AM677" s="897"/>
      <c r="AN677" s="897"/>
      <c r="AO677" s="897"/>
      <c r="AP677" s="897"/>
      <c r="AQ677" s="897"/>
      <c r="AR677" s="897"/>
      <c r="AS677" s="897"/>
      <c r="AT677" s="897"/>
    </row>
    <row r="678" spans="1:46" s="930" customFormat="1">
      <c r="A678" s="892"/>
      <c r="B678" s="899"/>
      <c r="C678" s="900"/>
      <c r="D678" s="894"/>
      <c r="E678" s="936"/>
      <c r="F678" s="905"/>
      <c r="G678" s="896"/>
      <c r="H678" s="897"/>
      <c r="I678" s="897"/>
      <c r="J678" s="897"/>
      <c r="K678" s="897"/>
      <c r="L678" s="898"/>
      <c r="M678" s="898"/>
      <c r="N678" s="898"/>
      <c r="O678" s="898"/>
      <c r="P678" s="898"/>
      <c r="Q678" s="898"/>
      <c r="R678" s="898"/>
      <c r="S678" s="898"/>
      <c r="T678" s="898"/>
      <c r="U678" s="898"/>
      <c r="V678" s="898"/>
      <c r="W678" s="898"/>
      <c r="X678" s="898"/>
      <c r="Y678" s="898"/>
      <c r="Z678" s="898"/>
      <c r="AA678" s="898"/>
      <c r="AB678" s="898"/>
      <c r="AC678" s="898"/>
      <c r="AD678" s="898"/>
      <c r="AE678" s="898"/>
      <c r="AF678" s="898"/>
      <c r="AG678" s="898"/>
      <c r="AH678" s="898"/>
      <c r="AI678" s="898"/>
      <c r="AJ678" s="898"/>
      <c r="AK678" s="898"/>
      <c r="AL678" s="898"/>
      <c r="AM678" s="897"/>
      <c r="AN678" s="897"/>
      <c r="AO678" s="897"/>
      <c r="AP678" s="897"/>
      <c r="AQ678" s="897"/>
      <c r="AR678" s="897"/>
      <c r="AS678" s="897"/>
      <c r="AT678" s="897"/>
    </row>
    <row r="679" spans="1:46" s="930" customFormat="1">
      <c r="A679" s="892"/>
      <c r="B679" s="899"/>
      <c r="C679" s="900"/>
      <c r="D679" s="894"/>
      <c r="E679" s="936"/>
      <c r="F679" s="905"/>
      <c r="G679" s="896"/>
      <c r="H679" s="897"/>
      <c r="I679" s="897"/>
      <c r="J679" s="897"/>
      <c r="K679" s="897"/>
      <c r="L679" s="898"/>
      <c r="M679" s="898"/>
      <c r="N679" s="898"/>
      <c r="O679" s="898"/>
      <c r="P679" s="898"/>
      <c r="Q679" s="898"/>
      <c r="R679" s="898"/>
      <c r="S679" s="898"/>
      <c r="T679" s="898"/>
      <c r="U679" s="898"/>
      <c r="V679" s="898"/>
      <c r="W679" s="898"/>
      <c r="X679" s="898"/>
      <c r="Y679" s="898"/>
      <c r="Z679" s="898"/>
      <c r="AA679" s="898"/>
      <c r="AB679" s="898"/>
      <c r="AC679" s="898"/>
      <c r="AD679" s="898"/>
      <c r="AE679" s="898"/>
      <c r="AF679" s="898"/>
      <c r="AG679" s="898"/>
      <c r="AH679" s="898"/>
      <c r="AI679" s="898"/>
      <c r="AJ679" s="898"/>
      <c r="AK679" s="898"/>
      <c r="AL679" s="898"/>
      <c r="AM679" s="897"/>
      <c r="AN679" s="897"/>
      <c r="AO679" s="897"/>
      <c r="AP679" s="897"/>
      <c r="AQ679" s="897"/>
      <c r="AR679" s="897"/>
      <c r="AS679" s="897"/>
      <c r="AT679" s="897"/>
    </row>
    <row r="680" spans="1:46" s="930" customFormat="1">
      <c r="A680" s="892"/>
      <c r="B680" s="899"/>
      <c r="C680" s="900"/>
      <c r="D680" s="894"/>
      <c r="E680" s="936"/>
      <c r="F680" s="905"/>
      <c r="G680" s="896"/>
      <c r="H680" s="897"/>
      <c r="I680" s="897"/>
      <c r="J680" s="897"/>
      <c r="K680" s="897"/>
      <c r="L680" s="898"/>
      <c r="M680" s="898"/>
      <c r="N680" s="898"/>
      <c r="O680" s="898"/>
      <c r="P680" s="898"/>
      <c r="Q680" s="898"/>
      <c r="R680" s="898"/>
      <c r="S680" s="898"/>
      <c r="T680" s="898"/>
      <c r="U680" s="898"/>
      <c r="V680" s="898"/>
      <c r="W680" s="898"/>
      <c r="X680" s="898"/>
      <c r="Y680" s="898"/>
      <c r="Z680" s="898"/>
      <c r="AA680" s="898"/>
      <c r="AB680" s="898"/>
      <c r="AC680" s="898"/>
      <c r="AD680" s="898"/>
      <c r="AE680" s="898"/>
      <c r="AF680" s="898"/>
      <c r="AG680" s="898"/>
      <c r="AH680" s="898"/>
      <c r="AI680" s="898"/>
      <c r="AJ680" s="898"/>
      <c r="AK680" s="898"/>
      <c r="AL680" s="898"/>
      <c r="AM680" s="897"/>
      <c r="AN680" s="897"/>
      <c r="AO680" s="897"/>
      <c r="AP680" s="897"/>
      <c r="AQ680" s="897"/>
      <c r="AR680" s="897"/>
      <c r="AS680" s="897"/>
      <c r="AT680" s="897"/>
    </row>
    <row r="681" spans="1:46" s="930" customFormat="1">
      <c r="A681" s="892"/>
      <c r="B681" s="899"/>
      <c r="C681" s="900"/>
      <c r="D681" s="894"/>
      <c r="E681" s="936"/>
      <c r="F681" s="905"/>
      <c r="G681" s="896"/>
      <c r="H681" s="897"/>
      <c r="I681" s="897"/>
      <c r="J681" s="897"/>
      <c r="K681" s="897"/>
      <c r="L681" s="898"/>
      <c r="M681" s="898"/>
      <c r="N681" s="898"/>
      <c r="O681" s="898"/>
      <c r="P681" s="898"/>
      <c r="Q681" s="898"/>
      <c r="R681" s="898"/>
      <c r="S681" s="898"/>
      <c r="T681" s="898"/>
      <c r="U681" s="898"/>
      <c r="V681" s="898"/>
      <c r="W681" s="898"/>
      <c r="X681" s="898"/>
      <c r="Y681" s="898"/>
      <c r="Z681" s="898"/>
      <c r="AA681" s="898"/>
      <c r="AB681" s="898"/>
      <c r="AC681" s="898"/>
      <c r="AD681" s="898"/>
      <c r="AE681" s="898"/>
      <c r="AF681" s="898"/>
      <c r="AG681" s="898"/>
      <c r="AH681" s="898"/>
      <c r="AI681" s="898"/>
      <c r="AJ681" s="898"/>
      <c r="AK681" s="898"/>
      <c r="AL681" s="898"/>
      <c r="AM681" s="897"/>
      <c r="AN681" s="897"/>
      <c r="AO681" s="897"/>
      <c r="AP681" s="897"/>
      <c r="AQ681" s="897"/>
      <c r="AR681" s="897"/>
      <c r="AS681" s="897"/>
      <c r="AT681" s="897"/>
    </row>
    <row r="682" spans="1:46" s="930" customFormat="1">
      <c r="A682" s="892"/>
      <c r="B682" s="899"/>
      <c r="C682" s="900"/>
      <c r="D682" s="894"/>
      <c r="E682" s="936"/>
      <c r="F682" s="905"/>
      <c r="G682" s="896"/>
      <c r="H682" s="897"/>
      <c r="I682" s="897"/>
      <c r="J682" s="897"/>
      <c r="K682" s="897"/>
      <c r="L682" s="898"/>
      <c r="M682" s="898"/>
      <c r="N682" s="898"/>
      <c r="O682" s="898"/>
      <c r="P682" s="898"/>
      <c r="Q682" s="898"/>
      <c r="R682" s="898"/>
      <c r="S682" s="898"/>
      <c r="T682" s="898"/>
      <c r="U682" s="898"/>
      <c r="V682" s="898"/>
      <c r="W682" s="898"/>
      <c r="X682" s="898"/>
      <c r="Y682" s="898"/>
      <c r="Z682" s="898"/>
      <c r="AA682" s="898"/>
      <c r="AB682" s="898"/>
      <c r="AC682" s="898"/>
      <c r="AD682" s="898"/>
      <c r="AE682" s="898"/>
      <c r="AF682" s="898"/>
      <c r="AG682" s="898"/>
      <c r="AH682" s="898"/>
      <c r="AI682" s="898"/>
      <c r="AJ682" s="898"/>
      <c r="AK682" s="898"/>
      <c r="AL682" s="898"/>
      <c r="AM682" s="897"/>
      <c r="AN682" s="897"/>
      <c r="AO682" s="897"/>
      <c r="AP682" s="897"/>
      <c r="AQ682" s="897"/>
      <c r="AR682" s="897"/>
      <c r="AS682" s="897"/>
      <c r="AT682" s="897"/>
    </row>
    <row r="683" spans="1:46" s="930" customFormat="1">
      <c r="A683" s="892"/>
      <c r="B683" s="899"/>
      <c r="C683" s="900"/>
      <c r="D683" s="894"/>
      <c r="E683" s="936"/>
      <c r="F683" s="905"/>
      <c r="G683" s="896"/>
      <c r="H683" s="897"/>
      <c r="I683" s="897"/>
      <c r="J683" s="897"/>
      <c r="K683" s="897"/>
      <c r="L683" s="898"/>
      <c r="M683" s="898"/>
      <c r="N683" s="898"/>
      <c r="O683" s="898"/>
      <c r="P683" s="898"/>
      <c r="Q683" s="898"/>
      <c r="R683" s="898"/>
      <c r="S683" s="898"/>
      <c r="T683" s="898"/>
      <c r="U683" s="898"/>
      <c r="V683" s="898"/>
      <c r="W683" s="898"/>
      <c r="X683" s="898"/>
      <c r="Y683" s="898"/>
      <c r="Z683" s="898"/>
      <c r="AA683" s="898"/>
      <c r="AB683" s="898"/>
      <c r="AC683" s="898"/>
      <c r="AD683" s="898"/>
      <c r="AE683" s="898"/>
      <c r="AF683" s="898"/>
      <c r="AG683" s="898"/>
      <c r="AH683" s="898"/>
      <c r="AI683" s="898"/>
      <c r="AJ683" s="898"/>
      <c r="AK683" s="898"/>
      <c r="AL683" s="898"/>
      <c r="AM683" s="897"/>
      <c r="AN683" s="897"/>
      <c r="AO683" s="897"/>
      <c r="AP683" s="897"/>
      <c r="AQ683" s="897"/>
      <c r="AR683" s="897"/>
      <c r="AS683" s="897"/>
      <c r="AT683" s="897"/>
    </row>
    <row r="684" spans="1:46" s="930" customFormat="1">
      <c r="A684" s="892"/>
      <c r="B684" s="899"/>
      <c r="C684" s="900"/>
      <c r="D684" s="894"/>
      <c r="E684" s="936"/>
      <c r="F684" s="905"/>
      <c r="G684" s="896"/>
      <c r="H684" s="897"/>
      <c r="I684" s="897"/>
      <c r="J684" s="897"/>
      <c r="K684" s="897"/>
      <c r="L684" s="898"/>
      <c r="M684" s="898"/>
      <c r="N684" s="898"/>
      <c r="O684" s="898"/>
      <c r="P684" s="898"/>
      <c r="Q684" s="898"/>
      <c r="R684" s="898"/>
      <c r="S684" s="898"/>
      <c r="T684" s="898"/>
      <c r="U684" s="898"/>
      <c r="V684" s="898"/>
      <c r="W684" s="898"/>
      <c r="X684" s="898"/>
      <c r="Y684" s="898"/>
      <c r="Z684" s="898"/>
      <c r="AA684" s="898"/>
      <c r="AB684" s="898"/>
      <c r="AC684" s="898"/>
      <c r="AD684" s="898"/>
      <c r="AE684" s="898"/>
      <c r="AF684" s="898"/>
      <c r="AG684" s="898"/>
      <c r="AH684" s="898"/>
      <c r="AI684" s="898"/>
      <c r="AJ684" s="898"/>
      <c r="AK684" s="898"/>
      <c r="AL684" s="898"/>
      <c r="AM684" s="897"/>
      <c r="AN684" s="897"/>
      <c r="AO684" s="897"/>
      <c r="AP684" s="897"/>
      <c r="AQ684" s="897"/>
      <c r="AR684" s="897"/>
      <c r="AS684" s="897"/>
      <c r="AT684" s="897"/>
    </row>
    <row r="685" spans="1:46" s="930" customFormat="1">
      <c r="A685" s="892"/>
      <c r="B685" s="899"/>
      <c r="C685" s="900"/>
      <c r="D685" s="894"/>
      <c r="E685" s="936"/>
      <c r="F685" s="905"/>
      <c r="G685" s="896"/>
      <c r="H685" s="897"/>
      <c r="I685" s="897"/>
      <c r="J685" s="897"/>
      <c r="K685" s="897"/>
      <c r="L685" s="898"/>
      <c r="M685" s="898"/>
      <c r="N685" s="898"/>
      <c r="O685" s="898"/>
      <c r="P685" s="898"/>
      <c r="Q685" s="898"/>
      <c r="R685" s="898"/>
      <c r="S685" s="898"/>
      <c r="T685" s="898"/>
      <c r="U685" s="898"/>
      <c r="V685" s="898"/>
      <c r="W685" s="898"/>
      <c r="X685" s="898"/>
      <c r="Y685" s="898"/>
      <c r="Z685" s="898"/>
      <c r="AA685" s="898"/>
      <c r="AB685" s="898"/>
      <c r="AC685" s="898"/>
      <c r="AD685" s="898"/>
      <c r="AE685" s="898"/>
      <c r="AF685" s="898"/>
      <c r="AG685" s="898"/>
      <c r="AH685" s="898"/>
      <c r="AI685" s="898"/>
      <c r="AJ685" s="898"/>
      <c r="AK685" s="898"/>
      <c r="AL685" s="898"/>
      <c r="AM685" s="897"/>
      <c r="AN685" s="897"/>
      <c r="AO685" s="897"/>
      <c r="AP685" s="897"/>
      <c r="AQ685" s="897"/>
      <c r="AR685" s="897"/>
      <c r="AS685" s="897"/>
      <c r="AT685" s="897"/>
    </row>
    <row r="686" spans="1:46" s="930" customFormat="1">
      <c r="A686" s="892"/>
      <c r="B686" s="899"/>
      <c r="C686" s="900"/>
      <c r="D686" s="894"/>
      <c r="E686" s="936"/>
      <c r="F686" s="905"/>
      <c r="G686" s="896"/>
      <c r="H686" s="897"/>
      <c r="I686" s="897"/>
      <c r="J686" s="897"/>
      <c r="K686" s="897"/>
      <c r="L686" s="898"/>
      <c r="M686" s="898"/>
      <c r="N686" s="898"/>
      <c r="O686" s="898"/>
      <c r="P686" s="898"/>
      <c r="Q686" s="898"/>
      <c r="R686" s="898"/>
      <c r="S686" s="898"/>
      <c r="T686" s="898"/>
      <c r="U686" s="898"/>
      <c r="V686" s="898"/>
      <c r="W686" s="898"/>
      <c r="X686" s="898"/>
      <c r="Y686" s="898"/>
      <c r="Z686" s="898"/>
      <c r="AA686" s="898"/>
      <c r="AB686" s="898"/>
      <c r="AC686" s="898"/>
      <c r="AD686" s="898"/>
      <c r="AE686" s="898"/>
      <c r="AF686" s="898"/>
      <c r="AG686" s="898"/>
      <c r="AH686" s="898"/>
      <c r="AI686" s="898"/>
      <c r="AJ686" s="898"/>
      <c r="AK686" s="898"/>
      <c r="AL686" s="898"/>
      <c r="AM686" s="897"/>
      <c r="AN686" s="897"/>
      <c r="AO686" s="897"/>
      <c r="AP686" s="897"/>
      <c r="AQ686" s="897"/>
      <c r="AR686" s="897"/>
      <c r="AS686" s="897"/>
      <c r="AT686" s="897"/>
    </row>
    <row r="687" spans="1:46" s="930" customFormat="1">
      <c r="A687" s="892"/>
      <c r="B687" s="899"/>
      <c r="C687" s="900"/>
      <c r="D687" s="894"/>
      <c r="E687" s="936"/>
      <c r="F687" s="905"/>
      <c r="G687" s="896"/>
      <c r="H687" s="897"/>
      <c r="I687" s="897"/>
      <c r="J687" s="897"/>
      <c r="K687" s="897"/>
      <c r="L687" s="898"/>
      <c r="M687" s="898"/>
      <c r="N687" s="898"/>
      <c r="O687" s="898"/>
      <c r="P687" s="898"/>
      <c r="Q687" s="898"/>
      <c r="R687" s="898"/>
      <c r="S687" s="898"/>
      <c r="T687" s="898"/>
      <c r="U687" s="898"/>
      <c r="V687" s="898"/>
      <c r="W687" s="898"/>
      <c r="X687" s="898"/>
      <c r="Y687" s="898"/>
      <c r="Z687" s="898"/>
      <c r="AA687" s="898"/>
      <c r="AB687" s="898"/>
      <c r="AC687" s="898"/>
      <c r="AD687" s="898"/>
      <c r="AE687" s="898"/>
      <c r="AF687" s="898"/>
      <c r="AG687" s="898"/>
      <c r="AH687" s="898"/>
      <c r="AI687" s="898"/>
      <c r="AJ687" s="898"/>
      <c r="AK687" s="898"/>
      <c r="AL687" s="898"/>
      <c r="AM687" s="897"/>
      <c r="AN687" s="897"/>
      <c r="AO687" s="897"/>
      <c r="AP687" s="897"/>
      <c r="AQ687" s="897"/>
      <c r="AR687" s="897"/>
      <c r="AS687" s="897"/>
      <c r="AT687" s="897"/>
    </row>
    <row r="688" spans="1:46" s="930" customFormat="1">
      <c r="A688" s="892"/>
      <c r="B688" s="899"/>
      <c r="C688" s="900"/>
      <c r="D688" s="894"/>
      <c r="E688" s="936"/>
      <c r="F688" s="905"/>
      <c r="G688" s="896"/>
      <c r="H688" s="897"/>
      <c r="I688" s="897"/>
      <c r="J688" s="897"/>
      <c r="K688" s="897"/>
      <c r="L688" s="898"/>
      <c r="M688" s="898"/>
      <c r="N688" s="898"/>
      <c r="O688" s="898"/>
      <c r="P688" s="898"/>
      <c r="Q688" s="898"/>
      <c r="R688" s="898"/>
      <c r="S688" s="898"/>
      <c r="T688" s="898"/>
      <c r="U688" s="898"/>
      <c r="V688" s="898"/>
      <c r="W688" s="898"/>
      <c r="X688" s="898"/>
      <c r="Y688" s="898"/>
      <c r="Z688" s="898"/>
      <c r="AA688" s="898"/>
      <c r="AB688" s="898"/>
      <c r="AC688" s="898"/>
      <c r="AD688" s="898"/>
      <c r="AE688" s="898"/>
      <c r="AF688" s="898"/>
      <c r="AG688" s="898"/>
      <c r="AH688" s="898"/>
      <c r="AI688" s="898"/>
      <c r="AJ688" s="898"/>
      <c r="AK688" s="898"/>
      <c r="AL688" s="898"/>
      <c r="AM688" s="897"/>
      <c r="AN688" s="897"/>
      <c r="AO688" s="897"/>
      <c r="AP688" s="897"/>
      <c r="AQ688" s="897"/>
      <c r="AR688" s="897"/>
      <c r="AS688" s="897"/>
      <c r="AT688" s="897"/>
    </row>
    <row r="689" spans="1:46" s="930" customFormat="1">
      <c r="A689" s="892"/>
      <c r="B689" s="899"/>
      <c r="C689" s="900"/>
      <c r="D689" s="894"/>
      <c r="E689" s="936"/>
      <c r="F689" s="905"/>
      <c r="G689" s="896"/>
      <c r="H689" s="897"/>
      <c r="I689" s="897"/>
      <c r="J689" s="897"/>
      <c r="K689" s="897"/>
      <c r="L689" s="898"/>
      <c r="M689" s="898"/>
      <c r="N689" s="898"/>
      <c r="O689" s="898"/>
      <c r="P689" s="898"/>
      <c r="Q689" s="898"/>
      <c r="R689" s="898"/>
      <c r="S689" s="898"/>
      <c r="T689" s="898"/>
      <c r="U689" s="898"/>
      <c r="V689" s="898"/>
      <c r="W689" s="898"/>
      <c r="X689" s="898"/>
      <c r="Y689" s="898"/>
      <c r="Z689" s="898"/>
      <c r="AA689" s="898"/>
      <c r="AB689" s="898"/>
      <c r="AC689" s="898"/>
      <c r="AD689" s="898"/>
      <c r="AE689" s="898"/>
      <c r="AF689" s="898"/>
      <c r="AG689" s="898"/>
      <c r="AH689" s="898"/>
      <c r="AI689" s="898"/>
      <c r="AJ689" s="898"/>
      <c r="AK689" s="898"/>
      <c r="AL689" s="898"/>
      <c r="AM689" s="897"/>
      <c r="AN689" s="897"/>
      <c r="AO689" s="897"/>
      <c r="AP689" s="897"/>
      <c r="AQ689" s="897"/>
      <c r="AR689" s="897"/>
      <c r="AS689" s="897"/>
      <c r="AT689" s="897"/>
    </row>
    <row r="690" spans="1:46" s="930" customFormat="1">
      <c r="A690" s="892"/>
      <c r="B690" s="899"/>
      <c r="C690" s="900"/>
      <c r="D690" s="894"/>
      <c r="E690" s="936"/>
      <c r="F690" s="905"/>
      <c r="G690" s="896"/>
      <c r="H690" s="897"/>
      <c r="I690" s="897"/>
      <c r="J690" s="897"/>
      <c r="K690" s="897"/>
      <c r="L690" s="898"/>
      <c r="M690" s="898"/>
      <c r="N690" s="898"/>
      <c r="O690" s="898"/>
      <c r="P690" s="898"/>
      <c r="Q690" s="898"/>
      <c r="R690" s="898"/>
      <c r="S690" s="898"/>
      <c r="T690" s="898"/>
      <c r="U690" s="898"/>
      <c r="V690" s="898"/>
      <c r="W690" s="898"/>
      <c r="X690" s="898"/>
      <c r="Y690" s="898"/>
      <c r="Z690" s="898"/>
      <c r="AA690" s="898"/>
      <c r="AB690" s="898"/>
      <c r="AC690" s="898"/>
      <c r="AD690" s="898"/>
      <c r="AE690" s="898"/>
      <c r="AF690" s="898"/>
      <c r="AG690" s="898"/>
      <c r="AH690" s="898"/>
      <c r="AI690" s="898"/>
      <c r="AJ690" s="898"/>
      <c r="AK690" s="898"/>
      <c r="AL690" s="898"/>
      <c r="AM690" s="897"/>
      <c r="AN690" s="897"/>
      <c r="AO690" s="897"/>
      <c r="AP690" s="897"/>
      <c r="AQ690" s="897"/>
      <c r="AR690" s="897"/>
      <c r="AS690" s="897"/>
      <c r="AT690" s="897"/>
    </row>
    <row r="691" spans="1:46" s="930" customFormat="1">
      <c r="A691" s="892"/>
      <c r="B691" s="899"/>
      <c r="C691" s="900"/>
      <c r="D691" s="894"/>
      <c r="E691" s="936"/>
      <c r="F691" s="905"/>
      <c r="G691" s="896"/>
      <c r="H691" s="897"/>
      <c r="I691" s="897"/>
      <c r="J691" s="897"/>
      <c r="K691" s="897"/>
      <c r="L691" s="898"/>
      <c r="M691" s="898"/>
      <c r="N691" s="898"/>
      <c r="O691" s="898"/>
      <c r="P691" s="898"/>
      <c r="Q691" s="898"/>
      <c r="R691" s="898"/>
      <c r="S691" s="898"/>
      <c r="T691" s="898"/>
      <c r="U691" s="898"/>
      <c r="V691" s="898"/>
      <c r="W691" s="898"/>
      <c r="X691" s="898"/>
      <c r="Y691" s="898"/>
      <c r="Z691" s="898"/>
      <c r="AA691" s="898"/>
      <c r="AB691" s="898"/>
      <c r="AC691" s="898"/>
      <c r="AD691" s="898"/>
      <c r="AE691" s="898"/>
      <c r="AF691" s="898"/>
      <c r="AG691" s="898"/>
      <c r="AH691" s="898"/>
      <c r="AI691" s="898"/>
      <c r="AJ691" s="898"/>
      <c r="AK691" s="898"/>
      <c r="AL691" s="898"/>
      <c r="AM691" s="897"/>
      <c r="AN691" s="897"/>
      <c r="AO691" s="897"/>
      <c r="AP691" s="897"/>
      <c r="AQ691" s="897"/>
      <c r="AR691" s="897"/>
      <c r="AS691" s="897"/>
      <c r="AT691" s="897"/>
    </row>
    <row r="692" spans="1:46" s="930" customFormat="1">
      <c r="A692" s="892"/>
      <c r="B692" s="899"/>
      <c r="C692" s="900"/>
      <c r="D692" s="894"/>
      <c r="E692" s="936"/>
      <c r="F692" s="905"/>
      <c r="G692" s="896"/>
      <c r="H692" s="897"/>
      <c r="I692" s="897"/>
      <c r="J692" s="897"/>
      <c r="K692" s="897"/>
      <c r="L692" s="898"/>
      <c r="M692" s="898"/>
      <c r="N692" s="898"/>
      <c r="O692" s="898"/>
      <c r="P692" s="898"/>
      <c r="Q692" s="898"/>
      <c r="R692" s="898"/>
      <c r="S692" s="898"/>
      <c r="T692" s="898"/>
      <c r="U692" s="898"/>
      <c r="V692" s="898"/>
      <c r="W692" s="898"/>
      <c r="X692" s="898"/>
      <c r="Y692" s="898"/>
      <c r="Z692" s="898"/>
      <c r="AA692" s="898"/>
      <c r="AB692" s="898"/>
      <c r="AC692" s="898"/>
      <c r="AD692" s="898"/>
      <c r="AE692" s="898"/>
      <c r="AF692" s="898"/>
      <c r="AG692" s="898"/>
      <c r="AH692" s="898"/>
      <c r="AI692" s="898"/>
      <c r="AJ692" s="898"/>
      <c r="AK692" s="898"/>
      <c r="AL692" s="898"/>
      <c r="AM692" s="897"/>
      <c r="AN692" s="897"/>
      <c r="AO692" s="897"/>
      <c r="AP692" s="897"/>
      <c r="AQ692" s="897"/>
      <c r="AR692" s="897"/>
      <c r="AS692" s="897"/>
      <c r="AT692" s="897"/>
    </row>
    <row r="693" spans="1:46" s="930" customFormat="1">
      <c r="A693" s="892"/>
      <c r="B693" s="899"/>
      <c r="C693" s="900"/>
      <c r="D693" s="894"/>
      <c r="E693" s="936"/>
      <c r="F693" s="905"/>
      <c r="G693" s="896"/>
      <c r="H693" s="897"/>
      <c r="I693" s="897"/>
      <c r="J693" s="897"/>
      <c r="K693" s="897"/>
      <c r="L693" s="898"/>
      <c r="M693" s="898"/>
      <c r="N693" s="898"/>
      <c r="O693" s="898"/>
      <c r="P693" s="898"/>
      <c r="Q693" s="898"/>
      <c r="R693" s="898"/>
      <c r="S693" s="898"/>
      <c r="T693" s="898"/>
      <c r="U693" s="898"/>
      <c r="V693" s="898"/>
      <c r="W693" s="898"/>
      <c r="X693" s="898"/>
      <c r="Y693" s="898"/>
      <c r="Z693" s="898"/>
      <c r="AA693" s="898"/>
      <c r="AB693" s="898"/>
      <c r="AC693" s="898"/>
      <c r="AD693" s="898"/>
      <c r="AE693" s="898"/>
      <c r="AF693" s="898"/>
      <c r="AG693" s="898"/>
      <c r="AH693" s="898"/>
      <c r="AI693" s="898"/>
      <c r="AJ693" s="898"/>
      <c r="AK693" s="898"/>
      <c r="AL693" s="898"/>
      <c r="AM693" s="897"/>
      <c r="AN693" s="897"/>
      <c r="AO693" s="897"/>
      <c r="AP693" s="897"/>
      <c r="AQ693" s="897"/>
      <c r="AR693" s="897"/>
      <c r="AS693" s="897"/>
      <c r="AT693" s="897"/>
    </row>
    <row r="694" spans="1:46" s="930" customFormat="1">
      <c r="A694" s="892"/>
      <c r="B694" s="899"/>
      <c r="C694" s="900"/>
      <c r="D694" s="894"/>
      <c r="E694" s="936"/>
      <c r="F694" s="905"/>
      <c r="G694" s="896"/>
      <c r="H694" s="897"/>
      <c r="I694" s="897"/>
      <c r="J694" s="897"/>
      <c r="K694" s="897"/>
      <c r="L694" s="898"/>
      <c r="M694" s="898"/>
      <c r="N694" s="898"/>
      <c r="O694" s="898"/>
      <c r="P694" s="898"/>
      <c r="Q694" s="898"/>
      <c r="R694" s="898"/>
      <c r="S694" s="898"/>
      <c r="T694" s="898"/>
      <c r="U694" s="898"/>
      <c r="V694" s="898"/>
      <c r="W694" s="898"/>
      <c r="X694" s="898"/>
      <c r="Y694" s="898"/>
      <c r="Z694" s="898"/>
      <c r="AA694" s="898"/>
      <c r="AB694" s="898"/>
      <c r="AC694" s="898"/>
      <c r="AD694" s="898"/>
      <c r="AE694" s="898"/>
      <c r="AF694" s="898"/>
      <c r="AG694" s="898"/>
      <c r="AH694" s="898"/>
      <c r="AI694" s="898"/>
      <c r="AJ694" s="898"/>
      <c r="AK694" s="898"/>
      <c r="AL694" s="898"/>
      <c r="AM694" s="897"/>
      <c r="AN694" s="897"/>
      <c r="AO694" s="897"/>
      <c r="AP694" s="897"/>
      <c r="AQ694" s="897"/>
      <c r="AR694" s="897"/>
      <c r="AS694" s="897"/>
      <c r="AT694" s="897"/>
    </row>
    <row r="695" spans="1:46" s="930" customFormat="1">
      <c r="A695" s="892"/>
      <c r="B695" s="899"/>
      <c r="C695" s="900"/>
      <c r="D695" s="894"/>
      <c r="E695" s="936"/>
      <c r="F695" s="905"/>
      <c r="G695" s="896"/>
      <c r="H695" s="897"/>
      <c r="I695" s="897"/>
      <c r="J695" s="897"/>
      <c r="K695" s="897"/>
      <c r="L695" s="898"/>
      <c r="M695" s="898"/>
      <c r="N695" s="898"/>
      <c r="O695" s="898"/>
      <c r="P695" s="898"/>
      <c r="Q695" s="898"/>
      <c r="R695" s="898"/>
      <c r="S695" s="898"/>
      <c r="T695" s="898"/>
      <c r="U695" s="898"/>
      <c r="V695" s="898"/>
      <c r="W695" s="898"/>
      <c r="X695" s="898"/>
      <c r="Y695" s="898"/>
      <c r="Z695" s="898"/>
      <c r="AA695" s="898"/>
      <c r="AB695" s="898"/>
      <c r="AC695" s="898"/>
      <c r="AD695" s="898"/>
      <c r="AE695" s="898"/>
      <c r="AF695" s="898"/>
      <c r="AG695" s="898"/>
      <c r="AH695" s="898"/>
      <c r="AI695" s="898"/>
      <c r="AJ695" s="898"/>
      <c r="AK695" s="898"/>
      <c r="AL695" s="898"/>
      <c r="AM695" s="897"/>
      <c r="AN695" s="897"/>
      <c r="AO695" s="897"/>
      <c r="AP695" s="897"/>
      <c r="AQ695" s="897"/>
      <c r="AR695" s="897"/>
      <c r="AS695" s="897"/>
      <c r="AT695" s="897"/>
    </row>
    <row r="696" spans="1:46" s="930" customFormat="1">
      <c r="A696" s="892"/>
      <c r="B696" s="899"/>
      <c r="C696" s="900"/>
      <c r="D696" s="894"/>
      <c r="E696" s="936"/>
      <c r="F696" s="905"/>
      <c r="G696" s="896"/>
      <c r="H696" s="897"/>
      <c r="I696" s="897"/>
      <c r="J696" s="897"/>
      <c r="K696" s="897"/>
      <c r="L696" s="898"/>
      <c r="M696" s="898"/>
      <c r="N696" s="898"/>
      <c r="O696" s="898"/>
      <c r="P696" s="898"/>
      <c r="Q696" s="898"/>
      <c r="R696" s="898"/>
      <c r="S696" s="898"/>
      <c r="T696" s="898"/>
      <c r="U696" s="898"/>
      <c r="V696" s="898"/>
      <c r="W696" s="898"/>
      <c r="X696" s="898"/>
      <c r="Y696" s="898"/>
      <c r="Z696" s="898"/>
      <c r="AA696" s="898"/>
      <c r="AB696" s="898"/>
      <c r="AC696" s="898"/>
      <c r="AD696" s="898"/>
      <c r="AE696" s="898"/>
      <c r="AF696" s="898"/>
      <c r="AG696" s="898"/>
      <c r="AH696" s="898"/>
      <c r="AI696" s="898"/>
      <c r="AJ696" s="898"/>
      <c r="AK696" s="898"/>
      <c r="AL696" s="898"/>
      <c r="AM696" s="897"/>
      <c r="AN696" s="897"/>
      <c r="AO696" s="897"/>
      <c r="AP696" s="897"/>
      <c r="AQ696" s="897"/>
      <c r="AR696" s="897"/>
      <c r="AS696" s="897"/>
      <c r="AT696" s="897"/>
    </row>
    <row r="697" spans="1:46" s="930" customFormat="1">
      <c r="A697" s="892"/>
      <c r="B697" s="899"/>
      <c r="C697" s="900"/>
      <c r="D697" s="894"/>
      <c r="E697" s="936"/>
      <c r="F697" s="905"/>
      <c r="G697" s="896"/>
      <c r="H697" s="897"/>
      <c r="I697" s="897"/>
      <c r="J697" s="897"/>
      <c r="K697" s="897"/>
      <c r="L697" s="898"/>
      <c r="M697" s="898"/>
      <c r="N697" s="898"/>
      <c r="O697" s="898"/>
      <c r="P697" s="898"/>
      <c r="Q697" s="898"/>
      <c r="R697" s="898"/>
      <c r="S697" s="898"/>
      <c r="T697" s="898"/>
      <c r="U697" s="898"/>
      <c r="V697" s="898"/>
      <c r="W697" s="898"/>
      <c r="X697" s="898"/>
      <c r="Y697" s="898"/>
      <c r="Z697" s="898"/>
      <c r="AA697" s="898"/>
      <c r="AB697" s="898"/>
      <c r="AC697" s="898"/>
      <c r="AD697" s="898"/>
      <c r="AE697" s="898"/>
      <c r="AF697" s="898"/>
      <c r="AG697" s="898"/>
      <c r="AH697" s="898"/>
      <c r="AI697" s="898"/>
      <c r="AJ697" s="898"/>
      <c r="AK697" s="898"/>
      <c r="AL697" s="898"/>
      <c r="AM697" s="897"/>
      <c r="AN697" s="897"/>
      <c r="AO697" s="897"/>
      <c r="AP697" s="897"/>
      <c r="AQ697" s="897"/>
      <c r="AR697" s="897"/>
      <c r="AS697" s="897"/>
      <c r="AT697" s="897"/>
    </row>
    <row r="698" spans="1:46" s="930" customFormat="1">
      <c r="A698" s="892"/>
      <c r="B698" s="899"/>
      <c r="C698" s="900"/>
      <c r="D698" s="894"/>
      <c r="E698" s="936"/>
      <c r="F698" s="905"/>
      <c r="G698" s="896"/>
      <c r="H698" s="897"/>
      <c r="I698" s="897"/>
      <c r="J698" s="897"/>
      <c r="K698" s="897"/>
      <c r="L698" s="898"/>
      <c r="M698" s="898"/>
      <c r="N698" s="898"/>
      <c r="O698" s="898"/>
      <c r="P698" s="898"/>
      <c r="Q698" s="898"/>
      <c r="R698" s="898"/>
      <c r="S698" s="898"/>
      <c r="T698" s="898"/>
      <c r="U698" s="898"/>
      <c r="V698" s="898"/>
      <c r="W698" s="898"/>
      <c r="X698" s="898"/>
      <c r="Y698" s="898"/>
      <c r="Z698" s="898"/>
      <c r="AA698" s="898"/>
      <c r="AB698" s="898"/>
      <c r="AC698" s="898"/>
      <c r="AD698" s="898"/>
      <c r="AE698" s="898"/>
      <c r="AF698" s="898"/>
      <c r="AG698" s="898"/>
      <c r="AH698" s="898"/>
      <c r="AI698" s="898"/>
      <c r="AJ698" s="898"/>
      <c r="AK698" s="898"/>
      <c r="AL698" s="898"/>
      <c r="AM698" s="897"/>
      <c r="AN698" s="897"/>
      <c r="AO698" s="897"/>
      <c r="AP698" s="897"/>
      <c r="AQ698" s="897"/>
      <c r="AR698" s="897"/>
      <c r="AS698" s="897"/>
      <c r="AT698" s="897"/>
    </row>
    <row r="699" spans="1:46" s="930" customFormat="1">
      <c r="A699" s="892"/>
      <c r="B699" s="899"/>
      <c r="C699" s="900"/>
      <c r="D699" s="894"/>
      <c r="E699" s="936"/>
      <c r="F699" s="905"/>
      <c r="G699" s="896"/>
      <c r="H699" s="897"/>
      <c r="I699" s="897"/>
      <c r="J699" s="897"/>
      <c r="K699" s="897"/>
      <c r="L699" s="898"/>
      <c r="M699" s="898"/>
      <c r="N699" s="898"/>
      <c r="O699" s="898"/>
      <c r="P699" s="898"/>
      <c r="Q699" s="898"/>
      <c r="R699" s="898"/>
      <c r="S699" s="898"/>
      <c r="T699" s="898"/>
      <c r="U699" s="898"/>
      <c r="V699" s="898"/>
      <c r="W699" s="898"/>
      <c r="X699" s="898"/>
      <c r="Y699" s="898"/>
      <c r="Z699" s="898"/>
      <c r="AA699" s="898"/>
      <c r="AB699" s="898"/>
      <c r="AC699" s="898"/>
      <c r="AD699" s="898"/>
      <c r="AE699" s="898"/>
      <c r="AF699" s="898"/>
      <c r="AG699" s="898"/>
      <c r="AH699" s="898"/>
      <c r="AI699" s="898"/>
      <c r="AJ699" s="898"/>
      <c r="AK699" s="898"/>
      <c r="AL699" s="898"/>
      <c r="AM699" s="897"/>
      <c r="AN699" s="897"/>
      <c r="AO699" s="897"/>
      <c r="AP699" s="897"/>
      <c r="AQ699" s="897"/>
      <c r="AR699" s="897"/>
      <c r="AS699" s="897"/>
      <c r="AT699" s="897"/>
    </row>
    <row r="700" spans="1:46" s="930" customFormat="1">
      <c r="A700" s="892"/>
      <c r="B700" s="899"/>
      <c r="C700" s="900"/>
      <c r="D700" s="894"/>
      <c r="E700" s="936"/>
      <c r="F700" s="905"/>
      <c r="G700" s="896"/>
      <c r="H700" s="897"/>
      <c r="I700" s="897"/>
      <c r="J700" s="897"/>
      <c r="K700" s="897"/>
      <c r="L700" s="898"/>
      <c r="M700" s="898"/>
      <c r="N700" s="898"/>
      <c r="O700" s="898"/>
      <c r="P700" s="898"/>
      <c r="Q700" s="898"/>
      <c r="R700" s="898"/>
      <c r="S700" s="898"/>
      <c r="T700" s="898"/>
      <c r="U700" s="898"/>
      <c r="V700" s="898"/>
      <c r="W700" s="898"/>
      <c r="X700" s="898"/>
      <c r="Y700" s="898"/>
      <c r="Z700" s="898"/>
      <c r="AA700" s="898"/>
      <c r="AB700" s="898"/>
      <c r="AC700" s="898"/>
      <c r="AD700" s="898"/>
      <c r="AE700" s="898"/>
      <c r="AF700" s="898"/>
      <c r="AG700" s="898"/>
      <c r="AH700" s="898"/>
      <c r="AI700" s="898"/>
      <c r="AJ700" s="898"/>
      <c r="AK700" s="898"/>
      <c r="AL700" s="898"/>
      <c r="AM700" s="897"/>
      <c r="AN700" s="897"/>
      <c r="AO700" s="897"/>
      <c r="AP700" s="897"/>
      <c r="AQ700" s="897"/>
      <c r="AR700" s="897"/>
      <c r="AS700" s="897"/>
      <c r="AT700" s="897"/>
    </row>
    <row r="701" spans="1:46" s="930" customFormat="1">
      <c r="A701" s="892"/>
      <c r="B701" s="899"/>
      <c r="C701" s="900"/>
      <c r="D701" s="894"/>
      <c r="E701" s="936"/>
      <c r="F701" s="905"/>
      <c r="G701" s="896"/>
      <c r="H701" s="897"/>
      <c r="I701" s="897"/>
      <c r="J701" s="897"/>
      <c r="K701" s="897"/>
      <c r="L701" s="898"/>
      <c r="M701" s="898"/>
      <c r="N701" s="898"/>
      <c r="O701" s="898"/>
      <c r="P701" s="898"/>
      <c r="Q701" s="898"/>
      <c r="R701" s="898"/>
      <c r="S701" s="898"/>
      <c r="T701" s="898"/>
      <c r="U701" s="898"/>
      <c r="V701" s="898"/>
      <c r="W701" s="898"/>
      <c r="X701" s="898"/>
      <c r="Y701" s="898"/>
      <c r="Z701" s="898"/>
      <c r="AA701" s="898"/>
      <c r="AB701" s="898"/>
      <c r="AC701" s="898"/>
      <c r="AD701" s="898"/>
      <c r="AE701" s="898"/>
      <c r="AF701" s="898"/>
      <c r="AG701" s="898"/>
      <c r="AH701" s="898"/>
      <c r="AI701" s="898"/>
      <c r="AJ701" s="898"/>
      <c r="AK701" s="898"/>
      <c r="AL701" s="898"/>
      <c r="AM701" s="897"/>
      <c r="AN701" s="897"/>
      <c r="AO701" s="897"/>
      <c r="AP701" s="897"/>
      <c r="AQ701" s="897"/>
      <c r="AR701" s="897"/>
      <c r="AS701" s="897"/>
      <c r="AT701" s="897"/>
    </row>
    <row r="702" spans="1:46" s="930" customFormat="1">
      <c r="A702" s="892"/>
      <c r="B702" s="899"/>
      <c r="C702" s="900"/>
      <c r="D702" s="894"/>
      <c r="E702" s="936"/>
      <c r="F702" s="905"/>
      <c r="G702" s="896"/>
      <c r="H702" s="897"/>
      <c r="I702" s="897"/>
      <c r="J702" s="897"/>
      <c r="K702" s="897"/>
      <c r="L702" s="898"/>
      <c r="M702" s="898"/>
      <c r="N702" s="898"/>
      <c r="O702" s="898"/>
      <c r="P702" s="898"/>
      <c r="Q702" s="898"/>
      <c r="R702" s="898"/>
      <c r="S702" s="898"/>
      <c r="T702" s="898"/>
      <c r="U702" s="898"/>
      <c r="V702" s="898"/>
      <c r="W702" s="898"/>
      <c r="X702" s="898"/>
      <c r="Y702" s="898"/>
      <c r="Z702" s="898"/>
      <c r="AA702" s="898"/>
      <c r="AB702" s="898"/>
      <c r="AC702" s="898"/>
      <c r="AD702" s="898"/>
      <c r="AE702" s="898"/>
      <c r="AF702" s="898"/>
      <c r="AG702" s="898"/>
      <c r="AH702" s="898"/>
      <c r="AI702" s="898"/>
      <c r="AJ702" s="898"/>
      <c r="AK702" s="898"/>
      <c r="AL702" s="898"/>
      <c r="AM702" s="897"/>
      <c r="AN702" s="897"/>
      <c r="AO702" s="897"/>
      <c r="AP702" s="897"/>
      <c r="AQ702" s="897"/>
      <c r="AR702" s="897"/>
      <c r="AS702" s="897"/>
      <c r="AT702" s="897"/>
    </row>
    <row r="703" spans="1:46" s="930" customFormat="1">
      <c r="A703" s="892"/>
      <c r="B703" s="899"/>
      <c r="C703" s="900"/>
      <c r="D703" s="894"/>
      <c r="E703" s="936"/>
      <c r="F703" s="905"/>
      <c r="G703" s="896"/>
      <c r="H703" s="897"/>
      <c r="I703" s="897"/>
      <c r="J703" s="897"/>
      <c r="K703" s="897"/>
      <c r="L703" s="898"/>
      <c r="M703" s="898"/>
      <c r="N703" s="898"/>
      <c r="O703" s="898"/>
      <c r="P703" s="898"/>
      <c r="Q703" s="898"/>
      <c r="R703" s="898"/>
      <c r="S703" s="898"/>
      <c r="T703" s="898"/>
      <c r="U703" s="898"/>
      <c r="V703" s="898"/>
      <c r="W703" s="898"/>
      <c r="X703" s="898"/>
      <c r="Y703" s="898"/>
      <c r="Z703" s="898"/>
      <c r="AA703" s="898"/>
      <c r="AB703" s="898"/>
      <c r="AC703" s="898"/>
      <c r="AD703" s="898"/>
      <c r="AE703" s="898"/>
      <c r="AF703" s="898"/>
      <c r="AG703" s="898"/>
      <c r="AH703" s="898"/>
      <c r="AI703" s="898"/>
      <c r="AJ703" s="898"/>
      <c r="AK703" s="898"/>
      <c r="AL703" s="898"/>
      <c r="AM703" s="897"/>
      <c r="AN703" s="897"/>
      <c r="AO703" s="897"/>
      <c r="AP703" s="897"/>
      <c r="AQ703" s="897"/>
      <c r="AR703" s="897"/>
      <c r="AS703" s="897"/>
      <c r="AT703" s="897"/>
    </row>
    <row r="704" spans="1:46" s="930" customFormat="1">
      <c r="A704" s="892"/>
      <c r="B704" s="899"/>
      <c r="C704" s="900"/>
      <c r="D704" s="894"/>
      <c r="E704" s="936"/>
      <c r="F704" s="905"/>
      <c r="G704" s="896"/>
      <c r="H704" s="897"/>
      <c r="I704" s="897"/>
      <c r="J704" s="897"/>
      <c r="K704" s="897"/>
      <c r="L704" s="898"/>
      <c r="M704" s="898"/>
      <c r="N704" s="898"/>
      <c r="O704" s="898"/>
      <c r="P704" s="898"/>
      <c r="Q704" s="898"/>
      <c r="R704" s="898"/>
      <c r="S704" s="898"/>
      <c r="T704" s="898"/>
      <c r="U704" s="898"/>
      <c r="V704" s="898"/>
      <c r="W704" s="898"/>
      <c r="X704" s="898"/>
      <c r="Y704" s="898"/>
      <c r="Z704" s="898"/>
      <c r="AA704" s="898"/>
      <c r="AB704" s="898"/>
      <c r="AC704" s="898"/>
      <c r="AD704" s="898"/>
      <c r="AE704" s="898"/>
      <c r="AF704" s="898"/>
      <c r="AG704" s="898"/>
      <c r="AH704" s="898"/>
      <c r="AI704" s="898"/>
      <c r="AJ704" s="898"/>
      <c r="AK704" s="898"/>
      <c r="AL704" s="898"/>
      <c r="AM704" s="897"/>
      <c r="AN704" s="897"/>
      <c r="AO704" s="897"/>
      <c r="AP704" s="897"/>
      <c r="AQ704" s="897"/>
      <c r="AR704" s="897"/>
      <c r="AS704" s="897"/>
      <c r="AT704" s="897"/>
    </row>
    <row r="705" spans="1:46" s="930" customFormat="1">
      <c r="A705" s="892"/>
      <c r="B705" s="899"/>
      <c r="C705" s="900"/>
      <c r="D705" s="894"/>
      <c r="E705" s="936"/>
      <c r="F705" s="905"/>
      <c r="G705" s="896"/>
      <c r="H705" s="897"/>
      <c r="I705" s="897"/>
      <c r="J705" s="897"/>
      <c r="K705" s="897"/>
      <c r="L705" s="898"/>
      <c r="M705" s="898"/>
      <c r="N705" s="898"/>
      <c r="O705" s="898"/>
      <c r="P705" s="898"/>
      <c r="Q705" s="898"/>
      <c r="R705" s="898"/>
      <c r="S705" s="898"/>
      <c r="T705" s="898"/>
      <c r="U705" s="898"/>
      <c r="V705" s="898"/>
      <c r="W705" s="898"/>
      <c r="X705" s="898"/>
      <c r="Y705" s="898"/>
      <c r="Z705" s="898"/>
      <c r="AA705" s="898"/>
      <c r="AB705" s="898"/>
      <c r="AC705" s="898"/>
      <c r="AD705" s="898"/>
      <c r="AE705" s="898"/>
      <c r="AF705" s="898"/>
      <c r="AG705" s="898"/>
      <c r="AH705" s="898"/>
      <c r="AI705" s="898"/>
      <c r="AJ705" s="898"/>
      <c r="AK705" s="898"/>
      <c r="AL705" s="898"/>
      <c r="AM705" s="897"/>
      <c r="AN705" s="897"/>
      <c r="AO705" s="897"/>
      <c r="AP705" s="897"/>
      <c r="AQ705" s="897"/>
      <c r="AR705" s="897"/>
      <c r="AS705" s="897"/>
      <c r="AT705" s="897"/>
    </row>
    <row r="706" spans="1:46" s="930" customFormat="1">
      <c r="A706" s="892"/>
      <c r="B706" s="899"/>
      <c r="C706" s="900"/>
      <c r="D706" s="894"/>
      <c r="E706" s="936"/>
      <c r="F706" s="905"/>
      <c r="G706" s="896"/>
      <c r="H706" s="897"/>
      <c r="I706" s="897"/>
      <c r="J706" s="897"/>
      <c r="K706" s="897"/>
      <c r="L706" s="898"/>
      <c r="M706" s="898"/>
      <c r="N706" s="898"/>
      <c r="O706" s="898"/>
      <c r="P706" s="898"/>
      <c r="Q706" s="898"/>
      <c r="R706" s="898"/>
      <c r="S706" s="898"/>
      <c r="T706" s="898"/>
      <c r="U706" s="898"/>
      <c r="V706" s="898"/>
      <c r="W706" s="898"/>
      <c r="X706" s="898"/>
      <c r="Y706" s="898"/>
      <c r="Z706" s="898"/>
      <c r="AA706" s="898"/>
      <c r="AB706" s="898"/>
      <c r="AC706" s="898"/>
      <c r="AD706" s="898"/>
      <c r="AE706" s="898"/>
      <c r="AF706" s="898"/>
      <c r="AG706" s="898"/>
      <c r="AH706" s="898"/>
      <c r="AI706" s="898"/>
      <c r="AJ706" s="898"/>
      <c r="AK706" s="898"/>
      <c r="AL706" s="898"/>
      <c r="AM706" s="897"/>
      <c r="AN706" s="897"/>
      <c r="AO706" s="897"/>
      <c r="AP706" s="897"/>
      <c r="AQ706" s="897"/>
      <c r="AR706" s="897"/>
      <c r="AS706" s="897"/>
      <c r="AT706" s="897"/>
    </row>
    <row r="707" spans="1:46" s="930" customFormat="1">
      <c r="A707" s="892"/>
      <c r="B707" s="899"/>
      <c r="C707" s="900"/>
      <c r="D707" s="894"/>
      <c r="E707" s="936"/>
      <c r="F707" s="905"/>
      <c r="G707" s="896"/>
      <c r="H707" s="897"/>
      <c r="I707" s="897"/>
      <c r="J707" s="897"/>
      <c r="K707" s="897"/>
      <c r="L707" s="898"/>
      <c r="M707" s="898"/>
      <c r="N707" s="898"/>
      <c r="O707" s="898"/>
      <c r="P707" s="898"/>
      <c r="Q707" s="898"/>
      <c r="R707" s="898"/>
      <c r="S707" s="898"/>
      <c r="T707" s="898"/>
      <c r="U707" s="898"/>
      <c r="V707" s="898"/>
      <c r="W707" s="898"/>
      <c r="X707" s="898"/>
      <c r="Y707" s="898"/>
      <c r="Z707" s="898"/>
      <c r="AA707" s="898"/>
      <c r="AB707" s="898"/>
      <c r="AC707" s="898"/>
      <c r="AD707" s="898"/>
      <c r="AE707" s="898"/>
      <c r="AF707" s="898"/>
      <c r="AG707" s="898"/>
      <c r="AH707" s="898"/>
      <c r="AI707" s="898"/>
      <c r="AJ707" s="898"/>
      <c r="AK707" s="898"/>
      <c r="AL707" s="898"/>
      <c r="AM707" s="897"/>
      <c r="AN707" s="897"/>
      <c r="AO707" s="897"/>
      <c r="AP707" s="897"/>
      <c r="AQ707" s="897"/>
      <c r="AR707" s="897"/>
      <c r="AS707" s="897"/>
      <c r="AT707" s="897"/>
    </row>
    <row r="708" spans="1:46" s="930" customFormat="1">
      <c r="A708" s="892"/>
      <c r="B708" s="899"/>
      <c r="C708" s="900"/>
      <c r="D708" s="894"/>
      <c r="E708" s="936"/>
      <c r="F708" s="905"/>
      <c r="G708" s="896"/>
      <c r="H708" s="897"/>
      <c r="I708" s="897"/>
      <c r="J708" s="897"/>
      <c r="K708" s="897"/>
      <c r="L708" s="898"/>
      <c r="M708" s="898"/>
      <c r="N708" s="898"/>
      <c r="O708" s="898"/>
      <c r="P708" s="898"/>
      <c r="Q708" s="898"/>
      <c r="R708" s="898"/>
      <c r="S708" s="898"/>
      <c r="T708" s="898"/>
      <c r="U708" s="898"/>
      <c r="V708" s="898"/>
      <c r="W708" s="898"/>
      <c r="X708" s="898"/>
      <c r="Y708" s="898"/>
      <c r="Z708" s="898"/>
      <c r="AA708" s="898"/>
      <c r="AB708" s="898"/>
      <c r="AC708" s="898"/>
      <c r="AD708" s="898"/>
      <c r="AE708" s="898"/>
      <c r="AF708" s="898"/>
      <c r="AG708" s="898"/>
      <c r="AH708" s="898"/>
      <c r="AI708" s="898"/>
      <c r="AJ708" s="898"/>
      <c r="AK708" s="898"/>
      <c r="AL708" s="898"/>
      <c r="AM708" s="897"/>
      <c r="AN708" s="897"/>
      <c r="AO708" s="897"/>
      <c r="AP708" s="897"/>
      <c r="AQ708" s="897"/>
      <c r="AR708" s="897"/>
      <c r="AS708" s="897"/>
      <c r="AT708" s="897"/>
    </row>
    <row r="709" spans="1:46" s="930" customFormat="1">
      <c r="A709" s="892"/>
      <c r="B709" s="899"/>
      <c r="C709" s="900"/>
      <c r="D709" s="894"/>
      <c r="E709" s="936"/>
      <c r="F709" s="905"/>
      <c r="G709" s="896"/>
      <c r="H709" s="897"/>
      <c r="I709" s="897"/>
      <c r="J709" s="897"/>
      <c r="K709" s="897"/>
      <c r="L709" s="898"/>
      <c r="M709" s="898"/>
      <c r="N709" s="898"/>
      <c r="O709" s="898"/>
      <c r="P709" s="898"/>
      <c r="Q709" s="898"/>
      <c r="R709" s="898"/>
      <c r="S709" s="898"/>
      <c r="T709" s="898"/>
      <c r="U709" s="898"/>
      <c r="V709" s="898"/>
      <c r="W709" s="898"/>
      <c r="X709" s="898"/>
      <c r="Y709" s="898"/>
      <c r="Z709" s="898"/>
      <c r="AA709" s="898"/>
      <c r="AB709" s="898"/>
      <c r="AC709" s="898"/>
      <c r="AD709" s="898"/>
      <c r="AE709" s="898"/>
      <c r="AF709" s="898"/>
      <c r="AG709" s="898"/>
      <c r="AH709" s="898"/>
      <c r="AI709" s="898"/>
      <c r="AJ709" s="898"/>
      <c r="AK709" s="898"/>
      <c r="AL709" s="898"/>
      <c r="AM709" s="897"/>
      <c r="AN709" s="897"/>
      <c r="AO709" s="897"/>
      <c r="AP709" s="897"/>
      <c r="AQ709" s="897"/>
      <c r="AR709" s="897"/>
      <c r="AS709" s="897"/>
      <c r="AT709" s="897"/>
    </row>
    <row r="710" spans="1:46" s="930" customFormat="1">
      <c r="A710" s="892"/>
      <c r="B710" s="899"/>
      <c r="C710" s="900"/>
      <c r="D710" s="894"/>
      <c r="E710" s="936"/>
      <c r="F710" s="905"/>
      <c r="G710" s="896"/>
      <c r="H710" s="897"/>
      <c r="I710" s="897"/>
      <c r="J710" s="897"/>
      <c r="K710" s="897"/>
      <c r="L710" s="898"/>
      <c r="M710" s="898"/>
      <c r="N710" s="898"/>
      <c r="O710" s="898"/>
      <c r="P710" s="898"/>
      <c r="Q710" s="898"/>
      <c r="R710" s="898"/>
      <c r="S710" s="898"/>
      <c r="T710" s="898"/>
      <c r="U710" s="898"/>
      <c r="V710" s="898"/>
      <c r="W710" s="898"/>
      <c r="X710" s="898"/>
      <c r="Y710" s="898"/>
      <c r="Z710" s="898"/>
      <c r="AA710" s="898"/>
      <c r="AB710" s="898"/>
      <c r="AC710" s="898"/>
      <c r="AD710" s="898"/>
      <c r="AE710" s="898"/>
      <c r="AF710" s="898"/>
      <c r="AG710" s="898"/>
      <c r="AH710" s="898"/>
      <c r="AI710" s="898"/>
      <c r="AJ710" s="898"/>
      <c r="AK710" s="898"/>
      <c r="AL710" s="898"/>
      <c r="AM710" s="897"/>
      <c r="AN710" s="897"/>
      <c r="AO710" s="897"/>
      <c r="AP710" s="897"/>
      <c r="AQ710" s="897"/>
      <c r="AR710" s="897"/>
      <c r="AS710" s="897"/>
      <c r="AT710" s="897"/>
    </row>
    <row r="711" spans="1:46" s="930" customFormat="1">
      <c r="A711" s="892"/>
      <c r="B711" s="899"/>
      <c r="C711" s="900"/>
      <c r="D711" s="894"/>
      <c r="E711" s="936"/>
      <c r="F711" s="905"/>
      <c r="G711" s="896"/>
      <c r="H711" s="897"/>
      <c r="I711" s="897"/>
      <c r="J711" s="897"/>
      <c r="K711" s="897"/>
      <c r="L711" s="898"/>
      <c r="M711" s="898"/>
      <c r="N711" s="898"/>
      <c r="O711" s="898"/>
      <c r="P711" s="898"/>
      <c r="Q711" s="898"/>
      <c r="R711" s="898"/>
      <c r="S711" s="898"/>
      <c r="T711" s="898"/>
      <c r="U711" s="898"/>
      <c r="V711" s="898"/>
      <c r="W711" s="898"/>
      <c r="X711" s="898"/>
      <c r="Y711" s="898"/>
      <c r="Z711" s="898"/>
      <c r="AA711" s="898"/>
      <c r="AB711" s="898"/>
      <c r="AC711" s="898"/>
      <c r="AD711" s="898"/>
      <c r="AE711" s="898"/>
      <c r="AF711" s="898"/>
      <c r="AG711" s="898"/>
      <c r="AH711" s="898"/>
      <c r="AI711" s="898"/>
      <c r="AJ711" s="898"/>
      <c r="AK711" s="898"/>
      <c r="AL711" s="898"/>
      <c r="AM711" s="897"/>
      <c r="AN711" s="897"/>
      <c r="AO711" s="897"/>
      <c r="AP711" s="897"/>
      <c r="AQ711" s="897"/>
      <c r="AR711" s="897"/>
      <c r="AS711" s="897"/>
      <c r="AT711" s="897"/>
    </row>
    <row r="712" spans="1:46" s="930" customFormat="1">
      <c r="A712" s="892"/>
      <c r="B712" s="899"/>
      <c r="C712" s="900"/>
      <c r="D712" s="894"/>
      <c r="E712" s="936"/>
      <c r="F712" s="905"/>
      <c r="G712" s="896"/>
      <c r="H712" s="897"/>
      <c r="I712" s="897"/>
      <c r="J712" s="897"/>
      <c r="K712" s="897"/>
      <c r="L712" s="898"/>
      <c r="M712" s="898"/>
      <c r="N712" s="898"/>
      <c r="O712" s="898"/>
      <c r="P712" s="898"/>
      <c r="Q712" s="898"/>
      <c r="R712" s="898"/>
      <c r="S712" s="898"/>
      <c r="T712" s="898"/>
      <c r="U712" s="898"/>
      <c r="V712" s="898"/>
      <c r="W712" s="898"/>
      <c r="X712" s="898"/>
      <c r="Y712" s="898"/>
      <c r="Z712" s="898"/>
      <c r="AA712" s="898"/>
      <c r="AB712" s="898"/>
      <c r="AC712" s="898"/>
      <c r="AD712" s="898"/>
      <c r="AE712" s="898"/>
      <c r="AF712" s="898"/>
      <c r="AG712" s="898"/>
      <c r="AH712" s="898"/>
      <c r="AI712" s="898"/>
      <c r="AJ712" s="898"/>
      <c r="AK712" s="898"/>
      <c r="AL712" s="898"/>
      <c r="AM712" s="897"/>
      <c r="AN712" s="897"/>
      <c r="AO712" s="897"/>
      <c r="AP712" s="897"/>
      <c r="AQ712" s="897"/>
      <c r="AR712" s="897"/>
      <c r="AS712" s="897"/>
      <c r="AT712" s="897"/>
    </row>
    <row r="713" spans="1:46" s="930" customFormat="1">
      <c r="A713" s="892"/>
      <c r="B713" s="899"/>
      <c r="C713" s="900"/>
      <c r="D713" s="894"/>
      <c r="E713" s="936"/>
      <c r="F713" s="905"/>
      <c r="G713" s="896"/>
      <c r="H713" s="897"/>
      <c r="I713" s="897"/>
      <c r="J713" s="897"/>
      <c r="K713" s="897"/>
      <c r="L713" s="898"/>
      <c r="M713" s="898"/>
      <c r="N713" s="898"/>
      <c r="O713" s="898"/>
      <c r="P713" s="898"/>
      <c r="Q713" s="898"/>
      <c r="R713" s="898"/>
      <c r="S713" s="898"/>
      <c r="T713" s="898"/>
      <c r="U713" s="898"/>
      <c r="V713" s="898"/>
      <c r="W713" s="898"/>
      <c r="X713" s="898"/>
      <c r="Y713" s="898"/>
      <c r="Z713" s="898"/>
      <c r="AA713" s="898"/>
      <c r="AB713" s="898"/>
      <c r="AC713" s="898"/>
      <c r="AD713" s="898"/>
      <c r="AE713" s="898"/>
      <c r="AF713" s="898"/>
      <c r="AG713" s="898"/>
      <c r="AH713" s="898"/>
      <c r="AI713" s="898"/>
      <c r="AJ713" s="898"/>
      <c r="AK713" s="898"/>
      <c r="AL713" s="898"/>
      <c r="AM713" s="897"/>
      <c r="AN713" s="897"/>
      <c r="AO713" s="897"/>
      <c r="AP713" s="897"/>
      <c r="AQ713" s="897"/>
      <c r="AR713" s="897"/>
      <c r="AS713" s="897"/>
      <c r="AT713" s="897"/>
    </row>
    <row r="714" spans="1:46" s="930" customFormat="1">
      <c r="A714" s="892"/>
      <c r="B714" s="899"/>
      <c r="C714" s="900"/>
      <c r="D714" s="894"/>
      <c r="E714" s="936"/>
      <c r="F714" s="905"/>
      <c r="G714" s="896"/>
      <c r="H714" s="897"/>
      <c r="I714" s="897"/>
      <c r="J714" s="897"/>
      <c r="K714" s="897"/>
      <c r="L714" s="898"/>
      <c r="M714" s="898"/>
      <c r="N714" s="898"/>
      <c r="O714" s="898"/>
      <c r="P714" s="898"/>
      <c r="Q714" s="898"/>
      <c r="R714" s="898"/>
      <c r="S714" s="898"/>
      <c r="T714" s="898"/>
      <c r="U714" s="898"/>
      <c r="V714" s="898"/>
      <c r="W714" s="898"/>
      <c r="X714" s="898"/>
      <c r="Y714" s="898"/>
      <c r="Z714" s="898"/>
      <c r="AA714" s="898"/>
      <c r="AB714" s="898"/>
      <c r="AC714" s="898"/>
      <c r="AD714" s="898"/>
      <c r="AE714" s="898"/>
      <c r="AF714" s="898"/>
      <c r="AG714" s="898"/>
      <c r="AH714" s="898"/>
      <c r="AI714" s="898"/>
      <c r="AJ714" s="898"/>
      <c r="AK714" s="898"/>
      <c r="AL714" s="898"/>
      <c r="AM714" s="897"/>
      <c r="AN714" s="897"/>
      <c r="AO714" s="897"/>
      <c r="AP714" s="897"/>
      <c r="AQ714" s="897"/>
      <c r="AR714" s="897"/>
      <c r="AS714" s="897"/>
      <c r="AT714" s="897"/>
    </row>
    <row r="715" spans="1:46" s="930" customFormat="1">
      <c r="A715" s="892"/>
      <c r="B715" s="899"/>
      <c r="C715" s="900"/>
      <c r="D715" s="894"/>
      <c r="E715" s="936"/>
      <c r="F715" s="905"/>
      <c r="G715" s="896"/>
      <c r="H715" s="897"/>
      <c r="I715" s="897"/>
      <c r="J715" s="897"/>
      <c r="K715" s="897"/>
      <c r="L715" s="898"/>
      <c r="M715" s="898"/>
      <c r="N715" s="898"/>
      <c r="O715" s="898"/>
      <c r="P715" s="898"/>
      <c r="Q715" s="898"/>
      <c r="R715" s="898"/>
      <c r="S715" s="898"/>
      <c r="T715" s="898"/>
      <c r="U715" s="898"/>
      <c r="V715" s="898"/>
      <c r="W715" s="898"/>
      <c r="X715" s="898"/>
      <c r="Y715" s="898"/>
      <c r="Z715" s="898"/>
      <c r="AA715" s="898"/>
      <c r="AB715" s="898"/>
      <c r="AC715" s="898"/>
      <c r="AD715" s="898"/>
      <c r="AE715" s="898"/>
      <c r="AF715" s="898"/>
      <c r="AG715" s="898"/>
      <c r="AH715" s="898"/>
      <c r="AI715" s="898"/>
      <c r="AJ715" s="898"/>
      <c r="AK715" s="898"/>
      <c r="AL715" s="898"/>
      <c r="AM715" s="897"/>
      <c r="AN715" s="897"/>
      <c r="AO715" s="897"/>
      <c r="AP715" s="897"/>
      <c r="AQ715" s="897"/>
      <c r="AR715" s="897"/>
      <c r="AS715" s="897"/>
      <c r="AT715" s="897"/>
    </row>
    <row r="716" spans="1:46" s="930" customFormat="1">
      <c r="A716" s="892"/>
      <c r="B716" s="899"/>
      <c r="C716" s="900"/>
      <c r="D716" s="894"/>
      <c r="E716" s="936"/>
      <c r="F716" s="905"/>
      <c r="G716" s="896"/>
      <c r="H716" s="897"/>
      <c r="I716" s="897"/>
      <c r="J716" s="897"/>
      <c r="K716" s="897"/>
      <c r="L716" s="898"/>
      <c r="M716" s="898"/>
      <c r="N716" s="898"/>
      <c r="O716" s="898"/>
      <c r="P716" s="898"/>
      <c r="Q716" s="898"/>
      <c r="R716" s="898"/>
      <c r="S716" s="898"/>
      <c r="T716" s="898"/>
      <c r="U716" s="898"/>
      <c r="V716" s="898"/>
      <c r="W716" s="898"/>
      <c r="X716" s="898"/>
      <c r="Y716" s="898"/>
      <c r="Z716" s="898"/>
      <c r="AA716" s="898"/>
      <c r="AB716" s="898"/>
      <c r="AC716" s="898"/>
      <c r="AD716" s="898"/>
      <c r="AE716" s="898"/>
      <c r="AF716" s="898"/>
      <c r="AG716" s="898"/>
      <c r="AH716" s="898"/>
      <c r="AI716" s="898"/>
      <c r="AJ716" s="898"/>
      <c r="AK716" s="898"/>
      <c r="AL716" s="898"/>
      <c r="AM716" s="897"/>
      <c r="AN716" s="897"/>
      <c r="AO716" s="897"/>
      <c r="AP716" s="897"/>
      <c r="AQ716" s="897"/>
      <c r="AR716" s="897"/>
      <c r="AS716" s="897"/>
      <c r="AT716" s="897"/>
    </row>
    <row r="717" spans="1:46" s="930" customFormat="1">
      <c r="A717" s="892"/>
      <c r="B717" s="899"/>
      <c r="C717" s="900"/>
      <c r="D717" s="894"/>
      <c r="E717" s="936"/>
      <c r="F717" s="905"/>
      <c r="G717" s="896"/>
      <c r="H717" s="897"/>
      <c r="I717" s="897"/>
      <c r="J717" s="897"/>
      <c r="K717" s="897"/>
      <c r="L717" s="898"/>
      <c r="M717" s="898"/>
      <c r="N717" s="898"/>
      <c r="O717" s="898"/>
      <c r="P717" s="898"/>
      <c r="Q717" s="898"/>
      <c r="R717" s="898"/>
      <c r="S717" s="898"/>
      <c r="T717" s="898"/>
      <c r="U717" s="898"/>
      <c r="V717" s="898"/>
      <c r="W717" s="898"/>
      <c r="X717" s="898"/>
      <c r="Y717" s="898"/>
      <c r="Z717" s="898"/>
      <c r="AA717" s="898"/>
      <c r="AB717" s="898"/>
      <c r="AC717" s="898"/>
      <c r="AD717" s="898"/>
      <c r="AE717" s="898"/>
      <c r="AF717" s="898"/>
      <c r="AG717" s="898"/>
      <c r="AH717" s="898"/>
      <c r="AI717" s="898"/>
      <c r="AJ717" s="898"/>
      <c r="AK717" s="898"/>
      <c r="AL717" s="898"/>
      <c r="AM717" s="897"/>
      <c r="AN717" s="897"/>
      <c r="AO717" s="897"/>
      <c r="AP717" s="897"/>
      <c r="AQ717" s="897"/>
      <c r="AR717" s="897"/>
      <c r="AS717" s="897"/>
      <c r="AT717" s="897"/>
    </row>
    <row r="718" spans="1:46" s="930" customFormat="1">
      <c r="A718" s="892"/>
      <c r="B718" s="899"/>
      <c r="C718" s="900"/>
      <c r="D718" s="894"/>
      <c r="E718" s="936"/>
      <c r="F718" s="905"/>
      <c r="G718" s="896"/>
      <c r="H718" s="897"/>
      <c r="I718" s="897"/>
      <c r="J718" s="897"/>
      <c r="K718" s="897"/>
      <c r="L718" s="898"/>
      <c r="M718" s="898"/>
      <c r="N718" s="898"/>
      <c r="O718" s="898"/>
      <c r="P718" s="898"/>
      <c r="Q718" s="898"/>
      <c r="R718" s="898"/>
      <c r="S718" s="898"/>
      <c r="T718" s="898"/>
      <c r="U718" s="898"/>
      <c r="V718" s="898"/>
      <c r="W718" s="898"/>
      <c r="X718" s="898"/>
      <c r="Y718" s="898"/>
      <c r="Z718" s="898"/>
      <c r="AA718" s="898"/>
      <c r="AB718" s="898"/>
      <c r="AC718" s="898"/>
      <c r="AD718" s="898"/>
      <c r="AE718" s="898"/>
      <c r="AF718" s="898"/>
      <c r="AG718" s="898"/>
      <c r="AH718" s="898"/>
      <c r="AI718" s="898"/>
      <c r="AJ718" s="898"/>
      <c r="AK718" s="898"/>
      <c r="AL718" s="898"/>
      <c r="AM718" s="897"/>
      <c r="AN718" s="897"/>
      <c r="AO718" s="897"/>
      <c r="AP718" s="897"/>
      <c r="AQ718" s="897"/>
      <c r="AR718" s="897"/>
      <c r="AS718" s="897"/>
      <c r="AT718" s="897"/>
    </row>
    <row r="719" spans="1:46" s="930" customFormat="1">
      <c r="A719" s="892"/>
      <c r="B719" s="899"/>
      <c r="C719" s="900"/>
      <c r="D719" s="894"/>
      <c r="E719" s="936"/>
      <c r="F719" s="905"/>
      <c r="G719" s="896"/>
      <c r="H719" s="897"/>
      <c r="I719" s="897"/>
      <c r="J719" s="897"/>
      <c r="K719" s="897"/>
      <c r="L719" s="898"/>
      <c r="M719" s="898"/>
      <c r="N719" s="898"/>
      <c r="O719" s="898"/>
      <c r="P719" s="898"/>
      <c r="Q719" s="898"/>
      <c r="R719" s="898"/>
      <c r="S719" s="898"/>
      <c r="T719" s="898"/>
      <c r="U719" s="898"/>
      <c r="V719" s="898"/>
      <c r="W719" s="898"/>
      <c r="X719" s="898"/>
      <c r="Y719" s="898"/>
      <c r="Z719" s="898"/>
      <c r="AA719" s="898"/>
      <c r="AB719" s="898"/>
      <c r="AC719" s="898"/>
      <c r="AD719" s="898"/>
      <c r="AE719" s="898"/>
      <c r="AF719" s="898"/>
      <c r="AG719" s="898"/>
      <c r="AH719" s="898"/>
      <c r="AI719" s="898"/>
      <c r="AJ719" s="898"/>
      <c r="AK719" s="898"/>
      <c r="AL719" s="898"/>
      <c r="AM719" s="897"/>
      <c r="AN719" s="897"/>
      <c r="AO719" s="897"/>
      <c r="AP719" s="897"/>
      <c r="AQ719" s="897"/>
      <c r="AR719" s="897"/>
      <c r="AS719" s="897"/>
      <c r="AT719" s="897"/>
    </row>
    <row r="720" spans="1:46" s="930" customFormat="1">
      <c r="A720" s="892"/>
      <c r="B720" s="899"/>
      <c r="C720" s="900"/>
      <c r="D720" s="894"/>
      <c r="E720" s="936"/>
      <c r="F720" s="905"/>
      <c r="G720" s="896"/>
      <c r="H720" s="897"/>
      <c r="I720" s="897"/>
      <c r="J720" s="897"/>
      <c r="K720" s="897"/>
      <c r="L720" s="898"/>
      <c r="M720" s="898"/>
      <c r="N720" s="898"/>
      <c r="O720" s="898"/>
      <c r="P720" s="898"/>
      <c r="Q720" s="898"/>
      <c r="R720" s="898"/>
      <c r="S720" s="898"/>
      <c r="T720" s="898"/>
      <c r="U720" s="898"/>
      <c r="V720" s="898"/>
      <c r="W720" s="898"/>
      <c r="X720" s="898"/>
      <c r="Y720" s="898"/>
      <c r="Z720" s="898"/>
      <c r="AA720" s="898"/>
      <c r="AB720" s="898"/>
      <c r="AC720" s="898"/>
      <c r="AD720" s="898"/>
      <c r="AE720" s="898"/>
      <c r="AF720" s="898"/>
      <c r="AG720" s="898"/>
      <c r="AH720" s="898"/>
      <c r="AI720" s="898"/>
      <c r="AJ720" s="898"/>
      <c r="AK720" s="898"/>
      <c r="AL720" s="898"/>
      <c r="AM720" s="897"/>
      <c r="AN720" s="897"/>
      <c r="AO720" s="897"/>
      <c r="AP720" s="897"/>
      <c r="AQ720" s="897"/>
      <c r="AR720" s="897"/>
      <c r="AS720" s="897"/>
      <c r="AT720" s="897"/>
    </row>
    <row r="721" spans="1:46" s="930" customFormat="1">
      <c r="A721" s="892"/>
      <c r="B721" s="899"/>
      <c r="C721" s="900"/>
      <c r="D721" s="894"/>
      <c r="E721" s="936"/>
      <c r="F721" s="905"/>
      <c r="G721" s="896"/>
      <c r="H721" s="897"/>
      <c r="I721" s="897"/>
      <c r="J721" s="897"/>
      <c r="K721" s="897"/>
      <c r="L721" s="898"/>
      <c r="M721" s="898"/>
      <c r="N721" s="898"/>
      <c r="O721" s="898"/>
      <c r="P721" s="898"/>
      <c r="Q721" s="898"/>
      <c r="R721" s="898"/>
      <c r="S721" s="898"/>
      <c r="T721" s="898"/>
      <c r="U721" s="898"/>
      <c r="V721" s="898"/>
      <c r="W721" s="898"/>
      <c r="X721" s="898"/>
      <c r="Y721" s="898"/>
      <c r="Z721" s="898"/>
      <c r="AA721" s="898"/>
      <c r="AB721" s="898"/>
      <c r="AC721" s="898"/>
      <c r="AD721" s="898"/>
      <c r="AE721" s="898"/>
      <c r="AF721" s="898"/>
      <c r="AG721" s="898"/>
      <c r="AH721" s="898"/>
      <c r="AI721" s="898"/>
      <c r="AJ721" s="898"/>
      <c r="AK721" s="898"/>
      <c r="AL721" s="898"/>
      <c r="AM721" s="897"/>
      <c r="AN721" s="897"/>
      <c r="AO721" s="897"/>
      <c r="AP721" s="897"/>
      <c r="AQ721" s="897"/>
      <c r="AR721" s="897"/>
      <c r="AS721" s="897"/>
      <c r="AT721" s="897"/>
    </row>
    <row r="722" spans="1:46" s="930" customFormat="1">
      <c r="A722" s="892"/>
      <c r="B722" s="899"/>
      <c r="C722" s="900"/>
      <c r="D722" s="894"/>
      <c r="E722" s="936"/>
      <c r="F722" s="905"/>
      <c r="G722" s="896"/>
      <c r="H722" s="897"/>
      <c r="I722" s="897"/>
      <c r="J722" s="897"/>
      <c r="K722" s="897"/>
      <c r="L722" s="898"/>
      <c r="M722" s="898"/>
      <c r="N722" s="898"/>
      <c r="O722" s="898"/>
      <c r="P722" s="898"/>
      <c r="Q722" s="898"/>
      <c r="R722" s="898"/>
      <c r="S722" s="898"/>
      <c r="T722" s="898"/>
      <c r="U722" s="898"/>
      <c r="V722" s="898"/>
      <c r="W722" s="898"/>
      <c r="X722" s="898"/>
      <c r="Y722" s="898"/>
      <c r="Z722" s="898"/>
      <c r="AA722" s="898"/>
      <c r="AB722" s="898"/>
      <c r="AC722" s="898"/>
      <c r="AD722" s="898"/>
      <c r="AE722" s="898"/>
      <c r="AF722" s="898"/>
      <c r="AG722" s="898"/>
      <c r="AH722" s="898"/>
      <c r="AI722" s="898"/>
      <c r="AJ722" s="898"/>
      <c r="AK722" s="898"/>
      <c r="AL722" s="898"/>
      <c r="AM722" s="897"/>
      <c r="AN722" s="897"/>
      <c r="AO722" s="897"/>
      <c r="AP722" s="897"/>
      <c r="AQ722" s="897"/>
      <c r="AR722" s="897"/>
      <c r="AS722" s="897"/>
      <c r="AT722" s="897"/>
    </row>
    <row r="723" spans="1:46" s="930" customFormat="1">
      <c r="A723" s="892"/>
      <c r="B723" s="899"/>
      <c r="C723" s="900"/>
      <c r="D723" s="894"/>
      <c r="E723" s="936"/>
      <c r="F723" s="905"/>
      <c r="G723" s="896"/>
      <c r="H723" s="897"/>
      <c r="I723" s="897"/>
      <c r="J723" s="897"/>
      <c r="K723" s="897"/>
      <c r="L723" s="898"/>
      <c r="M723" s="898"/>
      <c r="N723" s="898"/>
      <c r="O723" s="898"/>
      <c r="P723" s="898"/>
      <c r="Q723" s="898"/>
      <c r="R723" s="898"/>
      <c r="S723" s="898"/>
      <c r="T723" s="898"/>
      <c r="U723" s="898"/>
      <c r="V723" s="898"/>
      <c r="W723" s="898"/>
      <c r="X723" s="898"/>
      <c r="Y723" s="898"/>
      <c r="Z723" s="898"/>
      <c r="AA723" s="898"/>
      <c r="AB723" s="898"/>
      <c r="AC723" s="898"/>
      <c r="AD723" s="898"/>
      <c r="AE723" s="898"/>
      <c r="AF723" s="898"/>
      <c r="AG723" s="898"/>
      <c r="AH723" s="898"/>
      <c r="AI723" s="898"/>
      <c r="AJ723" s="898"/>
      <c r="AK723" s="898"/>
      <c r="AL723" s="898"/>
      <c r="AM723" s="897"/>
      <c r="AN723" s="897"/>
      <c r="AO723" s="897"/>
      <c r="AP723" s="897"/>
      <c r="AQ723" s="897"/>
      <c r="AR723" s="897"/>
      <c r="AS723" s="897"/>
      <c r="AT723" s="897"/>
    </row>
    <row r="724" spans="1:46" s="930" customFormat="1">
      <c r="A724" s="892"/>
      <c r="B724" s="899"/>
      <c r="C724" s="900"/>
      <c r="D724" s="894"/>
      <c r="E724" s="936"/>
      <c r="F724" s="905"/>
      <c r="G724" s="896"/>
      <c r="H724" s="897"/>
      <c r="I724" s="897"/>
      <c r="J724" s="897"/>
      <c r="K724" s="897"/>
      <c r="L724" s="898"/>
      <c r="M724" s="898"/>
      <c r="N724" s="898"/>
      <c r="O724" s="898"/>
      <c r="P724" s="898"/>
      <c r="Q724" s="898"/>
      <c r="R724" s="898"/>
      <c r="S724" s="898"/>
      <c r="T724" s="898"/>
      <c r="U724" s="898"/>
      <c r="V724" s="898"/>
      <c r="W724" s="898"/>
      <c r="X724" s="898"/>
      <c r="Y724" s="898"/>
      <c r="Z724" s="898"/>
      <c r="AA724" s="898"/>
      <c r="AB724" s="898"/>
      <c r="AC724" s="898"/>
      <c r="AD724" s="898"/>
      <c r="AE724" s="898"/>
      <c r="AF724" s="898"/>
      <c r="AG724" s="898"/>
      <c r="AH724" s="898"/>
      <c r="AI724" s="898"/>
      <c r="AJ724" s="898"/>
      <c r="AK724" s="898"/>
      <c r="AL724" s="898"/>
      <c r="AM724" s="897"/>
      <c r="AN724" s="897"/>
      <c r="AO724" s="897"/>
      <c r="AP724" s="897"/>
      <c r="AQ724" s="897"/>
      <c r="AR724" s="897"/>
      <c r="AS724" s="897"/>
      <c r="AT724" s="897"/>
    </row>
    <row r="725" spans="1:46" s="930" customFormat="1">
      <c r="A725" s="892"/>
      <c r="B725" s="899"/>
      <c r="C725" s="900"/>
      <c r="D725" s="894"/>
      <c r="E725" s="936"/>
      <c r="F725" s="905"/>
      <c r="G725" s="896"/>
      <c r="H725" s="897"/>
      <c r="I725" s="897"/>
      <c r="J725" s="897"/>
      <c r="K725" s="897"/>
      <c r="L725" s="898"/>
      <c r="M725" s="898"/>
      <c r="N725" s="898"/>
      <c r="O725" s="898"/>
      <c r="P725" s="898"/>
      <c r="Q725" s="898"/>
      <c r="R725" s="898"/>
      <c r="S725" s="898"/>
      <c r="T725" s="898"/>
      <c r="U725" s="898"/>
      <c r="V725" s="898"/>
      <c r="W725" s="898"/>
      <c r="X725" s="898"/>
      <c r="Y725" s="898"/>
      <c r="Z725" s="898"/>
      <c r="AA725" s="898"/>
      <c r="AB725" s="898"/>
      <c r="AC725" s="898"/>
      <c r="AD725" s="898"/>
      <c r="AE725" s="898"/>
      <c r="AF725" s="898"/>
      <c r="AG725" s="898"/>
      <c r="AH725" s="898"/>
      <c r="AI725" s="898"/>
      <c r="AJ725" s="898"/>
      <c r="AK725" s="898"/>
      <c r="AL725" s="898"/>
      <c r="AM725" s="897"/>
      <c r="AN725" s="897"/>
      <c r="AO725" s="897"/>
      <c r="AP725" s="897"/>
      <c r="AQ725" s="897"/>
      <c r="AR725" s="897"/>
      <c r="AS725" s="897"/>
      <c r="AT725" s="897"/>
    </row>
    <row r="726" spans="1:46" s="930" customFormat="1">
      <c r="A726" s="892"/>
      <c r="B726" s="899"/>
      <c r="C726" s="900"/>
      <c r="D726" s="894"/>
      <c r="E726" s="936"/>
      <c r="F726" s="905"/>
      <c r="G726" s="896"/>
      <c r="H726" s="897"/>
      <c r="I726" s="897"/>
      <c r="J726" s="897"/>
      <c r="K726" s="897"/>
      <c r="L726" s="898"/>
      <c r="M726" s="898"/>
      <c r="N726" s="898"/>
      <c r="O726" s="898"/>
      <c r="P726" s="898"/>
      <c r="Q726" s="898"/>
      <c r="R726" s="898"/>
      <c r="S726" s="898"/>
      <c r="T726" s="898"/>
      <c r="U726" s="898"/>
      <c r="V726" s="898"/>
      <c r="W726" s="898"/>
      <c r="X726" s="898"/>
      <c r="Y726" s="898"/>
      <c r="Z726" s="898"/>
      <c r="AA726" s="898"/>
      <c r="AB726" s="898"/>
      <c r="AC726" s="898"/>
      <c r="AD726" s="898"/>
      <c r="AE726" s="898"/>
      <c r="AF726" s="898"/>
      <c r="AG726" s="898"/>
      <c r="AH726" s="898"/>
      <c r="AI726" s="898"/>
      <c r="AJ726" s="898"/>
      <c r="AK726" s="898"/>
      <c r="AL726" s="898"/>
      <c r="AM726" s="897"/>
      <c r="AN726" s="897"/>
      <c r="AO726" s="897"/>
      <c r="AP726" s="897"/>
      <c r="AQ726" s="897"/>
      <c r="AR726" s="897"/>
      <c r="AS726" s="897"/>
      <c r="AT726" s="897"/>
    </row>
    <row r="727" spans="1:46" s="930" customFormat="1">
      <c r="A727" s="892"/>
      <c r="B727" s="899"/>
      <c r="C727" s="900"/>
      <c r="D727" s="894"/>
      <c r="E727" s="936"/>
      <c r="F727" s="905"/>
      <c r="G727" s="896"/>
      <c r="H727" s="897"/>
      <c r="I727" s="897"/>
      <c r="J727" s="897"/>
      <c r="K727" s="897"/>
      <c r="L727" s="898"/>
      <c r="M727" s="898"/>
      <c r="N727" s="898"/>
      <c r="O727" s="898"/>
      <c r="P727" s="898"/>
      <c r="Q727" s="898"/>
      <c r="R727" s="898"/>
      <c r="S727" s="898"/>
      <c r="T727" s="898"/>
      <c r="U727" s="898"/>
      <c r="V727" s="898"/>
      <c r="W727" s="898"/>
      <c r="X727" s="898"/>
      <c r="Y727" s="898"/>
      <c r="Z727" s="898"/>
      <c r="AA727" s="898"/>
      <c r="AB727" s="898"/>
      <c r="AC727" s="898"/>
      <c r="AD727" s="898"/>
      <c r="AE727" s="898"/>
      <c r="AF727" s="898"/>
      <c r="AG727" s="898"/>
      <c r="AH727" s="898"/>
      <c r="AI727" s="898"/>
      <c r="AJ727" s="898"/>
      <c r="AK727" s="898"/>
      <c r="AL727" s="898"/>
      <c r="AM727" s="897"/>
      <c r="AN727" s="897"/>
      <c r="AO727" s="897"/>
      <c r="AP727" s="897"/>
      <c r="AQ727" s="897"/>
      <c r="AR727" s="897"/>
      <c r="AS727" s="897"/>
      <c r="AT727" s="897"/>
    </row>
    <row r="728" spans="1:46" s="930" customFormat="1">
      <c r="A728" s="892"/>
      <c r="B728" s="899"/>
      <c r="C728" s="900"/>
      <c r="D728" s="894"/>
      <c r="E728" s="936"/>
      <c r="F728" s="905"/>
      <c r="G728" s="896"/>
      <c r="H728" s="897"/>
      <c r="I728" s="897"/>
      <c r="J728" s="897"/>
      <c r="K728" s="897"/>
      <c r="L728" s="898"/>
      <c r="M728" s="898"/>
      <c r="N728" s="898"/>
      <c r="O728" s="898"/>
      <c r="P728" s="898"/>
      <c r="Q728" s="898"/>
      <c r="R728" s="898"/>
      <c r="S728" s="898"/>
      <c r="T728" s="898"/>
      <c r="U728" s="898"/>
      <c r="V728" s="898"/>
      <c r="W728" s="898"/>
      <c r="X728" s="898"/>
      <c r="Y728" s="898"/>
      <c r="Z728" s="898"/>
      <c r="AA728" s="898"/>
      <c r="AB728" s="898"/>
      <c r="AC728" s="898"/>
      <c r="AD728" s="898"/>
      <c r="AE728" s="898"/>
      <c r="AF728" s="898"/>
      <c r="AG728" s="898"/>
      <c r="AH728" s="898"/>
      <c r="AI728" s="898"/>
      <c r="AJ728" s="898"/>
      <c r="AK728" s="898"/>
      <c r="AL728" s="898"/>
      <c r="AM728" s="897"/>
      <c r="AN728" s="897"/>
      <c r="AO728" s="897"/>
      <c r="AP728" s="897"/>
      <c r="AQ728" s="897"/>
      <c r="AR728" s="897"/>
      <c r="AS728" s="897"/>
      <c r="AT728" s="897"/>
    </row>
    <row r="729" spans="1:46" s="930" customFormat="1">
      <c r="A729" s="892"/>
      <c r="B729" s="899"/>
      <c r="C729" s="900"/>
      <c r="D729" s="894"/>
      <c r="E729" s="936"/>
      <c r="F729" s="905"/>
      <c r="G729" s="896"/>
      <c r="H729" s="897"/>
      <c r="I729" s="897"/>
      <c r="J729" s="897"/>
      <c r="K729" s="897"/>
      <c r="L729" s="898"/>
      <c r="M729" s="898"/>
      <c r="N729" s="898"/>
      <c r="O729" s="898"/>
      <c r="P729" s="898"/>
      <c r="Q729" s="898"/>
      <c r="R729" s="898"/>
      <c r="S729" s="898"/>
      <c r="T729" s="898"/>
      <c r="U729" s="898"/>
      <c r="V729" s="898"/>
      <c r="W729" s="898"/>
      <c r="X729" s="898"/>
      <c r="Y729" s="898"/>
      <c r="Z729" s="898"/>
      <c r="AA729" s="898"/>
      <c r="AB729" s="898"/>
      <c r="AC729" s="898"/>
      <c r="AD729" s="898"/>
      <c r="AE729" s="898"/>
      <c r="AF729" s="898"/>
      <c r="AG729" s="898"/>
      <c r="AH729" s="898"/>
      <c r="AI729" s="898"/>
      <c r="AJ729" s="898"/>
      <c r="AK729" s="898"/>
      <c r="AL729" s="898"/>
      <c r="AM729" s="897"/>
      <c r="AN729" s="897"/>
      <c r="AO729" s="897"/>
      <c r="AP729" s="897"/>
      <c r="AQ729" s="897"/>
      <c r="AR729" s="897"/>
      <c r="AS729" s="897"/>
      <c r="AT729" s="897"/>
    </row>
    <row r="730" spans="1:46" s="930" customFormat="1">
      <c r="A730" s="892"/>
      <c r="B730" s="899"/>
      <c r="C730" s="900"/>
      <c r="D730" s="894"/>
      <c r="E730" s="936"/>
      <c r="F730" s="905"/>
      <c r="G730" s="896"/>
      <c r="H730" s="897"/>
      <c r="I730" s="897"/>
      <c r="J730" s="897"/>
      <c r="K730" s="897"/>
      <c r="L730" s="898"/>
      <c r="M730" s="898"/>
      <c r="N730" s="898"/>
      <c r="O730" s="898"/>
      <c r="P730" s="898"/>
      <c r="Q730" s="898"/>
      <c r="R730" s="898"/>
      <c r="S730" s="898"/>
      <c r="T730" s="898"/>
      <c r="U730" s="898"/>
      <c r="V730" s="898"/>
      <c r="W730" s="898"/>
      <c r="X730" s="898"/>
      <c r="Y730" s="898"/>
      <c r="Z730" s="898"/>
      <c r="AA730" s="898"/>
      <c r="AB730" s="898"/>
      <c r="AC730" s="898"/>
      <c r="AD730" s="898"/>
      <c r="AE730" s="898"/>
      <c r="AF730" s="898"/>
      <c r="AG730" s="898"/>
      <c r="AH730" s="898"/>
      <c r="AI730" s="898"/>
      <c r="AJ730" s="898"/>
      <c r="AK730" s="898"/>
      <c r="AL730" s="898"/>
      <c r="AM730" s="897"/>
      <c r="AN730" s="897"/>
      <c r="AO730" s="897"/>
      <c r="AP730" s="897"/>
      <c r="AQ730" s="897"/>
      <c r="AR730" s="897"/>
      <c r="AS730" s="897"/>
      <c r="AT730" s="897"/>
    </row>
    <row r="731" spans="1:46" s="930" customFormat="1">
      <c r="A731" s="892"/>
      <c r="B731" s="899"/>
      <c r="C731" s="900"/>
      <c r="D731" s="894"/>
      <c r="E731" s="936"/>
      <c r="F731" s="905"/>
      <c r="G731" s="896"/>
      <c r="H731" s="897"/>
      <c r="I731" s="897"/>
      <c r="J731" s="897"/>
      <c r="K731" s="897"/>
      <c r="L731" s="898"/>
      <c r="M731" s="898"/>
      <c r="N731" s="898"/>
      <c r="O731" s="898"/>
      <c r="P731" s="898"/>
      <c r="Q731" s="898"/>
      <c r="R731" s="898"/>
      <c r="S731" s="898"/>
      <c r="T731" s="898"/>
      <c r="U731" s="898"/>
      <c r="V731" s="898"/>
      <c r="W731" s="898"/>
      <c r="X731" s="898"/>
      <c r="Y731" s="898"/>
      <c r="Z731" s="898"/>
      <c r="AA731" s="898"/>
      <c r="AB731" s="898"/>
      <c r="AC731" s="898"/>
      <c r="AD731" s="898"/>
      <c r="AE731" s="898"/>
      <c r="AF731" s="898"/>
      <c r="AG731" s="898"/>
      <c r="AH731" s="898"/>
      <c r="AI731" s="898"/>
      <c r="AJ731" s="898"/>
      <c r="AK731" s="898"/>
      <c r="AL731" s="898"/>
      <c r="AM731" s="897"/>
      <c r="AN731" s="897"/>
      <c r="AO731" s="897"/>
      <c r="AP731" s="897"/>
      <c r="AQ731" s="897"/>
      <c r="AR731" s="897"/>
      <c r="AS731" s="897"/>
      <c r="AT731" s="897"/>
    </row>
    <row r="732" spans="1:46" s="930" customFormat="1">
      <c r="A732" s="892"/>
      <c r="B732" s="899"/>
      <c r="C732" s="900"/>
      <c r="D732" s="894"/>
      <c r="E732" s="936"/>
      <c r="F732" s="905"/>
      <c r="G732" s="896"/>
      <c r="H732" s="897"/>
      <c r="I732" s="897"/>
      <c r="J732" s="897"/>
      <c r="K732" s="897"/>
      <c r="L732" s="898"/>
      <c r="M732" s="898"/>
      <c r="N732" s="898"/>
      <c r="O732" s="898"/>
      <c r="P732" s="898"/>
      <c r="Q732" s="898"/>
      <c r="R732" s="898"/>
      <c r="S732" s="898"/>
      <c r="T732" s="898"/>
      <c r="U732" s="898"/>
      <c r="V732" s="898"/>
      <c r="W732" s="898"/>
      <c r="X732" s="898"/>
      <c r="Y732" s="898"/>
      <c r="Z732" s="898"/>
      <c r="AA732" s="898"/>
      <c r="AB732" s="898"/>
      <c r="AC732" s="898"/>
      <c r="AD732" s="898"/>
      <c r="AE732" s="898"/>
      <c r="AF732" s="898"/>
      <c r="AG732" s="898"/>
      <c r="AH732" s="898"/>
      <c r="AI732" s="898"/>
      <c r="AJ732" s="898"/>
      <c r="AK732" s="898"/>
      <c r="AL732" s="898"/>
      <c r="AM732" s="897"/>
      <c r="AN732" s="897"/>
      <c r="AO732" s="897"/>
      <c r="AP732" s="897"/>
      <c r="AQ732" s="897"/>
      <c r="AR732" s="897"/>
      <c r="AS732" s="897"/>
      <c r="AT732" s="897"/>
    </row>
    <row r="733" spans="1:46" s="930" customFormat="1">
      <c r="A733" s="892"/>
      <c r="B733" s="899"/>
      <c r="C733" s="900"/>
      <c r="D733" s="894"/>
      <c r="E733" s="936"/>
      <c r="F733" s="905"/>
      <c r="G733" s="896"/>
      <c r="H733" s="897"/>
      <c r="I733" s="897"/>
      <c r="J733" s="897"/>
      <c r="K733" s="897"/>
      <c r="L733" s="898"/>
      <c r="M733" s="898"/>
      <c r="N733" s="898"/>
      <c r="O733" s="898"/>
      <c r="P733" s="898"/>
      <c r="Q733" s="898"/>
      <c r="R733" s="898"/>
      <c r="S733" s="898"/>
      <c r="T733" s="898"/>
      <c r="U733" s="898"/>
      <c r="V733" s="898"/>
      <c r="W733" s="898"/>
      <c r="X733" s="898"/>
      <c r="Y733" s="898"/>
      <c r="Z733" s="898"/>
      <c r="AA733" s="898"/>
      <c r="AB733" s="898"/>
      <c r="AC733" s="898"/>
      <c r="AD733" s="898"/>
      <c r="AE733" s="898"/>
      <c r="AF733" s="898"/>
      <c r="AG733" s="898"/>
      <c r="AH733" s="898"/>
      <c r="AI733" s="898"/>
      <c r="AJ733" s="898"/>
      <c r="AK733" s="898"/>
      <c r="AL733" s="898"/>
      <c r="AM733" s="897"/>
      <c r="AN733" s="897"/>
      <c r="AO733" s="897"/>
      <c r="AP733" s="897"/>
      <c r="AQ733" s="897"/>
      <c r="AR733" s="897"/>
      <c r="AS733" s="897"/>
      <c r="AT733" s="897"/>
    </row>
    <row r="734" spans="1:46" s="930" customFormat="1">
      <c r="A734" s="892"/>
      <c r="B734" s="899"/>
      <c r="C734" s="900"/>
      <c r="D734" s="894"/>
      <c r="E734" s="936"/>
      <c r="F734" s="905"/>
      <c r="G734" s="896"/>
      <c r="H734" s="897"/>
      <c r="I734" s="897"/>
      <c r="J734" s="897"/>
      <c r="K734" s="897"/>
      <c r="L734" s="898"/>
      <c r="M734" s="898"/>
      <c r="N734" s="898"/>
      <c r="O734" s="898"/>
      <c r="P734" s="898"/>
      <c r="Q734" s="898"/>
      <c r="R734" s="898"/>
      <c r="S734" s="898"/>
      <c r="T734" s="898"/>
      <c r="U734" s="898"/>
      <c r="V734" s="898"/>
      <c r="W734" s="898"/>
      <c r="X734" s="898"/>
      <c r="Y734" s="898"/>
      <c r="Z734" s="898"/>
      <c r="AA734" s="898"/>
      <c r="AB734" s="898"/>
      <c r="AC734" s="898"/>
      <c r="AD734" s="898"/>
      <c r="AE734" s="898"/>
      <c r="AF734" s="898"/>
      <c r="AG734" s="898"/>
      <c r="AH734" s="898"/>
      <c r="AI734" s="898"/>
      <c r="AJ734" s="898"/>
      <c r="AK734" s="898"/>
      <c r="AL734" s="898"/>
      <c r="AM734" s="897"/>
      <c r="AN734" s="897"/>
      <c r="AO734" s="897"/>
      <c r="AP734" s="897"/>
      <c r="AQ734" s="897"/>
      <c r="AR734" s="897"/>
      <c r="AS734" s="897"/>
      <c r="AT734" s="897"/>
    </row>
    <row r="735" spans="1:46" s="930" customFormat="1">
      <c r="A735" s="892"/>
      <c r="B735" s="899"/>
      <c r="C735" s="900"/>
      <c r="D735" s="894"/>
      <c r="E735" s="936"/>
      <c r="F735" s="905"/>
      <c r="G735" s="896"/>
      <c r="H735" s="897"/>
      <c r="I735" s="897"/>
      <c r="J735" s="897"/>
      <c r="K735" s="897"/>
      <c r="L735" s="898"/>
      <c r="M735" s="898"/>
      <c r="N735" s="898"/>
      <c r="O735" s="898"/>
      <c r="P735" s="898"/>
      <c r="Q735" s="898"/>
      <c r="R735" s="898"/>
      <c r="S735" s="898"/>
      <c r="T735" s="898"/>
      <c r="U735" s="898"/>
      <c r="V735" s="898"/>
      <c r="W735" s="898"/>
      <c r="X735" s="898"/>
      <c r="Y735" s="898"/>
      <c r="Z735" s="898"/>
      <c r="AA735" s="898"/>
      <c r="AB735" s="898"/>
      <c r="AC735" s="898"/>
      <c r="AD735" s="898"/>
      <c r="AE735" s="898"/>
      <c r="AF735" s="898"/>
      <c r="AG735" s="898"/>
      <c r="AH735" s="898"/>
      <c r="AI735" s="898"/>
      <c r="AJ735" s="898"/>
      <c r="AK735" s="898"/>
      <c r="AL735" s="898"/>
      <c r="AM735" s="897"/>
      <c r="AN735" s="897"/>
      <c r="AO735" s="897"/>
      <c r="AP735" s="897"/>
      <c r="AQ735" s="897"/>
      <c r="AR735" s="897"/>
      <c r="AS735" s="897"/>
      <c r="AT735" s="897"/>
    </row>
    <row r="736" spans="1:46" s="930" customFormat="1">
      <c r="A736" s="892"/>
      <c r="B736" s="899"/>
      <c r="C736" s="900"/>
      <c r="D736" s="894"/>
      <c r="E736" s="936"/>
      <c r="F736" s="905"/>
      <c r="G736" s="896"/>
      <c r="H736" s="897"/>
      <c r="I736" s="897"/>
      <c r="J736" s="897"/>
      <c r="K736" s="897"/>
      <c r="L736" s="898"/>
      <c r="M736" s="898"/>
      <c r="N736" s="898"/>
      <c r="O736" s="898"/>
      <c r="P736" s="898"/>
      <c r="Q736" s="898"/>
      <c r="R736" s="898"/>
      <c r="S736" s="898"/>
      <c r="T736" s="898"/>
      <c r="U736" s="898"/>
      <c r="V736" s="898"/>
      <c r="W736" s="898"/>
      <c r="X736" s="898"/>
      <c r="Y736" s="898"/>
      <c r="Z736" s="898"/>
      <c r="AA736" s="898"/>
      <c r="AB736" s="898"/>
      <c r="AC736" s="898"/>
      <c r="AD736" s="898"/>
      <c r="AE736" s="898"/>
      <c r="AF736" s="898"/>
      <c r="AG736" s="898"/>
      <c r="AH736" s="898"/>
      <c r="AI736" s="898"/>
      <c r="AJ736" s="898"/>
      <c r="AK736" s="898"/>
      <c r="AL736" s="898"/>
      <c r="AM736" s="897"/>
      <c r="AN736" s="897"/>
      <c r="AO736" s="897"/>
      <c r="AP736" s="897"/>
      <c r="AQ736" s="897"/>
      <c r="AR736" s="897"/>
      <c r="AS736" s="897"/>
      <c r="AT736" s="897"/>
    </row>
    <row r="737" spans="1:46" s="930" customFormat="1">
      <c r="A737" s="892"/>
      <c r="B737" s="899"/>
      <c r="C737" s="900"/>
      <c r="D737" s="894"/>
      <c r="E737" s="936"/>
      <c r="F737" s="905"/>
      <c r="G737" s="896"/>
      <c r="H737" s="897"/>
      <c r="I737" s="897"/>
      <c r="J737" s="897"/>
      <c r="K737" s="897"/>
      <c r="L737" s="898"/>
      <c r="M737" s="898"/>
      <c r="N737" s="898"/>
      <c r="O737" s="898"/>
      <c r="P737" s="898"/>
      <c r="Q737" s="898"/>
      <c r="R737" s="898"/>
      <c r="S737" s="898"/>
      <c r="T737" s="898"/>
      <c r="U737" s="898"/>
      <c r="V737" s="898"/>
      <c r="W737" s="898"/>
      <c r="X737" s="898"/>
      <c r="Y737" s="898"/>
      <c r="Z737" s="898"/>
      <c r="AA737" s="898"/>
      <c r="AB737" s="898"/>
      <c r="AC737" s="898"/>
      <c r="AD737" s="898"/>
      <c r="AE737" s="898"/>
      <c r="AF737" s="898"/>
      <c r="AG737" s="898"/>
      <c r="AH737" s="898"/>
      <c r="AI737" s="898"/>
      <c r="AJ737" s="898"/>
      <c r="AK737" s="898"/>
      <c r="AL737" s="898"/>
      <c r="AM737" s="897"/>
      <c r="AN737" s="897"/>
      <c r="AO737" s="897"/>
      <c r="AP737" s="897"/>
      <c r="AQ737" s="897"/>
      <c r="AR737" s="897"/>
      <c r="AS737" s="897"/>
      <c r="AT737" s="897"/>
    </row>
    <row r="738" spans="1:46" s="930" customFormat="1">
      <c r="A738" s="892"/>
      <c r="B738" s="899"/>
      <c r="C738" s="900"/>
      <c r="D738" s="894"/>
      <c r="E738" s="936"/>
      <c r="F738" s="905"/>
      <c r="G738" s="896"/>
      <c r="H738" s="897"/>
      <c r="I738" s="897"/>
      <c r="J738" s="897"/>
      <c r="K738" s="897"/>
      <c r="L738" s="898"/>
      <c r="M738" s="898"/>
      <c r="N738" s="898"/>
      <c r="O738" s="898"/>
      <c r="P738" s="898"/>
      <c r="Q738" s="898"/>
      <c r="R738" s="898"/>
      <c r="S738" s="898"/>
      <c r="T738" s="898"/>
      <c r="U738" s="898"/>
      <c r="V738" s="898"/>
      <c r="W738" s="898"/>
      <c r="X738" s="898"/>
      <c r="Y738" s="898"/>
      <c r="Z738" s="898"/>
      <c r="AA738" s="898"/>
      <c r="AB738" s="898"/>
      <c r="AC738" s="898"/>
      <c r="AD738" s="898"/>
      <c r="AE738" s="898"/>
      <c r="AF738" s="898"/>
      <c r="AG738" s="898"/>
      <c r="AH738" s="898"/>
      <c r="AI738" s="898"/>
      <c r="AJ738" s="898"/>
      <c r="AK738" s="898"/>
      <c r="AL738" s="898"/>
      <c r="AM738" s="897"/>
      <c r="AN738" s="897"/>
      <c r="AO738" s="897"/>
      <c r="AP738" s="897"/>
      <c r="AQ738" s="897"/>
      <c r="AR738" s="897"/>
      <c r="AS738" s="897"/>
      <c r="AT738" s="897"/>
    </row>
    <row r="739" spans="1:46" s="930" customFormat="1">
      <c r="A739" s="892"/>
      <c r="B739" s="899"/>
      <c r="C739" s="900"/>
      <c r="D739" s="894"/>
      <c r="E739" s="936"/>
      <c r="F739" s="905"/>
      <c r="G739" s="896"/>
      <c r="H739" s="897"/>
      <c r="I739" s="897"/>
      <c r="J739" s="897"/>
      <c r="K739" s="897"/>
      <c r="L739" s="898"/>
      <c r="M739" s="898"/>
      <c r="N739" s="898"/>
      <c r="O739" s="898"/>
      <c r="P739" s="898"/>
      <c r="Q739" s="898"/>
      <c r="R739" s="898"/>
      <c r="S739" s="898"/>
      <c r="T739" s="898"/>
      <c r="U739" s="898"/>
      <c r="V739" s="898"/>
      <c r="W739" s="898"/>
      <c r="X739" s="898"/>
      <c r="Y739" s="898"/>
      <c r="Z739" s="898"/>
      <c r="AA739" s="898"/>
      <c r="AB739" s="898"/>
      <c r="AC739" s="898"/>
      <c r="AD739" s="898"/>
      <c r="AE739" s="898"/>
      <c r="AF739" s="898"/>
      <c r="AG739" s="898"/>
      <c r="AH739" s="898"/>
      <c r="AI739" s="898"/>
      <c r="AJ739" s="898"/>
      <c r="AK739" s="898"/>
      <c r="AL739" s="898"/>
      <c r="AM739" s="897"/>
      <c r="AN739" s="897"/>
      <c r="AO739" s="897"/>
      <c r="AP739" s="897"/>
      <c r="AQ739" s="897"/>
      <c r="AR739" s="897"/>
      <c r="AS739" s="897"/>
      <c r="AT739" s="897"/>
    </row>
    <row r="740" spans="1:46" s="930" customFormat="1">
      <c r="A740" s="892"/>
      <c r="B740" s="899"/>
      <c r="C740" s="900"/>
      <c r="D740" s="894"/>
      <c r="E740" s="936"/>
      <c r="F740" s="905"/>
      <c r="G740" s="896"/>
      <c r="H740" s="897"/>
      <c r="I740" s="897"/>
      <c r="J740" s="897"/>
      <c r="K740" s="897"/>
      <c r="L740" s="898"/>
      <c r="M740" s="898"/>
      <c r="N740" s="898"/>
      <c r="O740" s="898"/>
      <c r="P740" s="898"/>
      <c r="Q740" s="898"/>
      <c r="R740" s="898"/>
      <c r="S740" s="898"/>
      <c r="T740" s="898"/>
      <c r="U740" s="898"/>
      <c r="V740" s="898"/>
      <c r="W740" s="898"/>
      <c r="X740" s="898"/>
      <c r="Y740" s="898"/>
      <c r="Z740" s="898"/>
      <c r="AA740" s="898"/>
      <c r="AB740" s="898"/>
      <c r="AC740" s="898"/>
      <c r="AD740" s="898"/>
      <c r="AE740" s="898"/>
      <c r="AF740" s="898"/>
      <c r="AG740" s="898"/>
      <c r="AH740" s="898"/>
      <c r="AI740" s="898"/>
      <c r="AJ740" s="898"/>
      <c r="AK740" s="898"/>
      <c r="AL740" s="898"/>
      <c r="AM740" s="897"/>
      <c r="AN740" s="897"/>
      <c r="AO740" s="897"/>
      <c r="AP740" s="897"/>
      <c r="AQ740" s="897"/>
      <c r="AR740" s="897"/>
      <c r="AS740" s="897"/>
      <c r="AT740" s="897"/>
    </row>
    <row r="741" spans="1:46" s="930" customFormat="1">
      <c r="A741" s="892"/>
      <c r="B741" s="899"/>
      <c r="C741" s="900"/>
      <c r="D741" s="894"/>
      <c r="E741" s="936"/>
      <c r="F741" s="905"/>
      <c r="G741" s="896"/>
      <c r="H741" s="897"/>
      <c r="I741" s="897"/>
      <c r="J741" s="897"/>
      <c r="K741" s="897"/>
      <c r="L741" s="898"/>
      <c r="M741" s="898"/>
      <c r="N741" s="898"/>
      <c r="O741" s="898"/>
      <c r="P741" s="898"/>
      <c r="Q741" s="898"/>
      <c r="R741" s="898"/>
      <c r="S741" s="898"/>
      <c r="T741" s="898"/>
      <c r="U741" s="898"/>
      <c r="V741" s="898"/>
      <c r="W741" s="898"/>
      <c r="X741" s="898"/>
      <c r="Y741" s="898"/>
      <c r="Z741" s="898"/>
      <c r="AA741" s="898"/>
      <c r="AB741" s="898"/>
      <c r="AC741" s="898"/>
      <c r="AD741" s="898"/>
      <c r="AE741" s="898"/>
      <c r="AF741" s="898"/>
      <c r="AG741" s="898"/>
      <c r="AH741" s="898"/>
      <c r="AI741" s="898"/>
      <c r="AJ741" s="898"/>
      <c r="AK741" s="898"/>
      <c r="AL741" s="898"/>
      <c r="AM741" s="897"/>
      <c r="AN741" s="897"/>
      <c r="AO741" s="897"/>
      <c r="AP741" s="897"/>
      <c r="AQ741" s="897"/>
      <c r="AR741" s="897"/>
      <c r="AS741" s="897"/>
      <c r="AT741" s="897"/>
    </row>
    <row r="742" spans="1:46" s="930" customFormat="1">
      <c r="A742" s="892"/>
      <c r="B742" s="899"/>
      <c r="C742" s="900"/>
      <c r="D742" s="894"/>
      <c r="E742" s="936"/>
      <c r="F742" s="905"/>
      <c r="G742" s="896"/>
      <c r="H742" s="897"/>
      <c r="I742" s="897"/>
      <c r="J742" s="897"/>
      <c r="K742" s="897"/>
      <c r="L742" s="898"/>
      <c r="M742" s="898"/>
      <c r="N742" s="898"/>
      <c r="O742" s="898"/>
      <c r="P742" s="898"/>
      <c r="Q742" s="898"/>
      <c r="R742" s="898"/>
      <c r="S742" s="898"/>
      <c r="T742" s="898"/>
      <c r="U742" s="898"/>
      <c r="V742" s="898"/>
      <c r="W742" s="898"/>
      <c r="X742" s="898"/>
      <c r="Y742" s="898"/>
      <c r="Z742" s="898"/>
      <c r="AA742" s="898"/>
      <c r="AB742" s="898"/>
      <c r="AC742" s="898"/>
      <c r="AD742" s="898"/>
      <c r="AE742" s="898"/>
      <c r="AF742" s="898"/>
      <c r="AG742" s="898"/>
      <c r="AH742" s="898"/>
      <c r="AI742" s="898"/>
      <c r="AJ742" s="898"/>
      <c r="AK742" s="898"/>
      <c r="AL742" s="898"/>
      <c r="AM742" s="897"/>
      <c r="AN742" s="897"/>
      <c r="AO742" s="897"/>
      <c r="AP742" s="897"/>
      <c r="AQ742" s="897"/>
      <c r="AR742" s="897"/>
      <c r="AS742" s="897"/>
      <c r="AT742" s="897"/>
    </row>
    <row r="743" spans="1:46" s="930" customFormat="1">
      <c r="A743" s="892"/>
      <c r="B743" s="899"/>
      <c r="C743" s="900"/>
      <c r="D743" s="894"/>
      <c r="E743" s="936"/>
      <c r="F743" s="905"/>
      <c r="G743" s="896"/>
      <c r="H743" s="897"/>
      <c r="I743" s="897"/>
      <c r="J743" s="897"/>
      <c r="K743" s="897"/>
      <c r="L743" s="898"/>
      <c r="M743" s="898"/>
      <c r="N743" s="898"/>
      <c r="O743" s="898"/>
      <c r="P743" s="898"/>
      <c r="Q743" s="898"/>
      <c r="R743" s="898"/>
      <c r="S743" s="898"/>
      <c r="T743" s="898"/>
      <c r="U743" s="898"/>
      <c r="V743" s="898"/>
      <c r="W743" s="898"/>
      <c r="X743" s="898"/>
      <c r="Y743" s="898"/>
      <c r="Z743" s="898"/>
      <c r="AA743" s="898"/>
      <c r="AB743" s="898"/>
      <c r="AC743" s="898"/>
      <c r="AD743" s="898"/>
      <c r="AE743" s="898"/>
      <c r="AF743" s="898"/>
      <c r="AG743" s="898"/>
      <c r="AH743" s="898"/>
      <c r="AI743" s="898"/>
      <c r="AJ743" s="898"/>
      <c r="AK743" s="898"/>
      <c r="AL743" s="898"/>
      <c r="AM743" s="897"/>
      <c r="AN743" s="897"/>
      <c r="AO743" s="897"/>
      <c r="AP743" s="897"/>
      <c r="AQ743" s="897"/>
      <c r="AR743" s="897"/>
      <c r="AS743" s="897"/>
      <c r="AT743" s="897"/>
    </row>
    <row r="744" spans="1:46" s="930" customFormat="1">
      <c r="A744" s="892"/>
      <c r="B744" s="899"/>
      <c r="C744" s="900"/>
      <c r="D744" s="894"/>
      <c r="E744" s="936"/>
      <c r="F744" s="905"/>
      <c r="G744" s="896"/>
      <c r="H744" s="897"/>
      <c r="I744" s="897"/>
      <c r="J744" s="897"/>
      <c r="K744" s="897"/>
      <c r="L744" s="898"/>
      <c r="M744" s="898"/>
      <c r="N744" s="898"/>
      <c r="O744" s="898"/>
      <c r="P744" s="898"/>
      <c r="Q744" s="898"/>
      <c r="R744" s="898"/>
      <c r="S744" s="898"/>
      <c r="T744" s="898"/>
      <c r="U744" s="898"/>
      <c r="V744" s="898"/>
      <c r="W744" s="898"/>
      <c r="X744" s="898"/>
      <c r="Y744" s="898"/>
      <c r="Z744" s="898"/>
      <c r="AA744" s="898"/>
      <c r="AB744" s="898"/>
      <c r="AC744" s="898"/>
      <c r="AD744" s="898"/>
      <c r="AE744" s="898"/>
      <c r="AF744" s="898"/>
      <c r="AG744" s="898"/>
      <c r="AH744" s="898"/>
      <c r="AI744" s="898"/>
      <c r="AJ744" s="898"/>
      <c r="AK744" s="898"/>
      <c r="AL744" s="898"/>
      <c r="AM744" s="897"/>
      <c r="AN744" s="897"/>
      <c r="AO744" s="897"/>
      <c r="AP744" s="897"/>
      <c r="AQ744" s="897"/>
      <c r="AR744" s="897"/>
      <c r="AS744" s="897"/>
      <c r="AT744" s="897"/>
    </row>
    <row r="745" spans="1:46" s="930" customFormat="1">
      <c r="A745" s="892"/>
      <c r="B745" s="899"/>
      <c r="C745" s="900"/>
      <c r="D745" s="894"/>
      <c r="E745" s="936"/>
      <c r="F745" s="905"/>
      <c r="G745" s="896"/>
      <c r="H745" s="897"/>
      <c r="I745" s="897"/>
      <c r="J745" s="897"/>
      <c r="K745" s="897"/>
      <c r="L745" s="898"/>
      <c r="M745" s="898"/>
      <c r="N745" s="898"/>
      <c r="O745" s="898"/>
      <c r="P745" s="898"/>
      <c r="Q745" s="898"/>
      <c r="R745" s="898"/>
      <c r="S745" s="898"/>
      <c r="T745" s="898"/>
      <c r="U745" s="898"/>
      <c r="V745" s="898"/>
      <c r="W745" s="898"/>
      <c r="X745" s="898"/>
      <c r="Y745" s="898"/>
      <c r="Z745" s="898"/>
      <c r="AA745" s="898"/>
      <c r="AB745" s="898"/>
      <c r="AC745" s="898"/>
      <c r="AD745" s="898"/>
      <c r="AE745" s="898"/>
      <c r="AF745" s="898"/>
      <c r="AG745" s="898"/>
      <c r="AH745" s="898"/>
      <c r="AI745" s="898"/>
      <c r="AJ745" s="898"/>
      <c r="AK745" s="898"/>
      <c r="AL745" s="898"/>
      <c r="AM745" s="897"/>
      <c r="AN745" s="897"/>
      <c r="AO745" s="897"/>
      <c r="AP745" s="897"/>
      <c r="AQ745" s="897"/>
      <c r="AR745" s="897"/>
      <c r="AS745" s="897"/>
      <c r="AT745" s="897"/>
    </row>
    <row r="746" spans="1:46" s="930" customFormat="1">
      <c r="A746" s="892"/>
      <c r="B746" s="899"/>
      <c r="C746" s="900"/>
      <c r="D746" s="894"/>
      <c r="E746" s="936"/>
      <c r="F746" s="905"/>
      <c r="G746" s="896"/>
      <c r="H746" s="897"/>
      <c r="I746" s="897"/>
      <c r="J746" s="897"/>
      <c r="K746" s="897"/>
      <c r="L746" s="898"/>
      <c r="M746" s="898"/>
      <c r="N746" s="898"/>
      <c r="O746" s="898"/>
      <c r="P746" s="898"/>
      <c r="Q746" s="898"/>
      <c r="R746" s="898"/>
      <c r="S746" s="898"/>
      <c r="T746" s="898"/>
      <c r="U746" s="898"/>
      <c r="V746" s="898"/>
      <c r="W746" s="898"/>
      <c r="X746" s="898"/>
      <c r="Y746" s="898"/>
      <c r="Z746" s="898"/>
      <c r="AA746" s="898"/>
      <c r="AB746" s="898"/>
      <c r="AC746" s="898"/>
      <c r="AD746" s="898"/>
      <c r="AE746" s="898"/>
      <c r="AF746" s="898"/>
      <c r="AG746" s="898"/>
      <c r="AH746" s="898"/>
      <c r="AI746" s="898"/>
      <c r="AJ746" s="898"/>
      <c r="AK746" s="898"/>
      <c r="AL746" s="898"/>
      <c r="AM746" s="897"/>
      <c r="AN746" s="897"/>
      <c r="AO746" s="897"/>
      <c r="AP746" s="897"/>
      <c r="AQ746" s="897"/>
      <c r="AR746" s="897"/>
      <c r="AS746" s="897"/>
      <c r="AT746" s="897"/>
    </row>
    <row r="747" spans="1:46" s="930" customFormat="1">
      <c r="A747" s="892"/>
      <c r="B747" s="899"/>
      <c r="C747" s="900"/>
      <c r="D747" s="894"/>
      <c r="E747" s="936"/>
      <c r="F747" s="905"/>
      <c r="G747" s="896"/>
      <c r="H747" s="897"/>
      <c r="I747" s="897"/>
      <c r="J747" s="897"/>
      <c r="K747" s="897"/>
      <c r="L747" s="898"/>
      <c r="M747" s="898"/>
      <c r="N747" s="898"/>
      <c r="O747" s="898"/>
      <c r="P747" s="898"/>
      <c r="Q747" s="898"/>
      <c r="R747" s="898"/>
      <c r="S747" s="898"/>
      <c r="T747" s="898"/>
      <c r="U747" s="898"/>
      <c r="V747" s="898"/>
      <c r="W747" s="898"/>
      <c r="X747" s="898"/>
      <c r="Y747" s="898"/>
      <c r="Z747" s="898"/>
      <c r="AA747" s="898"/>
      <c r="AB747" s="898"/>
      <c r="AC747" s="898"/>
      <c r="AD747" s="898"/>
      <c r="AE747" s="898"/>
      <c r="AF747" s="898"/>
      <c r="AG747" s="898"/>
      <c r="AH747" s="898"/>
      <c r="AI747" s="898"/>
      <c r="AJ747" s="898"/>
      <c r="AK747" s="898"/>
      <c r="AL747" s="898"/>
      <c r="AM747" s="897"/>
      <c r="AN747" s="897"/>
      <c r="AO747" s="897"/>
      <c r="AP747" s="897"/>
      <c r="AQ747" s="897"/>
      <c r="AR747" s="897"/>
      <c r="AS747" s="897"/>
      <c r="AT747" s="897"/>
    </row>
    <row r="748" spans="1:46" s="930" customFormat="1">
      <c r="A748" s="892"/>
      <c r="B748" s="899"/>
      <c r="C748" s="900"/>
      <c r="D748" s="894"/>
      <c r="E748" s="936"/>
      <c r="F748" s="905"/>
      <c r="G748" s="896"/>
      <c r="H748" s="897"/>
      <c r="I748" s="897"/>
      <c r="J748" s="897"/>
      <c r="K748" s="897"/>
      <c r="L748" s="898"/>
      <c r="M748" s="898"/>
      <c r="N748" s="898"/>
      <c r="O748" s="898"/>
      <c r="P748" s="898"/>
      <c r="Q748" s="898"/>
      <c r="R748" s="898"/>
      <c r="S748" s="898"/>
      <c r="T748" s="898"/>
      <c r="U748" s="898"/>
      <c r="V748" s="898"/>
      <c r="W748" s="898"/>
      <c r="X748" s="898"/>
      <c r="Y748" s="898"/>
      <c r="Z748" s="898"/>
      <c r="AA748" s="898"/>
      <c r="AB748" s="898"/>
      <c r="AC748" s="898"/>
      <c r="AD748" s="898"/>
      <c r="AE748" s="898"/>
      <c r="AF748" s="898"/>
      <c r="AG748" s="898"/>
      <c r="AH748" s="898"/>
      <c r="AI748" s="898"/>
      <c r="AJ748" s="898"/>
      <c r="AK748" s="898"/>
      <c r="AL748" s="898"/>
      <c r="AM748" s="897"/>
      <c r="AN748" s="897"/>
      <c r="AO748" s="897"/>
      <c r="AP748" s="897"/>
      <c r="AQ748" s="897"/>
      <c r="AR748" s="897"/>
      <c r="AS748" s="897"/>
      <c r="AT748" s="897"/>
    </row>
    <row r="749" spans="1:46" s="930" customFormat="1">
      <c r="A749" s="892"/>
      <c r="B749" s="899"/>
      <c r="C749" s="900"/>
      <c r="D749" s="894"/>
      <c r="E749" s="936"/>
      <c r="F749" s="905"/>
      <c r="G749" s="896"/>
      <c r="H749" s="897"/>
      <c r="I749" s="897"/>
      <c r="J749" s="897"/>
      <c r="K749" s="897"/>
      <c r="L749" s="898"/>
      <c r="M749" s="898"/>
      <c r="N749" s="898"/>
      <c r="O749" s="898"/>
      <c r="P749" s="898"/>
      <c r="Q749" s="898"/>
      <c r="R749" s="898"/>
      <c r="S749" s="898"/>
      <c r="T749" s="898"/>
      <c r="U749" s="898"/>
      <c r="V749" s="898"/>
      <c r="W749" s="898"/>
      <c r="X749" s="898"/>
      <c r="Y749" s="898"/>
      <c r="Z749" s="898"/>
      <c r="AA749" s="898"/>
      <c r="AB749" s="898"/>
      <c r="AC749" s="898"/>
      <c r="AD749" s="898"/>
      <c r="AE749" s="898"/>
      <c r="AF749" s="898"/>
      <c r="AG749" s="898"/>
      <c r="AH749" s="898"/>
      <c r="AI749" s="898"/>
      <c r="AJ749" s="898"/>
      <c r="AK749" s="898"/>
      <c r="AL749" s="898"/>
      <c r="AM749" s="897"/>
      <c r="AN749" s="897"/>
      <c r="AO749" s="897"/>
      <c r="AP749" s="897"/>
      <c r="AQ749" s="897"/>
      <c r="AR749" s="897"/>
      <c r="AS749" s="897"/>
      <c r="AT749" s="897"/>
    </row>
    <row r="750" spans="1:46" s="930" customFormat="1">
      <c r="A750" s="892"/>
      <c r="B750" s="899"/>
      <c r="C750" s="900"/>
      <c r="D750" s="894"/>
      <c r="E750" s="936"/>
      <c r="F750" s="905"/>
      <c r="G750" s="896"/>
      <c r="H750" s="897"/>
      <c r="I750" s="897"/>
      <c r="J750" s="897"/>
      <c r="K750" s="897"/>
      <c r="L750" s="898"/>
      <c r="M750" s="898"/>
      <c r="N750" s="898"/>
      <c r="O750" s="898"/>
      <c r="P750" s="898"/>
      <c r="Q750" s="898"/>
      <c r="R750" s="898"/>
      <c r="S750" s="898"/>
      <c r="T750" s="898"/>
      <c r="U750" s="898"/>
      <c r="V750" s="898"/>
      <c r="W750" s="898"/>
      <c r="X750" s="898"/>
      <c r="Y750" s="898"/>
      <c r="Z750" s="898"/>
      <c r="AA750" s="898"/>
      <c r="AB750" s="898"/>
      <c r="AC750" s="898"/>
      <c r="AD750" s="898"/>
      <c r="AE750" s="898"/>
      <c r="AF750" s="898"/>
      <c r="AG750" s="898"/>
      <c r="AH750" s="898"/>
      <c r="AI750" s="898"/>
      <c r="AJ750" s="898"/>
      <c r="AK750" s="898"/>
      <c r="AL750" s="898"/>
      <c r="AM750" s="897"/>
      <c r="AN750" s="897"/>
      <c r="AO750" s="897"/>
      <c r="AP750" s="897"/>
      <c r="AQ750" s="897"/>
      <c r="AR750" s="897"/>
      <c r="AS750" s="897"/>
      <c r="AT750" s="897"/>
    </row>
    <row r="751" spans="1:46" s="930" customFormat="1">
      <c r="A751" s="892"/>
      <c r="B751" s="899"/>
      <c r="C751" s="900"/>
      <c r="D751" s="894"/>
      <c r="E751" s="936"/>
      <c r="F751" s="905"/>
      <c r="G751" s="896"/>
      <c r="H751" s="897"/>
      <c r="I751" s="897"/>
      <c r="J751" s="897"/>
      <c r="K751" s="897"/>
      <c r="L751" s="898"/>
      <c r="M751" s="898"/>
      <c r="N751" s="898"/>
      <c r="O751" s="898"/>
      <c r="P751" s="898"/>
      <c r="Q751" s="898"/>
      <c r="R751" s="898"/>
      <c r="S751" s="898"/>
      <c r="T751" s="898"/>
      <c r="U751" s="898"/>
      <c r="V751" s="898"/>
      <c r="W751" s="898"/>
      <c r="X751" s="898"/>
      <c r="Y751" s="898"/>
      <c r="Z751" s="898"/>
      <c r="AA751" s="898"/>
      <c r="AB751" s="898"/>
      <c r="AC751" s="898"/>
      <c r="AD751" s="898"/>
      <c r="AE751" s="898"/>
      <c r="AF751" s="898"/>
      <c r="AG751" s="898"/>
      <c r="AH751" s="898"/>
      <c r="AI751" s="898"/>
      <c r="AJ751" s="898"/>
      <c r="AK751" s="898"/>
      <c r="AL751" s="898"/>
      <c r="AM751" s="897"/>
      <c r="AN751" s="897"/>
      <c r="AO751" s="897"/>
      <c r="AP751" s="897"/>
      <c r="AQ751" s="897"/>
      <c r="AR751" s="897"/>
      <c r="AS751" s="897"/>
      <c r="AT751" s="897"/>
    </row>
    <row r="752" spans="1:46" s="930" customFormat="1">
      <c r="A752" s="892"/>
      <c r="B752" s="899"/>
      <c r="C752" s="900"/>
      <c r="D752" s="894"/>
      <c r="E752" s="936"/>
      <c r="F752" s="905"/>
      <c r="G752" s="896"/>
      <c r="H752" s="897"/>
      <c r="I752" s="897"/>
      <c r="J752" s="897"/>
      <c r="K752" s="897"/>
      <c r="L752" s="898"/>
      <c r="M752" s="898"/>
      <c r="N752" s="898"/>
      <c r="O752" s="898"/>
      <c r="P752" s="898"/>
      <c r="Q752" s="898"/>
      <c r="R752" s="898"/>
      <c r="S752" s="898"/>
      <c r="T752" s="898"/>
      <c r="U752" s="898"/>
      <c r="V752" s="898"/>
      <c r="W752" s="898"/>
      <c r="X752" s="898"/>
      <c r="Y752" s="898"/>
      <c r="Z752" s="898"/>
      <c r="AA752" s="898"/>
      <c r="AB752" s="898"/>
      <c r="AC752" s="898"/>
      <c r="AD752" s="898"/>
      <c r="AE752" s="898"/>
      <c r="AF752" s="898"/>
      <c r="AG752" s="898"/>
      <c r="AH752" s="898"/>
      <c r="AI752" s="898"/>
      <c r="AJ752" s="898"/>
      <c r="AK752" s="898"/>
      <c r="AL752" s="898"/>
      <c r="AM752" s="897"/>
      <c r="AN752" s="897"/>
      <c r="AO752" s="897"/>
      <c r="AP752" s="897"/>
      <c r="AQ752" s="897"/>
      <c r="AR752" s="897"/>
      <c r="AS752" s="897"/>
      <c r="AT752" s="897"/>
    </row>
    <row r="753" spans="1:46" s="930" customFormat="1">
      <c r="A753" s="892"/>
      <c r="B753" s="899"/>
      <c r="C753" s="900"/>
      <c r="D753" s="894"/>
      <c r="E753" s="936"/>
      <c r="F753" s="905"/>
      <c r="G753" s="896"/>
      <c r="H753" s="897"/>
      <c r="I753" s="897"/>
      <c r="J753" s="897"/>
      <c r="K753" s="897"/>
      <c r="L753" s="898"/>
      <c r="M753" s="898"/>
      <c r="N753" s="898"/>
      <c r="O753" s="898"/>
      <c r="P753" s="898"/>
      <c r="Q753" s="898"/>
      <c r="R753" s="898"/>
      <c r="S753" s="898"/>
      <c r="T753" s="898"/>
      <c r="U753" s="898"/>
      <c r="V753" s="898"/>
      <c r="W753" s="898"/>
      <c r="X753" s="898"/>
      <c r="Y753" s="898"/>
      <c r="Z753" s="898"/>
      <c r="AA753" s="898"/>
      <c r="AB753" s="898"/>
      <c r="AC753" s="898"/>
      <c r="AD753" s="898"/>
      <c r="AE753" s="898"/>
      <c r="AF753" s="898"/>
      <c r="AG753" s="898"/>
      <c r="AH753" s="898"/>
      <c r="AI753" s="898"/>
      <c r="AJ753" s="898"/>
      <c r="AK753" s="898"/>
      <c r="AL753" s="898"/>
      <c r="AM753" s="897"/>
      <c r="AN753" s="897"/>
      <c r="AO753" s="897"/>
      <c r="AP753" s="897"/>
      <c r="AQ753" s="897"/>
      <c r="AR753" s="897"/>
      <c r="AS753" s="897"/>
      <c r="AT753" s="897"/>
    </row>
    <row r="754" spans="1:46" s="930" customFormat="1">
      <c r="A754" s="892"/>
      <c r="B754" s="899"/>
      <c r="C754" s="900"/>
      <c r="D754" s="894"/>
      <c r="E754" s="936"/>
      <c r="F754" s="905"/>
      <c r="G754" s="896"/>
      <c r="H754" s="897"/>
      <c r="I754" s="897"/>
      <c r="J754" s="897"/>
      <c r="K754" s="897"/>
      <c r="L754" s="898"/>
      <c r="M754" s="898"/>
      <c r="N754" s="898"/>
      <c r="O754" s="898"/>
      <c r="P754" s="898"/>
      <c r="Q754" s="898"/>
      <c r="R754" s="898"/>
      <c r="S754" s="898"/>
      <c r="T754" s="898"/>
      <c r="U754" s="898"/>
      <c r="V754" s="898"/>
      <c r="W754" s="898"/>
      <c r="X754" s="898"/>
      <c r="Y754" s="898"/>
      <c r="Z754" s="898"/>
      <c r="AA754" s="898"/>
      <c r="AB754" s="898"/>
      <c r="AC754" s="898"/>
      <c r="AD754" s="898"/>
      <c r="AE754" s="898"/>
      <c r="AF754" s="898"/>
      <c r="AG754" s="898"/>
      <c r="AH754" s="898"/>
      <c r="AI754" s="898"/>
      <c r="AJ754" s="898"/>
      <c r="AK754" s="898"/>
      <c r="AL754" s="898"/>
      <c r="AM754" s="897"/>
      <c r="AN754" s="897"/>
      <c r="AO754" s="897"/>
      <c r="AP754" s="897"/>
      <c r="AQ754" s="897"/>
      <c r="AR754" s="897"/>
      <c r="AS754" s="897"/>
      <c r="AT754" s="897"/>
    </row>
    <row r="755" spans="1:46" s="930" customFormat="1">
      <c r="A755" s="892"/>
      <c r="B755" s="899"/>
      <c r="C755" s="900"/>
      <c r="D755" s="894"/>
      <c r="E755" s="936"/>
      <c r="F755" s="905"/>
      <c r="G755" s="896"/>
      <c r="H755" s="897"/>
      <c r="I755" s="897"/>
      <c r="J755" s="897"/>
      <c r="K755" s="897"/>
      <c r="L755" s="898"/>
      <c r="M755" s="898"/>
      <c r="N755" s="898"/>
      <c r="O755" s="898"/>
      <c r="P755" s="898"/>
      <c r="Q755" s="898"/>
      <c r="R755" s="898"/>
      <c r="S755" s="898"/>
      <c r="T755" s="898"/>
      <c r="U755" s="898"/>
      <c r="V755" s="898"/>
      <c r="W755" s="898"/>
      <c r="X755" s="898"/>
      <c r="Y755" s="898"/>
      <c r="Z755" s="898"/>
      <c r="AA755" s="898"/>
      <c r="AB755" s="898"/>
      <c r="AC755" s="898"/>
      <c r="AD755" s="898"/>
      <c r="AE755" s="898"/>
      <c r="AF755" s="898"/>
      <c r="AG755" s="898"/>
      <c r="AH755" s="898"/>
      <c r="AI755" s="898"/>
      <c r="AJ755" s="898"/>
      <c r="AK755" s="898"/>
      <c r="AL755" s="898"/>
      <c r="AM755" s="897"/>
      <c r="AN755" s="897"/>
      <c r="AO755" s="897"/>
      <c r="AP755" s="897"/>
      <c r="AQ755" s="897"/>
      <c r="AR755" s="897"/>
      <c r="AS755" s="897"/>
      <c r="AT755" s="897"/>
    </row>
    <row r="756" spans="1:46" s="930" customFormat="1">
      <c r="A756" s="892"/>
      <c r="B756" s="899"/>
      <c r="C756" s="900"/>
      <c r="D756" s="894"/>
      <c r="E756" s="936"/>
      <c r="F756" s="905"/>
      <c r="G756" s="896"/>
      <c r="H756" s="897"/>
      <c r="I756" s="897"/>
      <c r="J756" s="897"/>
      <c r="K756" s="897"/>
      <c r="L756" s="898"/>
      <c r="M756" s="898"/>
      <c r="N756" s="898"/>
      <c r="O756" s="898"/>
      <c r="P756" s="898"/>
      <c r="Q756" s="898"/>
      <c r="R756" s="898"/>
      <c r="S756" s="898"/>
      <c r="T756" s="898"/>
      <c r="U756" s="898"/>
      <c r="V756" s="898"/>
      <c r="W756" s="898"/>
      <c r="X756" s="898"/>
      <c r="Y756" s="898"/>
      <c r="Z756" s="898"/>
      <c r="AA756" s="898"/>
      <c r="AB756" s="898"/>
      <c r="AC756" s="898"/>
      <c r="AD756" s="898"/>
      <c r="AE756" s="898"/>
      <c r="AF756" s="898"/>
      <c r="AG756" s="898"/>
      <c r="AH756" s="898"/>
      <c r="AI756" s="898"/>
      <c r="AJ756" s="898"/>
      <c r="AK756" s="898"/>
      <c r="AL756" s="898"/>
      <c r="AM756" s="897"/>
      <c r="AN756" s="897"/>
      <c r="AO756" s="897"/>
      <c r="AP756" s="897"/>
      <c r="AQ756" s="897"/>
      <c r="AR756" s="897"/>
      <c r="AS756" s="897"/>
      <c r="AT756" s="897"/>
    </row>
    <row r="757" spans="1:46" s="930" customFormat="1">
      <c r="A757" s="892"/>
      <c r="B757" s="899"/>
      <c r="C757" s="900"/>
      <c r="D757" s="894"/>
      <c r="E757" s="936"/>
      <c r="F757" s="905"/>
      <c r="G757" s="896"/>
      <c r="H757" s="897"/>
      <c r="I757" s="897"/>
      <c r="J757" s="897"/>
      <c r="K757" s="897"/>
      <c r="L757" s="898"/>
      <c r="M757" s="898"/>
      <c r="N757" s="898"/>
      <c r="O757" s="898"/>
      <c r="P757" s="898"/>
      <c r="Q757" s="898"/>
      <c r="R757" s="898"/>
      <c r="S757" s="898"/>
      <c r="T757" s="898"/>
      <c r="U757" s="898"/>
      <c r="V757" s="898"/>
      <c r="W757" s="898"/>
      <c r="X757" s="898"/>
      <c r="Y757" s="898"/>
      <c r="Z757" s="898"/>
      <c r="AA757" s="898"/>
      <c r="AB757" s="898"/>
      <c r="AC757" s="898"/>
      <c r="AD757" s="898"/>
      <c r="AE757" s="898"/>
      <c r="AF757" s="898"/>
      <c r="AG757" s="898"/>
      <c r="AH757" s="898"/>
      <c r="AI757" s="898"/>
      <c r="AJ757" s="898"/>
      <c r="AK757" s="898"/>
      <c r="AL757" s="898"/>
      <c r="AM757" s="897"/>
      <c r="AN757" s="897"/>
      <c r="AO757" s="897"/>
      <c r="AP757" s="897"/>
      <c r="AQ757" s="897"/>
      <c r="AR757" s="897"/>
      <c r="AS757" s="897"/>
      <c r="AT757" s="897"/>
    </row>
    <row r="758" spans="1:46" s="930" customFormat="1">
      <c r="A758" s="892"/>
      <c r="B758" s="899"/>
      <c r="C758" s="900"/>
      <c r="D758" s="894"/>
      <c r="E758" s="936"/>
      <c r="F758" s="905"/>
      <c r="G758" s="896"/>
      <c r="H758" s="897"/>
      <c r="I758" s="897"/>
      <c r="J758" s="897"/>
      <c r="K758" s="897"/>
      <c r="L758" s="898"/>
      <c r="M758" s="898"/>
      <c r="N758" s="898"/>
      <c r="O758" s="898"/>
      <c r="P758" s="898"/>
      <c r="Q758" s="898"/>
      <c r="R758" s="898"/>
      <c r="S758" s="898"/>
      <c r="T758" s="898"/>
      <c r="U758" s="898"/>
      <c r="V758" s="898"/>
      <c r="W758" s="898"/>
      <c r="X758" s="898"/>
      <c r="Y758" s="898"/>
      <c r="Z758" s="898"/>
      <c r="AA758" s="898"/>
      <c r="AB758" s="898"/>
      <c r="AC758" s="898"/>
      <c r="AD758" s="898"/>
      <c r="AE758" s="898"/>
      <c r="AF758" s="898"/>
      <c r="AG758" s="898"/>
      <c r="AH758" s="898"/>
      <c r="AI758" s="898"/>
      <c r="AJ758" s="898"/>
      <c r="AK758" s="898"/>
      <c r="AL758" s="898"/>
      <c r="AM758" s="897"/>
      <c r="AN758" s="897"/>
      <c r="AO758" s="897"/>
      <c r="AP758" s="897"/>
      <c r="AQ758" s="897"/>
      <c r="AR758" s="897"/>
      <c r="AS758" s="897"/>
      <c r="AT758" s="897"/>
    </row>
    <row r="759" spans="1:46" s="930" customFormat="1">
      <c r="A759" s="892"/>
      <c r="B759" s="899"/>
      <c r="C759" s="900"/>
      <c r="D759" s="894"/>
      <c r="E759" s="936"/>
      <c r="F759" s="905"/>
      <c r="G759" s="896"/>
      <c r="H759" s="897"/>
      <c r="I759" s="897"/>
      <c r="J759" s="897"/>
      <c r="K759" s="897"/>
      <c r="L759" s="898"/>
      <c r="M759" s="898"/>
      <c r="N759" s="898"/>
      <c r="O759" s="898"/>
      <c r="P759" s="898"/>
      <c r="Q759" s="898"/>
      <c r="R759" s="898"/>
      <c r="S759" s="898"/>
      <c r="T759" s="898"/>
      <c r="U759" s="898"/>
      <c r="V759" s="898"/>
      <c r="W759" s="898"/>
      <c r="X759" s="898"/>
      <c r="Y759" s="898"/>
      <c r="Z759" s="898"/>
      <c r="AA759" s="898"/>
      <c r="AB759" s="898"/>
      <c r="AC759" s="898"/>
      <c r="AD759" s="898"/>
      <c r="AE759" s="898"/>
      <c r="AF759" s="898"/>
      <c r="AG759" s="898"/>
      <c r="AH759" s="898"/>
      <c r="AI759" s="898"/>
      <c r="AJ759" s="898"/>
      <c r="AK759" s="898"/>
      <c r="AL759" s="898"/>
      <c r="AM759" s="897"/>
      <c r="AN759" s="897"/>
      <c r="AO759" s="897"/>
      <c r="AP759" s="897"/>
      <c r="AQ759" s="897"/>
      <c r="AR759" s="897"/>
      <c r="AS759" s="897"/>
      <c r="AT759" s="897"/>
    </row>
    <row r="760" spans="1:46" s="930" customFormat="1">
      <c r="A760" s="892"/>
      <c r="B760" s="899"/>
      <c r="C760" s="900"/>
      <c r="D760" s="894"/>
      <c r="E760" s="936"/>
      <c r="F760" s="905"/>
      <c r="G760" s="896"/>
      <c r="H760" s="897"/>
      <c r="I760" s="897"/>
      <c r="J760" s="897"/>
      <c r="K760" s="897"/>
      <c r="L760" s="898"/>
      <c r="M760" s="898"/>
      <c r="N760" s="898"/>
      <c r="O760" s="898"/>
      <c r="P760" s="898"/>
      <c r="Q760" s="898"/>
      <c r="R760" s="898"/>
      <c r="S760" s="898"/>
      <c r="T760" s="898"/>
      <c r="U760" s="898"/>
      <c r="V760" s="898"/>
      <c r="W760" s="898"/>
      <c r="X760" s="898"/>
      <c r="Y760" s="898"/>
      <c r="Z760" s="898"/>
      <c r="AA760" s="898"/>
      <c r="AB760" s="898"/>
      <c r="AC760" s="898"/>
      <c r="AD760" s="898"/>
      <c r="AE760" s="898"/>
      <c r="AF760" s="898"/>
      <c r="AG760" s="898"/>
      <c r="AH760" s="898"/>
      <c r="AI760" s="898"/>
      <c r="AJ760" s="898"/>
      <c r="AK760" s="898"/>
      <c r="AL760" s="898"/>
      <c r="AM760" s="897"/>
      <c r="AN760" s="897"/>
      <c r="AO760" s="897"/>
      <c r="AP760" s="897"/>
      <c r="AQ760" s="897"/>
      <c r="AR760" s="897"/>
      <c r="AS760" s="897"/>
      <c r="AT760" s="897"/>
    </row>
    <row r="761" spans="1:46" s="930" customFormat="1">
      <c r="A761" s="892"/>
      <c r="B761" s="899"/>
      <c r="C761" s="900"/>
      <c r="D761" s="894"/>
      <c r="E761" s="936"/>
      <c r="F761" s="905"/>
      <c r="G761" s="896"/>
      <c r="H761" s="897"/>
      <c r="I761" s="897"/>
      <c r="J761" s="897"/>
      <c r="K761" s="897"/>
      <c r="L761" s="898"/>
      <c r="M761" s="898"/>
      <c r="N761" s="898"/>
      <c r="O761" s="898"/>
      <c r="P761" s="898"/>
      <c r="Q761" s="898"/>
      <c r="R761" s="898"/>
      <c r="S761" s="898"/>
      <c r="T761" s="898"/>
      <c r="U761" s="898"/>
      <c r="V761" s="898"/>
      <c r="W761" s="898"/>
      <c r="X761" s="898"/>
      <c r="Y761" s="898"/>
      <c r="Z761" s="898"/>
      <c r="AA761" s="898"/>
      <c r="AB761" s="898"/>
      <c r="AC761" s="898"/>
      <c r="AD761" s="898"/>
      <c r="AE761" s="898"/>
      <c r="AF761" s="898"/>
      <c r="AG761" s="898"/>
      <c r="AH761" s="898"/>
      <c r="AI761" s="898"/>
      <c r="AJ761" s="898"/>
      <c r="AK761" s="898"/>
      <c r="AL761" s="898"/>
      <c r="AM761" s="897"/>
      <c r="AN761" s="897"/>
      <c r="AO761" s="897"/>
      <c r="AP761" s="897"/>
      <c r="AQ761" s="897"/>
      <c r="AR761" s="897"/>
      <c r="AS761" s="897"/>
      <c r="AT761" s="897"/>
    </row>
    <row r="762" spans="1:46" s="930" customFormat="1">
      <c r="A762" s="892"/>
      <c r="B762" s="899"/>
      <c r="C762" s="900"/>
      <c r="D762" s="894"/>
      <c r="E762" s="936"/>
      <c r="F762" s="905"/>
      <c r="G762" s="896"/>
      <c r="H762" s="897"/>
      <c r="I762" s="897"/>
      <c r="J762" s="897"/>
      <c r="K762" s="897"/>
      <c r="L762" s="898"/>
      <c r="M762" s="898"/>
      <c r="N762" s="898"/>
      <c r="O762" s="898"/>
      <c r="P762" s="898"/>
      <c r="Q762" s="898"/>
      <c r="R762" s="898"/>
      <c r="S762" s="898"/>
      <c r="T762" s="898"/>
      <c r="U762" s="898"/>
      <c r="V762" s="898"/>
      <c r="W762" s="898"/>
      <c r="X762" s="898"/>
      <c r="Y762" s="898"/>
      <c r="Z762" s="898"/>
      <c r="AA762" s="898"/>
      <c r="AB762" s="898"/>
      <c r="AC762" s="898"/>
      <c r="AD762" s="898"/>
      <c r="AE762" s="898"/>
      <c r="AF762" s="898"/>
      <c r="AG762" s="898"/>
      <c r="AH762" s="898"/>
      <c r="AI762" s="898"/>
      <c r="AJ762" s="898"/>
      <c r="AK762" s="898"/>
      <c r="AL762" s="898"/>
      <c r="AM762" s="897"/>
      <c r="AN762" s="897"/>
      <c r="AO762" s="897"/>
      <c r="AP762" s="897"/>
      <c r="AQ762" s="897"/>
      <c r="AR762" s="897"/>
      <c r="AS762" s="897"/>
      <c r="AT762" s="897"/>
    </row>
    <row r="763" spans="1:46" s="930" customFormat="1">
      <c r="A763" s="892"/>
      <c r="B763" s="899"/>
      <c r="C763" s="900"/>
      <c r="D763" s="894"/>
      <c r="E763" s="936"/>
      <c r="F763" s="905"/>
      <c r="G763" s="896"/>
      <c r="H763" s="897"/>
      <c r="I763" s="897"/>
      <c r="J763" s="897"/>
      <c r="K763" s="897"/>
      <c r="L763" s="898"/>
      <c r="M763" s="898"/>
      <c r="N763" s="898"/>
      <c r="O763" s="898"/>
      <c r="P763" s="898"/>
      <c r="Q763" s="898"/>
      <c r="R763" s="898"/>
      <c r="S763" s="898"/>
      <c r="T763" s="898"/>
      <c r="U763" s="898"/>
      <c r="V763" s="898"/>
      <c r="W763" s="898"/>
      <c r="X763" s="898"/>
      <c r="Y763" s="898"/>
      <c r="Z763" s="898"/>
      <c r="AA763" s="898"/>
      <c r="AB763" s="898"/>
      <c r="AC763" s="898"/>
      <c r="AD763" s="898"/>
      <c r="AE763" s="898"/>
      <c r="AF763" s="898"/>
      <c r="AG763" s="898"/>
      <c r="AH763" s="898"/>
      <c r="AI763" s="898"/>
      <c r="AJ763" s="898"/>
      <c r="AK763" s="898"/>
      <c r="AL763" s="898"/>
      <c r="AM763" s="897"/>
      <c r="AN763" s="897"/>
      <c r="AO763" s="897"/>
      <c r="AP763" s="897"/>
      <c r="AQ763" s="897"/>
      <c r="AR763" s="897"/>
      <c r="AS763" s="897"/>
      <c r="AT763" s="897"/>
    </row>
    <row r="764" spans="1:46" s="930" customFormat="1">
      <c r="A764" s="892"/>
      <c r="B764" s="899"/>
      <c r="C764" s="900"/>
      <c r="D764" s="894"/>
      <c r="E764" s="936"/>
      <c r="F764" s="905"/>
      <c r="G764" s="896"/>
      <c r="H764" s="897"/>
      <c r="I764" s="897"/>
      <c r="J764" s="897"/>
      <c r="K764" s="897"/>
      <c r="L764" s="898"/>
      <c r="M764" s="898"/>
      <c r="N764" s="898"/>
      <c r="O764" s="898"/>
      <c r="P764" s="898"/>
      <c r="Q764" s="898"/>
      <c r="R764" s="898"/>
      <c r="S764" s="898"/>
      <c r="T764" s="898"/>
      <c r="U764" s="898"/>
      <c r="V764" s="898"/>
      <c r="W764" s="898"/>
      <c r="X764" s="898"/>
      <c r="Y764" s="898"/>
      <c r="Z764" s="898"/>
      <c r="AA764" s="898"/>
      <c r="AB764" s="898"/>
      <c r="AC764" s="898"/>
      <c r="AD764" s="898"/>
      <c r="AE764" s="898"/>
      <c r="AF764" s="898"/>
      <c r="AG764" s="898"/>
      <c r="AH764" s="898"/>
      <c r="AI764" s="898"/>
      <c r="AJ764" s="898"/>
      <c r="AK764" s="898"/>
      <c r="AL764" s="898"/>
      <c r="AM764" s="897"/>
      <c r="AN764" s="897"/>
      <c r="AO764" s="897"/>
      <c r="AP764" s="897"/>
      <c r="AQ764" s="897"/>
      <c r="AR764" s="897"/>
      <c r="AS764" s="897"/>
      <c r="AT764" s="897"/>
    </row>
    <row r="765" spans="1:46" s="930" customFormat="1">
      <c r="A765" s="892"/>
      <c r="B765" s="899"/>
      <c r="C765" s="900"/>
      <c r="D765" s="894"/>
      <c r="E765" s="936"/>
      <c r="F765" s="905"/>
      <c r="G765" s="896"/>
      <c r="H765" s="897"/>
      <c r="I765" s="897"/>
      <c r="J765" s="897"/>
      <c r="K765" s="897"/>
      <c r="L765" s="898"/>
      <c r="M765" s="898"/>
      <c r="N765" s="898"/>
      <c r="O765" s="898"/>
      <c r="P765" s="898"/>
      <c r="Q765" s="898"/>
      <c r="R765" s="898"/>
      <c r="S765" s="898"/>
      <c r="T765" s="898"/>
      <c r="U765" s="898"/>
      <c r="V765" s="898"/>
      <c r="W765" s="898"/>
      <c r="X765" s="898"/>
      <c r="Y765" s="898"/>
      <c r="Z765" s="898"/>
      <c r="AA765" s="898"/>
      <c r="AB765" s="898"/>
      <c r="AC765" s="898"/>
      <c r="AD765" s="898"/>
      <c r="AE765" s="898"/>
      <c r="AF765" s="898"/>
      <c r="AG765" s="898"/>
      <c r="AH765" s="898"/>
      <c r="AI765" s="898"/>
      <c r="AJ765" s="898"/>
      <c r="AK765" s="898"/>
      <c r="AL765" s="898"/>
      <c r="AM765" s="897"/>
      <c r="AN765" s="897"/>
      <c r="AO765" s="897"/>
      <c r="AP765" s="897"/>
      <c r="AQ765" s="897"/>
      <c r="AR765" s="897"/>
      <c r="AS765" s="897"/>
      <c r="AT765" s="897"/>
    </row>
    <row r="766" spans="1:46" s="930" customFormat="1">
      <c r="A766" s="892"/>
      <c r="B766" s="899"/>
      <c r="C766" s="900"/>
      <c r="D766" s="894"/>
      <c r="E766" s="936"/>
      <c r="F766" s="905"/>
      <c r="G766" s="896"/>
      <c r="H766" s="897"/>
      <c r="I766" s="897"/>
      <c r="J766" s="897"/>
      <c r="K766" s="897"/>
      <c r="L766" s="898"/>
      <c r="M766" s="898"/>
      <c r="N766" s="898"/>
      <c r="O766" s="898"/>
      <c r="P766" s="898"/>
      <c r="Q766" s="898"/>
      <c r="R766" s="898"/>
      <c r="S766" s="898"/>
      <c r="T766" s="898"/>
      <c r="U766" s="898"/>
      <c r="V766" s="898"/>
      <c r="W766" s="898"/>
      <c r="X766" s="898"/>
      <c r="Y766" s="898"/>
      <c r="Z766" s="898"/>
      <c r="AA766" s="898"/>
      <c r="AB766" s="898"/>
      <c r="AC766" s="898"/>
      <c r="AD766" s="898"/>
      <c r="AE766" s="898"/>
      <c r="AF766" s="898"/>
      <c r="AG766" s="898"/>
      <c r="AH766" s="898"/>
      <c r="AI766" s="898"/>
      <c r="AJ766" s="898"/>
      <c r="AK766" s="898"/>
      <c r="AL766" s="898"/>
      <c r="AM766" s="897"/>
      <c r="AN766" s="897"/>
      <c r="AO766" s="897"/>
      <c r="AP766" s="897"/>
      <c r="AQ766" s="897"/>
      <c r="AR766" s="897"/>
      <c r="AS766" s="897"/>
      <c r="AT766" s="897"/>
    </row>
    <row r="767" spans="1:46" s="930" customFormat="1">
      <c r="A767" s="892"/>
      <c r="B767" s="899"/>
      <c r="C767" s="900"/>
      <c r="D767" s="894"/>
      <c r="E767" s="936"/>
      <c r="F767" s="905"/>
      <c r="G767" s="896"/>
      <c r="H767" s="897"/>
      <c r="I767" s="897"/>
      <c r="J767" s="897"/>
      <c r="K767" s="897"/>
      <c r="L767" s="898"/>
      <c r="M767" s="898"/>
      <c r="N767" s="898"/>
      <c r="O767" s="898"/>
      <c r="P767" s="898"/>
      <c r="Q767" s="898"/>
      <c r="R767" s="898"/>
      <c r="S767" s="898"/>
      <c r="T767" s="898"/>
      <c r="U767" s="898"/>
      <c r="V767" s="898"/>
      <c r="W767" s="898"/>
      <c r="X767" s="898"/>
      <c r="Y767" s="898"/>
      <c r="Z767" s="898"/>
      <c r="AA767" s="898"/>
      <c r="AB767" s="898"/>
      <c r="AC767" s="898"/>
      <c r="AD767" s="898"/>
      <c r="AE767" s="898"/>
      <c r="AF767" s="898"/>
      <c r="AG767" s="898"/>
      <c r="AH767" s="898"/>
      <c r="AI767" s="898"/>
      <c r="AJ767" s="898"/>
      <c r="AK767" s="898"/>
      <c r="AL767" s="898"/>
      <c r="AM767" s="897"/>
      <c r="AN767" s="897"/>
      <c r="AO767" s="897"/>
      <c r="AP767" s="897"/>
      <c r="AQ767" s="897"/>
      <c r="AR767" s="897"/>
      <c r="AS767" s="897"/>
      <c r="AT767" s="897"/>
    </row>
    <row r="768" spans="1:46" s="930" customFormat="1">
      <c r="A768" s="892"/>
      <c r="B768" s="899"/>
      <c r="C768" s="900"/>
      <c r="D768" s="894"/>
      <c r="E768" s="936"/>
      <c r="F768" s="905"/>
      <c r="G768" s="896"/>
      <c r="H768" s="897"/>
      <c r="I768" s="897"/>
      <c r="J768" s="897"/>
      <c r="K768" s="897"/>
      <c r="L768" s="898"/>
      <c r="M768" s="898"/>
      <c r="N768" s="898"/>
      <c r="O768" s="898"/>
      <c r="P768" s="898"/>
      <c r="Q768" s="898"/>
      <c r="R768" s="898"/>
      <c r="S768" s="898"/>
      <c r="T768" s="898"/>
      <c r="U768" s="898"/>
      <c r="V768" s="898"/>
      <c r="W768" s="898"/>
      <c r="X768" s="898"/>
      <c r="Y768" s="898"/>
      <c r="Z768" s="898"/>
      <c r="AA768" s="898"/>
      <c r="AB768" s="898"/>
      <c r="AC768" s="898"/>
      <c r="AD768" s="898"/>
      <c r="AE768" s="898"/>
      <c r="AF768" s="898"/>
      <c r="AG768" s="898"/>
      <c r="AH768" s="898"/>
      <c r="AI768" s="898"/>
      <c r="AJ768" s="898"/>
      <c r="AK768" s="898"/>
      <c r="AL768" s="898"/>
      <c r="AM768" s="897"/>
      <c r="AN768" s="897"/>
      <c r="AO768" s="897"/>
      <c r="AP768" s="897"/>
      <c r="AQ768" s="897"/>
      <c r="AR768" s="897"/>
      <c r="AS768" s="897"/>
      <c r="AT768" s="897"/>
    </row>
    <row r="769" spans="1:46" s="930" customFormat="1">
      <c r="A769" s="892"/>
      <c r="B769" s="899"/>
      <c r="C769" s="900"/>
      <c r="D769" s="894"/>
      <c r="E769" s="936"/>
      <c r="F769" s="905"/>
      <c r="G769" s="896"/>
      <c r="H769" s="897"/>
      <c r="I769" s="897"/>
      <c r="J769" s="897"/>
      <c r="K769" s="897"/>
      <c r="L769" s="898"/>
      <c r="M769" s="898"/>
      <c r="N769" s="898"/>
      <c r="O769" s="898"/>
      <c r="P769" s="898"/>
      <c r="Q769" s="898"/>
      <c r="R769" s="898"/>
      <c r="S769" s="898"/>
      <c r="T769" s="898"/>
      <c r="U769" s="898"/>
      <c r="V769" s="898"/>
      <c r="W769" s="898"/>
      <c r="X769" s="898"/>
      <c r="Y769" s="898"/>
      <c r="Z769" s="898"/>
      <c r="AA769" s="898"/>
      <c r="AB769" s="898"/>
      <c r="AC769" s="898"/>
      <c r="AD769" s="898"/>
      <c r="AE769" s="898"/>
      <c r="AF769" s="898"/>
      <c r="AG769" s="898"/>
      <c r="AH769" s="898"/>
      <c r="AI769" s="898"/>
      <c r="AJ769" s="898"/>
      <c r="AK769" s="898"/>
      <c r="AL769" s="898"/>
      <c r="AM769" s="897"/>
      <c r="AN769" s="897"/>
      <c r="AO769" s="897"/>
      <c r="AP769" s="897"/>
      <c r="AQ769" s="897"/>
      <c r="AR769" s="897"/>
      <c r="AS769" s="897"/>
      <c r="AT769" s="897"/>
    </row>
    <row r="770" spans="1:46" s="930" customFormat="1">
      <c r="A770" s="892"/>
      <c r="B770" s="899"/>
      <c r="C770" s="900"/>
      <c r="D770" s="894"/>
      <c r="E770" s="936"/>
      <c r="F770" s="905"/>
      <c r="G770" s="896"/>
      <c r="H770" s="897"/>
      <c r="I770" s="897"/>
      <c r="J770" s="897"/>
      <c r="K770" s="897"/>
      <c r="L770" s="898"/>
      <c r="M770" s="898"/>
      <c r="N770" s="898"/>
      <c r="O770" s="898"/>
      <c r="P770" s="898"/>
      <c r="Q770" s="898"/>
      <c r="R770" s="898"/>
      <c r="S770" s="898"/>
      <c r="T770" s="898"/>
      <c r="U770" s="898"/>
      <c r="V770" s="898"/>
      <c r="W770" s="898"/>
      <c r="X770" s="898"/>
      <c r="Y770" s="898"/>
      <c r="Z770" s="898"/>
      <c r="AA770" s="898"/>
      <c r="AB770" s="898"/>
      <c r="AC770" s="898"/>
      <c r="AD770" s="898"/>
      <c r="AE770" s="898"/>
      <c r="AF770" s="898"/>
      <c r="AG770" s="898"/>
      <c r="AH770" s="898"/>
      <c r="AI770" s="898"/>
      <c r="AJ770" s="898"/>
      <c r="AK770" s="898"/>
      <c r="AL770" s="898"/>
      <c r="AM770" s="897"/>
      <c r="AN770" s="897"/>
      <c r="AO770" s="897"/>
      <c r="AP770" s="897"/>
      <c r="AQ770" s="897"/>
      <c r="AR770" s="897"/>
      <c r="AS770" s="897"/>
      <c r="AT770" s="897"/>
    </row>
    <row r="771" spans="1:46" s="930" customFormat="1">
      <c r="A771" s="892"/>
      <c r="B771" s="899"/>
      <c r="C771" s="900"/>
      <c r="D771" s="894"/>
      <c r="E771" s="936"/>
      <c r="F771" s="905"/>
      <c r="G771" s="896"/>
      <c r="H771" s="897"/>
      <c r="I771" s="897"/>
      <c r="J771" s="897"/>
      <c r="K771" s="897"/>
      <c r="L771" s="898"/>
      <c r="M771" s="898"/>
      <c r="N771" s="898"/>
      <c r="O771" s="898"/>
      <c r="P771" s="898"/>
      <c r="Q771" s="898"/>
      <c r="R771" s="898"/>
      <c r="S771" s="898"/>
      <c r="T771" s="898"/>
      <c r="U771" s="898"/>
      <c r="V771" s="898"/>
      <c r="W771" s="898"/>
      <c r="X771" s="898"/>
      <c r="Y771" s="898"/>
      <c r="Z771" s="898"/>
      <c r="AA771" s="898"/>
      <c r="AB771" s="898"/>
      <c r="AC771" s="898"/>
      <c r="AD771" s="898"/>
      <c r="AE771" s="898"/>
      <c r="AF771" s="898"/>
      <c r="AG771" s="898"/>
      <c r="AH771" s="898"/>
      <c r="AI771" s="898"/>
      <c r="AJ771" s="898"/>
      <c r="AK771" s="898"/>
      <c r="AL771" s="898"/>
      <c r="AM771" s="897"/>
      <c r="AN771" s="897"/>
      <c r="AO771" s="897"/>
      <c r="AP771" s="897"/>
      <c r="AQ771" s="897"/>
      <c r="AR771" s="897"/>
      <c r="AS771" s="897"/>
      <c r="AT771" s="897"/>
    </row>
    <row r="772" spans="1:46" s="930" customFormat="1">
      <c r="A772" s="892"/>
      <c r="B772" s="899"/>
      <c r="C772" s="900"/>
      <c r="D772" s="894"/>
      <c r="E772" s="936"/>
      <c r="F772" s="905"/>
      <c r="G772" s="896"/>
      <c r="H772" s="897"/>
      <c r="I772" s="897"/>
      <c r="J772" s="897"/>
      <c r="K772" s="897"/>
      <c r="L772" s="898"/>
      <c r="M772" s="898"/>
      <c r="N772" s="898"/>
      <c r="O772" s="898"/>
      <c r="P772" s="898"/>
      <c r="Q772" s="898"/>
      <c r="R772" s="898"/>
      <c r="S772" s="898"/>
      <c r="T772" s="898"/>
      <c r="U772" s="898"/>
      <c r="V772" s="898"/>
      <c r="W772" s="898"/>
      <c r="X772" s="898"/>
      <c r="Y772" s="898"/>
      <c r="Z772" s="898"/>
      <c r="AA772" s="898"/>
      <c r="AB772" s="898"/>
      <c r="AC772" s="898"/>
      <c r="AD772" s="898"/>
      <c r="AE772" s="898"/>
      <c r="AF772" s="898"/>
      <c r="AG772" s="898"/>
      <c r="AH772" s="898"/>
      <c r="AI772" s="898"/>
      <c r="AJ772" s="898"/>
      <c r="AK772" s="898"/>
      <c r="AL772" s="898"/>
      <c r="AM772" s="897"/>
      <c r="AN772" s="897"/>
      <c r="AO772" s="897"/>
      <c r="AP772" s="897"/>
      <c r="AQ772" s="897"/>
      <c r="AR772" s="897"/>
      <c r="AS772" s="897"/>
      <c r="AT772" s="897"/>
    </row>
    <row r="773" spans="1:46" s="930" customFormat="1">
      <c r="A773" s="892"/>
      <c r="B773" s="899"/>
      <c r="C773" s="900"/>
      <c r="D773" s="894"/>
      <c r="E773" s="936"/>
      <c r="F773" s="905"/>
      <c r="G773" s="896"/>
      <c r="H773" s="897"/>
      <c r="I773" s="897"/>
      <c r="J773" s="897"/>
      <c r="K773" s="897"/>
      <c r="L773" s="898"/>
      <c r="M773" s="898"/>
      <c r="N773" s="898"/>
      <c r="O773" s="898"/>
      <c r="P773" s="898"/>
      <c r="Q773" s="898"/>
      <c r="R773" s="898"/>
      <c r="S773" s="898"/>
      <c r="T773" s="898"/>
      <c r="U773" s="898"/>
      <c r="V773" s="898"/>
      <c r="W773" s="898"/>
      <c r="X773" s="898"/>
      <c r="Y773" s="898"/>
      <c r="Z773" s="898"/>
      <c r="AA773" s="898"/>
      <c r="AB773" s="898"/>
      <c r="AC773" s="898"/>
      <c r="AD773" s="898"/>
      <c r="AE773" s="898"/>
      <c r="AF773" s="898"/>
      <c r="AG773" s="898"/>
      <c r="AH773" s="898"/>
      <c r="AI773" s="898"/>
      <c r="AJ773" s="898"/>
      <c r="AK773" s="898"/>
      <c r="AL773" s="898"/>
      <c r="AM773" s="897"/>
      <c r="AN773" s="897"/>
      <c r="AO773" s="897"/>
      <c r="AP773" s="897"/>
      <c r="AQ773" s="897"/>
      <c r="AR773" s="897"/>
      <c r="AS773" s="897"/>
      <c r="AT773" s="897"/>
    </row>
    <row r="774" spans="1:46" s="930" customFormat="1">
      <c r="A774" s="892"/>
      <c r="B774" s="899"/>
      <c r="C774" s="900"/>
      <c r="D774" s="894"/>
      <c r="E774" s="936"/>
      <c r="F774" s="905"/>
      <c r="G774" s="896"/>
      <c r="H774" s="897"/>
      <c r="I774" s="897"/>
      <c r="J774" s="897"/>
      <c r="K774" s="897"/>
      <c r="L774" s="898"/>
      <c r="M774" s="898"/>
      <c r="N774" s="898"/>
      <c r="O774" s="898"/>
      <c r="P774" s="898"/>
      <c r="Q774" s="898"/>
      <c r="R774" s="898"/>
      <c r="S774" s="898"/>
      <c r="T774" s="898"/>
      <c r="U774" s="898"/>
      <c r="V774" s="898"/>
      <c r="W774" s="898"/>
      <c r="X774" s="898"/>
      <c r="Y774" s="898"/>
      <c r="Z774" s="898"/>
      <c r="AA774" s="898"/>
      <c r="AB774" s="898"/>
      <c r="AC774" s="898"/>
      <c r="AD774" s="898"/>
      <c r="AE774" s="898"/>
      <c r="AF774" s="898"/>
      <c r="AG774" s="898"/>
      <c r="AH774" s="898"/>
      <c r="AI774" s="898"/>
      <c r="AJ774" s="898"/>
      <c r="AK774" s="898"/>
      <c r="AL774" s="898"/>
      <c r="AM774" s="897"/>
      <c r="AN774" s="897"/>
      <c r="AO774" s="897"/>
      <c r="AP774" s="897"/>
      <c r="AQ774" s="897"/>
      <c r="AR774" s="897"/>
      <c r="AS774" s="897"/>
      <c r="AT774" s="897"/>
    </row>
    <row r="775" spans="1:46" s="930" customFormat="1">
      <c r="A775" s="892"/>
      <c r="B775" s="899"/>
      <c r="C775" s="900"/>
      <c r="D775" s="894"/>
      <c r="E775" s="936"/>
      <c r="F775" s="905"/>
      <c r="G775" s="896"/>
      <c r="H775" s="897"/>
      <c r="I775" s="897"/>
      <c r="J775" s="897"/>
      <c r="K775" s="897"/>
      <c r="L775" s="898"/>
      <c r="M775" s="898"/>
      <c r="N775" s="898"/>
      <c r="O775" s="898"/>
      <c r="P775" s="898"/>
      <c r="Q775" s="898"/>
      <c r="R775" s="898"/>
      <c r="S775" s="898"/>
      <c r="T775" s="898"/>
      <c r="U775" s="898"/>
      <c r="V775" s="898"/>
      <c r="W775" s="898"/>
      <c r="X775" s="898"/>
      <c r="Y775" s="898"/>
      <c r="Z775" s="898"/>
      <c r="AA775" s="898"/>
      <c r="AB775" s="898"/>
      <c r="AC775" s="898"/>
      <c r="AD775" s="898"/>
      <c r="AE775" s="898"/>
      <c r="AF775" s="898"/>
      <c r="AG775" s="898"/>
      <c r="AH775" s="898"/>
      <c r="AI775" s="898"/>
      <c r="AJ775" s="898"/>
      <c r="AK775" s="898"/>
      <c r="AL775" s="898"/>
      <c r="AM775" s="897"/>
      <c r="AN775" s="897"/>
      <c r="AO775" s="897"/>
      <c r="AP775" s="897"/>
      <c r="AQ775" s="897"/>
      <c r="AR775" s="897"/>
      <c r="AS775" s="897"/>
      <c r="AT775" s="897"/>
    </row>
    <row r="776" spans="1:46" s="930" customFormat="1">
      <c r="A776" s="892"/>
      <c r="B776" s="899"/>
      <c r="C776" s="900"/>
      <c r="D776" s="894"/>
      <c r="E776" s="936"/>
      <c r="F776" s="905"/>
      <c r="G776" s="896"/>
      <c r="H776" s="897"/>
      <c r="I776" s="897"/>
      <c r="J776" s="897"/>
      <c r="K776" s="897"/>
      <c r="L776" s="898"/>
      <c r="M776" s="898"/>
      <c r="N776" s="898"/>
      <c r="O776" s="898"/>
      <c r="P776" s="898"/>
      <c r="Q776" s="898"/>
      <c r="R776" s="898"/>
      <c r="S776" s="898"/>
      <c r="T776" s="898"/>
      <c r="U776" s="898"/>
      <c r="V776" s="898"/>
      <c r="W776" s="898"/>
      <c r="X776" s="898"/>
      <c r="Y776" s="898"/>
      <c r="Z776" s="898"/>
      <c r="AA776" s="898"/>
      <c r="AB776" s="898"/>
      <c r="AC776" s="898"/>
      <c r="AD776" s="898"/>
      <c r="AE776" s="898"/>
      <c r="AF776" s="898"/>
      <c r="AG776" s="898"/>
      <c r="AH776" s="898"/>
      <c r="AI776" s="898"/>
      <c r="AJ776" s="898"/>
      <c r="AK776" s="898"/>
      <c r="AL776" s="898"/>
      <c r="AM776" s="897"/>
      <c r="AN776" s="897"/>
      <c r="AO776" s="897"/>
      <c r="AP776" s="897"/>
      <c r="AQ776" s="897"/>
      <c r="AR776" s="897"/>
      <c r="AS776" s="897"/>
      <c r="AT776" s="897"/>
    </row>
    <row r="777" spans="1:46" s="930" customFormat="1">
      <c r="A777" s="892"/>
      <c r="B777" s="899"/>
      <c r="C777" s="900"/>
      <c r="D777" s="894"/>
      <c r="E777" s="936"/>
      <c r="F777" s="905"/>
      <c r="G777" s="896"/>
      <c r="H777" s="897"/>
      <c r="I777" s="897"/>
      <c r="J777" s="897"/>
      <c r="K777" s="897"/>
      <c r="L777" s="898"/>
      <c r="M777" s="898"/>
      <c r="N777" s="898"/>
      <c r="O777" s="898"/>
      <c r="P777" s="898"/>
      <c r="Q777" s="898"/>
      <c r="R777" s="898"/>
      <c r="S777" s="898"/>
      <c r="T777" s="898"/>
      <c r="U777" s="898"/>
      <c r="V777" s="898"/>
      <c r="W777" s="898"/>
      <c r="X777" s="898"/>
      <c r="Y777" s="898"/>
      <c r="Z777" s="898"/>
      <c r="AA777" s="898"/>
      <c r="AB777" s="898"/>
      <c r="AC777" s="898"/>
      <c r="AD777" s="898"/>
      <c r="AE777" s="898"/>
      <c r="AF777" s="898"/>
      <c r="AG777" s="898"/>
      <c r="AH777" s="898"/>
      <c r="AI777" s="898"/>
      <c r="AJ777" s="898"/>
      <c r="AK777" s="898"/>
      <c r="AL777" s="898"/>
      <c r="AM777" s="897"/>
      <c r="AN777" s="897"/>
      <c r="AO777" s="897"/>
      <c r="AP777" s="897"/>
      <c r="AQ777" s="897"/>
      <c r="AR777" s="897"/>
      <c r="AS777" s="897"/>
      <c r="AT777" s="897"/>
    </row>
    <row r="778" spans="1:46" s="930" customFormat="1">
      <c r="A778" s="892"/>
      <c r="B778" s="899"/>
      <c r="C778" s="900"/>
      <c r="D778" s="894"/>
      <c r="E778" s="936"/>
      <c r="F778" s="905"/>
      <c r="G778" s="896"/>
      <c r="H778" s="897"/>
      <c r="I778" s="897"/>
      <c r="J778" s="897"/>
      <c r="K778" s="897"/>
      <c r="L778" s="898"/>
      <c r="M778" s="898"/>
      <c r="N778" s="898"/>
      <c r="O778" s="898"/>
      <c r="P778" s="898"/>
      <c r="Q778" s="898"/>
      <c r="R778" s="898"/>
      <c r="S778" s="898"/>
      <c r="T778" s="898"/>
      <c r="U778" s="898"/>
      <c r="V778" s="898"/>
      <c r="W778" s="898"/>
      <c r="X778" s="898"/>
      <c r="Y778" s="898"/>
      <c r="Z778" s="898"/>
      <c r="AA778" s="898"/>
      <c r="AB778" s="898"/>
      <c r="AC778" s="898"/>
      <c r="AD778" s="898"/>
      <c r="AE778" s="898"/>
      <c r="AF778" s="898"/>
      <c r="AG778" s="898"/>
      <c r="AH778" s="898"/>
      <c r="AI778" s="898"/>
      <c r="AJ778" s="898"/>
      <c r="AK778" s="898"/>
      <c r="AL778" s="898"/>
      <c r="AM778" s="897"/>
      <c r="AN778" s="897"/>
      <c r="AO778" s="897"/>
      <c r="AP778" s="897"/>
      <c r="AQ778" s="897"/>
      <c r="AR778" s="897"/>
      <c r="AS778" s="897"/>
      <c r="AT778" s="897"/>
    </row>
    <row r="779" spans="1:46" s="930" customFormat="1">
      <c r="A779" s="892"/>
      <c r="B779" s="899"/>
      <c r="C779" s="900"/>
      <c r="D779" s="894"/>
      <c r="E779" s="936"/>
      <c r="F779" s="905"/>
      <c r="G779" s="896"/>
      <c r="H779" s="897"/>
      <c r="I779" s="897"/>
      <c r="J779" s="897"/>
      <c r="K779" s="897"/>
      <c r="L779" s="898"/>
      <c r="M779" s="898"/>
      <c r="N779" s="898"/>
      <c r="O779" s="898"/>
      <c r="P779" s="898"/>
      <c r="Q779" s="898"/>
      <c r="R779" s="898"/>
      <c r="S779" s="898"/>
      <c r="T779" s="898"/>
      <c r="U779" s="898"/>
      <c r="V779" s="898"/>
      <c r="W779" s="898"/>
      <c r="X779" s="898"/>
      <c r="Y779" s="898"/>
      <c r="Z779" s="898"/>
      <c r="AA779" s="898"/>
      <c r="AB779" s="898"/>
      <c r="AC779" s="898"/>
      <c r="AD779" s="898"/>
      <c r="AE779" s="898"/>
      <c r="AF779" s="898"/>
      <c r="AG779" s="898"/>
      <c r="AH779" s="898"/>
      <c r="AI779" s="898"/>
      <c r="AJ779" s="898"/>
      <c r="AK779" s="898"/>
      <c r="AL779" s="898"/>
      <c r="AM779" s="897"/>
      <c r="AN779" s="897"/>
      <c r="AO779" s="897"/>
      <c r="AP779" s="897"/>
      <c r="AQ779" s="897"/>
      <c r="AR779" s="897"/>
      <c r="AS779" s="897"/>
      <c r="AT779" s="897"/>
    </row>
    <row r="780" spans="1:46" s="930" customFormat="1">
      <c r="A780" s="892"/>
      <c r="B780" s="899"/>
      <c r="C780" s="900"/>
      <c r="D780" s="894"/>
      <c r="E780" s="936"/>
      <c r="F780" s="905"/>
      <c r="G780" s="896"/>
      <c r="H780" s="897"/>
      <c r="I780" s="897"/>
      <c r="J780" s="897"/>
      <c r="K780" s="897"/>
      <c r="L780" s="898"/>
      <c r="M780" s="898"/>
      <c r="N780" s="898"/>
      <c r="O780" s="898"/>
      <c r="P780" s="898"/>
      <c r="Q780" s="898"/>
      <c r="R780" s="898"/>
      <c r="S780" s="898"/>
      <c r="T780" s="898"/>
      <c r="U780" s="898"/>
      <c r="V780" s="898"/>
      <c r="W780" s="898"/>
      <c r="X780" s="898"/>
      <c r="Y780" s="898"/>
      <c r="Z780" s="898"/>
      <c r="AA780" s="898"/>
      <c r="AB780" s="898"/>
      <c r="AC780" s="898"/>
      <c r="AD780" s="898"/>
      <c r="AE780" s="898"/>
      <c r="AF780" s="898"/>
      <c r="AG780" s="898"/>
      <c r="AH780" s="898"/>
      <c r="AI780" s="898"/>
      <c r="AJ780" s="898"/>
      <c r="AK780" s="898"/>
      <c r="AL780" s="898"/>
      <c r="AM780" s="897"/>
      <c r="AN780" s="897"/>
      <c r="AO780" s="897"/>
      <c r="AP780" s="897"/>
      <c r="AQ780" s="897"/>
      <c r="AR780" s="897"/>
      <c r="AS780" s="897"/>
      <c r="AT780" s="897"/>
    </row>
    <row r="781" spans="1:46" s="930" customFormat="1">
      <c r="A781" s="892"/>
      <c r="B781" s="899"/>
      <c r="C781" s="900"/>
      <c r="D781" s="894"/>
      <c r="E781" s="936"/>
      <c r="F781" s="905"/>
      <c r="G781" s="896"/>
      <c r="H781" s="897"/>
      <c r="I781" s="897"/>
      <c r="J781" s="897"/>
      <c r="K781" s="897"/>
      <c r="L781" s="898"/>
      <c r="M781" s="898"/>
      <c r="N781" s="898"/>
      <c r="O781" s="898"/>
      <c r="P781" s="898"/>
      <c r="Q781" s="898"/>
      <c r="R781" s="898"/>
      <c r="S781" s="898"/>
      <c r="T781" s="898"/>
      <c r="U781" s="898"/>
      <c r="V781" s="898"/>
      <c r="W781" s="898"/>
      <c r="X781" s="898"/>
      <c r="Y781" s="898"/>
      <c r="Z781" s="898"/>
      <c r="AA781" s="898"/>
      <c r="AB781" s="898"/>
      <c r="AC781" s="898"/>
      <c r="AD781" s="898"/>
      <c r="AE781" s="898"/>
      <c r="AF781" s="898"/>
      <c r="AG781" s="898"/>
      <c r="AH781" s="898"/>
      <c r="AI781" s="898"/>
      <c r="AJ781" s="898"/>
      <c r="AK781" s="898"/>
      <c r="AL781" s="898"/>
      <c r="AM781" s="897"/>
      <c r="AN781" s="897"/>
      <c r="AO781" s="897"/>
      <c r="AP781" s="897"/>
      <c r="AQ781" s="897"/>
      <c r="AR781" s="897"/>
      <c r="AS781" s="897"/>
      <c r="AT781" s="897"/>
    </row>
    <row r="782" spans="1:46" s="930" customFormat="1">
      <c r="A782" s="892"/>
      <c r="B782" s="899"/>
      <c r="C782" s="900"/>
      <c r="D782" s="894"/>
      <c r="E782" s="936"/>
      <c r="F782" s="905"/>
      <c r="G782" s="896"/>
      <c r="H782" s="897"/>
      <c r="I782" s="897"/>
      <c r="J782" s="897"/>
      <c r="K782" s="897"/>
      <c r="L782" s="898"/>
      <c r="M782" s="898"/>
      <c r="N782" s="898"/>
      <c r="O782" s="898"/>
      <c r="P782" s="898"/>
      <c r="Q782" s="898"/>
      <c r="R782" s="898"/>
      <c r="S782" s="898"/>
      <c r="T782" s="898"/>
      <c r="U782" s="898"/>
      <c r="V782" s="898"/>
      <c r="W782" s="898"/>
      <c r="X782" s="898"/>
      <c r="Y782" s="898"/>
      <c r="Z782" s="898"/>
      <c r="AA782" s="898"/>
      <c r="AB782" s="898"/>
      <c r="AC782" s="898"/>
      <c r="AD782" s="898"/>
      <c r="AE782" s="898"/>
      <c r="AF782" s="898"/>
      <c r="AG782" s="898"/>
      <c r="AH782" s="898"/>
      <c r="AI782" s="898"/>
      <c r="AJ782" s="898"/>
      <c r="AK782" s="898"/>
      <c r="AL782" s="898"/>
      <c r="AM782" s="897"/>
      <c r="AN782" s="897"/>
      <c r="AO782" s="897"/>
      <c r="AP782" s="897"/>
      <c r="AQ782" s="897"/>
      <c r="AR782" s="897"/>
      <c r="AS782" s="897"/>
      <c r="AT782" s="897"/>
    </row>
    <row r="783" spans="1:46" s="930" customFormat="1">
      <c r="A783" s="892"/>
      <c r="B783" s="899"/>
      <c r="C783" s="900"/>
      <c r="D783" s="894"/>
      <c r="E783" s="936"/>
      <c r="F783" s="905"/>
      <c r="G783" s="896"/>
      <c r="H783" s="897"/>
      <c r="I783" s="897"/>
      <c r="J783" s="897"/>
      <c r="K783" s="897"/>
      <c r="L783" s="898"/>
      <c r="M783" s="898"/>
      <c r="N783" s="898"/>
      <c r="O783" s="898"/>
      <c r="P783" s="898"/>
      <c r="Q783" s="898"/>
      <c r="R783" s="898"/>
      <c r="S783" s="898"/>
      <c r="T783" s="898"/>
      <c r="U783" s="898"/>
      <c r="V783" s="898"/>
      <c r="W783" s="898"/>
      <c r="X783" s="898"/>
      <c r="Y783" s="898"/>
      <c r="Z783" s="898"/>
      <c r="AA783" s="898"/>
      <c r="AB783" s="898"/>
      <c r="AC783" s="898"/>
      <c r="AD783" s="898"/>
      <c r="AE783" s="898"/>
      <c r="AF783" s="898"/>
      <c r="AG783" s="898"/>
      <c r="AH783" s="898"/>
      <c r="AI783" s="898"/>
      <c r="AJ783" s="898"/>
      <c r="AK783" s="898"/>
      <c r="AL783" s="898"/>
      <c r="AM783" s="897"/>
      <c r="AN783" s="897"/>
      <c r="AO783" s="897"/>
      <c r="AP783" s="897"/>
      <c r="AQ783" s="897"/>
      <c r="AR783" s="897"/>
      <c r="AS783" s="897"/>
      <c r="AT783" s="897"/>
    </row>
    <row r="784" spans="1:46" s="930" customFormat="1">
      <c r="A784" s="892"/>
      <c r="B784" s="899"/>
      <c r="C784" s="900"/>
      <c r="D784" s="894"/>
      <c r="E784" s="936"/>
      <c r="F784" s="905"/>
      <c r="G784" s="896"/>
      <c r="H784" s="897"/>
      <c r="I784" s="897"/>
      <c r="J784" s="897"/>
      <c r="K784" s="897"/>
      <c r="L784" s="898"/>
      <c r="M784" s="898"/>
      <c r="N784" s="898"/>
      <c r="O784" s="898"/>
      <c r="P784" s="898"/>
      <c r="Q784" s="898"/>
      <c r="R784" s="898"/>
      <c r="S784" s="898"/>
      <c r="T784" s="898"/>
      <c r="U784" s="898"/>
      <c r="V784" s="898"/>
      <c r="W784" s="898"/>
      <c r="X784" s="898"/>
      <c r="Y784" s="898"/>
      <c r="Z784" s="898"/>
      <c r="AA784" s="898"/>
      <c r="AB784" s="898"/>
      <c r="AC784" s="898"/>
      <c r="AD784" s="898"/>
      <c r="AE784" s="898"/>
      <c r="AF784" s="898"/>
      <c r="AG784" s="898"/>
      <c r="AH784" s="898"/>
      <c r="AI784" s="898"/>
      <c r="AJ784" s="898"/>
      <c r="AK784" s="898"/>
      <c r="AL784" s="898"/>
      <c r="AM784" s="897"/>
      <c r="AN784" s="897"/>
      <c r="AO784" s="897"/>
      <c r="AP784" s="897"/>
      <c r="AQ784" s="897"/>
      <c r="AR784" s="897"/>
      <c r="AS784" s="897"/>
      <c r="AT784" s="897"/>
    </row>
    <row r="785" spans="1:46" s="930" customFormat="1">
      <c r="A785" s="892"/>
      <c r="B785" s="899"/>
      <c r="C785" s="900"/>
      <c r="D785" s="894"/>
      <c r="E785" s="936"/>
      <c r="F785" s="905"/>
      <c r="G785" s="896"/>
      <c r="H785" s="897"/>
      <c r="I785" s="897"/>
      <c r="J785" s="897"/>
      <c r="K785" s="897"/>
      <c r="L785" s="898"/>
      <c r="M785" s="898"/>
      <c r="N785" s="898"/>
      <c r="O785" s="898"/>
      <c r="P785" s="898"/>
      <c r="Q785" s="898"/>
      <c r="R785" s="898"/>
      <c r="S785" s="898"/>
      <c r="T785" s="898"/>
      <c r="U785" s="898"/>
      <c r="V785" s="898"/>
      <c r="W785" s="898"/>
      <c r="X785" s="898"/>
      <c r="Y785" s="898"/>
      <c r="Z785" s="898"/>
      <c r="AA785" s="898"/>
      <c r="AB785" s="898"/>
      <c r="AC785" s="898"/>
      <c r="AD785" s="898"/>
      <c r="AE785" s="898"/>
      <c r="AF785" s="898"/>
      <c r="AG785" s="898"/>
      <c r="AH785" s="898"/>
      <c r="AI785" s="898"/>
      <c r="AJ785" s="898"/>
      <c r="AK785" s="898"/>
      <c r="AL785" s="898"/>
      <c r="AM785" s="897"/>
      <c r="AN785" s="897"/>
      <c r="AO785" s="897"/>
      <c r="AP785" s="897"/>
      <c r="AQ785" s="897"/>
      <c r="AR785" s="897"/>
      <c r="AS785" s="897"/>
      <c r="AT785" s="897"/>
    </row>
    <row r="786" spans="1:46" s="930" customFormat="1">
      <c r="A786" s="892"/>
      <c r="B786" s="899"/>
      <c r="C786" s="900"/>
      <c r="D786" s="894"/>
      <c r="E786" s="936"/>
      <c r="F786" s="905"/>
      <c r="G786" s="896"/>
      <c r="H786" s="897"/>
      <c r="I786" s="897"/>
      <c r="J786" s="897"/>
      <c r="K786" s="897"/>
      <c r="L786" s="898"/>
      <c r="M786" s="898"/>
      <c r="N786" s="898"/>
      <c r="O786" s="898"/>
      <c r="P786" s="898"/>
      <c r="Q786" s="898"/>
      <c r="R786" s="898"/>
      <c r="S786" s="898"/>
      <c r="T786" s="898"/>
      <c r="U786" s="898"/>
      <c r="V786" s="898"/>
      <c r="W786" s="898"/>
      <c r="X786" s="898"/>
      <c r="Y786" s="898"/>
      <c r="Z786" s="898"/>
      <c r="AA786" s="898"/>
      <c r="AB786" s="898"/>
      <c r="AC786" s="898"/>
      <c r="AD786" s="898"/>
      <c r="AE786" s="898"/>
      <c r="AF786" s="898"/>
      <c r="AG786" s="898"/>
      <c r="AH786" s="898"/>
      <c r="AI786" s="898"/>
      <c r="AJ786" s="898"/>
      <c r="AK786" s="898"/>
      <c r="AL786" s="898"/>
      <c r="AM786" s="897"/>
      <c r="AN786" s="897"/>
      <c r="AO786" s="897"/>
      <c r="AP786" s="897"/>
      <c r="AQ786" s="897"/>
      <c r="AR786" s="897"/>
      <c r="AS786" s="897"/>
      <c r="AT786" s="897"/>
    </row>
    <row r="787" spans="1:46" s="930" customFormat="1">
      <c r="A787" s="892"/>
      <c r="B787" s="899"/>
      <c r="C787" s="900"/>
      <c r="D787" s="894"/>
      <c r="E787" s="936"/>
      <c r="F787" s="905"/>
      <c r="G787" s="896"/>
      <c r="H787" s="897"/>
      <c r="I787" s="897"/>
      <c r="J787" s="897"/>
      <c r="K787" s="897"/>
      <c r="L787" s="898"/>
      <c r="M787" s="898"/>
      <c r="N787" s="898"/>
      <c r="O787" s="898"/>
      <c r="P787" s="898"/>
      <c r="Q787" s="898"/>
      <c r="R787" s="898"/>
      <c r="S787" s="898"/>
      <c r="T787" s="898"/>
      <c r="U787" s="898"/>
      <c r="V787" s="898"/>
      <c r="W787" s="898"/>
      <c r="X787" s="898"/>
      <c r="Y787" s="898"/>
      <c r="Z787" s="898"/>
      <c r="AA787" s="898"/>
      <c r="AB787" s="898"/>
      <c r="AC787" s="898"/>
      <c r="AD787" s="898"/>
      <c r="AE787" s="898"/>
      <c r="AF787" s="898"/>
      <c r="AG787" s="898"/>
      <c r="AH787" s="898"/>
      <c r="AI787" s="898"/>
      <c r="AJ787" s="898"/>
      <c r="AK787" s="898"/>
      <c r="AL787" s="898"/>
      <c r="AM787" s="897"/>
      <c r="AN787" s="897"/>
      <c r="AO787" s="897"/>
      <c r="AP787" s="897"/>
      <c r="AQ787" s="897"/>
      <c r="AR787" s="897"/>
      <c r="AS787" s="897"/>
      <c r="AT787" s="897"/>
    </row>
    <row r="788" spans="1:46" s="930" customFormat="1">
      <c r="A788" s="892"/>
      <c r="B788" s="899"/>
      <c r="C788" s="900"/>
      <c r="D788" s="894"/>
      <c r="E788" s="936"/>
      <c r="F788" s="905"/>
      <c r="G788" s="896"/>
      <c r="H788" s="897"/>
      <c r="I788" s="897"/>
      <c r="J788" s="897"/>
      <c r="K788" s="897"/>
      <c r="L788" s="898"/>
      <c r="M788" s="898"/>
      <c r="N788" s="898"/>
      <c r="O788" s="898"/>
      <c r="P788" s="898"/>
      <c r="Q788" s="898"/>
      <c r="R788" s="898"/>
      <c r="S788" s="898"/>
      <c r="T788" s="898"/>
      <c r="U788" s="898"/>
      <c r="V788" s="898"/>
      <c r="W788" s="898"/>
      <c r="X788" s="898"/>
      <c r="Y788" s="898"/>
      <c r="Z788" s="898"/>
      <c r="AA788" s="898"/>
      <c r="AB788" s="898"/>
      <c r="AC788" s="898"/>
      <c r="AD788" s="898"/>
      <c r="AE788" s="898"/>
      <c r="AF788" s="898"/>
      <c r="AG788" s="898"/>
      <c r="AH788" s="898"/>
      <c r="AI788" s="898"/>
      <c r="AJ788" s="898"/>
      <c r="AK788" s="898"/>
      <c r="AL788" s="898"/>
      <c r="AM788" s="897"/>
      <c r="AN788" s="897"/>
      <c r="AO788" s="897"/>
      <c r="AP788" s="897"/>
      <c r="AQ788" s="897"/>
      <c r="AR788" s="897"/>
      <c r="AS788" s="897"/>
      <c r="AT788" s="897"/>
    </row>
    <row r="789" spans="1:46" s="930" customFormat="1">
      <c r="A789" s="892"/>
      <c r="B789" s="899"/>
      <c r="C789" s="900"/>
      <c r="D789" s="894"/>
      <c r="E789" s="936"/>
      <c r="F789" s="905"/>
      <c r="G789" s="896"/>
      <c r="H789" s="897"/>
      <c r="I789" s="897"/>
      <c r="J789" s="897"/>
      <c r="K789" s="897"/>
      <c r="L789" s="898"/>
      <c r="M789" s="898"/>
      <c r="N789" s="898"/>
      <c r="O789" s="898"/>
      <c r="P789" s="898"/>
      <c r="Q789" s="898"/>
      <c r="R789" s="898"/>
      <c r="S789" s="898"/>
      <c r="T789" s="898"/>
      <c r="U789" s="898"/>
      <c r="V789" s="898"/>
      <c r="W789" s="898"/>
      <c r="X789" s="898"/>
      <c r="Y789" s="898"/>
      <c r="Z789" s="898"/>
      <c r="AA789" s="898"/>
      <c r="AB789" s="898"/>
      <c r="AC789" s="898"/>
      <c r="AD789" s="898"/>
      <c r="AE789" s="898"/>
      <c r="AF789" s="898"/>
      <c r="AG789" s="898"/>
      <c r="AH789" s="898"/>
      <c r="AI789" s="898"/>
      <c r="AJ789" s="898"/>
      <c r="AK789" s="898"/>
      <c r="AL789" s="898"/>
      <c r="AM789" s="897"/>
      <c r="AN789" s="897"/>
      <c r="AO789" s="897"/>
      <c r="AP789" s="897"/>
      <c r="AQ789" s="897"/>
      <c r="AR789" s="897"/>
      <c r="AS789" s="897"/>
      <c r="AT789" s="897"/>
    </row>
    <row r="790" spans="1:46" s="930" customFormat="1">
      <c r="A790" s="892"/>
      <c r="B790" s="899"/>
      <c r="C790" s="900"/>
      <c r="D790" s="894"/>
      <c r="E790" s="936"/>
      <c r="F790" s="905"/>
      <c r="G790" s="896"/>
      <c r="H790" s="897"/>
      <c r="I790" s="897"/>
      <c r="J790" s="897"/>
      <c r="K790" s="897"/>
      <c r="L790" s="898"/>
      <c r="M790" s="898"/>
      <c r="N790" s="898"/>
      <c r="O790" s="898"/>
      <c r="P790" s="898"/>
      <c r="Q790" s="898"/>
      <c r="R790" s="898"/>
      <c r="S790" s="898"/>
      <c r="T790" s="898"/>
      <c r="U790" s="898"/>
      <c r="V790" s="898"/>
      <c r="W790" s="898"/>
      <c r="X790" s="898"/>
      <c r="Y790" s="898"/>
      <c r="Z790" s="898"/>
      <c r="AA790" s="898"/>
      <c r="AB790" s="898"/>
      <c r="AC790" s="898"/>
      <c r="AD790" s="898"/>
      <c r="AE790" s="898"/>
      <c r="AF790" s="898"/>
      <c r="AG790" s="898"/>
      <c r="AH790" s="898"/>
      <c r="AI790" s="898"/>
      <c r="AJ790" s="898"/>
      <c r="AK790" s="898"/>
      <c r="AL790" s="898"/>
      <c r="AM790" s="897"/>
      <c r="AN790" s="897"/>
      <c r="AO790" s="897"/>
      <c r="AP790" s="897"/>
      <c r="AQ790" s="897"/>
      <c r="AR790" s="897"/>
      <c r="AS790" s="897"/>
      <c r="AT790" s="897"/>
    </row>
    <row r="791" spans="1:46" s="930" customFormat="1">
      <c r="A791" s="892"/>
      <c r="B791" s="899"/>
      <c r="C791" s="900"/>
      <c r="D791" s="894"/>
      <c r="E791" s="936"/>
      <c r="F791" s="905"/>
      <c r="G791" s="896"/>
      <c r="H791" s="897"/>
      <c r="I791" s="897"/>
      <c r="J791" s="897"/>
      <c r="K791" s="897"/>
      <c r="L791" s="898"/>
      <c r="M791" s="898"/>
      <c r="N791" s="898"/>
      <c r="O791" s="898"/>
      <c r="P791" s="898"/>
      <c r="Q791" s="898"/>
      <c r="R791" s="898"/>
      <c r="S791" s="898"/>
      <c r="T791" s="898"/>
      <c r="U791" s="898"/>
      <c r="V791" s="898"/>
      <c r="W791" s="898"/>
      <c r="X791" s="898"/>
      <c r="Y791" s="898"/>
      <c r="Z791" s="898"/>
      <c r="AA791" s="898"/>
      <c r="AB791" s="898"/>
      <c r="AC791" s="898"/>
      <c r="AD791" s="898"/>
      <c r="AE791" s="898"/>
      <c r="AF791" s="898"/>
      <c r="AG791" s="898"/>
      <c r="AH791" s="898"/>
      <c r="AI791" s="898"/>
      <c r="AJ791" s="898"/>
      <c r="AK791" s="898"/>
      <c r="AL791" s="898"/>
      <c r="AM791" s="897"/>
      <c r="AN791" s="897"/>
      <c r="AO791" s="897"/>
      <c r="AP791" s="897"/>
      <c r="AQ791" s="897"/>
      <c r="AR791" s="897"/>
      <c r="AS791" s="897"/>
      <c r="AT791" s="897"/>
    </row>
    <row r="792" spans="1:46" s="930" customFormat="1">
      <c r="A792" s="892"/>
      <c r="B792" s="899"/>
      <c r="C792" s="900"/>
      <c r="D792" s="894"/>
      <c r="E792" s="936"/>
      <c r="F792" s="905"/>
      <c r="G792" s="896"/>
      <c r="H792" s="897"/>
      <c r="I792" s="897"/>
      <c r="J792" s="897"/>
      <c r="K792" s="897"/>
      <c r="L792" s="898"/>
      <c r="M792" s="898"/>
      <c r="N792" s="898"/>
      <c r="O792" s="898"/>
      <c r="P792" s="898"/>
      <c r="Q792" s="898"/>
      <c r="R792" s="898"/>
      <c r="S792" s="898"/>
      <c r="T792" s="898"/>
      <c r="U792" s="898"/>
      <c r="V792" s="898"/>
      <c r="W792" s="898"/>
      <c r="X792" s="898"/>
      <c r="Y792" s="898"/>
      <c r="Z792" s="898"/>
      <c r="AA792" s="898"/>
      <c r="AB792" s="898"/>
      <c r="AC792" s="898"/>
      <c r="AD792" s="898"/>
      <c r="AE792" s="898"/>
      <c r="AF792" s="898"/>
      <c r="AG792" s="898"/>
      <c r="AH792" s="898"/>
      <c r="AI792" s="898"/>
      <c r="AJ792" s="898"/>
      <c r="AK792" s="898"/>
      <c r="AL792" s="898"/>
      <c r="AM792" s="897"/>
      <c r="AN792" s="897"/>
      <c r="AO792" s="897"/>
      <c r="AP792" s="897"/>
      <c r="AQ792" s="897"/>
      <c r="AR792" s="897"/>
      <c r="AS792" s="897"/>
      <c r="AT792" s="897"/>
    </row>
    <row r="793" spans="1:46" s="930" customFormat="1">
      <c r="A793" s="892"/>
      <c r="B793" s="899"/>
      <c r="C793" s="900"/>
      <c r="D793" s="894"/>
      <c r="E793" s="936"/>
      <c r="F793" s="905"/>
      <c r="G793" s="896"/>
      <c r="H793" s="897"/>
      <c r="I793" s="897"/>
      <c r="J793" s="897"/>
      <c r="K793" s="897"/>
      <c r="L793" s="898"/>
      <c r="M793" s="898"/>
      <c r="N793" s="898"/>
      <c r="O793" s="898"/>
      <c r="P793" s="898"/>
      <c r="Q793" s="898"/>
      <c r="R793" s="898"/>
      <c r="S793" s="898"/>
      <c r="T793" s="898"/>
      <c r="U793" s="898"/>
      <c r="V793" s="898"/>
      <c r="W793" s="898"/>
      <c r="X793" s="898"/>
      <c r="Y793" s="898"/>
      <c r="Z793" s="898"/>
      <c r="AA793" s="898"/>
      <c r="AB793" s="898"/>
      <c r="AC793" s="898"/>
      <c r="AD793" s="898"/>
      <c r="AE793" s="898"/>
      <c r="AF793" s="898"/>
      <c r="AG793" s="898"/>
      <c r="AH793" s="898"/>
      <c r="AI793" s="898"/>
      <c r="AJ793" s="898"/>
      <c r="AK793" s="898"/>
      <c r="AL793" s="898"/>
      <c r="AM793" s="897"/>
      <c r="AN793" s="897"/>
      <c r="AO793" s="897"/>
      <c r="AP793" s="897"/>
      <c r="AQ793" s="897"/>
      <c r="AR793" s="897"/>
      <c r="AS793" s="897"/>
      <c r="AT793" s="897"/>
    </row>
    <row r="794" spans="1:46" s="930" customFormat="1">
      <c r="A794" s="892"/>
      <c r="B794" s="899"/>
      <c r="C794" s="900"/>
      <c r="D794" s="894"/>
      <c r="E794" s="936"/>
      <c r="F794" s="905"/>
      <c r="G794" s="896"/>
      <c r="H794" s="897"/>
      <c r="I794" s="897"/>
      <c r="J794" s="897"/>
      <c r="K794" s="897"/>
      <c r="L794" s="898"/>
      <c r="M794" s="898"/>
      <c r="N794" s="898"/>
      <c r="O794" s="898"/>
      <c r="P794" s="898"/>
      <c r="Q794" s="898"/>
      <c r="R794" s="898"/>
      <c r="S794" s="898"/>
      <c r="T794" s="898"/>
      <c r="U794" s="898"/>
      <c r="V794" s="898"/>
      <c r="W794" s="898"/>
      <c r="X794" s="898"/>
      <c r="Y794" s="898"/>
      <c r="Z794" s="898"/>
      <c r="AA794" s="898"/>
      <c r="AB794" s="898"/>
      <c r="AC794" s="898"/>
      <c r="AD794" s="898"/>
      <c r="AE794" s="898"/>
      <c r="AF794" s="898"/>
      <c r="AG794" s="898"/>
      <c r="AH794" s="898"/>
      <c r="AI794" s="898"/>
      <c r="AJ794" s="898"/>
      <c r="AK794" s="898"/>
      <c r="AL794" s="898"/>
      <c r="AM794" s="897"/>
      <c r="AN794" s="897"/>
      <c r="AO794" s="897"/>
      <c r="AP794" s="897"/>
      <c r="AQ794" s="897"/>
      <c r="AR794" s="897"/>
      <c r="AS794" s="897"/>
      <c r="AT794" s="897"/>
    </row>
    <row r="795" spans="1:46" s="930" customFormat="1">
      <c r="A795" s="892"/>
      <c r="B795" s="899"/>
      <c r="C795" s="900"/>
      <c r="D795" s="894"/>
      <c r="E795" s="936"/>
      <c r="F795" s="905"/>
      <c r="G795" s="896"/>
      <c r="H795" s="897"/>
      <c r="I795" s="897"/>
      <c r="J795" s="897"/>
      <c r="K795" s="897"/>
      <c r="L795" s="898"/>
      <c r="M795" s="898"/>
      <c r="N795" s="898"/>
      <c r="O795" s="898"/>
      <c r="P795" s="898"/>
      <c r="Q795" s="898"/>
      <c r="R795" s="898"/>
      <c r="S795" s="898"/>
      <c r="T795" s="898"/>
      <c r="U795" s="898"/>
      <c r="V795" s="898"/>
      <c r="W795" s="898"/>
      <c r="X795" s="898"/>
      <c r="Y795" s="898"/>
      <c r="Z795" s="898"/>
      <c r="AA795" s="898"/>
      <c r="AB795" s="898"/>
      <c r="AC795" s="898"/>
      <c r="AD795" s="898"/>
      <c r="AE795" s="898"/>
      <c r="AF795" s="898"/>
      <c r="AG795" s="898"/>
      <c r="AH795" s="898"/>
      <c r="AI795" s="898"/>
      <c r="AJ795" s="898"/>
      <c r="AK795" s="898"/>
      <c r="AL795" s="898"/>
      <c r="AM795" s="897"/>
      <c r="AN795" s="897"/>
      <c r="AO795" s="897"/>
      <c r="AP795" s="897"/>
      <c r="AQ795" s="897"/>
      <c r="AR795" s="897"/>
      <c r="AS795" s="897"/>
      <c r="AT795" s="897"/>
    </row>
    <row r="796" spans="1:46" s="930" customFormat="1">
      <c r="A796" s="892"/>
      <c r="B796" s="899"/>
      <c r="C796" s="900"/>
      <c r="D796" s="894"/>
      <c r="E796" s="936"/>
      <c r="F796" s="905"/>
      <c r="G796" s="896"/>
      <c r="H796" s="897"/>
      <c r="I796" s="897"/>
      <c r="J796" s="897"/>
      <c r="K796" s="897"/>
      <c r="L796" s="898"/>
      <c r="M796" s="898"/>
      <c r="N796" s="898"/>
      <c r="O796" s="898"/>
      <c r="P796" s="898"/>
      <c r="Q796" s="898"/>
      <c r="R796" s="898"/>
      <c r="S796" s="898"/>
      <c r="T796" s="898"/>
      <c r="U796" s="898"/>
      <c r="V796" s="898"/>
      <c r="W796" s="898"/>
      <c r="X796" s="898"/>
      <c r="Y796" s="898"/>
      <c r="Z796" s="898"/>
      <c r="AA796" s="898"/>
      <c r="AB796" s="898"/>
      <c r="AC796" s="898"/>
      <c r="AD796" s="898"/>
      <c r="AE796" s="898"/>
      <c r="AF796" s="898"/>
      <c r="AG796" s="898"/>
      <c r="AH796" s="898"/>
      <c r="AI796" s="898"/>
      <c r="AJ796" s="898"/>
      <c r="AK796" s="898"/>
      <c r="AL796" s="898"/>
      <c r="AM796" s="897"/>
      <c r="AN796" s="897"/>
      <c r="AO796" s="897"/>
      <c r="AP796" s="897"/>
      <c r="AQ796" s="897"/>
      <c r="AR796" s="897"/>
      <c r="AS796" s="897"/>
      <c r="AT796" s="897"/>
    </row>
    <row r="797" spans="1:46" s="930" customFormat="1">
      <c r="A797" s="892"/>
      <c r="B797" s="899"/>
      <c r="C797" s="900"/>
      <c r="D797" s="894"/>
      <c r="E797" s="936"/>
      <c r="F797" s="905"/>
      <c r="G797" s="896"/>
      <c r="H797" s="897"/>
      <c r="I797" s="897"/>
      <c r="J797" s="897"/>
      <c r="K797" s="897"/>
      <c r="L797" s="898"/>
      <c r="M797" s="898"/>
      <c r="N797" s="898"/>
      <c r="O797" s="898"/>
      <c r="P797" s="898"/>
      <c r="Q797" s="898"/>
      <c r="R797" s="898"/>
      <c r="S797" s="898"/>
      <c r="T797" s="898"/>
      <c r="U797" s="898"/>
      <c r="V797" s="898"/>
      <c r="W797" s="898"/>
      <c r="X797" s="898"/>
      <c r="Y797" s="898"/>
      <c r="Z797" s="898"/>
      <c r="AA797" s="898"/>
      <c r="AB797" s="898"/>
      <c r="AC797" s="898"/>
      <c r="AD797" s="898"/>
      <c r="AE797" s="898"/>
      <c r="AF797" s="898"/>
      <c r="AG797" s="898"/>
      <c r="AH797" s="898"/>
      <c r="AI797" s="898"/>
      <c r="AJ797" s="898"/>
      <c r="AK797" s="898"/>
      <c r="AL797" s="898"/>
      <c r="AM797" s="897"/>
      <c r="AN797" s="897"/>
      <c r="AO797" s="897"/>
      <c r="AP797" s="897"/>
      <c r="AQ797" s="897"/>
      <c r="AR797" s="897"/>
      <c r="AS797" s="897"/>
      <c r="AT797" s="897"/>
    </row>
    <row r="798" spans="1:46" s="930" customFormat="1">
      <c r="A798" s="892"/>
      <c r="B798" s="899"/>
      <c r="C798" s="900"/>
      <c r="D798" s="894"/>
      <c r="E798" s="936"/>
      <c r="F798" s="905"/>
      <c r="G798" s="896"/>
      <c r="H798" s="897"/>
      <c r="I798" s="897"/>
      <c r="J798" s="897"/>
      <c r="K798" s="897"/>
      <c r="L798" s="898"/>
      <c r="M798" s="898"/>
      <c r="N798" s="898"/>
      <c r="O798" s="898"/>
      <c r="P798" s="898"/>
      <c r="Q798" s="898"/>
      <c r="R798" s="898"/>
      <c r="S798" s="898"/>
      <c r="T798" s="898"/>
      <c r="U798" s="898"/>
      <c r="V798" s="898"/>
      <c r="W798" s="898"/>
      <c r="X798" s="898"/>
      <c r="Y798" s="898"/>
      <c r="Z798" s="898"/>
      <c r="AA798" s="898"/>
      <c r="AB798" s="898"/>
      <c r="AC798" s="898"/>
      <c r="AD798" s="898"/>
      <c r="AE798" s="898"/>
      <c r="AF798" s="898"/>
      <c r="AG798" s="898"/>
      <c r="AH798" s="898"/>
      <c r="AI798" s="898"/>
      <c r="AJ798" s="898"/>
      <c r="AK798" s="898"/>
      <c r="AL798" s="898"/>
      <c r="AM798" s="897"/>
      <c r="AN798" s="897"/>
      <c r="AO798" s="897"/>
      <c r="AP798" s="897"/>
      <c r="AQ798" s="897"/>
      <c r="AR798" s="897"/>
      <c r="AS798" s="897"/>
      <c r="AT798" s="897"/>
    </row>
    <row r="799" spans="1:46" s="930" customFormat="1">
      <c r="A799" s="892"/>
      <c r="B799" s="899"/>
      <c r="C799" s="900"/>
      <c r="D799" s="894"/>
      <c r="E799" s="936"/>
      <c r="F799" s="905"/>
      <c r="G799" s="896"/>
      <c r="H799" s="897"/>
      <c r="I799" s="897"/>
      <c r="J799" s="897"/>
      <c r="K799" s="897"/>
      <c r="L799" s="898"/>
      <c r="M799" s="898"/>
      <c r="N799" s="898"/>
      <c r="O799" s="898"/>
      <c r="P799" s="898"/>
      <c r="Q799" s="898"/>
      <c r="R799" s="898"/>
      <c r="S799" s="898"/>
      <c r="T799" s="898"/>
      <c r="U799" s="898"/>
      <c r="V799" s="898"/>
      <c r="W799" s="898"/>
      <c r="X799" s="898"/>
      <c r="Y799" s="898"/>
      <c r="Z799" s="898"/>
      <c r="AA799" s="898"/>
      <c r="AB799" s="898"/>
      <c r="AC799" s="898"/>
      <c r="AD799" s="898"/>
      <c r="AE799" s="898"/>
      <c r="AF799" s="898"/>
      <c r="AG799" s="898"/>
      <c r="AH799" s="898"/>
      <c r="AI799" s="898"/>
      <c r="AJ799" s="898"/>
      <c r="AK799" s="898"/>
      <c r="AL799" s="898"/>
      <c r="AM799" s="897"/>
      <c r="AN799" s="897"/>
      <c r="AO799" s="897"/>
      <c r="AP799" s="897"/>
      <c r="AQ799" s="897"/>
      <c r="AR799" s="897"/>
      <c r="AS799" s="897"/>
      <c r="AT799" s="897"/>
    </row>
    <row r="800" spans="1:46" s="930" customFormat="1">
      <c r="A800" s="892"/>
      <c r="B800" s="899"/>
      <c r="C800" s="900"/>
      <c r="D800" s="894"/>
      <c r="E800" s="936"/>
      <c r="F800" s="905"/>
      <c r="G800" s="896"/>
      <c r="H800" s="897"/>
      <c r="I800" s="897"/>
      <c r="J800" s="897"/>
      <c r="K800" s="897"/>
      <c r="L800" s="898"/>
      <c r="M800" s="898"/>
      <c r="N800" s="898"/>
      <c r="O800" s="898"/>
      <c r="P800" s="898"/>
      <c r="Q800" s="898"/>
      <c r="R800" s="898"/>
      <c r="S800" s="898"/>
      <c r="T800" s="898"/>
      <c r="U800" s="898"/>
      <c r="V800" s="898"/>
      <c r="W800" s="898"/>
      <c r="X800" s="898"/>
      <c r="Y800" s="898"/>
      <c r="Z800" s="898"/>
      <c r="AA800" s="898"/>
      <c r="AB800" s="898"/>
      <c r="AC800" s="898"/>
      <c r="AD800" s="898"/>
      <c r="AE800" s="898"/>
      <c r="AF800" s="898"/>
      <c r="AG800" s="898"/>
      <c r="AH800" s="898"/>
      <c r="AI800" s="898"/>
      <c r="AJ800" s="898"/>
      <c r="AK800" s="898"/>
      <c r="AL800" s="898"/>
      <c r="AM800" s="897"/>
      <c r="AN800" s="897"/>
      <c r="AO800" s="897"/>
      <c r="AP800" s="897"/>
      <c r="AQ800" s="897"/>
      <c r="AR800" s="897"/>
      <c r="AS800" s="897"/>
      <c r="AT800" s="897"/>
    </row>
    <row r="801" spans="1:46" s="930" customFormat="1">
      <c r="A801" s="892"/>
      <c r="B801" s="899"/>
      <c r="C801" s="900"/>
      <c r="D801" s="894"/>
      <c r="E801" s="936"/>
      <c r="F801" s="905"/>
      <c r="G801" s="896"/>
      <c r="H801" s="897"/>
      <c r="I801" s="897"/>
      <c r="J801" s="897"/>
      <c r="K801" s="897"/>
      <c r="L801" s="898"/>
      <c r="M801" s="898"/>
      <c r="N801" s="898"/>
      <c r="O801" s="898"/>
      <c r="P801" s="898"/>
      <c r="Q801" s="898"/>
      <c r="R801" s="898"/>
      <c r="S801" s="898"/>
      <c r="T801" s="898"/>
      <c r="U801" s="898"/>
      <c r="V801" s="898"/>
      <c r="W801" s="898"/>
      <c r="X801" s="898"/>
      <c r="Y801" s="898"/>
      <c r="Z801" s="898"/>
      <c r="AA801" s="898"/>
      <c r="AB801" s="898"/>
      <c r="AC801" s="898"/>
      <c r="AD801" s="898"/>
      <c r="AE801" s="898"/>
      <c r="AF801" s="898"/>
      <c r="AG801" s="898"/>
      <c r="AH801" s="898"/>
      <c r="AI801" s="898"/>
      <c r="AJ801" s="898"/>
      <c r="AK801" s="898"/>
      <c r="AL801" s="898"/>
      <c r="AM801" s="897"/>
      <c r="AN801" s="897"/>
      <c r="AO801" s="897"/>
      <c r="AP801" s="897"/>
      <c r="AQ801" s="897"/>
      <c r="AR801" s="897"/>
      <c r="AS801" s="897"/>
      <c r="AT801" s="897"/>
    </row>
    <row r="802" spans="1:46" s="930" customFormat="1">
      <c r="A802" s="892"/>
      <c r="B802" s="899"/>
      <c r="C802" s="900"/>
      <c r="D802" s="894"/>
      <c r="E802" s="936"/>
      <c r="F802" s="905"/>
      <c r="G802" s="896"/>
      <c r="H802" s="897"/>
      <c r="I802" s="897"/>
      <c r="J802" s="897"/>
      <c r="K802" s="897"/>
      <c r="L802" s="898"/>
      <c r="M802" s="898"/>
      <c r="N802" s="898"/>
      <c r="O802" s="898"/>
      <c r="P802" s="898"/>
      <c r="Q802" s="898"/>
      <c r="R802" s="898"/>
      <c r="S802" s="898"/>
      <c r="T802" s="898"/>
      <c r="U802" s="898"/>
      <c r="V802" s="898"/>
      <c r="W802" s="898"/>
      <c r="X802" s="898"/>
      <c r="Y802" s="898"/>
      <c r="Z802" s="898"/>
      <c r="AA802" s="898"/>
      <c r="AB802" s="898"/>
      <c r="AC802" s="898"/>
      <c r="AD802" s="898"/>
      <c r="AE802" s="898"/>
      <c r="AF802" s="898"/>
      <c r="AG802" s="898"/>
      <c r="AH802" s="898"/>
      <c r="AI802" s="898"/>
      <c r="AJ802" s="898"/>
      <c r="AK802" s="898"/>
      <c r="AL802" s="898"/>
      <c r="AM802" s="897"/>
      <c r="AN802" s="897"/>
      <c r="AO802" s="897"/>
      <c r="AP802" s="897"/>
      <c r="AQ802" s="897"/>
      <c r="AR802" s="897"/>
      <c r="AS802" s="897"/>
      <c r="AT802" s="897"/>
    </row>
    <row r="803" spans="1:46" s="930" customFormat="1">
      <c r="A803" s="892"/>
      <c r="B803" s="899"/>
      <c r="C803" s="900"/>
      <c r="D803" s="894"/>
      <c r="E803" s="936"/>
      <c r="F803" s="905"/>
      <c r="G803" s="896"/>
      <c r="H803" s="897"/>
      <c r="I803" s="897"/>
      <c r="J803" s="897"/>
      <c r="K803" s="897"/>
      <c r="L803" s="898"/>
      <c r="M803" s="898"/>
      <c r="N803" s="898"/>
      <c r="O803" s="898"/>
      <c r="P803" s="898"/>
      <c r="Q803" s="898"/>
      <c r="R803" s="898"/>
      <c r="S803" s="898"/>
      <c r="T803" s="898"/>
      <c r="U803" s="898"/>
      <c r="V803" s="898"/>
      <c r="W803" s="898"/>
      <c r="X803" s="898"/>
      <c r="Y803" s="898"/>
      <c r="Z803" s="898"/>
      <c r="AA803" s="898"/>
      <c r="AB803" s="898"/>
      <c r="AC803" s="898"/>
      <c r="AD803" s="898"/>
      <c r="AE803" s="898"/>
      <c r="AF803" s="898"/>
      <c r="AG803" s="898"/>
      <c r="AH803" s="898"/>
      <c r="AI803" s="898"/>
      <c r="AJ803" s="898"/>
      <c r="AK803" s="898"/>
      <c r="AL803" s="898"/>
      <c r="AM803" s="897"/>
      <c r="AN803" s="897"/>
      <c r="AO803" s="897"/>
      <c r="AP803" s="897"/>
      <c r="AQ803" s="897"/>
      <c r="AR803" s="897"/>
      <c r="AS803" s="897"/>
      <c r="AT803" s="897"/>
    </row>
    <row r="804" spans="1:46" s="930" customFormat="1">
      <c r="A804" s="892"/>
      <c r="B804" s="899"/>
      <c r="C804" s="900"/>
      <c r="D804" s="894"/>
      <c r="E804" s="936"/>
      <c r="F804" s="905"/>
      <c r="G804" s="896"/>
      <c r="H804" s="897"/>
      <c r="I804" s="897"/>
      <c r="J804" s="897"/>
      <c r="K804" s="897"/>
      <c r="L804" s="898"/>
      <c r="M804" s="898"/>
      <c r="N804" s="898"/>
      <c r="O804" s="898"/>
      <c r="P804" s="898"/>
      <c r="Q804" s="898"/>
      <c r="R804" s="898"/>
      <c r="S804" s="898"/>
      <c r="T804" s="898"/>
      <c r="U804" s="898"/>
      <c r="V804" s="898"/>
      <c r="W804" s="898"/>
      <c r="X804" s="898"/>
      <c r="Y804" s="898"/>
      <c r="Z804" s="898"/>
      <c r="AA804" s="898"/>
      <c r="AB804" s="898"/>
      <c r="AC804" s="898"/>
      <c r="AD804" s="898"/>
      <c r="AE804" s="898"/>
      <c r="AF804" s="898"/>
      <c r="AG804" s="898"/>
      <c r="AH804" s="898"/>
      <c r="AI804" s="898"/>
      <c r="AJ804" s="898"/>
      <c r="AK804" s="898"/>
      <c r="AL804" s="898"/>
      <c r="AM804" s="897"/>
      <c r="AN804" s="897"/>
      <c r="AO804" s="897"/>
      <c r="AP804" s="897"/>
      <c r="AQ804" s="897"/>
      <c r="AR804" s="897"/>
      <c r="AS804" s="897"/>
      <c r="AT804" s="897"/>
    </row>
    <row r="805" spans="1:46" s="930" customFormat="1">
      <c r="A805" s="892"/>
      <c r="B805" s="899"/>
      <c r="C805" s="900"/>
      <c r="D805" s="894"/>
      <c r="E805" s="936"/>
      <c r="F805" s="905"/>
      <c r="G805" s="896"/>
      <c r="H805" s="897"/>
      <c r="I805" s="897"/>
      <c r="J805" s="897"/>
      <c r="K805" s="897"/>
      <c r="L805" s="898"/>
      <c r="M805" s="898"/>
      <c r="N805" s="898"/>
      <c r="O805" s="898"/>
      <c r="P805" s="898"/>
      <c r="Q805" s="898"/>
      <c r="R805" s="898"/>
      <c r="S805" s="898"/>
      <c r="T805" s="898"/>
      <c r="U805" s="898"/>
      <c r="V805" s="898"/>
      <c r="W805" s="898"/>
      <c r="X805" s="898"/>
      <c r="Y805" s="898"/>
      <c r="Z805" s="898"/>
      <c r="AA805" s="898"/>
      <c r="AB805" s="898"/>
      <c r="AC805" s="898"/>
      <c r="AD805" s="898"/>
      <c r="AE805" s="898"/>
      <c r="AF805" s="898"/>
      <c r="AG805" s="898"/>
      <c r="AH805" s="898"/>
      <c r="AI805" s="898"/>
      <c r="AJ805" s="898"/>
      <c r="AK805" s="898"/>
      <c r="AL805" s="898"/>
      <c r="AM805" s="897"/>
      <c r="AN805" s="897"/>
      <c r="AO805" s="897"/>
      <c r="AP805" s="897"/>
      <c r="AQ805" s="897"/>
      <c r="AR805" s="897"/>
      <c r="AS805" s="897"/>
      <c r="AT805" s="897"/>
    </row>
    <row r="806" spans="1:46" s="930" customFormat="1">
      <c r="A806" s="892"/>
      <c r="B806" s="899"/>
      <c r="C806" s="900"/>
      <c r="D806" s="894"/>
      <c r="E806" s="936"/>
      <c r="F806" s="905"/>
      <c r="G806" s="896"/>
      <c r="H806" s="897"/>
      <c r="I806" s="897"/>
      <c r="J806" s="897"/>
      <c r="K806" s="897"/>
      <c r="L806" s="898"/>
      <c r="M806" s="898"/>
      <c r="N806" s="898"/>
      <c r="O806" s="898"/>
      <c r="P806" s="898"/>
      <c r="Q806" s="898"/>
      <c r="R806" s="898"/>
      <c r="S806" s="898"/>
      <c r="T806" s="898"/>
      <c r="U806" s="898"/>
      <c r="V806" s="898"/>
      <c r="W806" s="898"/>
      <c r="X806" s="898"/>
      <c r="Y806" s="898"/>
      <c r="Z806" s="898"/>
      <c r="AA806" s="898"/>
      <c r="AB806" s="898"/>
      <c r="AC806" s="898"/>
      <c r="AD806" s="898"/>
      <c r="AE806" s="898"/>
      <c r="AF806" s="898"/>
      <c r="AG806" s="898"/>
      <c r="AH806" s="898"/>
      <c r="AI806" s="898"/>
      <c r="AJ806" s="898"/>
      <c r="AK806" s="898"/>
      <c r="AL806" s="898"/>
      <c r="AM806" s="897"/>
      <c r="AN806" s="897"/>
      <c r="AO806" s="897"/>
      <c r="AP806" s="897"/>
      <c r="AQ806" s="897"/>
      <c r="AR806" s="897"/>
      <c r="AS806" s="897"/>
      <c r="AT806" s="897"/>
    </row>
    <row r="807" spans="1:46" s="930" customFormat="1">
      <c r="A807" s="892"/>
      <c r="B807" s="899"/>
      <c r="C807" s="900"/>
      <c r="D807" s="894"/>
      <c r="E807" s="936"/>
      <c r="F807" s="905"/>
      <c r="G807" s="896"/>
      <c r="H807" s="897"/>
      <c r="I807" s="897"/>
      <c r="J807" s="897"/>
      <c r="K807" s="897"/>
      <c r="L807" s="898"/>
      <c r="M807" s="898"/>
      <c r="N807" s="898"/>
      <c r="O807" s="898"/>
      <c r="P807" s="898"/>
      <c r="Q807" s="898"/>
      <c r="R807" s="898"/>
      <c r="S807" s="898"/>
      <c r="T807" s="898"/>
      <c r="U807" s="898"/>
      <c r="V807" s="898"/>
      <c r="W807" s="898"/>
      <c r="X807" s="898"/>
      <c r="Y807" s="898"/>
      <c r="Z807" s="898"/>
      <c r="AA807" s="898"/>
      <c r="AB807" s="898"/>
      <c r="AC807" s="898"/>
      <c r="AD807" s="898"/>
      <c r="AE807" s="898"/>
      <c r="AF807" s="898"/>
      <c r="AG807" s="898"/>
      <c r="AH807" s="898"/>
      <c r="AI807" s="898"/>
      <c r="AJ807" s="898"/>
      <c r="AK807" s="898"/>
      <c r="AL807" s="898"/>
      <c r="AM807" s="897"/>
      <c r="AN807" s="897"/>
      <c r="AO807" s="897"/>
      <c r="AP807" s="897"/>
      <c r="AQ807" s="897"/>
      <c r="AR807" s="897"/>
      <c r="AS807" s="897"/>
      <c r="AT807" s="897"/>
    </row>
    <row r="808" spans="1:46" s="930" customFormat="1">
      <c r="A808" s="892"/>
      <c r="B808" s="899"/>
      <c r="C808" s="900"/>
      <c r="D808" s="894"/>
      <c r="E808" s="936"/>
      <c r="F808" s="905"/>
      <c r="G808" s="896"/>
      <c r="H808" s="897"/>
      <c r="I808" s="897"/>
      <c r="J808" s="897"/>
      <c r="K808" s="897"/>
      <c r="L808" s="898"/>
      <c r="M808" s="898"/>
      <c r="N808" s="898"/>
      <c r="O808" s="898"/>
      <c r="P808" s="898"/>
      <c r="Q808" s="898"/>
      <c r="R808" s="898"/>
      <c r="S808" s="898"/>
      <c r="T808" s="898"/>
      <c r="U808" s="898"/>
      <c r="V808" s="898"/>
      <c r="W808" s="898"/>
      <c r="X808" s="898"/>
      <c r="Y808" s="898"/>
      <c r="Z808" s="898"/>
      <c r="AA808" s="898"/>
      <c r="AB808" s="898"/>
      <c r="AC808" s="898"/>
      <c r="AD808" s="898"/>
      <c r="AE808" s="898"/>
      <c r="AF808" s="898"/>
      <c r="AG808" s="898"/>
      <c r="AH808" s="898"/>
      <c r="AI808" s="898"/>
      <c r="AJ808" s="898"/>
      <c r="AK808" s="898"/>
      <c r="AL808" s="898"/>
      <c r="AM808" s="897"/>
      <c r="AN808" s="897"/>
      <c r="AO808" s="897"/>
      <c r="AP808" s="897"/>
      <c r="AQ808" s="897"/>
      <c r="AR808" s="897"/>
      <c r="AS808" s="897"/>
      <c r="AT808" s="897"/>
    </row>
    <row r="809" spans="1:46" s="930" customFormat="1">
      <c r="A809" s="892"/>
      <c r="B809" s="899"/>
      <c r="C809" s="900"/>
      <c r="D809" s="894"/>
      <c r="E809" s="936"/>
      <c r="F809" s="905"/>
      <c r="G809" s="896"/>
      <c r="H809" s="897"/>
      <c r="I809" s="897"/>
      <c r="J809" s="897"/>
      <c r="K809" s="897"/>
      <c r="L809" s="898"/>
      <c r="M809" s="898"/>
      <c r="N809" s="898"/>
      <c r="O809" s="898"/>
      <c r="P809" s="898"/>
      <c r="Q809" s="898"/>
      <c r="R809" s="898"/>
      <c r="S809" s="898"/>
      <c r="T809" s="898"/>
      <c r="U809" s="898"/>
      <c r="V809" s="898"/>
      <c r="W809" s="898"/>
      <c r="X809" s="898"/>
      <c r="Y809" s="898"/>
      <c r="Z809" s="898"/>
      <c r="AA809" s="898"/>
      <c r="AB809" s="898"/>
      <c r="AC809" s="898"/>
      <c r="AD809" s="898"/>
      <c r="AE809" s="898"/>
      <c r="AF809" s="898"/>
      <c r="AG809" s="898"/>
      <c r="AH809" s="898"/>
      <c r="AI809" s="898"/>
      <c r="AJ809" s="898"/>
      <c r="AK809" s="898"/>
      <c r="AL809" s="898"/>
      <c r="AM809" s="897"/>
      <c r="AN809" s="897"/>
      <c r="AO809" s="897"/>
      <c r="AP809" s="897"/>
      <c r="AQ809" s="897"/>
      <c r="AR809" s="897"/>
      <c r="AS809" s="897"/>
      <c r="AT809" s="897"/>
    </row>
    <row r="810" spans="1:46" s="930" customFormat="1">
      <c r="A810" s="892"/>
      <c r="B810" s="899"/>
      <c r="C810" s="900"/>
      <c r="D810" s="894"/>
      <c r="E810" s="936"/>
      <c r="F810" s="905"/>
      <c r="G810" s="896"/>
      <c r="H810" s="897"/>
      <c r="I810" s="897"/>
      <c r="J810" s="897"/>
      <c r="K810" s="897"/>
      <c r="L810" s="898"/>
      <c r="M810" s="898"/>
      <c r="N810" s="898"/>
      <c r="O810" s="898"/>
      <c r="P810" s="898"/>
      <c r="Q810" s="898"/>
      <c r="R810" s="898"/>
      <c r="S810" s="898"/>
      <c r="T810" s="898"/>
      <c r="U810" s="898"/>
      <c r="V810" s="898"/>
      <c r="W810" s="898"/>
      <c r="X810" s="898"/>
      <c r="Y810" s="898"/>
      <c r="Z810" s="898"/>
      <c r="AA810" s="898"/>
      <c r="AB810" s="898"/>
      <c r="AC810" s="898"/>
      <c r="AD810" s="898"/>
      <c r="AE810" s="898"/>
      <c r="AF810" s="898"/>
      <c r="AG810" s="898"/>
      <c r="AH810" s="898"/>
      <c r="AI810" s="898"/>
      <c r="AJ810" s="898"/>
      <c r="AK810" s="898"/>
      <c r="AL810" s="898"/>
      <c r="AM810" s="897"/>
      <c r="AN810" s="897"/>
      <c r="AO810" s="897"/>
      <c r="AP810" s="897"/>
      <c r="AQ810" s="897"/>
      <c r="AR810" s="897"/>
      <c r="AS810" s="897"/>
      <c r="AT810" s="897"/>
    </row>
    <row r="811" spans="1:46" s="930" customFormat="1">
      <c r="A811" s="892"/>
      <c r="B811" s="899"/>
      <c r="C811" s="900"/>
      <c r="D811" s="894"/>
      <c r="E811" s="936"/>
      <c r="F811" s="905"/>
      <c r="G811" s="896"/>
      <c r="H811" s="897"/>
      <c r="I811" s="897"/>
      <c r="J811" s="897"/>
      <c r="K811" s="897"/>
      <c r="L811" s="898"/>
      <c r="M811" s="898"/>
      <c r="N811" s="898"/>
      <c r="O811" s="898"/>
      <c r="P811" s="898"/>
      <c r="Q811" s="898"/>
      <c r="R811" s="898"/>
      <c r="S811" s="898"/>
      <c r="T811" s="898"/>
      <c r="U811" s="898"/>
      <c r="V811" s="898"/>
      <c r="W811" s="898"/>
      <c r="X811" s="898"/>
      <c r="Y811" s="898"/>
      <c r="Z811" s="898"/>
      <c r="AA811" s="898"/>
      <c r="AB811" s="898"/>
      <c r="AC811" s="898"/>
      <c r="AD811" s="898"/>
      <c r="AE811" s="898"/>
      <c r="AF811" s="898"/>
      <c r="AG811" s="898"/>
      <c r="AH811" s="898"/>
      <c r="AI811" s="898"/>
      <c r="AJ811" s="898"/>
      <c r="AK811" s="898"/>
      <c r="AL811" s="898"/>
      <c r="AM811" s="897"/>
      <c r="AN811" s="897"/>
      <c r="AO811" s="897"/>
      <c r="AP811" s="897"/>
      <c r="AQ811" s="897"/>
      <c r="AR811" s="897"/>
      <c r="AS811" s="897"/>
      <c r="AT811" s="897"/>
    </row>
    <row r="812" spans="1:46" s="930" customFormat="1">
      <c r="A812" s="892"/>
      <c r="B812" s="899"/>
      <c r="C812" s="900"/>
      <c r="D812" s="894"/>
      <c r="E812" s="936"/>
      <c r="F812" s="905"/>
      <c r="G812" s="896"/>
      <c r="H812" s="897"/>
      <c r="I812" s="897"/>
      <c r="J812" s="897"/>
      <c r="K812" s="897"/>
      <c r="L812" s="898"/>
      <c r="M812" s="898"/>
      <c r="N812" s="898"/>
      <c r="O812" s="898"/>
      <c r="P812" s="898"/>
      <c r="Q812" s="898"/>
      <c r="R812" s="898"/>
      <c r="S812" s="898"/>
      <c r="T812" s="898"/>
      <c r="U812" s="898"/>
      <c r="V812" s="898"/>
      <c r="W812" s="898"/>
      <c r="X812" s="898"/>
      <c r="Y812" s="898"/>
      <c r="Z812" s="898"/>
      <c r="AA812" s="898"/>
      <c r="AB812" s="898"/>
      <c r="AC812" s="898"/>
      <c r="AD812" s="898"/>
      <c r="AE812" s="898"/>
      <c r="AF812" s="898"/>
      <c r="AG812" s="898"/>
      <c r="AH812" s="898"/>
      <c r="AI812" s="898"/>
      <c r="AJ812" s="898"/>
      <c r="AK812" s="898"/>
      <c r="AL812" s="898"/>
      <c r="AM812" s="897"/>
      <c r="AN812" s="897"/>
      <c r="AO812" s="897"/>
      <c r="AP812" s="897"/>
      <c r="AQ812" s="897"/>
      <c r="AR812" s="897"/>
      <c r="AS812" s="897"/>
      <c r="AT812" s="897"/>
    </row>
    <row r="813" spans="1:46" s="930" customFormat="1">
      <c r="A813" s="892"/>
      <c r="B813" s="899"/>
      <c r="C813" s="900"/>
      <c r="D813" s="894"/>
      <c r="E813" s="936"/>
      <c r="F813" s="905"/>
      <c r="G813" s="896"/>
      <c r="H813" s="897"/>
      <c r="I813" s="897"/>
      <c r="J813" s="897"/>
      <c r="K813" s="897"/>
      <c r="L813" s="898"/>
      <c r="M813" s="898"/>
      <c r="N813" s="898"/>
      <c r="O813" s="898"/>
      <c r="P813" s="898"/>
      <c r="Q813" s="898"/>
      <c r="R813" s="898"/>
      <c r="S813" s="898"/>
      <c r="T813" s="898"/>
      <c r="U813" s="898"/>
      <c r="V813" s="898"/>
      <c r="W813" s="898"/>
      <c r="X813" s="898"/>
      <c r="Y813" s="898"/>
      <c r="Z813" s="898"/>
      <c r="AA813" s="898"/>
      <c r="AB813" s="898"/>
      <c r="AC813" s="898"/>
      <c r="AD813" s="898"/>
      <c r="AE813" s="898"/>
      <c r="AF813" s="898"/>
      <c r="AG813" s="898"/>
      <c r="AH813" s="898"/>
      <c r="AI813" s="898"/>
      <c r="AJ813" s="898"/>
      <c r="AK813" s="898"/>
      <c r="AL813" s="898"/>
      <c r="AM813" s="897"/>
      <c r="AN813" s="897"/>
      <c r="AO813" s="897"/>
      <c r="AP813" s="897"/>
      <c r="AQ813" s="897"/>
      <c r="AR813" s="897"/>
      <c r="AS813" s="897"/>
      <c r="AT813" s="897"/>
    </row>
    <row r="814" spans="1:46" s="930" customFormat="1">
      <c r="A814" s="892"/>
      <c r="B814" s="899"/>
      <c r="C814" s="900"/>
      <c r="D814" s="894"/>
      <c r="E814" s="936"/>
      <c r="F814" s="905"/>
      <c r="G814" s="896"/>
      <c r="H814" s="897"/>
      <c r="I814" s="897"/>
      <c r="J814" s="897"/>
      <c r="K814" s="897"/>
      <c r="L814" s="898"/>
      <c r="M814" s="898"/>
      <c r="N814" s="898"/>
      <c r="O814" s="898"/>
      <c r="P814" s="898"/>
      <c r="Q814" s="898"/>
      <c r="R814" s="898"/>
      <c r="S814" s="898"/>
      <c r="T814" s="898"/>
      <c r="U814" s="898"/>
      <c r="V814" s="898"/>
      <c r="W814" s="898"/>
      <c r="X814" s="898"/>
      <c r="Y814" s="898"/>
      <c r="Z814" s="898"/>
      <c r="AA814" s="898"/>
      <c r="AB814" s="898"/>
      <c r="AC814" s="898"/>
      <c r="AD814" s="898"/>
      <c r="AE814" s="898"/>
      <c r="AF814" s="898"/>
      <c r="AG814" s="898"/>
      <c r="AH814" s="898"/>
      <c r="AI814" s="898"/>
      <c r="AJ814" s="898"/>
      <c r="AK814" s="898"/>
      <c r="AL814" s="898"/>
      <c r="AM814" s="897"/>
      <c r="AN814" s="897"/>
      <c r="AO814" s="897"/>
      <c r="AP814" s="897"/>
      <c r="AQ814" s="897"/>
      <c r="AR814" s="897"/>
      <c r="AS814" s="897"/>
      <c r="AT814" s="897"/>
    </row>
    <row r="815" spans="1:46" s="930" customFormat="1">
      <c r="A815" s="892"/>
      <c r="B815" s="899"/>
      <c r="C815" s="900"/>
      <c r="D815" s="894"/>
      <c r="E815" s="936"/>
      <c r="F815" s="905"/>
      <c r="G815" s="896"/>
      <c r="H815" s="897"/>
      <c r="I815" s="897"/>
      <c r="J815" s="897"/>
      <c r="K815" s="897"/>
      <c r="L815" s="898"/>
      <c r="M815" s="898"/>
      <c r="N815" s="898"/>
      <c r="O815" s="898"/>
      <c r="P815" s="898"/>
      <c r="Q815" s="898"/>
      <c r="R815" s="898"/>
      <c r="S815" s="898"/>
      <c r="T815" s="898"/>
      <c r="U815" s="898"/>
      <c r="V815" s="898"/>
      <c r="W815" s="898"/>
      <c r="X815" s="898"/>
      <c r="Y815" s="898"/>
      <c r="Z815" s="898"/>
      <c r="AA815" s="898"/>
      <c r="AB815" s="898"/>
      <c r="AC815" s="898"/>
      <c r="AD815" s="898"/>
      <c r="AE815" s="898"/>
      <c r="AF815" s="898"/>
      <c r="AG815" s="898"/>
      <c r="AH815" s="898"/>
      <c r="AI815" s="898"/>
      <c r="AJ815" s="898"/>
      <c r="AK815" s="898"/>
      <c r="AL815" s="898"/>
      <c r="AM815" s="897"/>
      <c r="AN815" s="897"/>
      <c r="AO815" s="897"/>
      <c r="AP815" s="897"/>
      <c r="AQ815" s="897"/>
      <c r="AR815" s="897"/>
      <c r="AS815" s="897"/>
      <c r="AT815" s="897"/>
    </row>
    <row r="816" spans="1:46" s="930" customFormat="1">
      <c r="A816" s="892"/>
      <c r="B816" s="899"/>
      <c r="C816" s="900"/>
      <c r="D816" s="894"/>
      <c r="E816" s="936"/>
      <c r="F816" s="905"/>
      <c r="G816" s="896"/>
      <c r="H816" s="897"/>
      <c r="I816" s="897"/>
      <c r="J816" s="897"/>
      <c r="K816" s="897"/>
      <c r="L816" s="898"/>
      <c r="M816" s="898"/>
      <c r="N816" s="898"/>
      <c r="O816" s="898"/>
      <c r="P816" s="898"/>
      <c r="Q816" s="898"/>
      <c r="R816" s="898"/>
      <c r="S816" s="898"/>
      <c r="T816" s="898"/>
      <c r="U816" s="898"/>
      <c r="V816" s="898"/>
      <c r="W816" s="898"/>
      <c r="X816" s="898"/>
      <c r="Y816" s="898"/>
      <c r="Z816" s="898"/>
      <c r="AA816" s="898"/>
      <c r="AB816" s="898"/>
      <c r="AC816" s="898"/>
      <c r="AD816" s="898"/>
      <c r="AE816" s="898"/>
      <c r="AF816" s="898"/>
      <c r="AG816" s="898"/>
      <c r="AH816" s="898"/>
      <c r="AI816" s="898"/>
      <c r="AJ816" s="898"/>
      <c r="AK816" s="898"/>
      <c r="AL816" s="898"/>
      <c r="AM816" s="897"/>
      <c r="AN816" s="897"/>
      <c r="AO816" s="897"/>
      <c r="AP816" s="897"/>
      <c r="AQ816" s="897"/>
      <c r="AR816" s="897"/>
      <c r="AS816" s="897"/>
      <c r="AT816" s="897"/>
    </row>
    <row r="817" spans="1:46" s="930" customFormat="1">
      <c r="A817" s="892"/>
      <c r="B817" s="899"/>
      <c r="C817" s="900"/>
      <c r="D817" s="894"/>
      <c r="E817" s="936"/>
      <c r="F817" s="905"/>
      <c r="G817" s="896"/>
      <c r="H817" s="897"/>
      <c r="I817" s="897"/>
      <c r="J817" s="897"/>
      <c r="K817" s="897"/>
      <c r="L817" s="898"/>
      <c r="M817" s="898"/>
      <c r="N817" s="898"/>
      <c r="O817" s="898"/>
      <c r="P817" s="898"/>
      <c r="Q817" s="898"/>
      <c r="R817" s="898"/>
      <c r="S817" s="898"/>
      <c r="T817" s="898"/>
      <c r="U817" s="898"/>
      <c r="V817" s="898"/>
      <c r="W817" s="898"/>
      <c r="X817" s="898"/>
      <c r="Y817" s="898"/>
      <c r="Z817" s="898"/>
      <c r="AA817" s="898"/>
      <c r="AB817" s="898"/>
      <c r="AC817" s="898"/>
      <c r="AD817" s="898"/>
      <c r="AE817" s="898"/>
      <c r="AF817" s="898"/>
      <c r="AG817" s="898"/>
      <c r="AH817" s="898"/>
      <c r="AI817" s="898"/>
      <c r="AJ817" s="898"/>
      <c r="AK817" s="898"/>
      <c r="AL817" s="898"/>
      <c r="AM817" s="897"/>
      <c r="AN817" s="897"/>
      <c r="AO817" s="897"/>
      <c r="AP817" s="897"/>
      <c r="AQ817" s="897"/>
      <c r="AR817" s="897"/>
      <c r="AS817" s="897"/>
      <c r="AT817" s="897"/>
    </row>
    <row r="818" spans="1:46" s="930" customFormat="1">
      <c r="A818" s="892"/>
      <c r="B818" s="899"/>
      <c r="C818" s="900"/>
      <c r="D818" s="894"/>
      <c r="E818" s="936"/>
      <c r="F818" s="905"/>
      <c r="G818" s="896"/>
      <c r="H818" s="897"/>
      <c r="I818" s="897"/>
      <c r="J818" s="897"/>
      <c r="K818" s="897"/>
      <c r="L818" s="898"/>
      <c r="M818" s="898"/>
      <c r="N818" s="898"/>
      <c r="O818" s="898"/>
      <c r="P818" s="898"/>
      <c r="Q818" s="898"/>
      <c r="R818" s="898"/>
      <c r="S818" s="898"/>
      <c r="T818" s="898"/>
      <c r="U818" s="898"/>
      <c r="V818" s="898"/>
      <c r="W818" s="898"/>
      <c r="X818" s="898"/>
      <c r="Y818" s="898"/>
      <c r="Z818" s="898"/>
      <c r="AA818" s="898"/>
      <c r="AB818" s="898"/>
      <c r="AC818" s="898"/>
      <c r="AD818" s="898"/>
      <c r="AE818" s="898"/>
      <c r="AF818" s="898"/>
      <c r="AG818" s="898"/>
      <c r="AH818" s="898"/>
      <c r="AI818" s="898"/>
      <c r="AJ818" s="898"/>
      <c r="AK818" s="898"/>
      <c r="AL818" s="898"/>
      <c r="AM818" s="897"/>
      <c r="AN818" s="897"/>
      <c r="AO818" s="897"/>
      <c r="AP818" s="897"/>
      <c r="AQ818" s="897"/>
      <c r="AR818" s="897"/>
      <c r="AS818" s="897"/>
      <c r="AT818" s="897"/>
    </row>
    <row r="819" spans="1:46" s="930" customFormat="1">
      <c r="A819" s="892"/>
      <c r="B819" s="899"/>
      <c r="C819" s="900"/>
      <c r="D819" s="894"/>
      <c r="E819" s="936"/>
      <c r="F819" s="905"/>
      <c r="G819" s="896"/>
      <c r="H819" s="897"/>
      <c r="I819" s="897"/>
      <c r="J819" s="897"/>
      <c r="K819" s="897"/>
      <c r="L819" s="898"/>
      <c r="M819" s="898"/>
      <c r="N819" s="898"/>
      <c r="O819" s="898"/>
      <c r="P819" s="898"/>
      <c r="Q819" s="898"/>
      <c r="R819" s="898"/>
      <c r="S819" s="898"/>
      <c r="T819" s="898"/>
      <c r="U819" s="898"/>
      <c r="V819" s="898"/>
      <c r="W819" s="898"/>
      <c r="X819" s="898"/>
      <c r="Y819" s="898"/>
      <c r="Z819" s="898"/>
      <c r="AA819" s="898"/>
      <c r="AB819" s="898"/>
      <c r="AC819" s="898"/>
      <c r="AD819" s="898"/>
      <c r="AE819" s="898"/>
      <c r="AF819" s="898"/>
      <c r="AG819" s="898"/>
      <c r="AH819" s="898"/>
      <c r="AI819" s="898"/>
      <c r="AJ819" s="898"/>
      <c r="AK819" s="898"/>
      <c r="AL819" s="898"/>
      <c r="AM819" s="897"/>
      <c r="AN819" s="897"/>
      <c r="AO819" s="897"/>
      <c r="AP819" s="897"/>
      <c r="AQ819" s="897"/>
      <c r="AR819" s="897"/>
      <c r="AS819" s="897"/>
      <c r="AT819" s="897"/>
    </row>
    <row r="820" spans="1:46" s="930" customFormat="1">
      <c r="A820" s="892"/>
      <c r="B820" s="899"/>
      <c r="C820" s="900"/>
      <c r="D820" s="894"/>
      <c r="E820" s="936"/>
      <c r="F820" s="905"/>
      <c r="G820" s="896"/>
      <c r="H820" s="897"/>
      <c r="I820" s="897"/>
      <c r="J820" s="897"/>
      <c r="K820" s="897"/>
      <c r="L820" s="898"/>
      <c r="M820" s="898"/>
      <c r="N820" s="898"/>
      <c r="O820" s="898"/>
      <c r="P820" s="898"/>
      <c r="Q820" s="898"/>
      <c r="R820" s="898"/>
      <c r="S820" s="898"/>
      <c r="T820" s="898"/>
      <c r="U820" s="898"/>
      <c r="V820" s="898"/>
      <c r="W820" s="898"/>
      <c r="X820" s="898"/>
      <c r="Y820" s="898"/>
      <c r="Z820" s="898"/>
      <c r="AA820" s="898"/>
      <c r="AB820" s="898"/>
      <c r="AC820" s="898"/>
      <c r="AD820" s="898"/>
      <c r="AE820" s="898"/>
      <c r="AF820" s="898"/>
      <c r="AG820" s="898"/>
      <c r="AH820" s="898"/>
      <c r="AI820" s="898"/>
      <c r="AJ820" s="898"/>
      <c r="AK820" s="898"/>
      <c r="AL820" s="898"/>
      <c r="AM820" s="897"/>
      <c r="AN820" s="897"/>
      <c r="AO820" s="897"/>
      <c r="AP820" s="897"/>
      <c r="AQ820" s="897"/>
      <c r="AR820" s="897"/>
      <c r="AS820" s="897"/>
      <c r="AT820" s="897"/>
    </row>
    <row r="821" spans="1:46" s="930" customFormat="1">
      <c r="A821" s="892"/>
      <c r="B821" s="899"/>
      <c r="C821" s="900"/>
      <c r="D821" s="894"/>
      <c r="E821" s="936"/>
      <c r="F821" s="905"/>
      <c r="G821" s="896"/>
      <c r="H821" s="897"/>
      <c r="I821" s="897"/>
      <c r="J821" s="897"/>
      <c r="K821" s="897"/>
      <c r="L821" s="898"/>
      <c r="M821" s="898"/>
      <c r="N821" s="898"/>
      <c r="O821" s="898"/>
      <c r="P821" s="898"/>
      <c r="Q821" s="898"/>
      <c r="R821" s="898"/>
      <c r="S821" s="898"/>
      <c r="T821" s="898"/>
      <c r="U821" s="898"/>
      <c r="V821" s="898"/>
      <c r="W821" s="898"/>
      <c r="X821" s="898"/>
      <c r="Y821" s="898"/>
      <c r="Z821" s="898"/>
      <c r="AA821" s="898"/>
      <c r="AB821" s="898"/>
      <c r="AC821" s="898"/>
      <c r="AD821" s="898"/>
      <c r="AE821" s="898"/>
      <c r="AF821" s="898"/>
      <c r="AG821" s="898"/>
      <c r="AH821" s="898"/>
      <c r="AI821" s="898"/>
      <c r="AJ821" s="898"/>
      <c r="AK821" s="898"/>
      <c r="AL821" s="898"/>
      <c r="AM821" s="897"/>
      <c r="AN821" s="897"/>
      <c r="AO821" s="897"/>
      <c r="AP821" s="897"/>
      <c r="AQ821" s="897"/>
      <c r="AR821" s="897"/>
      <c r="AS821" s="897"/>
      <c r="AT821" s="897"/>
    </row>
    <row r="822" spans="1:46" s="930" customFormat="1">
      <c r="A822" s="892"/>
      <c r="B822" s="899"/>
      <c r="C822" s="900"/>
      <c r="D822" s="894"/>
      <c r="E822" s="936"/>
      <c r="F822" s="905"/>
      <c r="G822" s="896"/>
      <c r="H822" s="897"/>
      <c r="I822" s="897"/>
      <c r="J822" s="897"/>
      <c r="K822" s="897"/>
      <c r="L822" s="898"/>
      <c r="M822" s="898"/>
      <c r="N822" s="898"/>
      <c r="O822" s="898"/>
      <c r="P822" s="898"/>
      <c r="Q822" s="898"/>
      <c r="R822" s="898"/>
      <c r="S822" s="898"/>
      <c r="T822" s="898"/>
      <c r="U822" s="898"/>
      <c r="V822" s="898"/>
      <c r="W822" s="898"/>
      <c r="X822" s="898"/>
      <c r="Y822" s="898"/>
      <c r="Z822" s="898"/>
      <c r="AA822" s="898"/>
      <c r="AB822" s="898"/>
      <c r="AC822" s="898"/>
      <c r="AD822" s="898"/>
      <c r="AE822" s="898"/>
      <c r="AF822" s="898"/>
      <c r="AG822" s="898"/>
      <c r="AH822" s="898"/>
      <c r="AI822" s="898"/>
      <c r="AJ822" s="898"/>
      <c r="AK822" s="898"/>
      <c r="AL822" s="898"/>
      <c r="AM822" s="897"/>
      <c r="AN822" s="897"/>
      <c r="AO822" s="897"/>
      <c r="AP822" s="897"/>
      <c r="AQ822" s="897"/>
      <c r="AR822" s="897"/>
      <c r="AS822" s="897"/>
      <c r="AT822" s="897"/>
    </row>
    <row r="823" spans="1:46" s="930" customFormat="1">
      <c r="A823" s="892"/>
      <c r="B823" s="899"/>
      <c r="C823" s="900"/>
      <c r="D823" s="894"/>
      <c r="E823" s="936"/>
      <c r="F823" s="905"/>
      <c r="G823" s="896"/>
      <c r="H823" s="897"/>
      <c r="I823" s="897"/>
      <c r="J823" s="897"/>
      <c r="K823" s="897"/>
      <c r="L823" s="898"/>
      <c r="M823" s="898"/>
      <c r="N823" s="898"/>
      <c r="O823" s="898"/>
      <c r="P823" s="898"/>
      <c r="Q823" s="898"/>
      <c r="R823" s="898"/>
      <c r="S823" s="898"/>
      <c r="T823" s="898"/>
      <c r="U823" s="898"/>
      <c r="V823" s="898"/>
      <c r="W823" s="898"/>
      <c r="X823" s="898"/>
      <c r="Y823" s="898"/>
      <c r="Z823" s="898"/>
      <c r="AA823" s="898"/>
      <c r="AB823" s="898"/>
      <c r="AC823" s="898"/>
      <c r="AD823" s="898"/>
      <c r="AE823" s="898"/>
      <c r="AF823" s="898"/>
      <c r="AG823" s="898"/>
      <c r="AH823" s="898"/>
      <c r="AI823" s="898"/>
      <c r="AJ823" s="898"/>
      <c r="AK823" s="898"/>
      <c r="AL823" s="898"/>
      <c r="AM823" s="897"/>
      <c r="AN823" s="897"/>
      <c r="AO823" s="897"/>
      <c r="AP823" s="897"/>
      <c r="AQ823" s="897"/>
      <c r="AR823" s="897"/>
      <c r="AS823" s="897"/>
      <c r="AT823" s="897"/>
    </row>
    <row r="824" spans="1:46" s="930" customFormat="1">
      <c r="A824" s="892"/>
      <c r="B824" s="899"/>
      <c r="C824" s="900"/>
      <c r="D824" s="894"/>
      <c r="E824" s="936"/>
      <c r="F824" s="905"/>
      <c r="G824" s="896"/>
      <c r="H824" s="897"/>
      <c r="I824" s="897"/>
      <c r="J824" s="897"/>
      <c r="K824" s="897"/>
      <c r="L824" s="898"/>
      <c r="M824" s="898"/>
      <c r="N824" s="898"/>
      <c r="O824" s="898"/>
      <c r="P824" s="898"/>
      <c r="Q824" s="898"/>
      <c r="R824" s="898"/>
      <c r="S824" s="898"/>
      <c r="T824" s="898"/>
      <c r="U824" s="898"/>
      <c r="V824" s="898"/>
      <c r="W824" s="898"/>
      <c r="X824" s="898"/>
      <c r="Y824" s="898"/>
      <c r="Z824" s="898"/>
      <c r="AA824" s="898"/>
      <c r="AB824" s="898"/>
      <c r="AC824" s="898"/>
      <c r="AD824" s="898"/>
      <c r="AE824" s="898"/>
      <c r="AF824" s="898"/>
      <c r="AG824" s="898"/>
      <c r="AH824" s="898"/>
      <c r="AI824" s="898"/>
      <c r="AJ824" s="898"/>
      <c r="AK824" s="898"/>
      <c r="AL824" s="898"/>
      <c r="AM824" s="897"/>
      <c r="AN824" s="897"/>
      <c r="AO824" s="897"/>
      <c r="AP824" s="897"/>
      <c r="AQ824" s="897"/>
      <c r="AR824" s="897"/>
      <c r="AS824" s="897"/>
      <c r="AT824" s="897"/>
    </row>
    <row r="825" spans="1:46" s="930" customFormat="1">
      <c r="A825" s="892"/>
      <c r="B825" s="899"/>
      <c r="C825" s="900"/>
      <c r="D825" s="894"/>
      <c r="E825" s="936"/>
      <c r="F825" s="905"/>
      <c r="G825" s="896"/>
      <c r="H825" s="897"/>
      <c r="I825" s="897"/>
      <c r="J825" s="897"/>
      <c r="K825" s="897"/>
      <c r="L825" s="898"/>
      <c r="M825" s="898"/>
      <c r="N825" s="898"/>
      <c r="O825" s="898"/>
      <c r="P825" s="898"/>
      <c r="Q825" s="898"/>
      <c r="R825" s="898"/>
      <c r="S825" s="898"/>
      <c r="T825" s="898"/>
      <c r="U825" s="898"/>
      <c r="V825" s="898"/>
      <c r="W825" s="898"/>
      <c r="X825" s="898"/>
      <c r="Y825" s="898"/>
      <c r="Z825" s="898"/>
      <c r="AA825" s="898"/>
      <c r="AB825" s="898"/>
      <c r="AC825" s="898"/>
      <c r="AD825" s="898"/>
      <c r="AE825" s="898"/>
      <c r="AF825" s="898"/>
      <c r="AG825" s="898"/>
      <c r="AH825" s="898"/>
      <c r="AI825" s="898"/>
      <c r="AJ825" s="898"/>
      <c r="AK825" s="898"/>
      <c r="AL825" s="898"/>
      <c r="AM825" s="897"/>
      <c r="AN825" s="897"/>
      <c r="AO825" s="897"/>
      <c r="AP825" s="897"/>
      <c r="AQ825" s="897"/>
      <c r="AR825" s="897"/>
      <c r="AS825" s="897"/>
      <c r="AT825" s="897"/>
    </row>
    <row r="826" spans="1:46" s="930" customFormat="1">
      <c r="A826" s="892"/>
      <c r="B826" s="899"/>
      <c r="C826" s="900"/>
      <c r="D826" s="894"/>
      <c r="E826" s="936"/>
      <c r="F826" s="905"/>
      <c r="G826" s="896"/>
      <c r="H826" s="897"/>
      <c r="I826" s="897"/>
      <c r="J826" s="897"/>
      <c r="K826" s="897"/>
      <c r="L826" s="898"/>
      <c r="M826" s="898"/>
      <c r="N826" s="898"/>
      <c r="O826" s="898"/>
      <c r="P826" s="898"/>
      <c r="Q826" s="898"/>
      <c r="R826" s="898"/>
      <c r="S826" s="898"/>
      <c r="T826" s="898"/>
      <c r="U826" s="898"/>
      <c r="V826" s="898"/>
      <c r="W826" s="898"/>
      <c r="X826" s="898"/>
      <c r="Y826" s="898"/>
      <c r="Z826" s="898"/>
      <c r="AA826" s="898"/>
      <c r="AB826" s="898"/>
      <c r="AC826" s="898"/>
      <c r="AD826" s="898"/>
      <c r="AE826" s="898"/>
      <c r="AF826" s="898"/>
      <c r="AG826" s="898"/>
      <c r="AH826" s="898"/>
      <c r="AI826" s="898"/>
      <c r="AJ826" s="898"/>
      <c r="AK826" s="898"/>
      <c r="AL826" s="898"/>
      <c r="AM826" s="897"/>
      <c r="AN826" s="897"/>
      <c r="AO826" s="897"/>
      <c r="AP826" s="897"/>
      <c r="AQ826" s="897"/>
      <c r="AR826" s="897"/>
      <c r="AS826" s="897"/>
      <c r="AT826" s="897"/>
    </row>
    <row r="827" spans="1:46" s="930" customFormat="1">
      <c r="A827" s="892"/>
      <c r="B827" s="899"/>
      <c r="C827" s="900"/>
      <c r="D827" s="894"/>
      <c r="E827" s="936"/>
      <c r="F827" s="905"/>
      <c r="G827" s="896"/>
      <c r="H827" s="897"/>
      <c r="I827" s="897"/>
      <c r="J827" s="897"/>
      <c r="K827" s="897"/>
      <c r="L827" s="898"/>
      <c r="M827" s="898"/>
      <c r="N827" s="898"/>
      <c r="O827" s="898"/>
      <c r="P827" s="898"/>
      <c r="Q827" s="898"/>
      <c r="R827" s="898"/>
      <c r="S827" s="898"/>
      <c r="T827" s="898"/>
      <c r="U827" s="898"/>
      <c r="V827" s="898"/>
      <c r="W827" s="898"/>
      <c r="X827" s="898"/>
      <c r="Y827" s="898"/>
      <c r="Z827" s="898"/>
      <c r="AA827" s="898"/>
      <c r="AB827" s="898"/>
      <c r="AC827" s="898"/>
      <c r="AD827" s="898"/>
      <c r="AE827" s="898"/>
      <c r="AF827" s="898"/>
      <c r="AG827" s="898"/>
      <c r="AH827" s="898"/>
      <c r="AI827" s="898"/>
      <c r="AJ827" s="898"/>
      <c r="AK827" s="898"/>
      <c r="AL827" s="898"/>
      <c r="AM827" s="897"/>
      <c r="AN827" s="897"/>
      <c r="AO827" s="897"/>
      <c r="AP827" s="897"/>
      <c r="AQ827" s="897"/>
      <c r="AR827" s="897"/>
      <c r="AS827" s="897"/>
      <c r="AT827" s="897"/>
    </row>
    <row r="828" spans="1:46" s="930" customFormat="1">
      <c r="A828" s="892"/>
      <c r="B828" s="899"/>
      <c r="C828" s="900"/>
      <c r="D828" s="894"/>
      <c r="E828" s="936"/>
      <c r="F828" s="905"/>
      <c r="G828" s="896"/>
      <c r="H828" s="897"/>
      <c r="I828" s="897"/>
      <c r="J828" s="897"/>
      <c r="K828" s="897"/>
      <c r="L828" s="898"/>
      <c r="M828" s="898"/>
      <c r="N828" s="898"/>
      <c r="O828" s="898"/>
      <c r="P828" s="898"/>
      <c r="Q828" s="898"/>
      <c r="R828" s="898"/>
      <c r="S828" s="898"/>
      <c r="T828" s="898"/>
      <c r="U828" s="898"/>
      <c r="V828" s="898"/>
      <c r="W828" s="898"/>
      <c r="X828" s="898"/>
      <c r="Y828" s="898"/>
      <c r="Z828" s="898"/>
      <c r="AA828" s="898"/>
      <c r="AB828" s="898"/>
      <c r="AC828" s="898"/>
      <c r="AD828" s="898"/>
      <c r="AE828" s="898"/>
      <c r="AF828" s="898"/>
      <c r="AG828" s="898"/>
      <c r="AH828" s="898"/>
      <c r="AI828" s="898"/>
      <c r="AJ828" s="898"/>
      <c r="AK828" s="898"/>
      <c r="AL828" s="898"/>
      <c r="AM828" s="897"/>
      <c r="AN828" s="897"/>
      <c r="AO828" s="897"/>
      <c r="AP828" s="897"/>
      <c r="AQ828" s="897"/>
      <c r="AR828" s="897"/>
      <c r="AS828" s="897"/>
      <c r="AT828" s="897"/>
    </row>
    <row r="829" spans="1:46" s="930" customFormat="1">
      <c r="A829" s="892"/>
      <c r="B829" s="899"/>
      <c r="C829" s="900"/>
      <c r="D829" s="894"/>
      <c r="E829" s="936"/>
      <c r="F829" s="905"/>
      <c r="G829" s="896"/>
      <c r="H829" s="897"/>
      <c r="I829" s="897"/>
      <c r="J829" s="897"/>
      <c r="K829" s="897"/>
      <c r="L829" s="898"/>
      <c r="M829" s="898"/>
      <c r="N829" s="898"/>
      <c r="O829" s="898"/>
      <c r="P829" s="898"/>
      <c r="Q829" s="898"/>
      <c r="R829" s="898"/>
      <c r="S829" s="898"/>
      <c r="T829" s="898"/>
      <c r="U829" s="898"/>
      <c r="V829" s="898"/>
      <c r="W829" s="898"/>
      <c r="X829" s="898"/>
      <c r="Y829" s="898"/>
      <c r="Z829" s="898"/>
      <c r="AA829" s="898"/>
      <c r="AB829" s="898"/>
      <c r="AC829" s="898"/>
      <c r="AD829" s="898"/>
      <c r="AE829" s="898"/>
      <c r="AF829" s="898"/>
      <c r="AG829" s="898"/>
      <c r="AH829" s="898"/>
      <c r="AI829" s="898"/>
      <c r="AJ829" s="898"/>
      <c r="AK829" s="898"/>
      <c r="AL829" s="898"/>
      <c r="AM829" s="897"/>
      <c r="AN829" s="897"/>
      <c r="AO829" s="897"/>
      <c r="AP829" s="897"/>
      <c r="AQ829" s="897"/>
      <c r="AR829" s="897"/>
      <c r="AS829" s="897"/>
      <c r="AT829" s="897"/>
    </row>
    <row r="830" spans="1:46" s="930" customFormat="1">
      <c r="A830" s="892"/>
      <c r="B830" s="899"/>
      <c r="C830" s="900"/>
      <c r="D830" s="894"/>
      <c r="E830" s="936"/>
      <c r="F830" s="905"/>
      <c r="G830" s="896"/>
      <c r="H830" s="897"/>
      <c r="I830" s="897"/>
      <c r="J830" s="897"/>
      <c r="K830" s="897"/>
      <c r="L830" s="898"/>
      <c r="M830" s="898"/>
      <c r="N830" s="898"/>
      <c r="O830" s="898"/>
      <c r="P830" s="898"/>
      <c r="Q830" s="898"/>
      <c r="R830" s="898"/>
      <c r="S830" s="898"/>
      <c r="T830" s="898"/>
      <c r="U830" s="898"/>
      <c r="V830" s="898"/>
      <c r="W830" s="898"/>
      <c r="X830" s="898"/>
      <c r="Y830" s="898"/>
      <c r="Z830" s="898"/>
      <c r="AA830" s="898"/>
      <c r="AB830" s="898"/>
      <c r="AC830" s="898"/>
      <c r="AD830" s="898"/>
      <c r="AE830" s="898"/>
      <c r="AF830" s="898"/>
      <c r="AG830" s="898"/>
      <c r="AH830" s="898"/>
      <c r="AI830" s="898"/>
      <c r="AJ830" s="898"/>
      <c r="AK830" s="898"/>
      <c r="AL830" s="898"/>
      <c r="AM830" s="897"/>
      <c r="AN830" s="897"/>
      <c r="AO830" s="897"/>
      <c r="AP830" s="897"/>
      <c r="AQ830" s="897"/>
      <c r="AR830" s="897"/>
      <c r="AS830" s="897"/>
      <c r="AT830" s="897"/>
    </row>
    <row r="831" spans="1:46" s="930" customFormat="1">
      <c r="A831" s="892"/>
      <c r="B831" s="899"/>
      <c r="C831" s="900"/>
      <c r="D831" s="894"/>
      <c r="E831" s="936"/>
      <c r="F831" s="905"/>
      <c r="G831" s="896"/>
      <c r="H831" s="897"/>
      <c r="I831" s="897"/>
      <c r="J831" s="897"/>
      <c r="K831" s="897"/>
      <c r="L831" s="898"/>
      <c r="M831" s="898"/>
      <c r="N831" s="898"/>
      <c r="O831" s="898"/>
      <c r="P831" s="898"/>
      <c r="Q831" s="898"/>
      <c r="R831" s="898"/>
      <c r="S831" s="898"/>
      <c r="T831" s="898"/>
      <c r="U831" s="898"/>
      <c r="V831" s="898"/>
      <c r="W831" s="898"/>
      <c r="X831" s="898"/>
      <c r="Y831" s="898"/>
      <c r="Z831" s="898"/>
      <c r="AA831" s="898"/>
      <c r="AB831" s="898"/>
      <c r="AC831" s="898"/>
      <c r="AD831" s="898"/>
      <c r="AE831" s="898"/>
      <c r="AF831" s="898"/>
      <c r="AG831" s="898"/>
      <c r="AH831" s="898"/>
      <c r="AI831" s="898"/>
      <c r="AJ831" s="898"/>
      <c r="AK831" s="898"/>
      <c r="AL831" s="898"/>
      <c r="AM831" s="897"/>
      <c r="AN831" s="897"/>
      <c r="AO831" s="897"/>
      <c r="AP831" s="897"/>
      <c r="AQ831" s="897"/>
      <c r="AR831" s="897"/>
      <c r="AS831" s="897"/>
      <c r="AT831" s="897"/>
    </row>
    <row r="832" spans="1:46" s="930" customFormat="1">
      <c r="A832" s="892"/>
      <c r="B832" s="899"/>
      <c r="C832" s="900"/>
      <c r="D832" s="894"/>
      <c r="E832" s="936"/>
      <c r="F832" s="905"/>
      <c r="G832" s="896"/>
      <c r="H832" s="897"/>
      <c r="I832" s="897"/>
      <c r="J832" s="897"/>
      <c r="K832" s="897"/>
      <c r="L832" s="898"/>
      <c r="M832" s="898"/>
      <c r="N832" s="898"/>
      <c r="O832" s="898"/>
      <c r="P832" s="898"/>
      <c r="Q832" s="898"/>
      <c r="R832" s="898"/>
      <c r="S832" s="898"/>
      <c r="T832" s="898"/>
      <c r="U832" s="898"/>
      <c r="V832" s="898"/>
      <c r="W832" s="898"/>
      <c r="X832" s="898"/>
      <c r="Y832" s="898"/>
      <c r="Z832" s="898"/>
      <c r="AA832" s="898"/>
      <c r="AB832" s="898"/>
      <c r="AC832" s="898"/>
      <c r="AD832" s="898"/>
      <c r="AE832" s="898"/>
      <c r="AF832" s="898"/>
      <c r="AG832" s="898"/>
      <c r="AH832" s="898"/>
      <c r="AI832" s="898"/>
      <c r="AJ832" s="898"/>
      <c r="AK832" s="898"/>
      <c r="AL832" s="898"/>
      <c r="AM832" s="897"/>
      <c r="AN832" s="897"/>
      <c r="AO832" s="897"/>
      <c r="AP832" s="897"/>
      <c r="AQ832" s="897"/>
      <c r="AR832" s="897"/>
      <c r="AS832" s="897"/>
      <c r="AT832" s="897"/>
    </row>
    <row r="833" spans="1:46" s="930" customFormat="1">
      <c r="A833" s="892"/>
      <c r="B833" s="899"/>
      <c r="C833" s="900"/>
      <c r="D833" s="894"/>
      <c r="E833" s="936"/>
      <c r="F833" s="905"/>
      <c r="G833" s="896"/>
      <c r="H833" s="897"/>
      <c r="I833" s="897"/>
      <c r="J833" s="897"/>
      <c r="K833" s="897"/>
      <c r="L833" s="898"/>
      <c r="M833" s="898"/>
      <c r="N833" s="898"/>
      <c r="O833" s="898"/>
      <c r="P833" s="898"/>
      <c r="Q833" s="898"/>
      <c r="R833" s="898"/>
      <c r="S833" s="898"/>
      <c r="T833" s="898"/>
      <c r="U833" s="898"/>
      <c r="V833" s="898"/>
      <c r="W833" s="898"/>
      <c r="X833" s="898"/>
      <c r="Y833" s="898"/>
      <c r="Z833" s="898"/>
      <c r="AA833" s="898"/>
      <c r="AB833" s="898"/>
      <c r="AC833" s="898"/>
      <c r="AD833" s="898"/>
      <c r="AE833" s="898"/>
      <c r="AF833" s="898"/>
      <c r="AG833" s="898"/>
      <c r="AH833" s="898"/>
      <c r="AI833" s="898"/>
      <c r="AJ833" s="898"/>
      <c r="AK833" s="898"/>
      <c r="AL833" s="898"/>
      <c r="AM833" s="897"/>
      <c r="AN833" s="897"/>
      <c r="AO833" s="897"/>
      <c r="AP833" s="897"/>
      <c r="AQ833" s="897"/>
      <c r="AR833" s="897"/>
      <c r="AS833" s="897"/>
      <c r="AT833" s="897"/>
    </row>
    <row r="834" spans="1:46" s="930" customFormat="1">
      <c r="A834" s="892"/>
      <c r="B834" s="899"/>
      <c r="C834" s="900"/>
      <c r="D834" s="894"/>
      <c r="E834" s="936"/>
      <c r="F834" s="905"/>
      <c r="G834" s="896"/>
      <c r="H834" s="897"/>
      <c r="I834" s="897"/>
      <c r="J834" s="897"/>
      <c r="K834" s="897"/>
      <c r="L834" s="898"/>
      <c r="M834" s="898"/>
      <c r="N834" s="898"/>
      <c r="O834" s="898"/>
      <c r="P834" s="898"/>
      <c r="Q834" s="898"/>
      <c r="R834" s="898"/>
      <c r="S834" s="898"/>
      <c r="T834" s="898"/>
      <c r="U834" s="898"/>
      <c r="V834" s="898"/>
      <c r="W834" s="898"/>
      <c r="X834" s="898"/>
      <c r="Y834" s="898"/>
      <c r="Z834" s="898"/>
      <c r="AA834" s="898"/>
      <c r="AB834" s="898"/>
      <c r="AC834" s="898"/>
      <c r="AD834" s="898"/>
      <c r="AE834" s="898"/>
      <c r="AF834" s="898"/>
      <c r="AG834" s="898"/>
      <c r="AH834" s="898"/>
      <c r="AI834" s="898"/>
      <c r="AJ834" s="898"/>
      <c r="AK834" s="898"/>
      <c r="AL834" s="898"/>
      <c r="AM834" s="897"/>
      <c r="AN834" s="897"/>
      <c r="AO834" s="897"/>
      <c r="AP834" s="897"/>
      <c r="AQ834" s="897"/>
      <c r="AR834" s="897"/>
      <c r="AS834" s="897"/>
      <c r="AT834" s="897"/>
    </row>
    <row r="835" spans="1:46" s="930" customFormat="1">
      <c r="A835" s="892"/>
      <c r="B835" s="899"/>
      <c r="C835" s="900"/>
      <c r="D835" s="894"/>
      <c r="E835" s="936"/>
      <c r="F835" s="905"/>
      <c r="G835" s="896"/>
      <c r="H835" s="897"/>
      <c r="I835" s="897"/>
      <c r="J835" s="897"/>
      <c r="K835" s="897"/>
      <c r="L835" s="898"/>
      <c r="M835" s="898"/>
      <c r="N835" s="898"/>
      <c r="O835" s="898"/>
      <c r="P835" s="898"/>
      <c r="Q835" s="898"/>
      <c r="R835" s="898"/>
      <c r="S835" s="898"/>
      <c r="T835" s="898"/>
      <c r="U835" s="898"/>
      <c r="V835" s="898"/>
      <c r="W835" s="898"/>
      <c r="X835" s="898"/>
      <c r="Y835" s="898"/>
      <c r="Z835" s="898"/>
      <c r="AA835" s="898"/>
      <c r="AB835" s="898"/>
      <c r="AC835" s="898"/>
      <c r="AD835" s="898"/>
      <c r="AE835" s="898"/>
      <c r="AF835" s="898"/>
      <c r="AG835" s="898"/>
      <c r="AH835" s="898"/>
      <c r="AI835" s="898"/>
      <c r="AJ835" s="898"/>
      <c r="AK835" s="898"/>
      <c r="AL835" s="898"/>
      <c r="AM835" s="897"/>
      <c r="AN835" s="897"/>
      <c r="AO835" s="897"/>
      <c r="AP835" s="897"/>
      <c r="AQ835" s="897"/>
      <c r="AR835" s="897"/>
      <c r="AS835" s="897"/>
      <c r="AT835" s="897"/>
    </row>
    <row r="836" spans="1:46" s="930" customFormat="1">
      <c r="A836" s="892"/>
      <c r="B836" s="899"/>
      <c r="C836" s="900"/>
      <c r="D836" s="894"/>
      <c r="E836" s="936"/>
      <c r="F836" s="905"/>
      <c r="G836" s="896"/>
      <c r="H836" s="897"/>
      <c r="I836" s="897"/>
      <c r="J836" s="897"/>
      <c r="K836" s="897"/>
      <c r="L836" s="898"/>
      <c r="M836" s="898"/>
      <c r="N836" s="898"/>
      <c r="O836" s="898"/>
      <c r="P836" s="898"/>
      <c r="Q836" s="898"/>
      <c r="R836" s="898"/>
      <c r="S836" s="898"/>
      <c r="T836" s="898"/>
      <c r="U836" s="898"/>
      <c r="V836" s="898"/>
      <c r="W836" s="898"/>
      <c r="X836" s="898"/>
      <c r="Y836" s="898"/>
      <c r="Z836" s="898"/>
      <c r="AA836" s="898"/>
      <c r="AB836" s="898"/>
      <c r="AC836" s="898"/>
      <c r="AD836" s="898"/>
      <c r="AE836" s="898"/>
      <c r="AF836" s="898"/>
      <c r="AG836" s="898"/>
      <c r="AH836" s="898"/>
      <c r="AI836" s="898"/>
      <c r="AJ836" s="898"/>
      <c r="AK836" s="898"/>
      <c r="AL836" s="898"/>
      <c r="AM836" s="897"/>
      <c r="AN836" s="897"/>
      <c r="AO836" s="897"/>
      <c r="AP836" s="897"/>
      <c r="AQ836" s="897"/>
      <c r="AR836" s="897"/>
      <c r="AS836" s="897"/>
      <c r="AT836" s="897"/>
    </row>
    <row r="837" spans="1:46" s="930" customFormat="1">
      <c r="A837" s="892"/>
      <c r="B837" s="899"/>
      <c r="C837" s="900"/>
      <c r="D837" s="894"/>
      <c r="E837" s="936"/>
      <c r="F837" s="905"/>
      <c r="G837" s="896"/>
      <c r="H837" s="897"/>
      <c r="I837" s="897"/>
      <c r="J837" s="897"/>
      <c r="K837" s="897"/>
      <c r="L837" s="898"/>
      <c r="M837" s="898"/>
      <c r="N837" s="898"/>
      <c r="O837" s="898"/>
      <c r="P837" s="898"/>
      <c r="Q837" s="898"/>
      <c r="R837" s="898"/>
      <c r="S837" s="898"/>
      <c r="T837" s="898"/>
      <c r="U837" s="898"/>
      <c r="V837" s="898"/>
      <c r="W837" s="898"/>
      <c r="X837" s="898"/>
      <c r="Y837" s="898"/>
      <c r="Z837" s="898"/>
      <c r="AA837" s="898"/>
      <c r="AB837" s="898"/>
      <c r="AC837" s="898"/>
      <c r="AD837" s="898"/>
      <c r="AE837" s="898"/>
      <c r="AF837" s="898"/>
      <c r="AG837" s="898"/>
      <c r="AH837" s="898"/>
      <c r="AI837" s="898"/>
      <c r="AJ837" s="898"/>
      <c r="AK837" s="898"/>
      <c r="AL837" s="898"/>
      <c r="AM837" s="897"/>
      <c r="AN837" s="897"/>
      <c r="AO837" s="897"/>
      <c r="AP837" s="897"/>
      <c r="AQ837" s="897"/>
      <c r="AR837" s="897"/>
      <c r="AS837" s="897"/>
      <c r="AT837" s="897"/>
    </row>
    <row r="838" spans="1:46" s="930" customFormat="1">
      <c r="A838" s="892"/>
      <c r="B838" s="899"/>
      <c r="C838" s="900"/>
      <c r="D838" s="894"/>
      <c r="E838" s="936"/>
      <c r="F838" s="905"/>
      <c r="G838" s="896"/>
      <c r="H838" s="897"/>
      <c r="I838" s="897"/>
      <c r="J838" s="897"/>
      <c r="K838" s="897"/>
      <c r="L838" s="898"/>
      <c r="M838" s="898"/>
      <c r="N838" s="898"/>
      <c r="O838" s="898"/>
      <c r="P838" s="898"/>
      <c r="Q838" s="898"/>
      <c r="R838" s="898"/>
      <c r="S838" s="898"/>
      <c r="T838" s="898"/>
      <c r="U838" s="898"/>
      <c r="V838" s="898"/>
      <c r="W838" s="898"/>
      <c r="X838" s="898"/>
      <c r="Y838" s="898"/>
      <c r="Z838" s="898"/>
      <c r="AA838" s="898"/>
      <c r="AB838" s="898"/>
      <c r="AC838" s="898"/>
      <c r="AD838" s="898"/>
      <c r="AE838" s="898"/>
      <c r="AF838" s="898"/>
      <c r="AG838" s="898"/>
      <c r="AH838" s="898"/>
      <c r="AI838" s="898"/>
      <c r="AJ838" s="898"/>
      <c r="AK838" s="898"/>
      <c r="AL838" s="898"/>
      <c r="AM838" s="897"/>
      <c r="AN838" s="897"/>
      <c r="AO838" s="897"/>
      <c r="AP838" s="897"/>
      <c r="AQ838" s="897"/>
      <c r="AR838" s="897"/>
      <c r="AS838" s="897"/>
      <c r="AT838" s="897"/>
    </row>
    <row r="839" spans="1:46" s="930" customFormat="1">
      <c r="A839" s="892"/>
      <c r="B839" s="899"/>
      <c r="C839" s="900"/>
      <c r="D839" s="894"/>
      <c r="E839" s="936"/>
      <c r="F839" s="905"/>
      <c r="G839" s="896"/>
      <c r="H839" s="897"/>
      <c r="I839" s="897"/>
      <c r="J839" s="897"/>
      <c r="K839" s="897"/>
      <c r="L839" s="898"/>
      <c r="M839" s="898"/>
      <c r="N839" s="898"/>
      <c r="O839" s="898"/>
      <c r="P839" s="898"/>
      <c r="Q839" s="898"/>
      <c r="R839" s="898"/>
      <c r="S839" s="898"/>
      <c r="T839" s="898"/>
      <c r="U839" s="898"/>
      <c r="V839" s="898"/>
      <c r="W839" s="898"/>
      <c r="X839" s="898"/>
      <c r="Y839" s="898"/>
      <c r="Z839" s="898"/>
      <c r="AA839" s="898"/>
      <c r="AB839" s="898"/>
      <c r="AC839" s="898"/>
      <c r="AD839" s="898"/>
      <c r="AE839" s="898"/>
      <c r="AF839" s="898"/>
      <c r="AG839" s="898"/>
      <c r="AH839" s="898"/>
      <c r="AI839" s="898"/>
      <c r="AJ839" s="898"/>
      <c r="AK839" s="898"/>
      <c r="AL839" s="898"/>
      <c r="AM839" s="897"/>
      <c r="AN839" s="897"/>
      <c r="AO839" s="897"/>
      <c r="AP839" s="897"/>
      <c r="AQ839" s="897"/>
      <c r="AR839" s="897"/>
      <c r="AS839" s="897"/>
      <c r="AT839" s="897"/>
    </row>
    <row r="840" spans="1:46" s="930" customFormat="1">
      <c r="A840" s="892"/>
      <c r="B840" s="899"/>
      <c r="C840" s="900"/>
      <c r="D840" s="894"/>
      <c r="E840" s="936"/>
      <c r="F840" s="905"/>
      <c r="G840" s="896"/>
      <c r="H840" s="897"/>
      <c r="I840" s="897"/>
      <c r="J840" s="897"/>
      <c r="K840" s="897"/>
      <c r="L840" s="898"/>
      <c r="M840" s="898"/>
      <c r="N840" s="898"/>
      <c r="O840" s="898"/>
      <c r="P840" s="898"/>
      <c r="Q840" s="898"/>
      <c r="R840" s="898"/>
      <c r="S840" s="898"/>
      <c r="T840" s="898"/>
      <c r="U840" s="898"/>
      <c r="V840" s="898"/>
      <c r="W840" s="898"/>
      <c r="X840" s="898"/>
      <c r="Y840" s="898"/>
      <c r="Z840" s="898"/>
      <c r="AA840" s="898"/>
      <c r="AB840" s="898"/>
      <c r="AC840" s="898"/>
      <c r="AD840" s="898"/>
      <c r="AE840" s="898"/>
      <c r="AF840" s="898"/>
      <c r="AG840" s="898"/>
      <c r="AH840" s="898"/>
      <c r="AI840" s="898"/>
      <c r="AJ840" s="898"/>
      <c r="AK840" s="898"/>
      <c r="AL840" s="898"/>
      <c r="AM840" s="897"/>
      <c r="AN840" s="897"/>
      <c r="AO840" s="897"/>
      <c r="AP840" s="897"/>
      <c r="AQ840" s="897"/>
      <c r="AR840" s="897"/>
      <c r="AS840" s="897"/>
      <c r="AT840" s="897"/>
    </row>
    <row r="841" spans="1:46" s="930" customFormat="1">
      <c r="A841" s="892"/>
      <c r="B841" s="899"/>
      <c r="C841" s="900"/>
      <c r="D841" s="894"/>
      <c r="E841" s="936"/>
      <c r="F841" s="905"/>
      <c r="G841" s="896"/>
      <c r="H841" s="897"/>
      <c r="I841" s="897"/>
      <c r="J841" s="897"/>
      <c r="K841" s="897"/>
      <c r="L841" s="898"/>
      <c r="M841" s="898"/>
      <c r="N841" s="898"/>
      <c r="O841" s="898"/>
      <c r="P841" s="898"/>
      <c r="Q841" s="898"/>
      <c r="R841" s="898"/>
      <c r="S841" s="898"/>
      <c r="T841" s="898"/>
      <c r="U841" s="898"/>
      <c r="V841" s="898"/>
      <c r="W841" s="898"/>
      <c r="X841" s="898"/>
      <c r="Y841" s="898"/>
      <c r="Z841" s="898"/>
      <c r="AA841" s="898"/>
      <c r="AB841" s="898"/>
      <c r="AC841" s="898"/>
      <c r="AD841" s="898"/>
      <c r="AE841" s="898"/>
      <c r="AF841" s="898"/>
      <c r="AG841" s="898"/>
      <c r="AH841" s="898"/>
      <c r="AI841" s="898"/>
      <c r="AJ841" s="898"/>
      <c r="AK841" s="898"/>
      <c r="AL841" s="898"/>
      <c r="AM841" s="897"/>
      <c r="AN841" s="897"/>
      <c r="AO841" s="897"/>
      <c r="AP841" s="897"/>
      <c r="AQ841" s="897"/>
      <c r="AR841" s="897"/>
      <c r="AS841" s="897"/>
      <c r="AT841" s="897"/>
    </row>
    <row r="842" spans="1:46" s="930" customFormat="1">
      <c r="A842" s="892"/>
      <c r="B842" s="899"/>
      <c r="C842" s="900"/>
      <c r="D842" s="894"/>
      <c r="E842" s="936"/>
      <c r="F842" s="905"/>
      <c r="G842" s="896"/>
      <c r="H842" s="897"/>
      <c r="I842" s="897"/>
      <c r="J842" s="897"/>
      <c r="K842" s="897"/>
      <c r="L842" s="898"/>
      <c r="M842" s="898"/>
      <c r="N842" s="898"/>
      <c r="O842" s="898"/>
      <c r="P842" s="898"/>
      <c r="Q842" s="898"/>
      <c r="R842" s="898"/>
      <c r="S842" s="898"/>
      <c r="T842" s="898"/>
      <c r="U842" s="898"/>
      <c r="V842" s="898"/>
      <c r="W842" s="898"/>
      <c r="X842" s="898"/>
      <c r="Y842" s="898"/>
      <c r="Z842" s="898"/>
      <c r="AA842" s="898"/>
      <c r="AB842" s="898"/>
      <c r="AC842" s="898"/>
      <c r="AD842" s="898"/>
      <c r="AE842" s="898"/>
      <c r="AF842" s="898"/>
      <c r="AG842" s="898"/>
      <c r="AH842" s="898"/>
      <c r="AI842" s="898"/>
      <c r="AJ842" s="898"/>
      <c r="AK842" s="898"/>
      <c r="AL842" s="898"/>
      <c r="AM842" s="897"/>
      <c r="AN842" s="897"/>
      <c r="AO842" s="897"/>
      <c r="AP842" s="897"/>
      <c r="AQ842" s="897"/>
      <c r="AR842" s="897"/>
      <c r="AS842" s="897"/>
      <c r="AT842" s="897"/>
    </row>
    <row r="843" spans="1:46" s="930" customFormat="1">
      <c r="A843" s="892"/>
      <c r="B843" s="899"/>
      <c r="C843" s="900"/>
      <c r="D843" s="894"/>
      <c r="E843" s="936"/>
      <c r="F843" s="905"/>
      <c r="G843" s="896"/>
      <c r="H843" s="897"/>
      <c r="I843" s="897"/>
      <c r="J843" s="897"/>
      <c r="K843" s="897"/>
      <c r="L843" s="898"/>
      <c r="M843" s="898"/>
      <c r="N843" s="898"/>
      <c r="O843" s="898"/>
      <c r="P843" s="898"/>
      <c r="Q843" s="898"/>
      <c r="R843" s="898"/>
      <c r="S843" s="898"/>
      <c r="T843" s="898"/>
      <c r="U843" s="898"/>
      <c r="V843" s="898"/>
      <c r="W843" s="898"/>
      <c r="X843" s="898"/>
      <c r="Y843" s="898"/>
      <c r="Z843" s="898"/>
      <c r="AA843" s="898"/>
      <c r="AB843" s="898"/>
      <c r="AC843" s="898"/>
      <c r="AD843" s="898"/>
      <c r="AE843" s="898"/>
      <c r="AF843" s="898"/>
      <c r="AG843" s="898"/>
      <c r="AH843" s="898"/>
      <c r="AI843" s="898"/>
      <c r="AJ843" s="898"/>
      <c r="AK843" s="898"/>
      <c r="AL843" s="898"/>
      <c r="AM843" s="897"/>
      <c r="AN843" s="897"/>
      <c r="AO843" s="897"/>
      <c r="AP843" s="897"/>
      <c r="AQ843" s="897"/>
      <c r="AR843" s="897"/>
      <c r="AS843" s="897"/>
      <c r="AT843" s="897"/>
    </row>
    <row r="844" spans="1:46" s="930" customFormat="1">
      <c r="A844" s="892"/>
      <c r="B844" s="899"/>
      <c r="C844" s="900"/>
      <c r="D844" s="894"/>
      <c r="E844" s="936"/>
      <c r="F844" s="905"/>
      <c r="G844" s="896"/>
      <c r="H844" s="897"/>
      <c r="I844" s="897"/>
      <c r="J844" s="897"/>
      <c r="K844" s="897"/>
      <c r="L844" s="898"/>
      <c r="M844" s="898"/>
      <c r="N844" s="898"/>
      <c r="O844" s="898"/>
      <c r="P844" s="898"/>
      <c r="Q844" s="898"/>
      <c r="R844" s="898"/>
      <c r="S844" s="898"/>
      <c r="T844" s="898"/>
      <c r="U844" s="898"/>
      <c r="V844" s="898"/>
      <c r="W844" s="898"/>
      <c r="X844" s="898"/>
      <c r="Y844" s="898"/>
      <c r="Z844" s="898"/>
      <c r="AA844" s="898"/>
      <c r="AB844" s="898"/>
      <c r="AC844" s="898"/>
      <c r="AD844" s="898"/>
      <c r="AE844" s="898"/>
      <c r="AF844" s="898"/>
      <c r="AG844" s="898"/>
      <c r="AH844" s="898"/>
      <c r="AI844" s="898"/>
      <c r="AJ844" s="898"/>
      <c r="AK844" s="898"/>
      <c r="AL844" s="898"/>
      <c r="AM844" s="897"/>
      <c r="AN844" s="897"/>
      <c r="AO844" s="897"/>
      <c r="AP844" s="897"/>
      <c r="AQ844" s="897"/>
      <c r="AR844" s="897"/>
      <c r="AS844" s="897"/>
      <c r="AT844" s="897"/>
    </row>
    <row r="845" spans="1:46" s="930" customFormat="1">
      <c r="A845" s="892"/>
      <c r="B845" s="899"/>
      <c r="C845" s="900"/>
      <c r="D845" s="894"/>
      <c r="E845" s="936"/>
      <c r="F845" s="905"/>
      <c r="G845" s="896"/>
      <c r="H845" s="897"/>
      <c r="I845" s="897"/>
      <c r="J845" s="897"/>
      <c r="K845" s="897"/>
      <c r="L845" s="898"/>
      <c r="M845" s="898"/>
      <c r="N845" s="898"/>
      <c r="O845" s="898"/>
      <c r="P845" s="898"/>
      <c r="Q845" s="898"/>
      <c r="R845" s="898"/>
      <c r="S845" s="898"/>
      <c r="T845" s="898"/>
      <c r="U845" s="898"/>
      <c r="V845" s="898"/>
      <c r="W845" s="898"/>
      <c r="X845" s="898"/>
      <c r="Y845" s="898"/>
      <c r="Z845" s="898"/>
      <c r="AA845" s="898"/>
      <c r="AB845" s="898"/>
      <c r="AC845" s="898"/>
      <c r="AD845" s="898"/>
      <c r="AE845" s="898"/>
      <c r="AF845" s="898"/>
      <c r="AG845" s="898"/>
      <c r="AH845" s="898"/>
      <c r="AI845" s="898"/>
      <c r="AJ845" s="898"/>
      <c r="AK845" s="898"/>
      <c r="AL845" s="898"/>
      <c r="AM845" s="897"/>
      <c r="AN845" s="897"/>
      <c r="AO845" s="897"/>
      <c r="AP845" s="897"/>
      <c r="AQ845" s="897"/>
      <c r="AR845" s="897"/>
      <c r="AS845" s="897"/>
      <c r="AT845" s="897"/>
    </row>
    <row r="846" spans="1:46" s="930" customFormat="1">
      <c r="A846" s="892"/>
      <c r="B846" s="899"/>
      <c r="C846" s="900"/>
      <c r="D846" s="894"/>
      <c r="E846" s="936"/>
      <c r="F846" s="905"/>
      <c r="G846" s="896"/>
      <c r="H846" s="897"/>
      <c r="I846" s="897"/>
      <c r="J846" s="897"/>
      <c r="K846" s="897"/>
      <c r="L846" s="898"/>
      <c r="M846" s="898"/>
      <c r="N846" s="898"/>
      <c r="O846" s="898"/>
      <c r="P846" s="898"/>
      <c r="Q846" s="898"/>
      <c r="R846" s="898"/>
      <c r="S846" s="898"/>
      <c r="T846" s="898"/>
      <c r="U846" s="898"/>
      <c r="V846" s="898"/>
      <c r="W846" s="898"/>
      <c r="X846" s="898"/>
      <c r="Y846" s="898"/>
      <c r="Z846" s="898"/>
      <c r="AA846" s="898"/>
      <c r="AB846" s="898"/>
      <c r="AC846" s="898"/>
      <c r="AD846" s="898"/>
      <c r="AE846" s="898"/>
      <c r="AF846" s="898"/>
      <c r="AG846" s="898"/>
      <c r="AH846" s="898"/>
      <c r="AI846" s="898"/>
      <c r="AJ846" s="898"/>
      <c r="AK846" s="898"/>
      <c r="AL846" s="898"/>
      <c r="AM846" s="897"/>
      <c r="AN846" s="897"/>
      <c r="AO846" s="897"/>
      <c r="AP846" s="897"/>
      <c r="AQ846" s="897"/>
      <c r="AR846" s="897"/>
      <c r="AS846" s="897"/>
      <c r="AT846" s="897"/>
    </row>
    <row r="847" spans="1:46" s="930" customFormat="1">
      <c r="A847" s="892"/>
      <c r="B847" s="899"/>
      <c r="C847" s="900"/>
      <c r="D847" s="894"/>
      <c r="E847" s="936"/>
      <c r="F847" s="905"/>
      <c r="G847" s="896"/>
      <c r="H847" s="897"/>
      <c r="I847" s="897"/>
      <c r="J847" s="897"/>
      <c r="K847" s="897"/>
      <c r="L847" s="898"/>
      <c r="M847" s="898"/>
      <c r="N847" s="898"/>
      <c r="O847" s="898"/>
      <c r="P847" s="898"/>
      <c r="Q847" s="898"/>
      <c r="R847" s="898"/>
      <c r="S847" s="898"/>
      <c r="T847" s="898"/>
      <c r="U847" s="898"/>
      <c r="V847" s="898"/>
      <c r="W847" s="898"/>
      <c r="X847" s="898"/>
      <c r="Y847" s="898"/>
      <c r="Z847" s="898"/>
      <c r="AA847" s="898"/>
      <c r="AB847" s="898"/>
      <c r="AC847" s="898"/>
      <c r="AD847" s="898"/>
      <c r="AE847" s="898"/>
      <c r="AF847" s="898"/>
      <c r="AG847" s="898"/>
      <c r="AH847" s="898"/>
      <c r="AI847" s="898"/>
      <c r="AJ847" s="898"/>
      <c r="AK847" s="898"/>
      <c r="AL847" s="898"/>
      <c r="AM847" s="897"/>
      <c r="AN847" s="897"/>
      <c r="AO847" s="897"/>
      <c r="AP847" s="897"/>
      <c r="AQ847" s="897"/>
      <c r="AR847" s="897"/>
      <c r="AS847" s="897"/>
      <c r="AT847" s="897"/>
    </row>
    <row r="848" spans="1:46" s="930" customFormat="1">
      <c r="A848" s="892"/>
      <c r="B848" s="899"/>
      <c r="C848" s="900"/>
      <c r="D848" s="894"/>
      <c r="E848" s="936"/>
      <c r="F848" s="905"/>
      <c r="G848" s="896"/>
      <c r="H848" s="897"/>
      <c r="I848" s="897"/>
      <c r="J848" s="897"/>
      <c r="K848" s="897"/>
      <c r="L848" s="898"/>
      <c r="M848" s="898"/>
      <c r="N848" s="898"/>
      <c r="O848" s="898"/>
      <c r="P848" s="898"/>
      <c r="Q848" s="898"/>
      <c r="R848" s="898"/>
      <c r="S848" s="898"/>
      <c r="T848" s="898"/>
      <c r="U848" s="898"/>
      <c r="V848" s="898"/>
      <c r="W848" s="898"/>
      <c r="X848" s="898"/>
      <c r="Y848" s="898"/>
      <c r="Z848" s="898"/>
      <c r="AA848" s="898"/>
      <c r="AB848" s="898"/>
      <c r="AC848" s="898"/>
      <c r="AD848" s="898"/>
      <c r="AE848" s="898"/>
      <c r="AF848" s="898"/>
      <c r="AG848" s="898"/>
      <c r="AH848" s="898"/>
      <c r="AI848" s="898"/>
      <c r="AJ848" s="898"/>
      <c r="AK848" s="898"/>
      <c r="AL848" s="898"/>
      <c r="AM848" s="897"/>
      <c r="AN848" s="897"/>
      <c r="AO848" s="897"/>
      <c r="AP848" s="897"/>
      <c r="AQ848" s="897"/>
      <c r="AR848" s="897"/>
      <c r="AS848" s="897"/>
      <c r="AT848" s="897"/>
    </row>
    <row r="849" spans="1:46" s="930" customFormat="1">
      <c r="A849" s="892"/>
      <c r="B849" s="899"/>
      <c r="C849" s="900"/>
      <c r="D849" s="894"/>
      <c r="E849" s="936"/>
      <c r="F849" s="905"/>
      <c r="G849" s="896"/>
      <c r="H849" s="897"/>
      <c r="I849" s="897"/>
      <c r="J849" s="897"/>
      <c r="K849" s="897"/>
      <c r="L849" s="898"/>
      <c r="M849" s="898"/>
      <c r="N849" s="898"/>
      <c r="O849" s="898"/>
      <c r="P849" s="898"/>
      <c r="Q849" s="898"/>
      <c r="R849" s="898"/>
      <c r="S849" s="898"/>
      <c r="T849" s="898"/>
      <c r="U849" s="898"/>
      <c r="V849" s="898"/>
      <c r="W849" s="898"/>
      <c r="X849" s="898"/>
      <c r="Y849" s="898"/>
      <c r="Z849" s="898"/>
      <c r="AA849" s="898"/>
      <c r="AB849" s="898"/>
      <c r="AC849" s="898"/>
      <c r="AD849" s="898"/>
      <c r="AE849" s="898"/>
      <c r="AF849" s="898"/>
      <c r="AG849" s="898"/>
      <c r="AH849" s="898"/>
      <c r="AI849" s="898"/>
      <c r="AJ849" s="898"/>
      <c r="AK849" s="898"/>
      <c r="AL849" s="898"/>
      <c r="AM849" s="897"/>
      <c r="AN849" s="897"/>
      <c r="AO849" s="897"/>
      <c r="AP849" s="897"/>
      <c r="AQ849" s="897"/>
      <c r="AR849" s="897"/>
      <c r="AS849" s="897"/>
      <c r="AT849" s="897"/>
    </row>
    <row r="850" spans="1:46" s="930" customFormat="1">
      <c r="A850" s="892"/>
      <c r="B850" s="899"/>
      <c r="C850" s="900"/>
      <c r="D850" s="894"/>
      <c r="E850" s="936"/>
      <c r="F850" s="905"/>
      <c r="G850" s="896"/>
      <c r="H850" s="897"/>
      <c r="I850" s="897"/>
      <c r="J850" s="897"/>
      <c r="K850" s="897"/>
      <c r="L850" s="898"/>
      <c r="M850" s="898"/>
      <c r="N850" s="898"/>
      <c r="O850" s="898"/>
      <c r="P850" s="898"/>
      <c r="Q850" s="898"/>
      <c r="R850" s="898"/>
      <c r="S850" s="898"/>
      <c r="T850" s="898"/>
      <c r="U850" s="898"/>
      <c r="V850" s="898"/>
      <c r="W850" s="898"/>
      <c r="X850" s="898"/>
      <c r="Y850" s="898"/>
      <c r="Z850" s="898"/>
      <c r="AA850" s="898"/>
      <c r="AB850" s="898"/>
      <c r="AC850" s="898"/>
      <c r="AD850" s="898"/>
      <c r="AE850" s="898"/>
      <c r="AF850" s="898"/>
      <c r="AG850" s="898"/>
      <c r="AH850" s="898"/>
      <c r="AI850" s="898"/>
      <c r="AJ850" s="898"/>
      <c r="AK850" s="898"/>
      <c r="AL850" s="898"/>
      <c r="AM850" s="897"/>
      <c r="AN850" s="897"/>
      <c r="AO850" s="897"/>
      <c r="AP850" s="897"/>
      <c r="AQ850" s="897"/>
      <c r="AR850" s="897"/>
      <c r="AS850" s="897"/>
      <c r="AT850" s="897"/>
    </row>
    <row r="851" spans="1:46" s="930" customFormat="1">
      <c r="A851" s="892"/>
      <c r="B851" s="899"/>
      <c r="C851" s="900"/>
      <c r="D851" s="894"/>
      <c r="E851" s="936"/>
      <c r="F851" s="905"/>
      <c r="G851" s="896"/>
      <c r="H851" s="897"/>
      <c r="I851" s="897"/>
      <c r="J851" s="897"/>
      <c r="K851" s="897"/>
      <c r="L851" s="898"/>
      <c r="M851" s="898"/>
      <c r="N851" s="898"/>
      <c r="O851" s="898"/>
      <c r="P851" s="898"/>
      <c r="Q851" s="898"/>
      <c r="R851" s="898"/>
      <c r="S851" s="898"/>
      <c r="T851" s="898"/>
      <c r="U851" s="898"/>
      <c r="V851" s="898"/>
      <c r="W851" s="898"/>
      <c r="X851" s="898"/>
      <c r="Y851" s="898"/>
      <c r="Z851" s="898"/>
      <c r="AA851" s="898"/>
      <c r="AB851" s="898"/>
      <c r="AC851" s="898"/>
      <c r="AD851" s="898"/>
      <c r="AE851" s="898"/>
      <c r="AF851" s="898"/>
      <c r="AG851" s="898"/>
      <c r="AH851" s="898"/>
      <c r="AI851" s="898"/>
      <c r="AJ851" s="898"/>
      <c r="AK851" s="898"/>
      <c r="AL851" s="898"/>
      <c r="AM851" s="897"/>
      <c r="AN851" s="897"/>
      <c r="AO851" s="897"/>
      <c r="AP851" s="897"/>
      <c r="AQ851" s="897"/>
      <c r="AR851" s="897"/>
      <c r="AS851" s="897"/>
      <c r="AT851" s="897"/>
    </row>
    <row r="852" spans="1:46" s="930" customFormat="1">
      <c r="A852" s="892"/>
      <c r="B852" s="899"/>
      <c r="C852" s="900"/>
      <c r="D852" s="894"/>
      <c r="E852" s="936"/>
      <c r="F852" s="905"/>
      <c r="G852" s="896"/>
      <c r="H852" s="897"/>
      <c r="I852" s="897"/>
      <c r="J852" s="897"/>
      <c r="K852" s="897"/>
      <c r="L852" s="898"/>
      <c r="M852" s="898"/>
      <c r="N852" s="898"/>
      <c r="O852" s="898"/>
      <c r="P852" s="898"/>
      <c r="Q852" s="898"/>
      <c r="R852" s="898"/>
      <c r="S852" s="898"/>
      <c r="T852" s="898"/>
      <c r="U852" s="898"/>
      <c r="V852" s="898"/>
      <c r="W852" s="898"/>
      <c r="X852" s="898"/>
      <c r="Y852" s="898"/>
      <c r="Z852" s="898"/>
      <c r="AA852" s="898"/>
      <c r="AB852" s="898"/>
      <c r="AC852" s="898"/>
      <c r="AD852" s="898"/>
      <c r="AE852" s="898"/>
      <c r="AF852" s="898"/>
      <c r="AG852" s="898"/>
      <c r="AH852" s="898"/>
      <c r="AI852" s="898"/>
      <c r="AJ852" s="898"/>
      <c r="AK852" s="898"/>
      <c r="AL852" s="898"/>
      <c r="AM852" s="897"/>
      <c r="AN852" s="897"/>
      <c r="AO852" s="897"/>
      <c r="AP852" s="897"/>
      <c r="AQ852" s="897"/>
      <c r="AR852" s="897"/>
      <c r="AS852" s="897"/>
      <c r="AT852" s="897"/>
    </row>
    <row r="853" spans="1:46" s="930" customFormat="1">
      <c r="A853" s="892"/>
      <c r="B853" s="899"/>
      <c r="C853" s="900"/>
      <c r="D853" s="894"/>
      <c r="E853" s="936"/>
      <c r="F853" s="905"/>
      <c r="G853" s="896"/>
      <c r="H853" s="897"/>
      <c r="I853" s="897"/>
      <c r="J853" s="897"/>
      <c r="K853" s="897"/>
      <c r="L853" s="898"/>
      <c r="M853" s="898"/>
      <c r="N853" s="898"/>
      <c r="O853" s="898"/>
      <c r="P853" s="898"/>
      <c r="Q853" s="898"/>
      <c r="R853" s="898"/>
      <c r="S853" s="898"/>
      <c r="T853" s="898"/>
      <c r="U853" s="898"/>
      <c r="V853" s="898"/>
      <c r="W853" s="898"/>
      <c r="X853" s="898"/>
      <c r="Y853" s="898"/>
      <c r="Z853" s="898"/>
      <c r="AA853" s="898"/>
      <c r="AB853" s="898"/>
      <c r="AC853" s="898"/>
      <c r="AD853" s="898"/>
      <c r="AE853" s="898"/>
      <c r="AF853" s="898"/>
      <c r="AG853" s="898"/>
      <c r="AH853" s="898"/>
      <c r="AI853" s="898"/>
      <c r="AJ853" s="898"/>
      <c r="AK853" s="898"/>
      <c r="AL853" s="898"/>
      <c r="AM853" s="897"/>
      <c r="AN853" s="897"/>
      <c r="AO853" s="897"/>
      <c r="AP853" s="897"/>
      <c r="AQ853" s="897"/>
      <c r="AR853" s="897"/>
      <c r="AS853" s="897"/>
      <c r="AT853" s="897"/>
    </row>
    <row r="854" spans="1:46" s="930" customFormat="1">
      <c r="A854" s="892"/>
      <c r="B854" s="899"/>
      <c r="C854" s="900"/>
      <c r="D854" s="894"/>
      <c r="E854" s="936"/>
      <c r="F854" s="905"/>
      <c r="G854" s="896"/>
      <c r="H854" s="897"/>
      <c r="I854" s="897"/>
      <c r="J854" s="897"/>
      <c r="K854" s="897"/>
      <c r="L854" s="898"/>
      <c r="M854" s="898"/>
      <c r="N854" s="898"/>
      <c r="O854" s="898"/>
      <c r="P854" s="898"/>
      <c r="Q854" s="898"/>
      <c r="R854" s="898"/>
      <c r="S854" s="898"/>
      <c r="T854" s="898"/>
      <c r="U854" s="898"/>
      <c r="V854" s="898"/>
      <c r="W854" s="898"/>
      <c r="X854" s="898"/>
      <c r="Y854" s="898"/>
      <c r="Z854" s="898"/>
      <c r="AA854" s="898"/>
      <c r="AB854" s="898"/>
      <c r="AC854" s="898"/>
      <c r="AD854" s="898"/>
      <c r="AE854" s="898"/>
      <c r="AF854" s="898"/>
      <c r="AG854" s="898"/>
      <c r="AH854" s="898"/>
      <c r="AI854" s="898"/>
      <c r="AJ854" s="898"/>
      <c r="AK854" s="898"/>
      <c r="AL854" s="898"/>
      <c r="AM854" s="897"/>
      <c r="AN854" s="897"/>
      <c r="AO854" s="897"/>
      <c r="AP854" s="897"/>
      <c r="AQ854" s="897"/>
      <c r="AR854" s="897"/>
      <c r="AS854" s="897"/>
      <c r="AT854" s="897"/>
    </row>
    <row r="855" spans="1:46" s="930" customFormat="1">
      <c r="A855" s="892"/>
      <c r="B855" s="899"/>
      <c r="C855" s="900"/>
      <c r="D855" s="894"/>
      <c r="E855" s="936"/>
      <c r="F855" s="905"/>
      <c r="G855" s="896"/>
      <c r="H855" s="897"/>
      <c r="I855" s="897"/>
      <c r="J855" s="897"/>
      <c r="K855" s="897"/>
      <c r="L855" s="898"/>
      <c r="M855" s="898"/>
      <c r="N855" s="898"/>
      <c r="O855" s="898"/>
      <c r="P855" s="898"/>
      <c r="Q855" s="898"/>
      <c r="R855" s="898"/>
      <c r="S855" s="898"/>
      <c r="T855" s="898"/>
      <c r="U855" s="898"/>
      <c r="V855" s="898"/>
      <c r="W855" s="898"/>
      <c r="X855" s="898"/>
      <c r="Y855" s="898"/>
      <c r="Z855" s="898"/>
      <c r="AA855" s="898"/>
      <c r="AB855" s="898"/>
      <c r="AC855" s="898"/>
      <c r="AD855" s="898"/>
      <c r="AE855" s="898"/>
      <c r="AF855" s="898"/>
      <c r="AG855" s="898"/>
      <c r="AH855" s="898"/>
      <c r="AI855" s="898"/>
      <c r="AJ855" s="898"/>
      <c r="AK855" s="898"/>
      <c r="AL855" s="898"/>
      <c r="AM855" s="897"/>
      <c r="AN855" s="897"/>
      <c r="AO855" s="897"/>
      <c r="AP855" s="897"/>
      <c r="AQ855" s="897"/>
      <c r="AR855" s="897"/>
      <c r="AS855" s="897"/>
      <c r="AT855" s="897"/>
    </row>
    <row r="856" spans="1:46" s="930" customFormat="1">
      <c r="A856" s="892"/>
      <c r="B856" s="899"/>
      <c r="C856" s="900"/>
      <c r="D856" s="894"/>
      <c r="E856" s="936"/>
      <c r="F856" s="905"/>
      <c r="G856" s="896"/>
      <c r="H856" s="897"/>
      <c r="I856" s="897"/>
      <c r="J856" s="897"/>
      <c r="K856" s="897"/>
      <c r="L856" s="898"/>
      <c r="M856" s="898"/>
      <c r="N856" s="898"/>
      <c r="O856" s="898"/>
      <c r="P856" s="898"/>
      <c r="Q856" s="898"/>
      <c r="R856" s="898"/>
      <c r="S856" s="898"/>
      <c r="T856" s="898"/>
      <c r="U856" s="898"/>
      <c r="V856" s="898"/>
      <c r="W856" s="898"/>
      <c r="X856" s="898"/>
      <c r="Y856" s="898"/>
      <c r="Z856" s="898"/>
      <c r="AA856" s="898"/>
      <c r="AB856" s="898"/>
      <c r="AC856" s="898"/>
      <c r="AD856" s="898"/>
      <c r="AE856" s="898"/>
      <c r="AF856" s="898"/>
      <c r="AG856" s="898"/>
      <c r="AH856" s="898"/>
      <c r="AI856" s="898"/>
      <c r="AJ856" s="898"/>
      <c r="AK856" s="898"/>
      <c r="AL856" s="898"/>
      <c r="AM856" s="897"/>
      <c r="AN856" s="897"/>
      <c r="AO856" s="897"/>
      <c r="AP856" s="897"/>
      <c r="AQ856" s="897"/>
      <c r="AR856" s="897"/>
      <c r="AS856" s="897"/>
      <c r="AT856" s="897"/>
    </row>
    <row r="857" spans="1:46" s="930" customFormat="1">
      <c r="A857" s="892"/>
      <c r="B857" s="899"/>
      <c r="C857" s="900"/>
      <c r="D857" s="894"/>
      <c r="E857" s="936"/>
      <c r="F857" s="905"/>
      <c r="G857" s="896"/>
      <c r="H857" s="897"/>
      <c r="I857" s="897"/>
      <c r="J857" s="897"/>
      <c r="K857" s="897"/>
      <c r="L857" s="898"/>
      <c r="M857" s="898"/>
      <c r="N857" s="898"/>
      <c r="O857" s="898"/>
      <c r="P857" s="898"/>
      <c r="Q857" s="898"/>
      <c r="R857" s="898"/>
      <c r="S857" s="898"/>
      <c r="T857" s="898"/>
      <c r="U857" s="898"/>
      <c r="V857" s="898"/>
      <c r="W857" s="898"/>
      <c r="X857" s="898"/>
      <c r="Y857" s="898"/>
      <c r="Z857" s="898"/>
      <c r="AA857" s="898"/>
      <c r="AB857" s="898"/>
      <c r="AC857" s="898"/>
      <c r="AD857" s="898"/>
      <c r="AE857" s="898"/>
      <c r="AF857" s="898"/>
      <c r="AG857" s="898"/>
      <c r="AH857" s="898"/>
      <c r="AI857" s="898"/>
      <c r="AJ857" s="898"/>
      <c r="AK857" s="898"/>
      <c r="AL857" s="898"/>
      <c r="AM857" s="897"/>
      <c r="AN857" s="897"/>
      <c r="AO857" s="897"/>
      <c r="AP857" s="897"/>
      <c r="AQ857" s="897"/>
      <c r="AR857" s="897"/>
      <c r="AS857" s="897"/>
      <c r="AT857" s="897"/>
    </row>
    <row r="858" spans="1:46" s="930" customFormat="1">
      <c r="A858" s="892"/>
      <c r="B858" s="899"/>
      <c r="C858" s="900"/>
      <c r="D858" s="894"/>
      <c r="E858" s="936"/>
      <c r="F858" s="905"/>
      <c r="G858" s="896"/>
      <c r="H858" s="897"/>
      <c r="I858" s="897"/>
      <c r="J858" s="897"/>
      <c r="K858" s="897"/>
      <c r="L858" s="898"/>
      <c r="M858" s="898"/>
      <c r="N858" s="898"/>
      <c r="O858" s="898"/>
      <c r="P858" s="898"/>
      <c r="Q858" s="898"/>
      <c r="R858" s="898"/>
      <c r="S858" s="898"/>
      <c r="T858" s="898"/>
      <c r="U858" s="898"/>
      <c r="V858" s="898"/>
      <c r="W858" s="898"/>
      <c r="X858" s="898"/>
      <c r="Y858" s="898"/>
      <c r="Z858" s="898"/>
      <c r="AA858" s="898"/>
      <c r="AB858" s="898"/>
      <c r="AC858" s="898"/>
      <c r="AD858" s="898"/>
      <c r="AE858" s="898"/>
      <c r="AF858" s="898"/>
      <c r="AG858" s="898"/>
      <c r="AH858" s="898"/>
      <c r="AI858" s="898"/>
      <c r="AJ858" s="898"/>
      <c r="AK858" s="898"/>
      <c r="AL858" s="898"/>
      <c r="AM858" s="897"/>
      <c r="AN858" s="897"/>
      <c r="AO858" s="897"/>
      <c r="AP858" s="897"/>
      <c r="AQ858" s="897"/>
      <c r="AR858" s="897"/>
      <c r="AS858" s="897"/>
      <c r="AT858" s="897"/>
    </row>
    <row r="859" spans="1:46" s="930" customFormat="1">
      <c r="A859" s="892"/>
      <c r="B859" s="899"/>
      <c r="C859" s="900"/>
      <c r="D859" s="894"/>
      <c r="E859" s="936"/>
      <c r="F859" s="905"/>
      <c r="G859" s="896"/>
      <c r="H859" s="897"/>
      <c r="I859" s="897"/>
      <c r="J859" s="897"/>
      <c r="K859" s="897"/>
      <c r="L859" s="898"/>
      <c r="M859" s="898"/>
      <c r="N859" s="898"/>
      <c r="O859" s="898"/>
      <c r="P859" s="898"/>
      <c r="Q859" s="898"/>
      <c r="R859" s="898"/>
      <c r="S859" s="898"/>
      <c r="T859" s="898"/>
      <c r="U859" s="898"/>
      <c r="V859" s="898"/>
      <c r="W859" s="898"/>
      <c r="X859" s="898"/>
      <c r="Y859" s="898"/>
      <c r="Z859" s="898"/>
      <c r="AA859" s="898"/>
      <c r="AB859" s="898"/>
      <c r="AC859" s="898"/>
      <c r="AD859" s="898"/>
      <c r="AE859" s="898"/>
      <c r="AF859" s="898"/>
      <c r="AG859" s="898"/>
      <c r="AH859" s="898"/>
      <c r="AI859" s="898"/>
      <c r="AJ859" s="898"/>
      <c r="AK859" s="898"/>
      <c r="AL859" s="898"/>
      <c r="AM859" s="897"/>
      <c r="AN859" s="897"/>
      <c r="AO859" s="897"/>
      <c r="AP859" s="897"/>
      <c r="AQ859" s="897"/>
      <c r="AR859" s="897"/>
      <c r="AS859" s="897"/>
      <c r="AT859" s="897"/>
    </row>
    <row r="860" spans="1:46" s="930" customFormat="1">
      <c r="A860" s="892"/>
      <c r="B860" s="899"/>
      <c r="C860" s="900"/>
      <c r="D860" s="894"/>
      <c r="E860" s="936"/>
      <c r="F860" s="905"/>
      <c r="G860" s="896"/>
      <c r="H860" s="897"/>
      <c r="I860" s="897"/>
      <c r="J860" s="897"/>
      <c r="K860" s="897"/>
      <c r="L860" s="898"/>
      <c r="M860" s="898"/>
      <c r="N860" s="898"/>
      <c r="O860" s="898"/>
      <c r="P860" s="898"/>
      <c r="Q860" s="898"/>
      <c r="R860" s="898"/>
      <c r="S860" s="898"/>
      <c r="T860" s="898"/>
      <c r="U860" s="898"/>
      <c r="V860" s="898"/>
      <c r="W860" s="898"/>
      <c r="X860" s="898"/>
      <c r="Y860" s="898"/>
      <c r="Z860" s="898"/>
      <c r="AA860" s="898"/>
      <c r="AB860" s="898"/>
      <c r="AC860" s="898"/>
      <c r="AD860" s="898"/>
      <c r="AE860" s="898"/>
      <c r="AF860" s="898"/>
      <c r="AG860" s="898"/>
      <c r="AH860" s="898"/>
      <c r="AI860" s="898"/>
      <c r="AJ860" s="898"/>
      <c r="AK860" s="898"/>
      <c r="AL860" s="898"/>
      <c r="AM860" s="897"/>
      <c r="AN860" s="897"/>
      <c r="AO860" s="897"/>
      <c r="AP860" s="897"/>
      <c r="AQ860" s="897"/>
      <c r="AR860" s="897"/>
      <c r="AS860" s="897"/>
      <c r="AT860" s="897"/>
    </row>
    <row r="861" spans="1:46" s="930" customFormat="1">
      <c r="A861" s="892"/>
      <c r="B861" s="899"/>
      <c r="C861" s="900"/>
      <c r="D861" s="894"/>
      <c r="E861" s="936"/>
      <c r="F861" s="905"/>
      <c r="G861" s="896"/>
      <c r="H861" s="897"/>
      <c r="I861" s="897"/>
      <c r="J861" s="897"/>
      <c r="K861" s="897"/>
      <c r="L861" s="898"/>
      <c r="M861" s="898"/>
      <c r="N861" s="898"/>
      <c r="O861" s="898"/>
      <c r="P861" s="898"/>
      <c r="Q861" s="898"/>
      <c r="R861" s="898"/>
      <c r="S861" s="898"/>
      <c r="T861" s="898"/>
      <c r="U861" s="898"/>
      <c r="V861" s="898"/>
      <c r="W861" s="898"/>
      <c r="X861" s="898"/>
      <c r="Y861" s="898"/>
      <c r="Z861" s="898"/>
      <c r="AA861" s="898"/>
      <c r="AB861" s="898"/>
      <c r="AC861" s="898"/>
      <c r="AD861" s="898"/>
      <c r="AE861" s="898"/>
      <c r="AF861" s="898"/>
      <c r="AG861" s="898"/>
      <c r="AH861" s="898"/>
      <c r="AI861" s="898"/>
      <c r="AJ861" s="898"/>
      <c r="AK861" s="898"/>
      <c r="AL861" s="898"/>
      <c r="AM861" s="897"/>
      <c r="AN861" s="897"/>
      <c r="AO861" s="897"/>
      <c r="AP861" s="897"/>
      <c r="AQ861" s="897"/>
      <c r="AR861" s="897"/>
      <c r="AS861" s="897"/>
      <c r="AT861" s="897"/>
    </row>
    <row r="862" spans="1:46" s="930" customFormat="1">
      <c r="A862" s="892"/>
      <c r="B862" s="899"/>
      <c r="C862" s="900"/>
      <c r="D862" s="894"/>
      <c r="E862" s="936"/>
      <c r="F862" s="905"/>
      <c r="G862" s="896"/>
      <c r="H862" s="897"/>
      <c r="I862" s="897"/>
      <c r="J862" s="897"/>
      <c r="K862" s="897"/>
      <c r="L862" s="898"/>
      <c r="M862" s="898"/>
      <c r="N862" s="898"/>
      <c r="O862" s="898"/>
      <c r="P862" s="898"/>
      <c r="Q862" s="898"/>
      <c r="R862" s="898"/>
      <c r="S862" s="898"/>
      <c r="T862" s="898"/>
      <c r="U862" s="898"/>
      <c r="V862" s="898"/>
      <c r="W862" s="898"/>
      <c r="X862" s="898"/>
      <c r="Y862" s="898"/>
      <c r="Z862" s="898"/>
      <c r="AA862" s="898"/>
      <c r="AB862" s="898"/>
      <c r="AC862" s="898"/>
      <c r="AD862" s="898"/>
      <c r="AE862" s="898"/>
      <c r="AF862" s="898"/>
      <c r="AG862" s="898"/>
      <c r="AH862" s="898"/>
      <c r="AI862" s="898"/>
      <c r="AJ862" s="898"/>
      <c r="AK862" s="898"/>
      <c r="AL862" s="898"/>
      <c r="AM862" s="897"/>
      <c r="AN862" s="897"/>
      <c r="AO862" s="897"/>
      <c r="AP862" s="897"/>
      <c r="AQ862" s="897"/>
      <c r="AR862" s="897"/>
      <c r="AS862" s="897"/>
      <c r="AT862" s="897"/>
    </row>
    <row r="863" spans="1:46" s="930" customFormat="1">
      <c r="A863" s="892"/>
      <c r="B863" s="899"/>
      <c r="C863" s="900"/>
      <c r="D863" s="894"/>
      <c r="E863" s="936"/>
      <c r="F863" s="905"/>
      <c r="G863" s="896"/>
      <c r="H863" s="897"/>
      <c r="I863" s="897"/>
      <c r="J863" s="897"/>
      <c r="K863" s="897"/>
      <c r="L863" s="898"/>
      <c r="M863" s="898"/>
      <c r="N863" s="898"/>
      <c r="O863" s="898"/>
      <c r="P863" s="898"/>
      <c r="Q863" s="898"/>
      <c r="R863" s="898"/>
      <c r="S863" s="898"/>
      <c r="T863" s="898"/>
      <c r="U863" s="898"/>
      <c r="V863" s="898"/>
      <c r="W863" s="898"/>
      <c r="X863" s="898"/>
      <c r="Y863" s="898"/>
      <c r="Z863" s="898"/>
      <c r="AA863" s="898"/>
      <c r="AB863" s="898"/>
      <c r="AC863" s="898"/>
      <c r="AD863" s="898"/>
      <c r="AE863" s="898"/>
      <c r="AF863" s="898"/>
      <c r="AG863" s="898"/>
      <c r="AH863" s="898"/>
      <c r="AI863" s="898"/>
      <c r="AJ863" s="898"/>
      <c r="AK863" s="898"/>
      <c r="AL863" s="898"/>
      <c r="AM863" s="897"/>
      <c r="AN863" s="897"/>
      <c r="AO863" s="897"/>
      <c r="AP863" s="897"/>
      <c r="AQ863" s="897"/>
      <c r="AR863" s="897"/>
      <c r="AS863" s="897"/>
      <c r="AT863" s="897"/>
    </row>
    <row r="864" spans="1:46" s="930" customFormat="1">
      <c r="A864" s="892"/>
      <c r="B864" s="899"/>
      <c r="C864" s="900"/>
      <c r="D864" s="894"/>
      <c r="E864" s="936"/>
      <c r="F864" s="905"/>
      <c r="G864" s="896"/>
      <c r="H864" s="897"/>
      <c r="I864" s="897"/>
      <c r="J864" s="897"/>
      <c r="K864" s="897"/>
      <c r="L864" s="898"/>
      <c r="M864" s="898"/>
      <c r="N864" s="898"/>
      <c r="O864" s="898"/>
      <c r="P864" s="898"/>
      <c r="Q864" s="898"/>
      <c r="R864" s="898"/>
      <c r="S864" s="898"/>
      <c r="T864" s="898"/>
      <c r="U864" s="898"/>
      <c r="V864" s="898"/>
      <c r="W864" s="898"/>
      <c r="X864" s="898"/>
      <c r="Y864" s="898"/>
      <c r="Z864" s="898"/>
      <c r="AA864" s="898"/>
      <c r="AB864" s="898"/>
      <c r="AC864" s="898"/>
      <c r="AD864" s="898"/>
      <c r="AE864" s="898"/>
      <c r="AF864" s="898"/>
      <c r="AG864" s="898"/>
      <c r="AH864" s="898"/>
      <c r="AI864" s="898"/>
      <c r="AJ864" s="898"/>
      <c r="AK864" s="898"/>
      <c r="AL864" s="898"/>
      <c r="AM864" s="897"/>
      <c r="AN864" s="897"/>
      <c r="AO864" s="897"/>
      <c r="AP864" s="897"/>
      <c r="AQ864" s="897"/>
      <c r="AR864" s="897"/>
      <c r="AS864" s="897"/>
      <c r="AT864" s="897"/>
    </row>
    <row r="865" spans="1:46" s="930" customFormat="1">
      <c r="A865" s="892"/>
      <c r="B865" s="899"/>
      <c r="C865" s="900"/>
      <c r="D865" s="894"/>
      <c r="E865" s="936"/>
      <c r="F865" s="905"/>
      <c r="G865" s="896"/>
      <c r="H865" s="897"/>
      <c r="I865" s="897"/>
      <c r="J865" s="897"/>
      <c r="K865" s="897"/>
      <c r="L865" s="898"/>
      <c r="M865" s="898"/>
      <c r="N865" s="898"/>
      <c r="O865" s="898"/>
      <c r="P865" s="898"/>
      <c r="Q865" s="898"/>
      <c r="R865" s="898"/>
      <c r="S865" s="898"/>
      <c r="T865" s="898"/>
      <c r="U865" s="898"/>
      <c r="V865" s="898"/>
      <c r="W865" s="898"/>
      <c r="X865" s="898"/>
      <c r="Y865" s="898"/>
      <c r="Z865" s="898"/>
      <c r="AA865" s="898"/>
      <c r="AB865" s="898"/>
      <c r="AC865" s="898"/>
      <c r="AD865" s="898"/>
      <c r="AE865" s="898"/>
      <c r="AF865" s="898"/>
      <c r="AG865" s="898"/>
      <c r="AH865" s="898"/>
      <c r="AI865" s="898"/>
      <c r="AJ865" s="898"/>
      <c r="AK865" s="898"/>
      <c r="AL865" s="898"/>
      <c r="AM865" s="897"/>
      <c r="AN865" s="897"/>
      <c r="AO865" s="897"/>
      <c r="AP865" s="897"/>
      <c r="AQ865" s="897"/>
      <c r="AR865" s="897"/>
      <c r="AS865" s="897"/>
      <c r="AT865" s="897"/>
    </row>
    <row r="866" spans="1:46" s="930" customFormat="1">
      <c r="A866" s="892"/>
      <c r="B866" s="899"/>
      <c r="C866" s="900"/>
      <c r="D866" s="894"/>
      <c r="E866" s="936"/>
      <c r="F866" s="905"/>
      <c r="G866" s="896"/>
      <c r="H866" s="897"/>
      <c r="I866" s="897"/>
      <c r="J866" s="897"/>
      <c r="K866" s="897"/>
      <c r="L866" s="898"/>
      <c r="M866" s="898"/>
      <c r="N866" s="898"/>
      <c r="O866" s="898"/>
      <c r="P866" s="898"/>
      <c r="Q866" s="898"/>
      <c r="R866" s="898"/>
      <c r="S866" s="898"/>
      <c r="T866" s="898"/>
      <c r="U866" s="898"/>
      <c r="V866" s="898"/>
      <c r="W866" s="898"/>
      <c r="X866" s="898"/>
      <c r="Y866" s="898"/>
      <c r="Z866" s="898"/>
      <c r="AA866" s="898"/>
      <c r="AB866" s="898"/>
      <c r="AC866" s="898"/>
      <c r="AD866" s="898"/>
      <c r="AE866" s="898"/>
      <c r="AF866" s="898"/>
      <c r="AG866" s="898"/>
      <c r="AH866" s="898"/>
      <c r="AI866" s="898"/>
      <c r="AJ866" s="898"/>
      <c r="AK866" s="898"/>
      <c r="AL866" s="898"/>
      <c r="AM866" s="897"/>
      <c r="AN866" s="897"/>
      <c r="AO866" s="897"/>
      <c r="AP866" s="897"/>
      <c r="AQ866" s="897"/>
      <c r="AR866" s="897"/>
      <c r="AS866" s="897"/>
      <c r="AT866" s="897"/>
    </row>
    <row r="867" spans="1:46" s="930" customFormat="1">
      <c r="A867" s="892"/>
      <c r="B867" s="899"/>
      <c r="C867" s="900"/>
      <c r="D867" s="894"/>
      <c r="E867" s="936"/>
      <c r="F867" s="905"/>
      <c r="G867" s="896"/>
      <c r="H867" s="897"/>
      <c r="I867" s="897"/>
      <c r="J867" s="897"/>
      <c r="K867" s="897"/>
      <c r="L867" s="898"/>
      <c r="M867" s="898"/>
      <c r="N867" s="898"/>
      <c r="O867" s="898"/>
      <c r="P867" s="898"/>
      <c r="Q867" s="898"/>
      <c r="R867" s="898"/>
      <c r="S867" s="898"/>
      <c r="T867" s="898"/>
      <c r="U867" s="898"/>
      <c r="V867" s="898"/>
      <c r="W867" s="898"/>
      <c r="X867" s="898"/>
      <c r="Y867" s="898"/>
      <c r="Z867" s="898"/>
      <c r="AA867" s="898"/>
      <c r="AB867" s="898"/>
      <c r="AC867" s="898"/>
      <c r="AD867" s="898"/>
      <c r="AE867" s="898"/>
      <c r="AF867" s="898"/>
      <c r="AG867" s="898"/>
      <c r="AH867" s="898"/>
      <c r="AI867" s="898"/>
      <c r="AJ867" s="898"/>
      <c r="AK867" s="898"/>
      <c r="AL867" s="898"/>
      <c r="AM867" s="897"/>
      <c r="AN867" s="897"/>
      <c r="AO867" s="897"/>
      <c r="AP867" s="897"/>
      <c r="AQ867" s="897"/>
      <c r="AR867" s="897"/>
      <c r="AS867" s="897"/>
      <c r="AT867" s="897"/>
    </row>
    <row r="868" spans="1:46" s="930" customFormat="1">
      <c r="A868" s="892"/>
      <c r="B868" s="899"/>
      <c r="C868" s="900"/>
      <c r="D868" s="894"/>
      <c r="E868" s="936"/>
      <c r="F868" s="905"/>
      <c r="G868" s="896"/>
      <c r="H868" s="897"/>
      <c r="I868" s="897"/>
      <c r="J868" s="897"/>
      <c r="K868" s="897"/>
      <c r="L868" s="898"/>
      <c r="M868" s="898"/>
      <c r="N868" s="898"/>
      <c r="O868" s="898"/>
      <c r="P868" s="898"/>
      <c r="Q868" s="898"/>
      <c r="R868" s="898"/>
      <c r="S868" s="898"/>
      <c r="T868" s="898"/>
      <c r="U868" s="898"/>
      <c r="V868" s="898"/>
      <c r="W868" s="898"/>
      <c r="X868" s="898"/>
      <c r="Y868" s="898"/>
      <c r="Z868" s="898"/>
      <c r="AA868" s="898"/>
      <c r="AB868" s="898"/>
      <c r="AC868" s="898"/>
      <c r="AD868" s="898"/>
      <c r="AE868" s="898"/>
      <c r="AF868" s="898"/>
      <c r="AG868" s="898"/>
      <c r="AH868" s="898"/>
      <c r="AI868" s="898"/>
      <c r="AJ868" s="898"/>
      <c r="AK868" s="898"/>
      <c r="AL868" s="898"/>
      <c r="AM868" s="897"/>
      <c r="AN868" s="897"/>
      <c r="AO868" s="897"/>
      <c r="AP868" s="897"/>
      <c r="AQ868" s="897"/>
      <c r="AR868" s="897"/>
      <c r="AS868" s="897"/>
      <c r="AT868" s="897"/>
    </row>
    <row r="869" spans="1:46" s="930" customFormat="1">
      <c r="A869" s="892"/>
      <c r="B869" s="899"/>
      <c r="C869" s="900"/>
      <c r="D869" s="894"/>
      <c r="E869" s="936"/>
      <c r="F869" s="905"/>
      <c r="G869" s="896"/>
      <c r="H869" s="897"/>
      <c r="I869" s="897"/>
      <c r="J869" s="897"/>
      <c r="K869" s="897"/>
      <c r="L869" s="898"/>
      <c r="M869" s="898"/>
      <c r="N869" s="898"/>
      <c r="O869" s="898"/>
      <c r="P869" s="898"/>
      <c r="Q869" s="898"/>
      <c r="R869" s="898"/>
      <c r="S869" s="898"/>
      <c r="T869" s="898"/>
      <c r="U869" s="898"/>
      <c r="V869" s="898"/>
      <c r="W869" s="898"/>
      <c r="X869" s="898"/>
      <c r="Y869" s="898"/>
      <c r="Z869" s="898"/>
      <c r="AA869" s="898"/>
      <c r="AB869" s="898"/>
      <c r="AC869" s="898"/>
      <c r="AD869" s="898"/>
      <c r="AE869" s="898"/>
      <c r="AF869" s="898"/>
      <c r="AG869" s="898"/>
      <c r="AH869" s="898"/>
      <c r="AI869" s="898"/>
      <c r="AJ869" s="898"/>
      <c r="AK869" s="898"/>
      <c r="AL869" s="898"/>
      <c r="AM869" s="897"/>
      <c r="AN869" s="897"/>
      <c r="AO869" s="897"/>
      <c r="AP869" s="897"/>
      <c r="AQ869" s="897"/>
      <c r="AR869" s="897"/>
      <c r="AS869" s="897"/>
      <c r="AT869" s="897"/>
    </row>
    <row r="870" spans="1:46" s="930" customFormat="1">
      <c r="A870" s="892"/>
      <c r="B870" s="899"/>
      <c r="C870" s="900"/>
      <c r="D870" s="894"/>
      <c r="E870" s="936"/>
      <c r="F870" s="905"/>
      <c r="G870" s="896"/>
      <c r="H870" s="897"/>
      <c r="I870" s="897"/>
      <c r="J870" s="897"/>
      <c r="K870" s="897"/>
      <c r="L870" s="898"/>
      <c r="M870" s="898"/>
      <c r="N870" s="898"/>
      <c r="O870" s="898"/>
      <c r="P870" s="898"/>
      <c r="Q870" s="898"/>
      <c r="R870" s="898"/>
      <c r="S870" s="898"/>
      <c r="T870" s="898"/>
      <c r="U870" s="898"/>
      <c r="V870" s="898"/>
      <c r="W870" s="898"/>
      <c r="X870" s="898"/>
      <c r="Y870" s="898"/>
      <c r="Z870" s="898"/>
      <c r="AA870" s="898"/>
      <c r="AB870" s="898"/>
      <c r="AC870" s="898"/>
      <c r="AD870" s="898"/>
      <c r="AE870" s="898"/>
      <c r="AF870" s="898"/>
      <c r="AG870" s="898"/>
      <c r="AH870" s="898"/>
      <c r="AI870" s="898"/>
      <c r="AJ870" s="898"/>
      <c r="AK870" s="898"/>
      <c r="AL870" s="898"/>
      <c r="AM870" s="897"/>
      <c r="AN870" s="897"/>
      <c r="AO870" s="897"/>
      <c r="AP870" s="897"/>
      <c r="AQ870" s="897"/>
      <c r="AR870" s="897"/>
      <c r="AS870" s="897"/>
      <c r="AT870" s="897"/>
    </row>
    <row r="871" spans="1:46" s="930" customFormat="1">
      <c r="A871" s="892"/>
      <c r="B871" s="899"/>
      <c r="C871" s="900"/>
      <c r="D871" s="894"/>
      <c r="E871" s="936"/>
      <c r="F871" s="905"/>
      <c r="G871" s="896"/>
      <c r="H871" s="897"/>
      <c r="I871" s="897"/>
      <c r="J871" s="897"/>
      <c r="K871" s="897"/>
      <c r="L871" s="898"/>
      <c r="M871" s="898"/>
      <c r="N871" s="898"/>
      <c r="O871" s="898"/>
      <c r="P871" s="898"/>
      <c r="Q871" s="898"/>
      <c r="R871" s="898"/>
      <c r="S871" s="898"/>
      <c r="T871" s="898"/>
      <c r="U871" s="898"/>
      <c r="V871" s="898"/>
      <c r="W871" s="898"/>
      <c r="X871" s="898"/>
      <c r="Y871" s="898"/>
      <c r="Z871" s="898"/>
      <c r="AA871" s="898"/>
      <c r="AB871" s="898"/>
      <c r="AC871" s="898"/>
      <c r="AD871" s="898"/>
      <c r="AE871" s="898"/>
      <c r="AF871" s="898"/>
      <c r="AG871" s="898"/>
      <c r="AH871" s="898"/>
      <c r="AI871" s="898"/>
      <c r="AJ871" s="898"/>
      <c r="AK871" s="898"/>
      <c r="AL871" s="898"/>
      <c r="AM871" s="897"/>
      <c r="AN871" s="897"/>
      <c r="AO871" s="897"/>
      <c r="AP871" s="897"/>
      <c r="AQ871" s="897"/>
      <c r="AR871" s="897"/>
      <c r="AS871" s="897"/>
      <c r="AT871" s="897"/>
    </row>
    <row r="872" spans="1:46" s="930" customFormat="1">
      <c r="A872" s="892"/>
      <c r="B872" s="899"/>
      <c r="C872" s="900"/>
      <c r="D872" s="894"/>
      <c r="E872" s="936"/>
      <c r="F872" s="905"/>
      <c r="G872" s="896"/>
      <c r="H872" s="897"/>
      <c r="I872" s="897"/>
      <c r="J872" s="897"/>
      <c r="K872" s="897"/>
      <c r="L872" s="898"/>
      <c r="M872" s="898"/>
      <c r="N872" s="898"/>
      <c r="O872" s="898"/>
      <c r="P872" s="898"/>
      <c r="Q872" s="898"/>
      <c r="R872" s="898"/>
      <c r="S872" s="898"/>
      <c r="T872" s="898"/>
      <c r="U872" s="898"/>
      <c r="V872" s="898"/>
      <c r="W872" s="898"/>
      <c r="X872" s="898"/>
      <c r="Y872" s="898"/>
      <c r="Z872" s="898"/>
      <c r="AA872" s="898"/>
      <c r="AB872" s="898"/>
      <c r="AC872" s="898"/>
      <c r="AD872" s="898"/>
      <c r="AE872" s="898"/>
      <c r="AF872" s="898"/>
      <c r="AG872" s="898"/>
      <c r="AH872" s="898"/>
      <c r="AI872" s="898"/>
      <c r="AJ872" s="898"/>
      <c r="AK872" s="898"/>
      <c r="AL872" s="898"/>
      <c r="AM872" s="897"/>
      <c r="AN872" s="897"/>
      <c r="AO872" s="897"/>
      <c r="AP872" s="897"/>
      <c r="AQ872" s="897"/>
      <c r="AR872" s="897"/>
      <c r="AS872" s="897"/>
      <c r="AT872" s="897"/>
    </row>
    <row r="873" spans="1:46" s="930" customFormat="1">
      <c r="A873" s="892"/>
      <c r="B873" s="899"/>
      <c r="C873" s="900"/>
      <c r="D873" s="894"/>
      <c r="E873" s="936"/>
      <c r="F873" s="905"/>
      <c r="G873" s="896"/>
      <c r="H873" s="897"/>
      <c r="I873" s="897"/>
      <c r="J873" s="897"/>
      <c r="K873" s="897"/>
      <c r="L873" s="898"/>
      <c r="M873" s="898"/>
      <c r="N873" s="898"/>
      <c r="O873" s="898"/>
      <c r="P873" s="898"/>
      <c r="Q873" s="898"/>
      <c r="R873" s="898"/>
      <c r="S873" s="898"/>
      <c r="T873" s="898"/>
      <c r="U873" s="898"/>
      <c r="V873" s="898"/>
      <c r="W873" s="898"/>
      <c r="X873" s="898"/>
      <c r="Y873" s="898"/>
      <c r="Z873" s="898"/>
      <c r="AA873" s="898"/>
      <c r="AB873" s="898"/>
      <c r="AC873" s="898"/>
      <c r="AD873" s="898"/>
      <c r="AE873" s="898"/>
      <c r="AF873" s="898"/>
      <c r="AG873" s="898"/>
      <c r="AH873" s="898"/>
      <c r="AI873" s="898"/>
      <c r="AJ873" s="898"/>
      <c r="AK873" s="898"/>
      <c r="AL873" s="898"/>
      <c r="AM873" s="897"/>
      <c r="AN873" s="897"/>
      <c r="AO873" s="897"/>
      <c r="AP873" s="897"/>
      <c r="AQ873" s="897"/>
      <c r="AR873" s="897"/>
      <c r="AS873" s="897"/>
      <c r="AT873" s="897"/>
    </row>
    <row r="874" spans="1:46" s="930" customFormat="1">
      <c r="A874" s="892"/>
      <c r="B874" s="899"/>
      <c r="C874" s="900"/>
      <c r="D874" s="894"/>
      <c r="E874" s="936"/>
      <c r="F874" s="905"/>
      <c r="G874" s="896"/>
      <c r="H874" s="897"/>
      <c r="I874" s="897"/>
      <c r="J874" s="897"/>
      <c r="K874" s="897"/>
      <c r="L874" s="898"/>
      <c r="M874" s="898"/>
      <c r="N874" s="898"/>
      <c r="O874" s="898"/>
      <c r="P874" s="898"/>
      <c r="Q874" s="898"/>
      <c r="R874" s="898"/>
      <c r="S874" s="898"/>
      <c r="T874" s="898"/>
      <c r="U874" s="898"/>
      <c r="V874" s="898"/>
      <c r="W874" s="898"/>
      <c r="X874" s="898"/>
      <c r="Y874" s="898"/>
      <c r="Z874" s="898"/>
      <c r="AA874" s="898"/>
      <c r="AB874" s="898"/>
      <c r="AC874" s="898"/>
      <c r="AD874" s="898"/>
      <c r="AE874" s="898"/>
      <c r="AF874" s="898"/>
      <c r="AG874" s="898"/>
      <c r="AH874" s="898"/>
      <c r="AI874" s="898"/>
      <c r="AJ874" s="898"/>
      <c r="AK874" s="898"/>
      <c r="AL874" s="898"/>
      <c r="AM874" s="897"/>
      <c r="AN874" s="897"/>
      <c r="AO874" s="897"/>
      <c r="AP874" s="897"/>
      <c r="AQ874" s="897"/>
      <c r="AR874" s="897"/>
      <c r="AS874" s="897"/>
      <c r="AT874" s="897"/>
    </row>
    <row r="875" spans="1:46" s="930" customFormat="1">
      <c r="A875" s="892"/>
      <c r="B875" s="899"/>
      <c r="C875" s="900"/>
      <c r="D875" s="894"/>
      <c r="E875" s="936"/>
      <c r="F875" s="905"/>
      <c r="G875" s="896"/>
      <c r="H875" s="897"/>
      <c r="I875" s="897"/>
      <c r="J875" s="897"/>
      <c r="K875" s="897"/>
      <c r="L875" s="898"/>
      <c r="M875" s="898"/>
      <c r="N875" s="898"/>
      <c r="O875" s="898"/>
      <c r="P875" s="898"/>
      <c r="Q875" s="898"/>
      <c r="R875" s="898"/>
      <c r="S875" s="898"/>
      <c r="T875" s="898"/>
      <c r="U875" s="898"/>
      <c r="V875" s="898"/>
      <c r="W875" s="898"/>
      <c r="X875" s="898"/>
      <c r="Y875" s="898"/>
      <c r="Z875" s="898"/>
      <c r="AA875" s="898"/>
      <c r="AB875" s="898"/>
      <c r="AC875" s="898"/>
      <c r="AD875" s="898"/>
      <c r="AE875" s="898"/>
      <c r="AF875" s="898"/>
      <c r="AG875" s="898"/>
      <c r="AH875" s="898"/>
      <c r="AI875" s="898"/>
      <c r="AJ875" s="898"/>
      <c r="AK875" s="898"/>
      <c r="AL875" s="898"/>
      <c r="AM875" s="897"/>
      <c r="AN875" s="897"/>
      <c r="AO875" s="897"/>
      <c r="AP875" s="897"/>
      <c r="AQ875" s="897"/>
      <c r="AR875" s="897"/>
      <c r="AS875" s="897"/>
      <c r="AT875" s="897"/>
    </row>
    <row r="876" spans="1:46" s="930" customFormat="1">
      <c r="A876" s="892"/>
      <c r="B876" s="899"/>
      <c r="C876" s="900"/>
      <c r="D876" s="894"/>
      <c r="E876" s="936"/>
      <c r="F876" s="905"/>
      <c r="G876" s="896"/>
      <c r="H876" s="897"/>
      <c r="I876" s="897"/>
      <c r="J876" s="897"/>
      <c r="K876" s="897"/>
      <c r="L876" s="898"/>
      <c r="M876" s="898"/>
      <c r="N876" s="898"/>
      <c r="O876" s="898"/>
      <c r="P876" s="898"/>
      <c r="Q876" s="898"/>
      <c r="R876" s="898"/>
      <c r="S876" s="898"/>
      <c r="T876" s="898"/>
      <c r="U876" s="898"/>
      <c r="V876" s="898"/>
      <c r="W876" s="898"/>
      <c r="X876" s="898"/>
      <c r="Y876" s="898"/>
      <c r="Z876" s="898"/>
      <c r="AA876" s="898"/>
      <c r="AB876" s="898"/>
      <c r="AC876" s="898"/>
      <c r="AD876" s="898"/>
      <c r="AE876" s="898"/>
      <c r="AF876" s="898"/>
      <c r="AG876" s="898"/>
      <c r="AH876" s="898"/>
      <c r="AI876" s="898"/>
      <c r="AJ876" s="898"/>
      <c r="AK876" s="898"/>
      <c r="AL876" s="898"/>
      <c r="AM876" s="897"/>
      <c r="AN876" s="897"/>
      <c r="AO876" s="897"/>
      <c r="AP876" s="897"/>
      <c r="AQ876" s="897"/>
      <c r="AR876" s="897"/>
      <c r="AS876" s="897"/>
      <c r="AT876" s="897"/>
    </row>
    <row r="877" spans="1:46" s="930" customFormat="1">
      <c r="A877" s="892"/>
      <c r="B877" s="899"/>
      <c r="C877" s="900"/>
      <c r="D877" s="894"/>
      <c r="E877" s="936"/>
      <c r="F877" s="905"/>
      <c r="G877" s="896"/>
      <c r="H877" s="897"/>
      <c r="I877" s="897"/>
      <c r="J877" s="897"/>
      <c r="K877" s="897"/>
      <c r="L877" s="898"/>
      <c r="M877" s="898"/>
      <c r="N877" s="898"/>
      <c r="O877" s="898"/>
      <c r="P877" s="898"/>
      <c r="Q877" s="898"/>
      <c r="R877" s="898"/>
      <c r="S877" s="898"/>
      <c r="T877" s="898"/>
      <c r="U877" s="898"/>
      <c r="V877" s="898"/>
      <c r="W877" s="898"/>
      <c r="X877" s="898"/>
      <c r="Y877" s="898"/>
      <c r="Z877" s="898"/>
      <c r="AA877" s="898"/>
      <c r="AB877" s="898"/>
      <c r="AC877" s="898"/>
      <c r="AD877" s="898"/>
      <c r="AE877" s="898"/>
      <c r="AF877" s="898"/>
      <c r="AG877" s="898"/>
      <c r="AH877" s="898"/>
      <c r="AI877" s="898"/>
      <c r="AJ877" s="898"/>
      <c r="AK877" s="898"/>
      <c r="AL877" s="898"/>
      <c r="AM877" s="897"/>
      <c r="AN877" s="897"/>
      <c r="AO877" s="897"/>
      <c r="AP877" s="897"/>
      <c r="AQ877" s="897"/>
      <c r="AR877" s="897"/>
      <c r="AS877" s="897"/>
      <c r="AT877" s="897"/>
    </row>
    <row r="878" spans="1:46" s="930" customFormat="1">
      <c r="A878" s="892"/>
      <c r="B878" s="899"/>
      <c r="C878" s="900"/>
      <c r="D878" s="894"/>
      <c r="E878" s="936"/>
      <c r="F878" s="905"/>
      <c r="G878" s="896"/>
      <c r="H878" s="897"/>
      <c r="I878" s="897"/>
      <c r="J878" s="897"/>
      <c r="K878" s="897"/>
      <c r="L878" s="898"/>
      <c r="M878" s="898"/>
      <c r="N878" s="898"/>
      <c r="O878" s="898"/>
      <c r="P878" s="898"/>
      <c r="Q878" s="898"/>
      <c r="R878" s="898"/>
      <c r="S878" s="898"/>
      <c r="T878" s="898"/>
      <c r="U878" s="898"/>
      <c r="V878" s="898"/>
      <c r="W878" s="898"/>
      <c r="X878" s="898"/>
      <c r="Y878" s="898"/>
      <c r="Z878" s="898"/>
      <c r="AA878" s="898"/>
      <c r="AB878" s="898"/>
      <c r="AC878" s="898"/>
      <c r="AD878" s="898"/>
      <c r="AE878" s="898"/>
      <c r="AF878" s="898"/>
      <c r="AG878" s="898"/>
      <c r="AH878" s="898"/>
      <c r="AI878" s="898"/>
      <c r="AJ878" s="898"/>
      <c r="AK878" s="898"/>
      <c r="AL878" s="898"/>
      <c r="AM878" s="897"/>
      <c r="AN878" s="897"/>
      <c r="AO878" s="897"/>
      <c r="AP878" s="897"/>
      <c r="AQ878" s="897"/>
      <c r="AR878" s="897"/>
      <c r="AS878" s="897"/>
      <c r="AT878" s="897"/>
    </row>
    <row r="879" spans="1:46" s="930" customFormat="1">
      <c r="A879" s="892"/>
      <c r="B879" s="899"/>
      <c r="C879" s="900"/>
      <c r="D879" s="894"/>
      <c r="E879" s="936"/>
      <c r="F879" s="905"/>
      <c r="G879" s="896"/>
      <c r="H879" s="897"/>
      <c r="I879" s="897"/>
      <c r="J879" s="897"/>
      <c r="K879" s="897"/>
      <c r="L879" s="898"/>
      <c r="M879" s="898"/>
      <c r="N879" s="898"/>
      <c r="O879" s="898"/>
      <c r="P879" s="898"/>
      <c r="Q879" s="898"/>
      <c r="R879" s="898"/>
      <c r="S879" s="898"/>
      <c r="T879" s="898"/>
      <c r="U879" s="898"/>
      <c r="V879" s="898"/>
      <c r="W879" s="898"/>
      <c r="X879" s="898"/>
      <c r="Y879" s="898"/>
      <c r="Z879" s="898"/>
      <c r="AA879" s="898"/>
      <c r="AB879" s="898"/>
      <c r="AC879" s="898"/>
      <c r="AD879" s="898"/>
      <c r="AE879" s="898"/>
      <c r="AF879" s="898"/>
      <c r="AG879" s="898"/>
      <c r="AH879" s="898"/>
      <c r="AI879" s="898"/>
      <c r="AJ879" s="898"/>
      <c r="AK879" s="898"/>
      <c r="AL879" s="898"/>
      <c r="AM879" s="897"/>
      <c r="AN879" s="897"/>
      <c r="AO879" s="897"/>
      <c r="AP879" s="897"/>
      <c r="AQ879" s="897"/>
      <c r="AR879" s="897"/>
      <c r="AS879" s="897"/>
      <c r="AT879" s="897"/>
    </row>
    <row r="880" spans="1:46" s="930" customFormat="1">
      <c r="A880" s="892"/>
      <c r="B880" s="899"/>
      <c r="C880" s="900"/>
      <c r="D880" s="894"/>
      <c r="E880" s="936"/>
      <c r="F880" s="905"/>
      <c r="G880" s="896"/>
      <c r="H880" s="897"/>
      <c r="I880" s="897"/>
      <c r="J880" s="897"/>
      <c r="K880" s="897"/>
      <c r="L880" s="898"/>
      <c r="M880" s="898"/>
      <c r="N880" s="898"/>
      <c r="O880" s="898"/>
      <c r="P880" s="898"/>
      <c r="Q880" s="898"/>
      <c r="R880" s="898"/>
      <c r="S880" s="898"/>
      <c r="T880" s="898"/>
      <c r="U880" s="898"/>
      <c r="V880" s="898"/>
      <c r="W880" s="898"/>
      <c r="X880" s="898"/>
      <c r="Y880" s="898"/>
      <c r="Z880" s="898"/>
      <c r="AA880" s="898"/>
      <c r="AB880" s="898"/>
      <c r="AC880" s="898"/>
      <c r="AD880" s="898"/>
      <c r="AE880" s="898"/>
      <c r="AF880" s="898"/>
      <c r="AG880" s="898"/>
      <c r="AH880" s="898"/>
      <c r="AI880" s="898"/>
      <c r="AJ880" s="898"/>
      <c r="AK880" s="898"/>
      <c r="AL880" s="898"/>
      <c r="AM880" s="897"/>
      <c r="AN880" s="897"/>
      <c r="AO880" s="897"/>
      <c r="AP880" s="897"/>
      <c r="AQ880" s="897"/>
      <c r="AR880" s="897"/>
      <c r="AS880" s="897"/>
      <c r="AT880" s="897"/>
    </row>
    <row r="881" spans="1:46" s="930" customFormat="1">
      <c r="A881" s="892"/>
      <c r="B881" s="899"/>
      <c r="C881" s="900"/>
      <c r="D881" s="894"/>
      <c r="E881" s="936"/>
      <c r="F881" s="905"/>
      <c r="G881" s="896"/>
      <c r="H881" s="897"/>
      <c r="I881" s="897"/>
      <c r="J881" s="897"/>
      <c r="K881" s="897"/>
      <c r="L881" s="898"/>
      <c r="M881" s="898"/>
      <c r="N881" s="898"/>
      <c r="O881" s="898"/>
      <c r="P881" s="898"/>
      <c r="Q881" s="898"/>
      <c r="R881" s="898"/>
      <c r="S881" s="898"/>
      <c r="T881" s="898"/>
      <c r="U881" s="898"/>
      <c r="V881" s="898"/>
      <c r="W881" s="898"/>
      <c r="X881" s="898"/>
      <c r="Y881" s="898"/>
      <c r="Z881" s="898"/>
      <c r="AA881" s="898"/>
      <c r="AB881" s="898"/>
      <c r="AC881" s="898"/>
      <c r="AD881" s="898"/>
      <c r="AE881" s="898"/>
      <c r="AF881" s="898"/>
      <c r="AG881" s="898"/>
      <c r="AH881" s="898"/>
      <c r="AI881" s="898"/>
      <c r="AJ881" s="898"/>
      <c r="AK881" s="898"/>
      <c r="AL881" s="898"/>
      <c r="AM881" s="897"/>
      <c r="AN881" s="897"/>
      <c r="AO881" s="897"/>
      <c r="AP881" s="897"/>
      <c r="AQ881" s="897"/>
      <c r="AR881" s="897"/>
      <c r="AS881" s="897"/>
      <c r="AT881" s="897"/>
    </row>
    <row r="882" spans="1:46" s="930" customFormat="1">
      <c r="A882" s="892"/>
      <c r="B882" s="899"/>
      <c r="C882" s="900"/>
      <c r="D882" s="894"/>
      <c r="E882" s="936"/>
      <c r="F882" s="905"/>
      <c r="G882" s="896"/>
      <c r="H882" s="897"/>
      <c r="I882" s="897"/>
      <c r="J882" s="897"/>
      <c r="K882" s="897"/>
      <c r="L882" s="898"/>
      <c r="M882" s="898"/>
      <c r="N882" s="898"/>
      <c r="O882" s="898"/>
      <c r="P882" s="898"/>
      <c r="Q882" s="898"/>
      <c r="R882" s="898"/>
      <c r="S882" s="898"/>
      <c r="T882" s="898"/>
      <c r="U882" s="898"/>
      <c r="V882" s="898"/>
      <c r="W882" s="898"/>
      <c r="X882" s="898"/>
      <c r="Y882" s="898"/>
      <c r="Z882" s="898"/>
      <c r="AA882" s="898"/>
      <c r="AB882" s="898"/>
      <c r="AC882" s="898"/>
      <c r="AD882" s="898"/>
      <c r="AE882" s="898"/>
      <c r="AF882" s="898"/>
      <c r="AG882" s="898"/>
      <c r="AH882" s="898"/>
      <c r="AI882" s="898"/>
      <c r="AJ882" s="898"/>
      <c r="AK882" s="898"/>
      <c r="AL882" s="898"/>
      <c r="AM882" s="897"/>
      <c r="AN882" s="897"/>
      <c r="AO882" s="897"/>
      <c r="AP882" s="897"/>
      <c r="AQ882" s="897"/>
      <c r="AR882" s="897"/>
      <c r="AS882" s="897"/>
      <c r="AT882" s="897"/>
    </row>
    <row r="883" spans="1:46" s="930" customFormat="1">
      <c r="A883" s="892"/>
      <c r="B883" s="899"/>
      <c r="C883" s="900"/>
      <c r="D883" s="894"/>
      <c r="E883" s="936"/>
      <c r="F883" s="905"/>
      <c r="G883" s="896"/>
      <c r="H883" s="897"/>
      <c r="I883" s="897"/>
      <c r="J883" s="897"/>
      <c r="K883" s="897"/>
      <c r="L883" s="898"/>
      <c r="M883" s="898"/>
      <c r="N883" s="898"/>
      <c r="O883" s="898"/>
      <c r="P883" s="898"/>
      <c r="Q883" s="898"/>
      <c r="R883" s="898"/>
      <c r="S883" s="898"/>
      <c r="T883" s="898"/>
      <c r="U883" s="898"/>
      <c r="V883" s="898"/>
      <c r="W883" s="898"/>
      <c r="X883" s="898"/>
      <c r="Y883" s="898"/>
      <c r="Z883" s="898"/>
      <c r="AA883" s="898"/>
      <c r="AB883" s="898"/>
      <c r="AC883" s="898"/>
      <c r="AD883" s="898"/>
      <c r="AE883" s="898"/>
      <c r="AF883" s="898"/>
      <c r="AG883" s="898"/>
      <c r="AH883" s="898"/>
      <c r="AI883" s="898"/>
      <c r="AJ883" s="898"/>
      <c r="AK883" s="898"/>
      <c r="AL883" s="898"/>
      <c r="AM883" s="897"/>
      <c r="AN883" s="897"/>
      <c r="AO883" s="897"/>
      <c r="AP883" s="897"/>
      <c r="AQ883" s="897"/>
      <c r="AR883" s="897"/>
      <c r="AS883" s="897"/>
      <c r="AT883" s="897"/>
    </row>
    <row r="884" spans="1:46" s="930" customFormat="1">
      <c r="A884" s="892"/>
      <c r="B884" s="899"/>
      <c r="C884" s="900"/>
      <c r="D884" s="894"/>
      <c r="E884" s="936"/>
      <c r="F884" s="905"/>
      <c r="G884" s="896"/>
      <c r="H884" s="897"/>
      <c r="I884" s="897"/>
      <c r="J884" s="897"/>
      <c r="K884" s="897"/>
      <c r="L884" s="898"/>
      <c r="M884" s="898"/>
      <c r="N884" s="898"/>
      <c r="O884" s="898"/>
      <c r="P884" s="898"/>
      <c r="Q884" s="898"/>
      <c r="R884" s="898"/>
      <c r="S884" s="898"/>
      <c r="T884" s="898"/>
      <c r="U884" s="898"/>
      <c r="V884" s="898"/>
      <c r="W884" s="898"/>
      <c r="X884" s="898"/>
      <c r="Y884" s="898"/>
      <c r="Z884" s="898"/>
      <c r="AA884" s="898"/>
      <c r="AB884" s="898"/>
      <c r="AC884" s="898"/>
      <c r="AD884" s="898"/>
      <c r="AE884" s="898"/>
      <c r="AF884" s="898"/>
      <c r="AG884" s="898"/>
      <c r="AH884" s="898"/>
      <c r="AI884" s="898"/>
      <c r="AJ884" s="898"/>
      <c r="AK884" s="898"/>
      <c r="AL884" s="898"/>
      <c r="AM884" s="897"/>
      <c r="AN884" s="897"/>
      <c r="AO884" s="897"/>
      <c r="AP884" s="897"/>
      <c r="AQ884" s="897"/>
      <c r="AR884" s="897"/>
      <c r="AS884" s="897"/>
      <c r="AT884" s="897"/>
    </row>
    <row r="885" spans="1:46" s="930" customFormat="1">
      <c r="A885" s="892"/>
      <c r="B885" s="899"/>
      <c r="C885" s="900"/>
      <c r="D885" s="894"/>
      <c r="E885" s="936"/>
      <c r="F885" s="905"/>
      <c r="G885" s="896"/>
      <c r="H885" s="897"/>
      <c r="I885" s="897"/>
      <c r="J885" s="897"/>
      <c r="K885" s="897"/>
      <c r="L885" s="898"/>
      <c r="M885" s="898"/>
      <c r="N885" s="898"/>
      <c r="O885" s="898"/>
      <c r="P885" s="898"/>
      <c r="Q885" s="898"/>
      <c r="R885" s="898"/>
      <c r="S885" s="898"/>
      <c r="T885" s="898"/>
      <c r="U885" s="898"/>
      <c r="V885" s="898"/>
      <c r="W885" s="898"/>
      <c r="X885" s="898"/>
      <c r="Y885" s="898"/>
      <c r="Z885" s="898"/>
      <c r="AA885" s="898"/>
      <c r="AB885" s="898"/>
      <c r="AC885" s="898"/>
      <c r="AD885" s="898"/>
      <c r="AE885" s="898"/>
      <c r="AF885" s="898"/>
      <c r="AG885" s="898"/>
      <c r="AH885" s="898"/>
      <c r="AI885" s="898"/>
      <c r="AJ885" s="898"/>
      <c r="AK885" s="898"/>
      <c r="AL885" s="898"/>
      <c r="AM885" s="897"/>
      <c r="AN885" s="897"/>
      <c r="AO885" s="897"/>
      <c r="AP885" s="897"/>
      <c r="AQ885" s="897"/>
      <c r="AR885" s="897"/>
      <c r="AS885" s="897"/>
      <c r="AT885" s="897"/>
    </row>
    <row r="886" spans="1:46" s="930" customFormat="1">
      <c r="A886" s="892"/>
      <c r="B886" s="899"/>
      <c r="C886" s="900"/>
      <c r="D886" s="894"/>
      <c r="E886" s="936"/>
      <c r="F886" s="905"/>
      <c r="G886" s="896"/>
      <c r="H886" s="897"/>
      <c r="I886" s="897"/>
      <c r="J886" s="897"/>
      <c r="K886" s="897"/>
      <c r="L886" s="898"/>
      <c r="M886" s="898"/>
      <c r="N886" s="898"/>
      <c r="O886" s="898"/>
      <c r="P886" s="898"/>
      <c r="Q886" s="898"/>
      <c r="R886" s="898"/>
      <c r="S886" s="898"/>
      <c r="T886" s="898"/>
      <c r="U886" s="898"/>
      <c r="V886" s="898"/>
      <c r="W886" s="898"/>
      <c r="X886" s="898"/>
      <c r="Y886" s="898"/>
      <c r="Z886" s="898"/>
      <c r="AA886" s="898"/>
      <c r="AB886" s="898"/>
      <c r="AC886" s="898"/>
      <c r="AD886" s="898"/>
      <c r="AE886" s="898"/>
      <c r="AF886" s="898"/>
      <c r="AG886" s="898"/>
      <c r="AH886" s="898"/>
      <c r="AI886" s="898"/>
      <c r="AJ886" s="898"/>
      <c r="AK886" s="898"/>
      <c r="AL886" s="898"/>
      <c r="AM886" s="897"/>
      <c r="AN886" s="897"/>
      <c r="AO886" s="897"/>
      <c r="AP886" s="897"/>
      <c r="AQ886" s="897"/>
      <c r="AR886" s="897"/>
      <c r="AS886" s="897"/>
      <c r="AT886" s="897"/>
    </row>
    <row r="887" spans="1:46" s="930" customFormat="1">
      <c r="A887" s="892"/>
      <c r="B887" s="899"/>
      <c r="C887" s="900"/>
      <c r="D887" s="894"/>
      <c r="E887" s="936"/>
      <c r="F887" s="905"/>
      <c r="G887" s="896"/>
      <c r="H887" s="897"/>
      <c r="I887" s="897"/>
      <c r="J887" s="897"/>
      <c r="K887" s="897"/>
      <c r="L887" s="898"/>
      <c r="M887" s="898"/>
      <c r="N887" s="898"/>
      <c r="O887" s="898"/>
      <c r="P887" s="898"/>
      <c r="Q887" s="898"/>
      <c r="R887" s="898"/>
      <c r="S887" s="898"/>
      <c r="T887" s="898"/>
      <c r="U887" s="898"/>
      <c r="V887" s="898"/>
      <c r="W887" s="898"/>
      <c r="X887" s="898"/>
      <c r="Y887" s="898"/>
      <c r="Z887" s="898"/>
      <c r="AA887" s="898"/>
      <c r="AB887" s="898"/>
      <c r="AC887" s="898"/>
      <c r="AD887" s="898"/>
      <c r="AE887" s="898"/>
      <c r="AF887" s="898"/>
      <c r="AG887" s="898"/>
      <c r="AH887" s="898"/>
      <c r="AI887" s="898"/>
      <c r="AJ887" s="898"/>
      <c r="AK887" s="898"/>
      <c r="AL887" s="898"/>
      <c r="AM887" s="897"/>
      <c r="AN887" s="897"/>
      <c r="AO887" s="897"/>
      <c r="AP887" s="897"/>
      <c r="AQ887" s="897"/>
      <c r="AR887" s="897"/>
      <c r="AS887" s="897"/>
      <c r="AT887" s="897"/>
    </row>
    <row r="888" spans="1:46" s="930" customFormat="1">
      <c r="A888" s="892"/>
      <c r="B888" s="899"/>
      <c r="C888" s="900"/>
      <c r="D888" s="894"/>
      <c r="E888" s="936"/>
      <c r="F888" s="905"/>
      <c r="G888" s="896"/>
      <c r="H888" s="897"/>
      <c r="I888" s="897"/>
      <c r="J888" s="897"/>
      <c r="K888" s="897"/>
      <c r="L888" s="898"/>
      <c r="M888" s="898"/>
      <c r="N888" s="898"/>
      <c r="O888" s="898"/>
      <c r="P888" s="898"/>
      <c r="Q888" s="898"/>
      <c r="R888" s="898"/>
      <c r="S888" s="898"/>
      <c r="T888" s="898"/>
      <c r="U888" s="898"/>
      <c r="V888" s="898"/>
      <c r="W888" s="898"/>
      <c r="X888" s="898"/>
      <c r="Y888" s="898"/>
      <c r="Z888" s="898"/>
      <c r="AA888" s="898"/>
      <c r="AB888" s="898"/>
      <c r="AC888" s="898"/>
      <c r="AD888" s="898"/>
      <c r="AE888" s="898"/>
      <c r="AF888" s="898"/>
      <c r="AG888" s="898"/>
      <c r="AH888" s="898"/>
      <c r="AI888" s="898"/>
      <c r="AJ888" s="898"/>
      <c r="AK888" s="898"/>
      <c r="AL888" s="898"/>
      <c r="AM888" s="897"/>
      <c r="AN888" s="897"/>
      <c r="AO888" s="897"/>
      <c r="AP888" s="897"/>
      <c r="AQ888" s="897"/>
      <c r="AR888" s="897"/>
      <c r="AS888" s="897"/>
      <c r="AT888" s="897"/>
    </row>
    <row r="889" spans="1:46" s="930" customFormat="1">
      <c r="A889" s="892"/>
      <c r="B889" s="899"/>
      <c r="C889" s="900"/>
      <c r="D889" s="894"/>
      <c r="E889" s="936"/>
      <c r="F889" s="905"/>
      <c r="G889" s="896"/>
      <c r="H889" s="897"/>
      <c r="I889" s="897"/>
      <c r="J889" s="897"/>
      <c r="K889" s="897"/>
      <c r="L889" s="898"/>
      <c r="M889" s="898"/>
      <c r="N889" s="898"/>
      <c r="O889" s="898"/>
      <c r="P889" s="898"/>
      <c r="Q889" s="898"/>
      <c r="R889" s="898"/>
      <c r="S889" s="898"/>
      <c r="T889" s="898"/>
      <c r="U889" s="898"/>
      <c r="V889" s="898"/>
      <c r="W889" s="898"/>
      <c r="X889" s="898"/>
      <c r="Y889" s="898"/>
      <c r="Z889" s="898"/>
      <c r="AA889" s="898"/>
      <c r="AB889" s="898"/>
      <c r="AC889" s="898"/>
      <c r="AD889" s="898"/>
      <c r="AE889" s="898"/>
      <c r="AF889" s="898"/>
      <c r="AG889" s="898"/>
      <c r="AH889" s="898"/>
      <c r="AI889" s="898"/>
      <c r="AJ889" s="898"/>
      <c r="AK889" s="898"/>
      <c r="AL889" s="898"/>
      <c r="AM889" s="897"/>
      <c r="AN889" s="897"/>
      <c r="AO889" s="897"/>
      <c r="AP889" s="897"/>
      <c r="AQ889" s="897"/>
      <c r="AR889" s="897"/>
      <c r="AS889" s="897"/>
      <c r="AT889" s="897"/>
    </row>
    <row r="890" spans="1:46" s="930" customFormat="1">
      <c r="A890" s="892"/>
      <c r="B890" s="899"/>
      <c r="C890" s="900"/>
      <c r="D890" s="894"/>
      <c r="E890" s="936"/>
      <c r="F890" s="905"/>
      <c r="G890" s="896"/>
      <c r="H890" s="897"/>
      <c r="I890" s="897"/>
      <c r="J890" s="897"/>
      <c r="K890" s="897"/>
      <c r="L890" s="898"/>
      <c r="M890" s="898"/>
      <c r="N890" s="898"/>
      <c r="O890" s="898"/>
      <c r="P890" s="898"/>
      <c r="Q890" s="898"/>
      <c r="R890" s="898"/>
      <c r="S890" s="898"/>
      <c r="T890" s="898"/>
      <c r="U890" s="898"/>
      <c r="V890" s="898"/>
      <c r="W890" s="898"/>
      <c r="X890" s="898"/>
      <c r="Y890" s="898"/>
      <c r="Z890" s="898"/>
      <c r="AA890" s="898"/>
      <c r="AB890" s="898"/>
      <c r="AC890" s="898"/>
      <c r="AD890" s="898"/>
      <c r="AE890" s="898"/>
      <c r="AF890" s="898"/>
      <c r="AG890" s="898"/>
      <c r="AH890" s="898"/>
      <c r="AI890" s="898"/>
      <c r="AJ890" s="898"/>
      <c r="AK890" s="898"/>
      <c r="AL890" s="898"/>
      <c r="AM890" s="897"/>
      <c r="AN890" s="897"/>
      <c r="AO890" s="897"/>
      <c r="AP890" s="897"/>
      <c r="AQ890" s="897"/>
      <c r="AR890" s="897"/>
      <c r="AS890" s="897"/>
      <c r="AT890" s="897"/>
    </row>
    <row r="891" spans="1:46" s="930" customFormat="1">
      <c r="A891" s="892"/>
      <c r="B891" s="899"/>
      <c r="C891" s="900"/>
      <c r="D891" s="894"/>
      <c r="E891" s="936"/>
      <c r="F891" s="905"/>
      <c r="G891" s="896"/>
      <c r="H891" s="897"/>
      <c r="I891" s="897"/>
      <c r="J891" s="897"/>
      <c r="K891" s="897"/>
      <c r="L891" s="898"/>
      <c r="M891" s="898"/>
      <c r="N891" s="898"/>
      <c r="O891" s="898"/>
      <c r="P891" s="898"/>
      <c r="Q891" s="898"/>
      <c r="R891" s="898"/>
      <c r="S891" s="898"/>
      <c r="T891" s="898"/>
      <c r="U891" s="898"/>
      <c r="V891" s="898"/>
      <c r="W891" s="898"/>
      <c r="X891" s="898"/>
      <c r="Y891" s="898"/>
      <c r="Z891" s="898"/>
      <c r="AA891" s="898"/>
      <c r="AB891" s="898"/>
      <c r="AC891" s="898"/>
      <c r="AD891" s="898"/>
      <c r="AE891" s="898"/>
      <c r="AF891" s="898"/>
      <c r="AG891" s="898"/>
      <c r="AH891" s="898"/>
      <c r="AI891" s="898"/>
      <c r="AJ891" s="898"/>
      <c r="AK891" s="898"/>
      <c r="AL891" s="898"/>
      <c r="AM891" s="897"/>
      <c r="AN891" s="897"/>
      <c r="AO891" s="897"/>
      <c r="AP891" s="897"/>
      <c r="AQ891" s="897"/>
      <c r="AR891" s="897"/>
      <c r="AS891" s="897"/>
      <c r="AT891" s="897"/>
    </row>
    <row r="892" spans="1:46" s="930" customFormat="1">
      <c r="A892" s="892"/>
      <c r="B892" s="899"/>
      <c r="C892" s="900"/>
      <c r="D892" s="894"/>
      <c r="E892" s="936"/>
      <c r="F892" s="905"/>
      <c r="G892" s="896"/>
      <c r="H892" s="897"/>
      <c r="I892" s="897"/>
      <c r="J892" s="897"/>
      <c r="K892" s="897"/>
      <c r="L892" s="898"/>
      <c r="M892" s="898"/>
      <c r="N892" s="898"/>
      <c r="O892" s="898"/>
      <c r="P892" s="898"/>
      <c r="Q892" s="898"/>
      <c r="R892" s="898"/>
      <c r="S892" s="898"/>
      <c r="T892" s="898"/>
      <c r="U892" s="898"/>
      <c r="V892" s="898"/>
      <c r="W892" s="898"/>
      <c r="X892" s="898"/>
      <c r="Y892" s="898"/>
      <c r="Z892" s="898"/>
      <c r="AA892" s="898"/>
      <c r="AB892" s="898"/>
      <c r="AC892" s="898"/>
      <c r="AD892" s="898"/>
      <c r="AE892" s="898"/>
      <c r="AF892" s="898"/>
      <c r="AG892" s="898"/>
      <c r="AH892" s="898"/>
      <c r="AI892" s="898"/>
      <c r="AJ892" s="898"/>
      <c r="AK892" s="898"/>
      <c r="AL892" s="898"/>
      <c r="AM892" s="897"/>
      <c r="AN892" s="897"/>
      <c r="AO892" s="897"/>
      <c r="AP892" s="897"/>
      <c r="AQ892" s="897"/>
      <c r="AR892" s="897"/>
      <c r="AS892" s="897"/>
      <c r="AT892" s="897"/>
    </row>
    <row r="893" spans="1:46" s="930" customFormat="1">
      <c r="A893" s="892"/>
      <c r="B893" s="899"/>
      <c r="C893" s="900"/>
      <c r="D893" s="894"/>
      <c r="E893" s="936"/>
      <c r="F893" s="905"/>
      <c r="G893" s="896"/>
      <c r="H893" s="897"/>
      <c r="I893" s="897"/>
      <c r="J893" s="897"/>
      <c r="K893" s="897"/>
      <c r="L893" s="898"/>
      <c r="M893" s="898"/>
      <c r="N893" s="898"/>
      <c r="O893" s="898"/>
      <c r="P893" s="898"/>
      <c r="Q893" s="898"/>
      <c r="R893" s="898"/>
      <c r="S893" s="898"/>
      <c r="T893" s="898"/>
      <c r="U893" s="898"/>
      <c r="V893" s="898"/>
      <c r="W893" s="898"/>
      <c r="X893" s="898"/>
      <c r="Y893" s="898"/>
      <c r="Z893" s="898"/>
      <c r="AA893" s="898"/>
      <c r="AB893" s="898"/>
      <c r="AC893" s="898"/>
      <c r="AD893" s="898"/>
      <c r="AE893" s="898"/>
      <c r="AF893" s="898"/>
      <c r="AG893" s="898"/>
      <c r="AH893" s="898"/>
      <c r="AI893" s="898"/>
      <c r="AJ893" s="898"/>
      <c r="AK893" s="898"/>
      <c r="AL893" s="898"/>
      <c r="AM893" s="897"/>
      <c r="AN893" s="897"/>
      <c r="AO893" s="897"/>
      <c r="AP893" s="897"/>
      <c r="AQ893" s="897"/>
      <c r="AR893" s="897"/>
      <c r="AS893" s="897"/>
      <c r="AT893" s="897"/>
    </row>
    <row r="894" spans="1:46" s="930" customFormat="1">
      <c r="A894" s="892"/>
      <c r="B894" s="899"/>
      <c r="C894" s="900"/>
      <c r="D894" s="894"/>
      <c r="E894" s="936"/>
      <c r="F894" s="905"/>
      <c r="G894" s="896"/>
      <c r="H894" s="897"/>
      <c r="I894" s="897"/>
      <c r="J894" s="897"/>
      <c r="K894" s="897"/>
      <c r="L894" s="898"/>
      <c r="M894" s="898"/>
      <c r="N894" s="898"/>
      <c r="O894" s="898"/>
      <c r="P894" s="898"/>
      <c r="Q894" s="898"/>
      <c r="R894" s="898"/>
      <c r="S894" s="898"/>
      <c r="T894" s="898"/>
      <c r="U894" s="898"/>
      <c r="V894" s="898"/>
      <c r="W894" s="898"/>
      <c r="X894" s="898"/>
      <c r="Y894" s="898"/>
      <c r="Z894" s="898"/>
      <c r="AA894" s="898"/>
      <c r="AB894" s="898"/>
      <c r="AC894" s="898"/>
      <c r="AD894" s="898"/>
      <c r="AE894" s="898"/>
      <c r="AF894" s="898"/>
      <c r="AG894" s="898"/>
      <c r="AH894" s="898"/>
      <c r="AI894" s="898"/>
      <c r="AJ894" s="898"/>
      <c r="AK894" s="898"/>
      <c r="AL894" s="898"/>
      <c r="AM894" s="897"/>
      <c r="AN894" s="897"/>
      <c r="AO894" s="897"/>
      <c r="AP894" s="897"/>
      <c r="AQ894" s="897"/>
      <c r="AR894" s="897"/>
      <c r="AS894" s="897"/>
      <c r="AT894" s="897"/>
    </row>
    <row r="895" spans="1:46" s="930" customFormat="1">
      <c r="A895" s="892"/>
      <c r="B895" s="899"/>
      <c r="C895" s="900"/>
      <c r="D895" s="894"/>
      <c r="E895" s="936"/>
      <c r="F895" s="905"/>
      <c r="G895" s="896"/>
      <c r="H895" s="897"/>
      <c r="I895" s="897"/>
      <c r="J895" s="897"/>
      <c r="K895" s="897"/>
      <c r="L895" s="898"/>
      <c r="M895" s="898"/>
      <c r="N895" s="898"/>
      <c r="O895" s="898"/>
      <c r="P895" s="898"/>
      <c r="Q895" s="898"/>
      <c r="R895" s="898"/>
      <c r="S895" s="898"/>
      <c r="T895" s="898"/>
      <c r="U895" s="898"/>
      <c r="V895" s="898"/>
      <c r="W895" s="898"/>
      <c r="X895" s="898"/>
      <c r="Y895" s="898"/>
      <c r="Z895" s="898"/>
      <c r="AA895" s="898"/>
      <c r="AB895" s="898"/>
      <c r="AC895" s="898"/>
      <c r="AD895" s="898"/>
      <c r="AE895" s="898"/>
      <c r="AF895" s="898"/>
      <c r="AG895" s="898"/>
      <c r="AH895" s="898"/>
      <c r="AI895" s="898"/>
      <c r="AJ895" s="898"/>
      <c r="AK895" s="898"/>
      <c r="AL895" s="898"/>
      <c r="AM895" s="897"/>
      <c r="AN895" s="897"/>
      <c r="AO895" s="897"/>
      <c r="AP895" s="897"/>
      <c r="AQ895" s="897"/>
      <c r="AR895" s="897"/>
      <c r="AS895" s="897"/>
      <c r="AT895" s="897"/>
    </row>
    <row r="896" spans="1:46" s="930" customFormat="1">
      <c r="A896" s="892"/>
      <c r="B896" s="899"/>
      <c r="C896" s="900"/>
      <c r="D896" s="894"/>
      <c r="E896" s="936"/>
      <c r="F896" s="905"/>
      <c r="G896" s="896"/>
      <c r="H896" s="897"/>
      <c r="I896" s="897"/>
      <c r="J896" s="897"/>
      <c r="K896" s="897"/>
      <c r="L896" s="898"/>
      <c r="M896" s="898"/>
      <c r="N896" s="898"/>
      <c r="O896" s="898"/>
      <c r="P896" s="898"/>
      <c r="Q896" s="898"/>
      <c r="R896" s="898"/>
      <c r="S896" s="898"/>
      <c r="T896" s="898"/>
      <c r="U896" s="898"/>
      <c r="V896" s="898"/>
      <c r="W896" s="898"/>
      <c r="X896" s="898"/>
      <c r="Y896" s="898"/>
      <c r="Z896" s="898"/>
      <c r="AA896" s="898"/>
      <c r="AB896" s="898"/>
      <c r="AC896" s="898"/>
      <c r="AD896" s="898"/>
      <c r="AE896" s="898"/>
      <c r="AF896" s="898"/>
      <c r="AG896" s="898"/>
      <c r="AH896" s="898"/>
      <c r="AI896" s="898"/>
      <c r="AJ896" s="898"/>
      <c r="AK896" s="898"/>
      <c r="AL896" s="898"/>
      <c r="AM896" s="897"/>
      <c r="AN896" s="897"/>
      <c r="AO896" s="897"/>
      <c r="AP896" s="897"/>
      <c r="AQ896" s="897"/>
      <c r="AR896" s="897"/>
      <c r="AS896" s="897"/>
      <c r="AT896" s="897"/>
    </row>
    <row r="897" spans="1:46" s="930" customFormat="1">
      <c r="A897" s="892"/>
      <c r="B897" s="899"/>
      <c r="C897" s="900"/>
      <c r="D897" s="894"/>
      <c r="E897" s="936"/>
      <c r="F897" s="905"/>
      <c r="G897" s="896"/>
      <c r="H897" s="897"/>
      <c r="I897" s="897"/>
      <c r="J897" s="897"/>
      <c r="K897" s="897"/>
      <c r="L897" s="898"/>
      <c r="M897" s="898"/>
      <c r="N897" s="898"/>
      <c r="O897" s="898"/>
      <c r="P897" s="898"/>
      <c r="Q897" s="898"/>
      <c r="R897" s="898"/>
      <c r="S897" s="898"/>
      <c r="T897" s="898"/>
      <c r="U897" s="898"/>
      <c r="V897" s="898"/>
      <c r="W897" s="898"/>
      <c r="X897" s="898"/>
      <c r="Y897" s="898"/>
      <c r="Z897" s="898"/>
      <c r="AA897" s="898"/>
      <c r="AB897" s="898"/>
      <c r="AC897" s="898"/>
      <c r="AD897" s="898"/>
      <c r="AE897" s="898"/>
      <c r="AF897" s="898"/>
      <c r="AG897" s="898"/>
      <c r="AH897" s="898"/>
      <c r="AI897" s="898"/>
      <c r="AJ897" s="898"/>
      <c r="AK897" s="898"/>
      <c r="AL897" s="898"/>
      <c r="AM897" s="897"/>
      <c r="AN897" s="897"/>
      <c r="AO897" s="897"/>
      <c r="AP897" s="897"/>
      <c r="AQ897" s="897"/>
      <c r="AR897" s="897"/>
      <c r="AS897" s="897"/>
      <c r="AT897" s="897"/>
    </row>
    <row r="898" spans="1:46" s="930" customFormat="1">
      <c r="A898" s="892"/>
      <c r="B898" s="899"/>
      <c r="C898" s="900"/>
      <c r="D898" s="894"/>
      <c r="E898" s="936"/>
      <c r="F898" s="905"/>
      <c r="G898" s="896"/>
      <c r="H898" s="897"/>
      <c r="I898" s="897"/>
      <c r="J898" s="897"/>
      <c r="K898" s="897"/>
      <c r="L898" s="898"/>
      <c r="M898" s="898"/>
      <c r="N898" s="898"/>
      <c r="O898" s="898"/>
      <c r="P898" s="898"/>
      <c r="Q898" s="898"/>
      <c r="R898" s="898"/>
      <c r="S898" s="898"/>
      <c r="T898" s="898"/>
      <c r="U898" s="898"/>
      <c r="V898" s="898"/>
      <c r="W898" s="898"/>
      <c r="X898" s="898"/>
      <c r="Y898" s="898"/>
      <c r="Z898" s="898"/>
      <c r="AA898" s="898"/>
      <c r="AB898" s="898"/>
      <c r="AC898" s="898"/>
      <c r="AD898" s="898"/>
      <c r="AE898" s="898"/>
      <c r="AF898" s="898"/>
      <c r="AG898" s="898"/>
      <c r="AH898" s="898"/>
      <c r="AI898" s="898"/>
      <c r="AJ898" s="898"/>
      <c r="AK898" s="898"/>
      <c r="AL898" s="898"/>
      <c r="AM898" s="897"/>
      <c r="AN898" s="897"/>
      <c r="AO898" s="897"/>
      <c r="AP898" s="897"/>
      <c r="AQ898" s="897"/>
      <c r="AR898" s="897"/>
      <c r="AS898" s="897"/>
      <c r="AT898" s="897"/>
    </row>
    <row r="899" spans="1:46" s="930" customFormat="1">
      <c r="A899" s="892"/>
      <c r="B899" s="899"/>
      <c r="C899" s="900"/>
      <c r="D899" s="894"/>
      <c r="E899" s="936"/>
      <c r="F899" s="905"/>
      <c r="G899" s="896"/>
      <c r="H899" s="897"/>
      <c r="I899" s="897"/>
      <c r="J899" s="897"/>
      <c r="K899" s="897"/>
      <c r="L899" s="898"/>
      <c r="M899" s="898"/>
      <c r="N899" s="898"/>
      <c r="O899" s="898"/>
      <c r="P899" s="898"/>
      <c r="Q899" s="898"/>
      <c r="R899" s="898"/>
      <c r="S899" s="898"/>
      <c r="T899" s="898"/>
      <c r="U899" s="898"/>
      <c r="V899" s="898"/>
      <c r="W899" s="898"/>
      <c r="X899" s="898"/>
      <c r="Y899" s="898"/>
      <c r="Z899" s="898"/>
      <c r="AA899" s="898"/>
      <c r="AB899" s="898"/>
      <c r="AC899" s="898"/>
      <c r="AD899" s="898"/>
      <c r="AE899" s="898"/>
      <c r="AF899" s="898"/>
      <c r="AG899" s="898"/>
      <c r="AH899" s="898"/>
      <c r="AI899" s="898"/>
      <c r="AJ899" s="898"/>
      <c r="AK899" s="898"/>
      <c r="AL899" s="898"/>
      <c r="AM899" s="897"/>
      <c r="AN899" s="897"/>
      <c r="AO899" s="897"/>
      <c r="AP899" s="897"/>
      <c r="AQ899" s="897"/>
      <c r="AR899" s="897"/>
      <c r="AS899" s="897"/>
      <c r="AT899" s="897"/>
    </row>
    <row r="900" spans="1:46" s="930" customFormat="1">
      <c r="A900" s="892"/>
      <c r="B900" s="899"/>
      <c r="C900" s="900"/>
      <c r="D900" s="894"/>
      <c r="E900" s="936"/>
      <c r="F900" s="905"/>
      <c r="G900" s="896"/>
      <c r="H900" s="897"/>
      <c r="I900" s="897"/>
      <c r="J900" s="897"/>
      <c r="K900" s="897"/>
      <c r="L900" s="898"/>
      <c r="M900" s="898"/>
      <c r="N900" s="898"/>
      <c r="O900" s="898"/>
      <c r="P900" s="898"/>
      <c r="Q900" s="898"/>
      <c r="R900" s="898"/>
      <c r="S900" s="898"/>
      <c r="T900" s="898"/>
      <c r="U900" s="898"/>
      <c r="V900" s="898"/>
      <c r="W900" s="898"/>
      <c r="X900" s="898"/>
      <c r="Y900" s="898"/>
      <c r="Z900" s="898"/>
      <c r="AA900" s="898"/>
      <c r="AB900" s="898"/>
      <c r="AC900" s="898"/>
      <c r="AD900" s="898"/>
      <c r="AE900" s="898"/>
      <c r="AF900" s="898"/>
      <c r="AG900" s="898"/>
      <c r="AH900" s="898"/>
      <c r="AI900" s="898"/>
      <c r="AJ900" s="898"/>
      <c r="AK900" s="898"/>
      <c r="AL900" s="898"/>
      <c r="AM900" s="897"/>
      <c r="AN900" s="897"/>
      <c r="AO900" s="897"/>
      <c r="AP900" s="897"/>
      <c r="AQ900" s="897"/>
      <c r="AR900" s="897"/>
      <c r="AS900" s="897"/>
      <c r="AT900" s="897"/>
    </row>
    <row r="901" spans="1:46" s="930" customFormat="1">
      <c r="A901" s="892"/>
      <c r="B901" s="899"/>
      <c r="C901" s="900"/>
      <c r="D901" s="894"/>
      <c r="E901" s="936"/>
      <c r="F901" s="905"/>
      <c r="G901" s="896"/>
      <c r="H901" s="897"/>
      <c r="I901" s="897"/>
      <c r="J901" s="897"/>
      <c r="K901" s="897"/>
      <c r="L901" s="898"/>
      <c r="M901" s="898"/>
      <c r="N901" s="898"/>
      <c r="O901" s="898"/>
      <c r="P901" s="898"/>
      <c r="Q901" s="898"/>
      <c r="R901" s="898"/>
      <c r="S901" s="898"/>
      <c r="T901" s="898"/>
      <c r="U901" s="898"/>
      <c r="V901" s="898"/>
      <c r="W901" s="898"/>
      <c r="X901" s="898"/>
      <c r="Y901" s="898"/>
      <c r="Z901" s="898"/>
      <c r="AA901" s="898"/>
      <c r="AB901" s="898"/>
      <c r="AC901" s="898"/>
      <c r="AD901" s="898"/>
      <c r="AE901" s="898"/>
      <c r="AF901" s="898"/>
      <c r="AG901" s="898"/>
      <c r="AH901" s="898"/>
      <c r="AI901" s="898"/>
      <c r="AJ901" s="898"/>
      <c r="AK901" s="898"/>
      <c r="AL901" s="898"/>
      <c r="AM901" s="897"/>
      <c r="AN901" s="897"/>
      <c r="AO901" s="897"/>
      <c r="AP901" s="897"/>
      <c r="AQ901" s="897"/>
      <c r="AR901" s="897"/>
      <c r="AS901" s="897"/>
      <c r="AT901" s="897"/>
    </row>
    <row r="902" spans="1:46" s="930" customFormat="1">
      <c r="A902" s="892"/>
      <c r="B902" s="899"/>
      <c r="C902" s="900"/>
      <c r="D902" s="894"/>
      <c r="E902" s="936"/>
      <c r="F902" s="905"/>
      <c r="G902" s="896"/>
      <c r="H902" s="897"/>
      <c r="I902" s="897"/>
      <c r="J902" s="897"/>
      <c r="K902" s="897"/>
      <c r="L902" s="898"/>
      <c r="M902" s="898"/>
      <c r="N902" s="898"/>
      <c r="O902" s="898"/>
      <c r="P902" s="898"/>
      <c r="Q902" s="898"/>
      <c r="R902" s="898"/>
      <c r="S902" s="898"/>
      <c r="T902" s="898"/>
      <c r="U902" s="898"/>
      <c r="V902" s="898"/>
      <c r="W902" s="898"/>
      <c r="X902" s="898"/>
      <c r="Y902" s="898"/>
      <c r="Z902" s="898"/>
      <c r="AA902" s="898"/>
      <c r="AB902" s="898"/>
      <c r="AC902" s="898"/>
      <c r="AD902" s="898"/>
      <c r="AE902" s="898"/>
      <c r="AF902" s="898"/>
      <c r="AG902" s="898"/>
      <c r="AH902" s="898"/>
      <c r="AI902" s="898"/>
      <c r="AJ902" s="898"/>
      <c r="AK902" s="898"/>
      <c r="AL902" s="898"/>
      <c r="AM902" s="897"/>
      <c r="AN902" s="897"/>
      <c r="AO902" s="897"/>
      <c r="AP902" s="897"/>
      <c r="AQ902" s="897"/>
      <c r="AR902" s="897"/>
      <c r="AS902" s="897"/>
      <c r="AT902" s="897"/>
    </row>
    <row r="903" spans="1:46" s="930" customFormat="1">
      <c r="A903" s="892"/>
      <c r="B903" s="899"/>
      <c r="C903" s="900"/>
      <c r="D903" s="894"/>
      <c r="E903" s="936"/>
      <c r="F903" s="905"/>
      <c r="G903" s="896"/>
      <c r="H903" s="897"/>
      <c r="I903" s="897"/>
      <c r="J903" s="897"/>
      <c r="K903" s="897"/>
      <c r="L903" s="898"/>
      <c r="M903" s="898"/>
      <c r="N903" s="898"/>
      <c r="O903" s="898"/>
      <c r="P903" s="898"/>
      <c r="Q903" s="898"/>
      <c r="R903" s="898"/>
      <c r="S903" s="898"/>
      <c r="T903" s="898"/>
      <c r="U903" s="898"/>
      <c r="V903" s="898"/>
      <c r="W903" s="898"/>
      <c r="X903" s="898"/>
      <c r="Y903" s="898"/>
      <c r="Z903" s="898"/>
      <c r="AA903" s="898"/>
      <c r="AB903" s="898"/>
      <c r="AC903" s="898"/>
      <c r="AD903" s="898"/>
      <c r="AE903" s="898"/>
      <c r="AF903" s="898"/>
      <c r="AG903" s="898"/>
      <c r="AH903" s="898"/>
      <c r="AI903" s="898"/>
      <c r="AJ903" s="898"/>
      <c r="AK903" s="898"/>
      <c r="AL903" s="898"/>
      <c r="AM903" s="897"/>
      <c r="AN903" s="897"/>
      <c r="AO903" s="897"/>
      <c r="AP903" s="897"/>
      <c r="AQ903" s="897"/>
      <c r="AR903" s="897"/>
      <c r="AS903" s="897"/>
      <c r="AT903" s="897"/>
    </row>
    <row r="904" spans="1:46" s="930" customFormat="1">
      <c r="A904" s="892"/>
      <c r="B904" s="899"/>
      <c r="C904" s="900"/>
      <c r="D904" s="894"/>
      <c r="E904" s="936"/>
      <c r="F904" s="905"/>
      <c r="G904" s="896"/>
      <c r="H904" s="897"/>
      <c r="I904" s="897"/>
      <c r="J904" s="897"/>
      <c r="K904" s="897"/>
      <c r="L904" s="898"/>
      <c r="M904" s="898"/>
      <c r="N904" s="898"/>
      <c r="O904" s="898"/>
      <c r="P904" s="898"/>
      <c r="Q904" s="898"/>
      <c r="R904" s="898"/>
      <c r="S904" s="898"/>
      <c r="T904" s="898"/>
      <c r="U904" s="898"/>
      <c r="V904" s="898"/>
      <c r="W904" s="898"/>
      <c r="X904" s="898"/>
      <c r="Y904" s="898"/>
      <c r="Z904" s="898"/>
      <c r="AA904" s="898"/>
      <c r="AB904" s="898"/>
      <c r="AC904" s="898"/>
      <c r="AD904" s="898"/>
      <c r="AE904" s="898"/>
      <c r="AF904" s="898"/>
      <c r="AG904" s="898"/>
      <c r="AH904" s="898"/>
      <c r="AI904" s="898"/>
      <c r="AJ904" s="898"/>
      <c r="AK904" s="898"/>
      <c r="AL904" s="898"/>
      <c r="AM904" s="897"/>
      <c r="AN904" s="897"/>
      <c r="AO904" s="897"/>
      <c r="AP904" s="897"/>
      <c r="AQ904" s="897"/>
      <c r="AR904" s="897"/>
      <c r="AS904" s="897"/>
      <c r="AT904" s="897"/>
    </row>
    <row r="905" spans="1:46" s="930" customFormat="1">
      <c r="A905" s="892"/>
      <c r="B905" s="899"/>
      <c r="C905" s="900"/>
      <c r="D905" s="894"/>
      <c r="E905" s="936"/>
      <c r="F905" s="905"/>
      <c r="G905" s="896"/>
      <c r="H905" s="897"/>
      <c r="I905" s="897"/>
      <c r="J905" s="897"/>
      <c r="K905" s="897"/>
      <c r="L905" s="898"/>
      <c r="M905" s="898"/>
      <c r="N905" s="898"/>
      <c r="O905" s="898"/>
      <c r="P905" s="898"/>
      <c r="Q905" s="898"/>
      <c r="R905" s="898"/>
      <c r="S905" s="898"/>
      <c r="T905" s="898"/>
      <c r="U905" s="898"/>
      <c r="V905" s="898"/>
      <c r="W905" s="898"/>
      <c r="X905" s="898"/>
      <c r="Y905" s="898"/>
      <c r="Z905" s="898"/>
      <c r="AA905" s="898"/>
      <c r="AB905" s="898"/>
      <c r="AC905" s="898"/>
      <c r="AD905" s="898"/>
      <c r="AE905" s="898"/>
      <c r="AF905" s="898"/>
      <c r="AG905" s="898"/>
      <c r="AH905" s="898"/>
      <c r="AI905" s="898"/>
      <c r="AJ905" s="898"/>
      <c r="AK905" s="898"/>
      <c r="AL905" s="898"/>
      <c r="AM905" s="897"/>
      <c r="AN905" s="897"/>
      <c r="AO905" s="897"/>
      <c r="AP905" s="897"/>
      <c r="AQ905" s="897"/>
      <c r="AR905" s="897"/>
      <c r="AS905" s="897"/>
      <c r="AT905" s="897"/>
    </row>
    <row r="906" spans="1:46" s="930" customFormat="1">
      <c r="A906" s="892"/>
      <c r="B906" s="899"/>
      <c r="C906" s="900"/>
      <c r="D906" s="894"/>
      <c r="E906" s="936"/>
      <c r="F906" s="905"/>
      <c r="G906" s="896"/>
      <c r="H906" s="897"/>
      <c r="I906" s="897"/>
      <c r="J906" s="897"/>
      <c r="K906" s="897"/>
      <c r="L906" s="898"/>
      <c r="M906" s="898"/>
      <c r="N906" s="898"/>
      <c r="O906" s="898"/>
      <c r="P906" s="898"/>
      <c r="Q906" s="898"/>
      <c r="R906" s="898"/>
      <c r="S906" s="898"/>
      <c r="T906" s="898"/>
      <c r="U906" s="898"/>
      <c r="V906" s="898"/>
      <c r="W906" s="898"/>
      <c r="X906" s="898"/>
      <c r="Y906" s="898"/>
      <c r="Z906" s="898"/>
      <c r="AA906" s="898"/>
      <c r="AB906" s="898"/>
      <c r="AC906" s="898"/>
      <c r="AD906" s="898"/>
      <c r="AE906" s="898"/>
      <c r="AF906" s="898"/>
      <c r="AG906" s="898"/>
      <c r="AH906" s="898"/>
      <c r="AI906" s="898"/>
      <c r="AJ906" s="898"/>
      <c r="AK906" s="898"/>
      <c r="AL906" s="898"/>
      <c r="AM906" s="897"/>
      <c r="AN906" s="897"/>
      <c r="AO906" s="897"/>
      <c r="AP906" s="897"/>
      <c r="AQ906" s="897"/>
      <c r="AR906" s="897"/>
      <c r="AS906" s="897"/>
      <c r="AT906" s="897"/>
    </row>
    <row r="907" spans="1:46" s="930" customFormat="1">
      <c r="A907" s="892"/>
      <c r="B907" s="899"/>
      <c r="C907" s="900"/>
      <c r="D907" s="894"/>
      <c r="E907" s="936"/>
      <c r="F907" s="905"/>
      <c r="G907" s="896"/>
      <c r="H907" s="897"/>
      <c r="I907" s="897"/>
      <c r="J907" s="897"/>
      <c r="K907" s="897"/>
      <c r="L907" s="898"/>
      <c r="M907" s="898"/>
      <c r="N907" s="898"/>
      <c r="O907" s="898"/>
      <c r="P907" s="898"/>
      <c r="Q907" s="898"/>
      <c r="R907" s="898"/>
      <c r="S907" s="898"/>
      <c r="T907" s="898"/>
      <c r="U907" s="898"/>
      <c r="V907" s="898"/>
      <c r="W907" s="898"/>
      <c r="X907" s="898"/>
      <c r="Y907" s="898"/>
      <c r="Z907" s="898"/>
      <c r="AA907" s="898"/>
      <c r="AB907" s="898"/>
      <c r="AC907" s="898"/>
      <c r="AD907" s="898"/>
      <c r="AE907" s="898"/>
      <c r="AF907" s="898"/>
      <c r="AG907" s="898"/>
      <c r="AH907" s="898"/>
      <c r="AI907" s="898"/>
      <c r="AJ907" s="898"/>
      <c r="AK907" s="898"/>
      <c r="AL907" s="898"/>
      <c r="AM907" s="897"/>
      <c r="AN907" s="897"/>
      <c r="AO907" s="897"/>
      <c r="AP907" s="897"/>
      <c r="AQ907" s="897"/>
      <c r="AR907" s="897"/>
      <c r="AS907" s="897"/>
      <c r="AT907" s="897"/>
    </row>
    <row r="908" spans="1:46" s="930" customFormat="1">
      <c r="A908" s="892"/>
      <c r="B908" s="899"/>
      <c r="C908" s="900"/>
      <c r="D908" s="894"/>
      <c r="E908" s="936"/>
      <c r="F908" s="905"/>
      <c r="G908" s="896"/>
      <c r="H908" s="897"/>
      <c r="I908" s="897"/>
      <c r="J908" s="897"/>
      <c r="K908" s="897"/>
      <c r="L908" s="898"/>
      <c r="M908" s="898"/>
      <c r="N908" s="898"/>
      <c r="O908" s="898"/>
      <c r="P908" s="898"/>
      <c r="Q908" s="898"/>
      <c r="R908" s="898"/>
      <c r="S908" s="898"/>
      <c r="T908" s="898"/>
      <c r="U908" s="898"/>
      <c r="V908" s="898"/>
      <c r="W908" s="898"/>
      <c r="X908" s="898"/>
      <c r="Y908" s="898"/>
      <c r="Z908" s="898"/>
      <c r="AA908" s="898"/>
      <c r="AB908" s="898"/>
      <c r="AC908" s="898"/>
      <c r="AD908" s="898"/>
      <c r="AE908" s="898"/>
      <c r="AF908" s="898"/>
      <c r="AG908" s="898"/>
      <c r="AH908" s="898"/>
      <c r="AI908" s="898"/>
      <c r="AJ908" s="898"/>
      <c r="AK908" s="898"/>
      <c r="AL908" s="898"/>
      <c r="AM908" s="897"/>
      <c r="AN908" s="897"/>
      <c r="AO908" s="897"/>
      <c r="AP908" s="897"/>
      <c r="AQ908" s="897"/>
      <c r="AR908" s="897"/>
      <c r="AS908" s="897"/>
      <c r="AT908" s="897"/>
    </row>
    <row r="909" spans="1:46" s="930" customFormat="1">
      <c r="A909" s="892"/>
      <c r="B909" s="899"/>
      <c r="C909" s="900"/>
      <c r="D909" s="894"/>
      <c r="E909" s="936"/>
      <c r="F909" s="905"/>
      <c r="G909" s="896"/>
      <c r="H909" s="897"/>
      <c r="I909" s="897"/>
      <c r="J909" s="897"/>
      <c r="K909" s="897"/>
      <c r="L909" s="898"/>
      <c r="M909" s="898"/>
      <c r="N909" s="898"/>
      <c r="O909" s="898"/>
      <c r="P909" s="898"/>
      <c r="Q909" s="898"/>
      <c r="R909" s="898"/>
      <c r="S909" s="898"/>
      <c r="T909" s="898"/>
      <c r="U909" s="898"/>
      <c r="V909" s="898"/>
      <c r="W909" s="898"/>
      <c r="X909" s="898"/>
      <c r="Y909" s="898"/>
      <c r="Z909" s="898"/>
      <c r="AA909" s="898"/>
      <c r="AB909" s="898"/>
      <c r="AC909" s="898"/>
      <c r="AD909" s="898"/>
      <c r="AE909" s="898"/>
      <c r="AF909" s="898"/>
      <c r="AG909" s="898"/>
      <c r="AH909" s="898"/>
      <c r="AI909" s="898"/>
      <c r="AJ909" s="898"/>
      <c r="AK909" s="898"/>
      <c r="AL909" s="898"/>
      <c r="AM909" s="897"/>
      <c r="AN909" s="897"/>
      <c r="AO909" s="897"/>
      <c r="AP909" s="897"/>
      <c r="AQ909" s="897"/>
      <c r="AR909" s="897"/>
      <c r="AS909" s="897"/>
      <c r="AT909" s="897"/>
    </row>
    <row r="910" spans="1:46" s="930" customFormat="1">
      <c r="A910" s="892"/>
      <c r="B910" s="899"/>
      <c r="C910" s="900"/>
      <c r="D910" s="894"/>
      <c r="E910" s="936"/>
      <c r="F910" s="905"/>
      <c r="G910" s="896"/>
      <c r="H910" s="897"/>
      <c r="I910" s="897"/>
      <c r="J910" s="897"/>
      <c r="K910" s="897"/>
      <c r="L910" s="898"/>
      <c r="M910" s="898"/>
      <c r="N910" s="898"/>
      <c r="O910" s="898"/>
      <c r="P910" s="898"/>
      <c r="Q910" s="898"/>
      <c r="R910" s="898"/>
      <c r="S910" s="898"/>
      <c r="T910" s="898"/>
      <c r="U910" s="898"/>
      <c r="V910" s="898"/>
      <c r="W910" s="898"/>
      <c r="X910" s="898"/>
      <c r="Y910" s="898"/>
      <c r="Z910" s="898"/>
      <c r="AA910" s="898"/>
      <c r="AB910" s="898"/>
      <c r="AC910" s="898"/>
      <c r="AD910" s="898"/>
      <c r="AE910" s="898"/>
      <c r="AF910" s="898"/>
      <c r="AG910" s="898"/>
      <c r="AH910" s="898"/>
      <c r="AI910" s="898"/>
      <c r="AJ910" s="898"/>
      <c r="AK910" s="898"/>
      <c r="AL910" s="898"/>
      <c r="AM910" s="897"/>
      <c r="AN910" s="897"/>
      <c r="AO910" s="897"/>
      <c r="AP910" s="897"/>
      <c r="AQ910" s="897"/>
      <c r="AR910" s="897"/>
      <c r="AS910" s="897"/>
      <c r="AT910" s="897"/>
    </row>
    <row r="911" spans="1:46" s="930" customFormat="1">
      <c r="A911" s="892"/>
      <c r="B911" s="899"/>
      <c r="C911" s="900"/>
      <c r="D911" s="894"/>
      <c r="E911" s="936"/>
      <c r="F911" s="905"/>
      <c r="G911" s="896"/>
      <c r="H911" s="897"/>
      <c r="I911" s="897"/>
      <c r="J911" s="897"/>
      <c r="K911" s="897"/>
      <c r="L911" s="898"/>
      <c r="M911" s="898"/>
      <c r="N911" s="898"/>
      <c r="O911" s="898"/>
      <c r="P911" s="898"/>
      <c r="Q911" s="898"/>
      <c r="R911" s="898"/>
      <c r="S911" s="898"/>
      <c r="T911" s="898"/>
      <c r="U911" s="898"/>
      <c r="V911" s="898"/>
      <c r="W911" s="898"/>
      <c r="X911" s="898"/>
      <c r="Y911" s="898"/>
      <c r="Z911" s="898"/>
      <c r="AA911" s="898"/>
      <c r="AB911" s="898"/>
      <c r="AC911" s="898"/>
      <c r="AD911" s="898"/>
      <c r="AE911" s="898"/>
      <c r="AF911" s="898"/>
      <c r="AG911" s="898"/>
      <c r="AH911" s="898"/>
      <c r="AI911" s="898"/>
      <c r="AJ911" s="898"/>
      <c r="AK911" s="898"/>
      <c r="AL911" s="898"/>
      <c r="AM911" s="897"/>
      <c r="AN911" s="897"/>
      <c r="AO911" s="897"/>
      <c r="AP911" s="897"/>
      <c r="AQ911" s="897"/>
      <c r="AR911" s="897"/>
      <c r="AS911" s="897"/>
      <c r="AT911" s="897"/>
    </row>
    <row r="912" spans="1:46" s="930" customFormat="1">
      <c r="A912" s="892"/>
      <c r="B912" s="899"/>
      <c r="C912" s="900"/>
      <c r="D912" s="894"/>
      <c r="E912" s="936"/>
      <c r="F912" s="905"/>
      <c r="G912" s="896"/>
      <c r="H912" s="897"/>
      <c r="I912" s="897"/>
      <c r="J912" s="897"/>
      <c r="K912" s="897"/>
      <c r="L912" s="898"/>
      <c r="M912" s="898"/>
      <c r="N912" s="898"/>
      <c r="O912" s="898"/>
      <c r="P912" s="898"/>
      <c r="Q912" s="898"/>
      <c r="R912" s="898"/>
      <c r="S912" s="898"/>
      <c r="T912" s="898"/>
      <c r="U912" s="898"/>
      <c r="V912" s="898"/>
      <c r="W912" s="898"/>
      <c r="X912" s="898"/>
      <c r="Y912" s="898"/>
      <c r="Z912" s="898"/>
      <c r="AA912" s="898"/>
      <c r="AB912" s="898"/>
      <c r="AC912" s="898"/>
      <c r="AD912" s="898"/>
      <c r="AE912" s="898"/>
      <c r="AF912" s="898"/>
      <c r="AG912" s="898"/>
      <c r="AH912" s="898"/>
      <c r="AI912" s="898"/>
      <c r="AJ912" s="898"/>
      <c r="AK912" s="898"/>
      <c r="AL912" s="898"/>
      <c r="AM912" s="897"/>
      <c r="AN912" s="897"/>
      <c r="AO912" s="897"/>
      <c r="AP912" s="897"/>
      <c r="AQ912" s="897"/>
      <c r="AR912" s="897"/>
      <c r="AS912" s="897"/>
      <c r="AT912" s="897"/>
    </row>
    <row r="913" spans="1:46" s="930" customFormat="1">
      <c r="A913" s="892"/>
      <c r="B913" s="899"/>
      <c r="C913" s="900"/>
      <c r="D913" s="894"/>
      <c r="E913" s="936"/>
      <c r="F913" s="905"/>
      <c r="G913" s="896"/>
      <c r="H913" s="897"/>
      <c r="I913" s="897"/>
      <c r="J913" s="897"/>
      <c r="K913" s="897"/>
      <c r="L913" s="898"/>
      <c r="M913" s="898"/>
      <c r="N913" s="898"/>
      <c r="O913" s="898"/>
      <c r="P913" s="898"/>
      <c r="Q913" s="898"/>
      <c r="R913" s="898"/>
      <c r="S913" s="898"/>
      <c r="T913" s="898"/>
      <c r="U913" s="898"/>
      <c r="V913" s="898"/>
      <c r="W913" s="898"/>
      <c r="X913" s="898"/>
      <c r="Y913" s="898"/>
      <c r="Z913" s="898"/>
      <c r="AA913" s="898"/>
      <c r="AB913" s="898"/>
      <c r="AC913" s="898"/>
      <c r="AD913" s="898"/>
      <c r="AE913" s="898"/>
      <c r="AF913" s="898"/>
      <c r="AG913" s="898"/>
      <c r="AH913" s="898"/>
      <c r="AI913" s="898"/>
      <c r="AJ913" s="898"/>
      <c r="AK913" s="898"/>
      <c r="AL913" s="898"/>
      <c r="AM913" s="897"/>
      <c r="AN913" s="897"/>
      <c r="AO913" s="897"/>
      <c r="AP913" s="897"/>
      <c r="AQ913" s="897"/>
      <c r="AR913" s="897"/>
      <c r="AS913" s="897"/>
      <c r="AT913" s="897"/>
    </row>
    <row r="914" spans="1:46" s="930" customFormat="1">
      <c r="A914" s="892"/>
      <c r="B914" s="899"/>
      <c r="C914" s="900"/>
      <c r="D914" s="894"/>
      <c r="E914" s="936"/>
      <c r="F914" s="905"/>
      <c r="G914" s="896"/>
      <c r="H914" s="897"/>
      <c r="I914" s="897"/>
      <c r="J914" s="897"/>
      <c r="K914" s="897"/>
      <c r="L914" s="898"/>
      <c r="M914" s="898"/>
      <c r="N914" s="898"/>
      <c r="O914" s="898"/>
      <c r="P914" s="898"/>
      <c r="Q914" s="898"/>
      <c r="R914" s="898"/>
      <c r="S914" s="898"/>
      <c r="T914" s="898"/>
      <c r="U914" s="898"/>
      <c r="V914" s="898"/>
      <c r="W914" s="898"/>
      <c r="X914" s="898"/>
      <c r="Y914" s="898"/>
      <c r="Z914" s="898"/>
      <c r="AA914" s="898"/>
      <c r="AB914" s="898"/>
      <c r="AC914" s="898"/>
      <c r="AD914" s="898"/>
      <c r="AE914" s="898"/>
      <c r="AF914" s="898"/>
      <c r="AG914" s="898"/>
      <c r="AH914" s="898"/>
      <c r="AI914" s="898"/>
      <c r="AJ914" s="898"/>
      <c r="AK914" s="898"/>
      <c r="AL914" s="898"/>
      <c r="AM914" s="897"/>
      <c r="AN914" s="897"/>
      <c r="AO914" s="897"/>
      <c r="AP914" s="897"/>
      <c r="AQ914" s="897"/>
      <c r="AR914" s="897"/>
      <c r="AS914" s="897"/>
      <c r="AT914" s="897"/>
    </row>
    <row r="915" spans="1:46" s="930" customFormat="1">
      <c r="A915" s="892"/>
      <c r="B915" s="899"/>
      <c r="C915" s="900"/>
      <c r="D915" s="894"/>
      <c r="E915" s="936"/>
      <c r="F915" s="905"/>
      <c r="G915" s="896"/>
      <c r="H915" s="897"/>
      <c r="I915" s="897"/>
      <c r="J915" s="897"/>
      <c r="K915" s="897"/>
      <c r="L915" s="898"/>
      <c r="M915" s="898"/>
      <c r="N915" s="898"/>
      <c r="O915" s="898"/>
      <c r="P915" s="898"/>
      <c r="Q915" s="898"/>
      <c r="R915" s="898"/>
      <c r="S915" s="898"/>
      <c r="T915" s="898"/>
      <c r="U915" s="898"/>
      <c r="V915" s="898"/>
      <c r="W915" s="898"/>
      <c r="X915" s="898"/>
      <c r="Y915" s="898"/>
      <c r="Z915" s="898"/>
      <c r="AA915" s="898"/>
      <c r="AB915" s="898"/>
      <c r="AC915" s="898"/>
      <c r="AD915" s="898"/>
      <c r="AE915" s="898"/>
      <c r="AF915" s="898"/>
      <c r="AG915" s="898"/>
      <c r="AH915" s="898"/>
      <c r="AI915" s="898"/>
      <c r="AJ915" s="898"/>
      <c r="AK915" s="898"/>
      <c r="AL915" s="898"/>
      <c r="AM915" s="897"/>
      <c r="AN915" s="897"/>
      <c r="AO915" s="897"/>
      <c r="AP915" s="897"/>
      <c r="AQ915" s="897"/>
      <c r="AR915" s="897"/>
      <c r="AS915" s="897"/>
      <c r="AT915" s="897"/>
    </row>
    <row r="916" spans="1:46" s="930" customFormat="1">
      <c r="A916" s="892"/>
      <c r="B916" s="899"/>
      <c r="C916" s="900"/>
      <c r="D916" s="894"/>
      <c r="E916" s="936"/>
      <c r="F916" s="905"/>
      <c r="G916" s="896"/>
      <c r="H916" s="897"/>
      <c r="I916" s="897"/>
      <c r="J916" s="897"/>
      <c r="K916" s="897"/>
      <c r="L916" s="898"/>
      <c r="M916" s="898"/>
      <c r="N916" s="898"/>
      <c r="O916" s="898"/>
      <c r="P916" s="898"/>
      <c r="Q916" s="898"/>
      <c r="R916" s="898"/>
      <c r="S916" s="898"/>
      <c r="T916" s="898"/>
      <c r="U916" s="898"/>
      <c r="V916" s="898"/>
      <c r="W916" s="898"/>
      <c r="X916" s="898"/>
      <c r="Y916" s="898"/>
      <c r="Z916" s="898"/>
      <c r="AA916" s="898"/>
      <c r="AB916" s="898"/>
      <c r="AC916" s="898"/>
      <c r="AD916" s="898"/>
      <c r="AE916" s="898"/>
      <c r="AF916" s="898"/>
      <c r="AG916" s="898"/>
      <c r="AH916" s="898"/>
      <c r="AI916" s="898"/>
      <c r="AJ916" s="898"/>
      <c r="AK916" s="898"/>
      <c r="AL916" s="898"/>
      <c r="AM916" s="897"/>
      <c r="AN916" s="897"/>
      <c r="AO916" s="897"/>
      <c r="AP916" s="897"/>
      <c r="AQ916" s="897"/>
      <c r="AR916" s="897"/>
      <c r="AS916" s="897"/>
      <c r="AT916" s="897"/>
    </row>
    <row r="917" spans="1:46" s="930" customFormat="1">
      <c r="A917" s="892"/>
      <c r="B917" s="899"/>
      <c r="C917" s="900"/>
      <c r="D917" s="894"/>
      <c r="E917" s="936"/>
      <c r="F917" s="905"/>
      <c r="G917" s="896"/>
      <c r="H917" s="897"/>
      <c r="I917" s="897"/>
      <c r="J917" s="897"/>
      <c r="K917" s="897"/>
      <c r="L917" s="898"/>
      <c r="M917" s="898"/>
      <c r="N917" s="898"/>
      <c r="O917" s="898"/>
      <c r="P917" s="898"/>
      <c r="Q917" s="898"/>
      <c r="R917" s="898"/>
      <c r="S917" s="898"/>
      <c r="T917" s="898"/>
      <c r="U917" s="898"/>
      <c r="V917" s="898"/>
      <c r="W917" s="898"/>
      <c r="X917" s="898"/>
      <c r="Y917" s="898"/>
      <c r="Z917" s="898"/>
      <c r="AA917" s="898"/>
      <c r="AB917" s="898"/>
      <c r="AC917" s="898"/>
      <c r="AD917" s="898"/>
      <c r="AE917" s="898"/>
      <c r="AF917" s="898"/>
      <c r="AG917" s="898"/>
      <c r="AH917" s="898"/>
      <c r="AI917" s="898"/>
      <c r="AJ917" s="898"/>
      <c r="AK917" s="898"/>
      <c r="AL917" s="898"/>
      <c r="AM917" s="897"/>
      <c r="AN917" s="897"/>
      <c r="AO917" s="897"/>
      <c r="AP917" s="897"/>
      <c r="AQ917" s="897"/>
      <c r="AR917" s="897"/>
      <c r="AS917" s="897"/>
      <c r="AT917" s="897"/>
    </row>
    <row r="918" spans="1:46" s="930" customFormat="1">
      <c r="A918" s="892"/>
      <c r="B918" s="899"/>
      <c r="C918" s="900"/>
      <c r="D918" s="894"/>
      <c r="E918" s="936"/>
      <c r="F918" s="905"/>
      <c r="G918" s="896"/>
      <c r="H918" s="897"/>
      <c r="I918" s="897"/>
      <c r="J918" s="897"/>
      <c r="K918" s="897"/>
      <c r="L918" s="898"/>
      <c r="M918" s="898"/>
      <c r="N918" s="898"/>
      <c r="O918" s="898"/>
      <c r="P918" s="898"/>
      <c r="Q918" s="898"/>
      <c r="R918" s="898"/>
      <c r="S918" s="898"/>
      <c r="T918" s="898"/>
      <c r="U918" s="898"/>
      <c r="V918" s="898"/>
      <c r="W918" s="898"/>
      <c r="X918" s="898"/>
      <c r="Y918" s="898"/>
      <c r="Z918" s="898"/>
      <c r="AA918" s="898"/>
      <c r="AB918" s="898"/>
      <c r="AC918" s="898"/>
      <c r="AD918" s="898"/>
      <c r="AE918" s="898"/>
      <c r="AF918" s="898"/>
      <c r="AG918" s="898"/>
      <c r="AH918" s="898"/>
      <c r="AI918" s="898"/>
      <c r="AJ918" s="898"/>
      <c r="AK918" s="898"/>
      <c r="AL918" s="898"/>
      <c r="AM918" s="897"/>
      <c r="AN918" s="897"/>
      <c r="AO918" s="897"/>
      <c r="AP918" s="897"/>
      <c r="AQ918" s="897"/>
      <c r="AR918" s="897"/>
      <c r="AS918" s="897"/>
      <c r="AT918" s="897"/>
    </row>
    <row r="919" spans="1:46" s="930" customFormat="1">
      <c r="A919" s="892"/>
      <c r="B919" s="899"/>
      <c r="C919" s="900"/>
      <c r="D919" s="894"/>
      <c r="E919" s="936"/>
      <c r="F919" s="905"/>
      <c r="G919" s="896"/>
      <c r="H919" s="897"/>
      <c r="I919" s="897"/>
      <c r="J919" s="897"/>
      <c r="K919" s="897"/>
      <c r="L919" s="898"/>
      <c r="M919" s="898"/>
      <c r="N919" s="898"/>
      <c r="O919" s="898"/>
      <c r="P919" s="898"/>
      <c r="Q919" s="898"/>
      <c r="R919" s="898"/>
      <c r="S919" s="898"/>
      <c r="T919" s="898"/>
      <c r="U919" s="898"/>
      <c r="V919" s="898"/>
      <c r="W919" s="898"/>
      <c r="X919" s="898"/>
      <c r="Y919" s="898"/>
      <c r="Z919" s="898"/>
      <c r="AA919" s="898"/>
      <c r="AB919" s="898"/>
      <c r="AC919" s="898"/>
      <c r="AD919" s="898"/>
      <c r="AE919" s="898"/>
      <c r="AF919" s="898"/>
      <c r="AG919" s="898"/>
      <c r="AH919" s="898"/>
      <c r="AI919" s="898"/>
      <c r="AJ919" s="898"/>
      <c r="AK919" s="898"/>
      <c r="AL919" s="898"/>
      <c r="AM919" s="897"/>
      <c r="AN919" s="897"/>
      <c r="AO919" s="897"/>
      <c r="AP919" s="897"/>
      <c r="AQ919" s="897"/>
      <c r="AR919" s="897"/>
      <c r="AS919" s="897"/>
      <c r="AT919" s="897"/>
    </row>
    <row r="920" spans="1:46" s="930" customFormat="1">
      <c r="A920" s="892"/>
      <c r="B920" s="899"/>
      <c r="C920" s="900"/>
      <c r="D920" s="894"/>
      <c r="E920" s="936"/>
      <c r="F920" s="905"/>
      <c r="G920" s="896"/>
      <c r="H920" s="897"/>
      <c r="I920" s="897"/>
      <c r="J920" s="897"/>
      <c r="K920" s="897"/>
      <c r="L920" s="898"/>
      <c r="M920" s="898"/>
      <c r="N920" s="898"/>
      <c r="O920" s="898"/>
      <c r="P920" s="898"/>
      <c r="Q920" s="898"/>
      <c r="R920" s="898"/>
      <c r="S920" s="898"/>
      <c r="T920" s="898"/>
      <c r="U920" s="898"/>
      <c r="V920" s="898"/>
      <c r="W920" s="898"/>
      <c r="X920" s="898"/>
      <c r="Y920" s="898"/>
      <c r="Z920" s="898"/>
      <c r="AA920" s="898"/>
      <c r="AB920" s="898"/>
      <c r="AC920" s="898"/>
      <c r="AD920" s="898"/>
      <c r="AE920" s="898"/>
      <c r="AF920" s="898"/>
      <c r="AG920" s="898"/>
      <c r="AH920" s="898"/>
      <c r="AI920" s="898"/>
      <c r="AJ920" s="898"/>
      <c r="AK920" s="898"/>
      <c r="AL920" s="898"/>
      <c r="AM920" s="897"/>
      <c r="AN920" s="897"/>
      <c r="AO920" s="897"/>
      <c r="AP920" s="897"/>
      <c r="AQ920" s="897"/>
      <c r="AR920" s="897"/>
      <c r="AS920" s="897"/>
      <c r="AT920" s="897"/>
    </row>
    <row r="921" spans="1:46" s="930" customFormat="1">
      <c r="A921" s="892"/>
      <c r="B921" s="899"/>
      <c r="C921" s="900"/>
      <c r="D921" s="894"/>
      <c r="E921" s="936"/>
      <c r="F921" s="905"/>
      <c r="G921" s="896"/>
      <c r="H921" s="897"/>
      <c r="I921" s="897"/>
      <c r="J921" s="897"/>
      <c r="K921" s="897"/>
      <c r="L921" s="898"/>
      <c r="M921" s="898"/>
      <c r="N921" s="898"/>
      <c r="O921" s="898"/>
      <c r="P921" s="898"/>
      <c r="Q921" s="898"/>
      <c r="R921" s="898"/>
      <c r="S921" s="898"/>
      <c r="T921" s="898"/>
      <c r="U921" s="898"/>
      <c r="V921" s="898"/>
      <c r="W921" s="898"/>
      <c r="X921" s="898"/>
      <c r="Y921" s="898"/>
      <c r="Z921" s="898"/>
      <c r="AA921" s="898"/>
      <c r="AB921" s="898"/>
      <c r="AC921" s="898"/>
      <c r="AD921" s="898"/>
      <c r="AE921" s="898"/>
      <c r="AF921" s="898"/>
      <c r="AG921" s="898"/>
      <c r="AH921" s="898"/>
      <c r="AI921" s="898"/>
      <c r="AJ921" s="898"/>
      <c r="AK921" s="898"/>
      <c r="AL921" s="898"/>
      <c r="AM921" s="897"/>
      <c r="AN921" s="897"/>
      <c r="AO921" s="897"/>
      <c r="AP921" s="897"/>
      <c r="AQ921" s="897"/>
      <c r="AR921" s="897"/>
      <c r="AS921" s="897"/>
      <c r="AT921" s="897"/>
    </row>
    <row r="922" spans="1:46" s="930" customFormat="1">
      <c r="A922" s="892"/>
      <c r="B922" s="899"/>
      <c r="C922" s="900"/>
      <c r="D922" s="894"/>
      <c r="E922" s="936"/>
      <c r="F922" s="905"/>
      <c r="G922" s="896"/>
      <c r="H922" s="897"/>
      <c r="I922" s="897"/>
      <c r="J922" s="897"/>
      <c r="K922" s="897"/>
      <c r="L922" s="898"/>
      <c r="M922" s="898"/>
      <c r="N922" s="898"/>
      <c r="O922" s="898"/>
      <c r="P922" s="898"/>
      <c r="Q922" s="898"/>
      <c r="R922" s="898"/>
      <c r="S922" s="898"/>
      <c r="T922" s="898"/>
      <c r="U922" s="898"/>
      <c r="V922" s="898"/>
      <c r="W922" s="898"/>
      <c r="X922" s="898"/>
      <c r="Y922" s="898"/>
      <c r="Z922" s="898"/>
      <c r="AA922" s="898"/>
      <c r="AB922" s="898"/>
      <c r="AC922" s="898"/>
      <c r="AD922" s="898"/>
      <c r="AE922" s="898"/>
      <c r="AF922" s="898"/>
      <c r="AG922" s="898"/>
      <c r="AH922" s="898"/>
      <c r="AI922" s="898"/>
      <c r="AJ922" s="898"/>
      <c r="AK922" s="898"/>
      <c r="AL922" s="898"/>
      <c r="AM922" s="897"/>
      <c r="AN922" s="897"/>
      <c r="AO922" s="897"/>
      <c r="AP922" s="897"/>
      <c r="AQ922" s="897"/>
      <c r="AR922" s="897"/>
      <c r="AS922" s="897"/>
      <c r="AT922" s="897"/>
    </row>
    <row r="923" spans="1:46" s="930" customFormat="1">
      <c r="A923" s="892"/>
      <c r="B923" s="899"/>
      <c r="C923" s="900"/>
      <c r="D923" s="894"/>
      <c r="E923" s="936"/>
      <c r="F923" s="905"/>
      <c r="G923" s="896"/>
      <c r="H923" s="897"/>
      <c r="I923" s="897"/>
      <c r="J923" s="897"/>
      <c r="K923" s="897"/>
      <c r="L923" s="898"/>
      <c r="M923" s="898"/>
      <c r="N923" s="898"/>
      <c r="O923" s="898"/>
      <c r="P923" s="898"/>
      <c r="Q923" s="898"/>
      <c r="R923" s="898"/>
      <c r="S923" s="898"/>
      <c r="T923" s="898"/>
      <c r="U923" s="898"/>
      <c r="V923" s="898"/>
      <c r="W923" s="898"/>
      <c r="X923" s="898"/>
      <c r="Y923" s="898"/>
      <c r="Z923" s="898"/>
      <c r="AA923" s="898"/>
      <c r="AB923" s="898"/>
      <c r="AC923" s="898"/>
      <c r="AD923" s="898"/>
      <c r="AE923" s="898"/>
      <c r="AF923" s="898"/>
      <c r="AG923" s="898"/>
      <c r="AH923" s="898"/>
      <c r="AI923" s="898"/>
      <c r="AJ923" s="898"/>
      <c r="AK923" s="898"/>
      <c r="AL923" s="898"/>
      <c r="AM923" s="897"/>
      <c r="AN923" s="897"/>
      <c r="AO923" s="897"/>
      <c r="AP923" s="897"/>
      <c r="AQ923" s="897"/>
      <c r="AR923" s="897"/>
      <c r="AS923" s="897"/>
      <c r="AT923" s="897"/>
    </row>
    <row r="924" spans="1:46" s="930" customFormat="1">
      <c r="A924" s="892"/>
      <c r="B924" s="899"/>
      <c r="C924" s="900"/>
      <c r="D924" s="894"/>
      <c r="E924" s="936"/>
      <c r="F924" s="905"/>
      <c r="G924" s="896"/>
      <c r="H924" s="897"/>
      <c r="I924" s="897"/>
      <c r="J924" s="897"/>
      <c r="K924" s="897"/>
      <c r="L924" s="898"/>
      <c r="M924" s="898"/>
      <c r="N924" s="898"/>
      <c r="O924" s="898"/>
      <c r="P924" s="898"/>
      <c r="Q924" s="898"/>
      <c r="R924" s="898"/>
      <c r="S924" s="898"/>
      <c r="T924" s="898"/>
      <c r="U924" s="898"/>
      <c r="V924" s="898"/>
      <c r="W924" s="898"/>
      <c r="X924" s="898"/>
      <c r="Y924" s="898"/>
      <c r="Z924" s="898"/>
      <c r="AA924" s="898"/>
      <c r="AB924" s="898"/>
      <c r="AC924" s="898"/>
      <c r="AD924" s="898"/>
      <c r="AE924" s="898"/>
      <c r="AF924" s="898"/>
      <c r="AG924" s="898"/>
      <c r="AH924" s="898"/>
      <c r="AI924" s="898"/>
      <c r="AJ924" s="898"/>
      <c r="AK924" s="898"/>
      <c r="AL924" s="898"/>
      <c r="AM924" s="897"/>
      <c r="AN924" s="897"/>
      <c r="AO924" s="897"/>
      <c r="AP924" s="897"/>
      <c r="AQ924" s="897"/>
      <c r="AR924" s="897"/>
      <c r="AS924" s="897"/>
      <c r="AT924" s="897"/>
    </row>
    <row r="925" spans="1:46" s="930" customFormat="1">
      <c r="A925" s="892"/>
      <c r="B925" s="899"/>
      <c r="C925" s="900"/>
      <c r="D925" s="894"/>
      <c r="E925" s="936"/>
      <c r="F925" s="905"/>
      <c r="G925" s="896"/>
      <c r="H925" s="897"/>
      <c r="I925" s="897"/>
      <c r="J925" s="897"/>
      <c r="K925" s="897"/>
      <c r="L925" s="898"/>
      <c r="M925" s="898"/>
      <c r="N925" s="898"/>
      <c r="O925" s="898"/>
      <c r="P925" s="898"/>
      <c r="Q925" s="898"/>
      <c r="R925" s="898"/>
      <c r="S925" s="898"/>
      <c r="T925" s="898"/>
      <c r="U925" s="898"/>
      <c r="V925" s="898"/>
      <c r="W925" s="898"/>
      <c r="X925" s="898"/>
      <c r="Y925" s="898"/>
      <c r="Z925" s="898"/>
      <c r="AA925" s="898"/>
      <c r="AB925" s="898"/>
      <c r="AC925" s="898"/>
      <c r="AD925" s="898"/>
      <c r="AE925" s="898"/>
      <c r="AF925" s="898"/>
      <c r="AG925" s="898"/>
      <c r="AH925" s="898"/>
      <c r="AI925" s="898"/>
      <c r="AJ925" s="898"/>
      <c r="AK925" s="898"/>
      <c r="AL925" s="898"/>
      <c r="AM925" s="897"/>
      <c r="AN925" s="897"/>
      <c r="AO925" s="897"/>
      <c r="AP925" s="897"/>
      <c r="AQ925" s="897"/>
      <c r="AR925" s="897"/>
      <c r="AS925" s="897"/>
      <c r="AT925" s="897"/>
    </row>
    <row r="926" spans="1:46" s="930" customFormat="1">
      <c r="A926" s="892"/>
      <c r="B926" s="899"/>
      <c r="C926" s="900"/>
      <c r="D926" s="894"/>
      <c r="E926" s="936"/>
      <c r="F926" s="905"/>
      <c r="G926" s="896"/>
      <c r="H926" s="897"/>
      <c r="I926" s="897"/>
      <c r="J926" s="897"/>
      <c r="K926" s="897"/>
      <c r="L926" s="898"/>
      <c r="M926" s="898"/>
      <c r="N926" s="898"/>
      <c r="O926" s="898"/>
      <c r="P926" s="898"/>
      <c r="Q926" s="898"/>
      <c r="R926" s="898"/>
      <c r="S926" s="898"/>
      <c r="T926" s="898"/>
      <c r="U926" s="898"/>
      <c r="V926" s="898"/>
      <c r="W926" s="898"/>
      <c r="X926" s="898"/>
      <c r="Y926" s="898"/>
      <c r="Z926" s="898"/>
      <c r="AA926" s="898"/>
      <c r="AB926" s="898"/>
      <c r="AC926" s="898"/>
      <c r="AD926" s="898"/>
      <c r="AE926" s="898"/>
      <c r="AF926" s="898"/>
      <c r="AG926" s="898"/>
      <c r="AH926" s="898"/>
      <c r="AI926" s="898"/>
      <c r="AJ926" s="898"/>
      <c r="AK926" s="898"/>
      <c r="AL926" s="898"/>
      <c r="AM926" s="897"/>
      <c r="AN926" s="897"/>
      <c r="AO926" s="897"/>
      <c r="AP926" s="897"/>
      <c r="AQ926" s="897"/>
      <c r="AR926" s="897"/>
      <c r="AS926" s="897"/>
      <c r="AT926" s="897"/>
    </row>
    <row r="927" spans="1:46" s="930" customFormat="1">
      <c r="A927" s="892"/>
      <c r="B927" s="899"/>
      <c r="C927" s="900"/>
      <c r="D927" s="894"/>
      <c r="E927" s="936"/>
      <c r="F927" s="905"/>
      <c r="G927" s="896"/>
      <c r="H927" s="897"/>
      <c r="I927" s="897"/>
      <c r="J927" s="897"/>
      <c r="K927" s="897"/>
      <c r="L927" s="898"/>
      <c r="M927" s="898"/>
      <c r="N927" s="898"/>
      <c r="O927" s="898"/>
      <c r="P927" s="898"/>
      <c r="Q927" s="898"/>
      <c r="R927" s="898"/>
      <c r="S927" s="898"/>
      <c r="T927" s="898"/>
      <c r="U927" s="898"/>
      <c r="V927" s="898"/>
      <c r="W927" s="898"/>
      <c r="X927" s="898"/>
      <c r="Y927" s="898"/>
      <c r="Z927" s="898"/>
      <c r="AA927" s="898"/>
      <c r="AB927" s="898"/>
      <c r="AC927" s="898"/>
      <c r="AD927" s="898"/>
      <c r="AE927" s="898"/>
      <c r="AF927" s="898"/>
      <c r="AG927" s="898"/>
      <c r="AH927" s="898"/>
      <c r="AI927" s="898"/>
      <c r="AJ927" s="898"/>
      <c r="AK927" s="898"/>
      <c r="AL927" s="898"/>
      <c r="AM927" s="897"/>
      <c r="AN927" s="897"/>
      <c r="AO927" s="897"/>
      <c r="AP927" s="897"/>
      <c r="AQ927" s="897"/>
      <c r="AR927" s="897"/>
      <c r="AS927" s="897"/>
      <c r="AT927" s="897"/>
    </row>
    <row r="928" spans="1:46" s="930" customFormat="1">
      <c r="A928" s="892"/>
      <c r="B928" s="899"/>
      <c r="C928" s="900"/>
      <c r="D928" s="894"/>
      <c r="E928" s="936"/>
      <c r="F928" s="905"/>
      <c r="G928" s="896"/>
      <c r="H928" s="897"/>
      <c r="I928" s="897"/>
      <c r="J928" s="897"/>
      <c r="K928" s="897"/>
      <c r="L928" s="898"/>
      <c r="M928" s="898"/>
      <c r="N928" s="898"/>
      <c r="O928" s="898"/>
      <c r="P928" s="898"/>
      <c r="Q928" s="898"/>
      <c r="R928" s="898"/>
      <c r="S928" s="898"/>
      <c r="T928" s="898"/>
      <c r="U928" s="898"/>
      <c r="V928" s="898"/>
      <c r="W928" s="898"/>
      <c r="X928" s="898"/>
      <c r="Y928" s="898"/>
      <c r="Z928" s="898"/>
      <c r="AA928" s="898"/>
      <c r="AB928" s="898"/>
      <c r="AC928" s="898"/>
      <c r="AD928" s="898"/>
      <c r="AE928" s="898"/>
      <c r="AF928" s="898"/>
      <c r="AG928" s="898"/>
      <c r="AH928" s="898"/>
      <c r="AI928" s="898"/>
      <c r="AJ928" s="898"/>
      <c r="AK928" s="898"/>
      <c r="AL928" s="898"/>
      <c r="AM928" s="897"/>
      <c r="AN928" s="897"/>
      <c r="AO928" s="897"/>
      <c r="AP928" s="897"/>
      <c r="AQ928" s="897"/>
      <c r="AR928" s="897"/>
      <c r="AS928" s="897"/>
      <c r="AT928" s="897"/>
    </row>
    <row r="929" spans="1:46" s="930" customFormat="1">
      <c r="A929" s="892"/>
      <c r="B929" s="899"/>
      <c r="C929" s="900"/>
      <c r="D929" s="894"/>
      <c r="E929" s="936"/>
      <c r="F929" s="905"/>
      <c r="G929" s="896"/>
      <c r="H929" s="897"/>
      <c r="I929" s="897"/>
      <c r="J929" s="897"/>
      <c r="K929" s="897"/>
      <c r="L929" s="898"/>
      <c r="M929" s="898"/>
      <c r="N929" s="898"/>
      <c r="O929" s="898"/>
      <c r="P929" s="898"/>
      <c r="Q929" s="898"/>
      <c r="R929" s="898"/>
      <c r="S929" s="898"/>
      <c r="T929" s="898"/>
      <c r="U929" s="898"/>
      <c r="V929" s="898"/>
      <c r="W929" s="898"/>
      <c r="X929" s="898"/>
      <c r="Y929" s="898"/>
      <c r="Z929" s="898"/>
      <c r="AA929" s="898"/>
      <c r="AB929" s="898"/>
      <c r="AC929" s="898"/>
      <c r="AD929" s="898"/>
      <c r="AE929" s="898"/>
      <c r="AF929" s="898"/>
      <c r="AG929" s="898"/>
      <c r="AH929" s="898"/>
      <c r="AI929" s="898"/>
      <c r="AJ929" s="898"/>
      <c r="AK929" s="898"/>
      <c r="AL929" s="898"/>
      <c r="AM929" s="897"/>
      <c r="AN929" s="897"/>
      <c r="AO929" s="897"/>
      <c r="AP929" s="897"/>
      <c r="AQ929" s="897"/>
      <c r="AR929" s="897"/>
      <c r="AS929" s="897"/>
      <c r="AT929" s="897"/>
    </row>
    <row r="930" spans="1:46" s="930" customFormat="1">
      <c r="A930" s="892"/>
      <c r="B930" s="899"/>
      <c r="C930" s="900"/>
      <c r="D930" s="894"/>
      <c r="E930" s="936"/>
      <c r="F930" s="905"/>
      <c r="G930" s="896"/>
      <c r="H930" s="897"/>
      <c r="I930" s="897"/>
      <c r="J930" s="897"/>
      <c r="K930" s="897"/>
      <c r="L930" s="898"/>
      <c r="M930" s="898"/>
      <c r="N930" s="898"/>
      <c r="O930" s="898"/>
      <c r="P930" s="898"/>
      <c r="Q930" s="898"/>
      <c r="R930" s="898"/>
      <c r="S930" s="898"/>
      <c r="T930" s="898"/>
      <c r="U930" s="898"/>
      <c r="V930" s="898"/>
      <c r="W930" s="898"/>
      <c r="X930" s="898"/>
      <c r="Y930" s="898"/>
      <c r="Z930" s="898"/>
      <c r="AA930" s="898"/>
      <c r="AB930" s="898"/>
      <c r="AC930" s="898"/>
      <c r="AD930" s="898"/>
      <c r="AE930" s="898"/>
      <c r="AF930" s="898"/>
      <c r="AG930" s="898"/>
      <c r="AH930" s="898"/>
      <c r="AI930" s="898"/>
      <c r="AJ930" s="898"/>
      <c r="AK930" s="898"/>
      <c r="AL930" s="898"/>
      <c r="AM930" s="897"/>
      <c r="AN930" s="897"/>
      <c r="AO930" s="897"/>
      <c r="AP930" s="897"/>
      <c r="AQ930" s="897"/>
      <c r="AR930" s="897"/>
      <c r="AS930" s="897"/>
      <c r="AT930" s="897"/>
    </row>
    <row r="931" spans="1:46" s="930" customFormat="1">
      <c r="A931" s="892"/>
      <c r="B931" s="899"/>
      <c r="C931" s="900"/>
      <c r="D931" s="894"/>
      <c r="E931" s="936"/>
      <c r="F931" s="905"/>
      <c r="G931" s="896"/>
      <c r="H931" s="897"/>
      <c r="I931" s="897"/>
      <c r="J931" s="897"/>
      <c r="K931" s="897"/>
      <c r="L931" s="898"/>
      <c r="M931" s="898"/>
      <c r="N931" s="898"/>
      <c r="O931" s="898"/>
      <c r="P931" s="898"/>
      <c r="Q931" s="898"/>
      <c r="R931" s="898"/>
      <c r="S931" s="898"/>
      <c r="T931" s="898"/>
      <c r="U931" s="898"/>
      <c r="V931" s="898"/>
      <c r="W931" s="898"/>
      <c r="X931" s="898"/>
      <c r="Y931" s="898"/>
      <c r="Z931" s="898"/>
      <c r="AA931" s="898"/>
      <c r="AB931" s="898"/>
      <c r="AC931" s="898"/>
      <c r="AD931" s="898"/>
      <c r="AE931" s="898"/>
      <c r="AF931" s="898"/>
      <c r="AG931" s="898"/>
      <c r="AH931" s="898"/>
      <c r="AI931" s="898"/>
      <c r="AJ931" s="898"/>
      <c r="AK931" s="898"/>
      <c r="AL931" s="898"/>
      <c r="AM931" s="897"/>
      <c r="AN931" s="897"/>
      <c r="AO931" s="897"/>
      <c r="AP931" s="897"/>
      <c r="AQ931" s="897"/>
      <c r="AR931" s="897"/>
      <c r="AS931" s="897"/>
      <c r="AT931" s="897"/>
    </row>
    <row r="932" spans="1:46" s="930" customFormat="1">
      <c r="A932" s="892"/>
      <c r="B932" s="899"/>
      <c r="C932" s="900"/>
      <c r="D932" s="894"/>
      <c r="E932" s="936"/>
      <c r="F932" s="905"/>
      <c r="G932" s="896"/>
      <c r="H932" s="897"/>
      <c r="I932" s="897"/>
      <c r="J932" s="897"/>
      <c r="K932" s="897"/>
      <c r="L932" s="898"/>
      <c r="M932" s="898"/>
      <c r="N932" s="898"/>
      <c r="O932" s="898"/>
      <c r="P932" s="898"/>
      <c r="Q932" s="898"/>
      <c r="R932" s="898"/>
      <c r="S932" s="898"/>
      <c r="T932" s="898"/>
      <c r="U932" s="898"/>
      <c r="V932" s="898"/>
      <c r="W932" s="898"/>
      <c r="X932" s="898"/>
      <c r="Y932" s="898"/>
      <c r="Z932" s="898"/>
      <c r="AA932" s="898"/>
      <c r="AB932" s="898"/>
      <c r="AC932" s="898"/>
      <c r="AD932" s="898"/>
      <c r="AE932" s="898"/>
      <c r="AF932" s="898"/>
      <c r="AG932" s="898"/>
      <c r="AH932" s="898"/>
      <c r="AI932" s="898"/>
      <c r="AJ932" s="898"/>
      <c r="AK932" s="898"/>
      <c r="AL932" s="898"/>
      <c r="AM932" s="897"/>
      <c r="AN932" s="897"/>
      <c r="AO932" s="897"/>
      <c r="AP932" s="897"/>
      <c r="AQ932" s="897"/>
      <c r="AR932" s="897"/>
      <c r="AS932" s="897"/>
      <c r="AT932" s="897"/>
    </row>
    <row r="933" spans="1:46" s="930" customFormat="1">
      <c r="A933" s="892"/>
      <c r="B933" s="899"/>
      <c r="C933" s="900"/>
      <c r="D933" s="894"/>
      <c r="E933" s="936"/>
      <c r="F933" s="905"/>
      <c r="G933" s="896"/>
      <c r="H933" s="897"/>
      <c r="I933" s="897"/>
      <c r="J933" s="897"/>
      <c r="K933" s="897"/>
      <c r="L933" s="898"/>
      <c r="M933" s="898"/>
      <c r="N933" s="898"/>
      <c r="O933" s="898"/>
      <c r="P933" s="898"/>
      <c r="Q933" s="898"/>
      <c r="R933" s="898"/>
      <c r="S933" s="898"/>
      <c r="T933" s="898"/>
      <c r="U933" s="898"/>
      <c r="V933" s="898"/>
      <c r="W933" s="898"/>
      <c r="X933" s="898"/>
      <c r="Y933" s="898"/>
      <c r="Z933" s="898"/>
      <c r="AA933" s="898"/>
      <c r="AB933" s="898"/>
      <c r="AC933" s="898"/>
      <c r="AD933" s="898"/>
      <c r="AE933" s="898"/>
      <c r="AF933" s="898"/>
      <c r="AG933" s="898"/>
      <c r="AH933" s="898"/>
      <c r="AI933" s="898"/>
      <c r="AJ933" s="898"/>
      <c r="AK933" s="898"/>
      <c r="AL933" s="898"/>
      <c r="AM933" s="897"/>
      <c r="AN933" s="897"/>
      <c r="AO933" s="897"/>
      <c r="AP933" s="897"/>
      <c r="AQ933" s="897"/>
      <c r="AR933" s="897"/>
      <c r="AS933" s="897"/>
      <c r="AT933" s="897"/>
    </row>
    <row r="934" spans="1:46" s="930" customFormat="1">
      <c r="A934" s="892"/>
      <c r="B934" s="899"/>
      <c r="C934" s="900"/>
      <c r="D934" s="894"/>
      <c r="E934" s="936"/>
      <c r="F934" s="905"/>
      <c r="G934" s="896"/>
      <c r="H934" s="897"/>
      <c r="I934" s="897"/>
      <c r="J934" s="897"/>
      <c r="K934" s="897"/>
      <c r="L934" s="898"/>
      <c r="M934" s="898"/>
      <c r="N934" s="898"/>
      <c r="O934" s="898"/>
      <c r="P934" s="898"/>
      <c r="Q934" s="898"/>
      <c r="R934" s="898"/>
      <c r="S934" s="898"/>
      <c r="T934" s="898"/>
      <c r="U934" s="898"/>
      <c r="V934" s="898"/>
      <c r="W934" s="898"/>
      <c r="X934" s="898"/>
      <c r="Y934" s="898"/>
      <c r="Z934" s="898"/>
      <c r="AA934" s="898"/>
      <c r="AB934" s="898"/>
      <c r="AC934" s="898"/>
      <c r="AD934" s="898"/>
      <c r="AE934" s="898"/>
      <c r="AF934" s="898"/>
      <c r="AG934" s="898"/>
      <c r="AH934" s="898"/>
      <c r="AI934" s="898"/>
      <c r="AJ934" s="898"/>
      <c r="AK934" s="898"/>
      <c r="AL934" s="898"/>
      <c r="AM934" s="897"/>
      <c r="AN934" s="897"/>
      <c r="AO934" s="897"/>
      <c r="AP934" s="897"/>
      <c r="AQ934" s="897"/>
      <c r="AR934" s="897"/>
      <c r="AS934" s="897"/>
      <c r="AT934" s="897"/>
    </row>
    <row r="935" spans="1:46" s="930" customFormat="1">
      <c r="A935" s="892"/>
      <c r="B935" s="899"/>
      <c r="C935" s="900"/>
      <c r="D935" s="894"/>
      <c r="E935" s="936"/>
      <c r="F935" s="905"/>
      <c r="G935" s="896"/>
      <c r="H935" s="897"/>
      <c r="I935" s="897"/>
      <c r="J935" s="897"/>
      <c r="K935" s="897"/>
      <c r="L935" s="898"/>
      <c r="M935" s="898"/>
      <c r="N935" s="898"/>
      <c r="O935" s="898"/>
      <c r="P935" s="898"/>
      <c r="Q935" s="898"/>
      <c r="R935" s="898"/>
      <c r="S935" s="898"/>
      <c r="T935" s="898"/>
      <c r="U935" s="898"/>
      <c r="V935" s="898"/>
      <c r="W935" s="898"/>
      <c r="X935" s="898"/>
      <c r="Y935" s="898"/>
      <c r="Z935" s="898"/>
      <c r="AA935" s="898"/>
      <c r="AB935" s="898"/>
      <c r="AC935" s="898"/>
      <c r="AD935" s="898"/>
      <c r="AE935" s="898"/>
      <c r="AF935" s="898"/>
      <c r="AG935" s="898"/>
      <c r="AH935" s="898"/>
      <c r="AI935" s="898"/>
      <c r="AJ935" s="898"/>
      <c r="AK935" s="898"/>
      <c r="AL935" s="898"/>
      <c r="AM935" s="897"/>
      <c r="AN935" s="897"/>
      <c r="AO935" s="897"/>
      <c r="AP935" s="897"/>
      <c r="AQ935" s="897"/>
      <c r="AR935" s="897"/>
      <c r="AS935" s="897"/>
      <c r="AT935" s="897"/>
    </row>
    <row r="936" spans="1:46" s="930" customFormat="1">
      <c r="A936" s="892"/>
      <c r="B936" s="899"/>
      <c r="C936" s="900"/>
      <c r="D936" s="894"/>
      <c r="E936" s="936"/>
      <c r="F936" s="905"/>
      <c r="G936" s="896"/>
      <c r="H936" s="897"/>
      <c r="I936" s="897"/>
      <c r="J936" s="897"/>
      <c r="K936" s="897"/>
      <c r="L936" s="898"/>
      <c r="M936" s="898"/>
      <c r="N936" s="898"/>
      <c r="O936" s="898"/>
      <c r="P936" s="898"/>
      <c r="Q936" s="898"/>
      <c r="R936" s="898"/>
      <c r="S936" s="898"/>
      <c r="T936" s="898"/>
      <c r="U936" s="898"/>
      <c r="V936" s="898"/>
      <c r="W936" s="898"/>
      <c r="X936" s="898"/>
      <c r="Y936" s="898"/>
      <c r="Z936" s="898"/>
      <c r="AA936" s="898"/>
      <c r="AB936" s="898"/>
      <c r="AC936" s="898"/>
      <c r="AD936" s="898"/>
      <c r="AE936" s="898"/>
      <c r="AF936" s="898"/>
      <c r="AG936" s="898"/>
      <c r="AH936" s="898"/>
      <c r="AI936" s="898"/>
      <c r="AJ936" s="898"/>
      <c r="AK936" s="898"/>
      <c r="AL936" s="898"/>
      <c r="AM936" s="897"/>
      <c r="AN936" s="897"/>
      <c r="AO936" s="897"/>
      <c r="AP936" s="897"/>
      <c r="AQ936" s="897"/>
      <c r="AR936" s="897"/>
      <c r="AS936" s="897"/>
      <c r="AT936" s="897"/>
    </row>
    <row r="937" spans="1:46" s="930" customFormat="1">
      <c r="A937" s="892"/>
      <c r="B937" s="899"/>
      <c r="C937" s="900"/>
      <c r="D937" s="894"/>
      <c r="E937" s="936"/>
      <c r="F937" s="905"/>
      <c r="G937" s="896"/>
      <c r="H937" s="897"/>
      <c r="I937" s="897"/>
      <c r="J937" s="897"/>
      <c r="K937" s="897"/>
      <c r="L937" s="898"/>
      <c r="M937" s="898"/>
      <c r="N937" s="898"/>
      <c r="O937" s="898"/>
      <c r="P937" s="898"/>
      <c r="Q937" s="898"/>
      <c r="R937" s="898"/>
      <c r="S937" s="898"/>
      <c r="T937" s="898"/>
      <c r="U937" s="898"/>
      <c r="V937" s="898"/>
      <c r="W937" s="898"/>
      <c r="X937" s="898"/>
      <c r="Y937" s="898"/>
      <c r="Z937" s="898"/>
      <c r="AA937" s="898"/>
      <c r="AB937" s="898"/>
      <c r="AC937" s="898"/>
      <c r="AD937" s="898"/>
      <c r="AE937" s="898"/>
      <c r="AF937" s="898"/>
      <c r="AG937" s="898"/>
      <c r="AH937" s="898"/>
      <c r="AI937" s="898"/>
      <c r="AJ937" s="898"/>
      <c r="AK937" s="898"/>
      <c r="AL937" s="898"/>
      <c r="AM937" s="897"/>
      <c r="AN937" s="897"/>
      <c r="AO937" s="897"/>
      <c r="AP937" s="897"/>
      <c r="AQ937" s="897"/>
      <c r="AR937" s="897"/>
      <c r="AS937" s="897"/>
      <c r="AT937" s="897"/>
    </row>
    <row r="938" spans="1:46" s="930" customFormat="1">
      <c r="A938" s="892"/>
      <c r="B938" s="899"/>
      <c r="C938" s="900"/>
      <c r="D938" s="894"/>
      <c r="E938" s="936"/>
      <c r="F938" s="905"/>
      <c r="G938" s="896"/>
      <c r="H938" s="897"/>
      <c r="I938" s="897"/>
      <c r="J938" s="897"/>
      <c r="K938" s="897"/>
      <c r="L938" s="898"/>
      <c r="M938" s="898"/>
      <c r="N938" s="898"/>
      <c r="O938" s="898"/>
      <c r="P938" s="898"/>
      <c r="Q938" s="898"/>
      <c r="R938" s="898"/>
      <c r="S938" s="898"/>
      <c r="T938" s="898"/>
      <c r="U938" s="898"/>
      <c r="V938" s="898"/>
      <c r="W938" s="898"/>
      <c r="X938" s="898"/>
      <c r="Y938" s="898"/>
      <c r="Z938" s="898"/>
      <c r="AA938" s="898"/>
      <c r="AB938" s="898"/>
      <c r="AC938" s="898"/>
      <c r="AD938" s="898"/>
      <c r="AE938" s="898"/>
      <c r="AF938" s="898"/>
      <c r="AG938" s="898"/>
      <c r="AH938" s="898"/>
      <c r="AI938" s="898"/>
      <c r="AJ938" s="898"/>
      <c r="AK938" s="898"/>
      <c r="AL938" s="898"/>
      <c r="AM938" s="897"/>
      <c r="AN938" s="897"/>
      <c r="AO938" s="897"/>
      <c r="AP938" s="897"/>
      <c r="AQ938" s="897"/>
      <c r="AR938" s="897"/>
      <c r="AS938" s="897"/>
      <c r="AT938" s="897"/>
    </row>
    <row r="939" spans="1:46" s="930" customFormat="1">
      <c r="A939" s="892"/>
      <c r="B939" s="899"/>
      <c r="C939" s="900"/>
      <c r="D939" s="894"/>
      <c r="E939" s="936"/>
      <c r="F939" s="905"/>
      <c r="G939" s="896"/>
      <c r="H939" s="897"/>
      <c r="I939" s="897"/>
      <c r="J939" s="897"/>
      <c r="K939" s="897"/>
      <c r="L939" s="898"/>
      <c r="M939" s="898"/>
      <c r="N939" s="898"/>
      <c r="O939" s="898"/>
      <c r="P939" s="898"/>
      <c r="Q939" s="898"/>
      <c r="R939" s="898"/>
      <c r="S939" s="898"/>
      <c r="T939" s="898"/>
      <c r="U939" s="898"/>
      <c r="V939" s="898"/>
      <c r="W939" s="898"/>
      <c r="X939" s="898"/>
      <c r="Y939" s="898"/>
      <c r="Z939" s="898"/>
      <c r="AA939" s="898"/>
      <c r="AB939" s="898"/>
      <c r="AC939" s="898"/>
      <c r="AD939" s="898"/>
      <c r="AE939" s="898"/>
      <c r="AF939" s="898"/>
      <c r="AG939" s="898"/>
      <c r="AH939" s="898"/>
      <c r="AI939" s="898"/>
      <c r="AJ939" s="898"/>
      <c r="AK939" s="898"/>
      <c r="AL939" s="898"/>
      <c r="AM939" s="897"/>
      <c r="AN939" s="897"/>
      <c r="AO939" s="897"/>
      <c r="AP939" s="897"/>
      <c r="AQ939" s="897"/>
      <c r="AR939" s="897"/>
      <c r="AS939" s="897"/>
      <c r="AT939" s="897"/>
    </row>
    <row r="940" spans="1:46" s="930" customFormat="1">
      <c r="A940" s="892"/>
      <c r="B940" s="899"/>
      <c r="C940" s="900"/>
      <c r="D940" s="894"/>
      <c r="E940" s="936"/>
      <c r="F940" s="905"/>
      <c r="G940" s="896"/>
      <c r="H940" s="897"/>
      <c r="I940" s="897"/>
      <c r="J940" s="897"/>
      <c r="K940" s="897"/>
      <c r="L940" s="898"/>
      <c r="M940" s="898"/>
      <c r="N940" s="898"/>
      <c r="O940" s="898"/>
      <c r="P940" s="898"/>
      <c r="Q940" s="898"/>
      <c r="R940" s="898"/>
      <c r="S940" s="898"/>
      <c r="T940" s="898"/>
      <c r="U940" s="898"/>
      <c r="V940" s="898"/>
      <c r="W940" s="898"/>
      <c r="X940" s="898"/>
      <c r="Y940" s="898"/>
      <c r="Z940" s="898"/>
      <c r="AA940" s="898"/>
      <c r="AB940" s="898"/>
      <c r="AC940" s="898"/>
      <c r="AD940" s="898"/>
      <c r="AE940" s="898"/>
      <c r="AF940" s="898"/>
      <c r="AG940" s="898"/>
      <c r="AH940" s="898"/>
      <c r="AI940" s="898"/>
      <c r="AJ940" s="898"/>
      <c r="AK940" s="898"/>
      <c r="AL940" s="898"/>
      <c r="AM940" s="897"/>
      <c r="AN940" s="897"/>
      <c r="AO940" s="897"/>
      <c r="AP940" s="897"/>
      <c r="AQ940" s="897"/>
      <c r="AR940" s="897"/>
      <c r="AS940" s="897"/>
      <c r="AT940" s="897"/>
    </row>
    <row r="941" spans="1:46" s="930" customFormat="1">
      <c r="A941" s="892"/>
      <c r="B941" s="899"/>
      <c r="C941" s="900"/>
      <c r="D941" s="894"/>
      <c r="E941" s="936"/>
      <c r="F941" s="905"/>
      <c r="G941" s="896"/>
      <c r="H941" s="897"/>
      <c r="I941" s="897"/>
      <c r="J941" s="897"/>
      <c r="K941" s="897"/>
      <c r="L941" s="898"/>
      <c r="M941" s="898"/>
      <c r="N941" s="898"/>
      <c r="O941" s="898"/>
      <c r="P941" s="898"/>
      <c r="Q941" s="898"/>
      <c r="R941" s="898"/>
      <c r="S941" s="898"/>
      <c r="T941" s="898"/>
      <c r="U941" s="898"/>
      <c r="V941" s="898"/>
      <c r="W941" s="898"/>
      <c r="X941" s="898"/>
      <c r="Y941" s="898"/>
      <c r="Z941" s="898"/>
      <c r="AA941" s="898"/>
      <c r="AB941" s="898"/>
      <c r="AC941" s="898"/>
      <c r="AD941" s="898"/>
      <c r="AE941" s="898"/>
      <c r="AF941" s="898"/>
      <c r="AG941" s="898"/>
      <c r="AH941" s="898"/>
      <c r="AI941" s="898"/>
      <c r="AJ941" s="898"/>
      <c r="AK941" s="898"/>
      <c r="AL941" s="898"/>
      <c r="AM941" s="897"/>
      <c r="AN941" s="897"/>
      <c r="AO941" s="897"/>
      <c r="AP941" s="897"/>
      <c r="AQ941" s="897"/>
      <c r="AR941" s="897"/>
      <c r="AS941" s="897"/>
      <c r="AT941" s="897"/>
    </row>
    <row r="942" spans="1:46" s="930" customFormat="1">
      <c r="A942" s="892"/>
      <c r="B942" s="899"/>
      <c r="C942" s="900"/>
      <c r="D942" s="894"/>
      <c r="E942" s="936"/>
      <c r="F942" s="905"/>
      <c r="G942" s="896"/>
      <c r="H942" s="897"/>
      <c r="I942" s="897"/>
      <c r="J942" s="897"/>
      <c r="K942" s="897"/>
      <c r="L942" s="898"/>
      <c r="M942" s="898"/>
      <c r="N942" s="898"/>
      <c r="O942" s="898"/>
      <c r="P942" s="898"/>
      <c r="Q942" s="898"/>
      <c r="R942" s="898"/>
      <c r="S942" s="898"/>
      <c r="T942" s="898"/>
      <c r="U942" s="898"/>
      <c r="V942" s="898"/>
      <c r="W942" s="898"/>
      <c r="X942" s="898"/>
      <c r="Y942" s="898"/>
      <c r="Z942" s="898"/>
      <c r="AA942" s="898"/>
      <c r="AB942" s="898"/>
      <c r="AC942" s="898"/>
      <c r="AD942" s="898"/>
      <c r="AE942" s="898"/>
      <c r="AF942" s="898"/>
      <c r="AG942" s="898"/>
      <c r="AH942" s="898"/>
      <c r="AI942" s="898"/>
      <c r="AJ942" s="898"/>
      <c r="AK942" s="898"/>
      <c r="AL942" s="898"/>
      <c r="AM942" s="897"/>
      <c r="AN942" s="897"/>
      <c r="AO942" s="897"/>
      <c r="AP942" s="897"/>
      <c r="AQ942" s="897"/>
      <c r="AR942" s="897"/>
      <c r="AS942" s="897"/>
      <c r="AT942" s="897"/>
    </row>
    <row r="943" spans="1:46" s="930" customFormat="1">
      <c r="A943" s="892"/>
      <c r="B943" s="899"/>
      <c r="C943" s="900"/>
      <c r="D943" s="894"/>
      <c r="E943" s="936"/>
      <c r="F943" s="905"/>
      <c r="G943" s="896"/>
      <c r="H943" s="897"/>
      <c r="I943" s="897"/>
      <c r="J943" s="897"/>
      <c r="K943" s="897"/>
      <c r="L943" s="898"/>
      <c r="M943" s="898"/>
      <c r="N943" s="898"/>
      <c r="O943" s="898"/>
      <c r="P943" s="898"/>
      <c r="Q943" s="898"/>
      <c r="R943" s="898"/>
      <c r="S943" s="898"/>
      <c r="T943" s="898"/>
      <c r="U943" s="898"/>
      <c r="V943" s="898"/>
      <c r="W943" s="898"/>
      <c r="X943" s="898"/>
      <c r="Y943" s="898"/>
      <c r="Z943" s="898"/>
      <c r="AA943" s="898"/>
      <c r="AB943" s="898"/>
      <c r="AC943" s="898"/>
      <c r="AD943" s="898"/>
      <c r="AE943" s="898"/>
      <c r="AF943" s="898"/>
      <c r="AG943" s="898"/>
      <c r="AH943" s="898"/>
      <c r="AI943" s="898"/>
      <c r="AJ943" s="898"/>
      <c r="AK943" s="898"/>
      <c r="AL943" s="898"/>
      <c r="AM943" s="897"/>
      <c r="AN943" s="897"/>
      <c r="AO943" s="897"/>
      <c r="AP943" s="897"/>
      <c r="AQ943" s="897"/>
      <c r="AR943" s="897"/>
      <c r="AS943" s="897"/>
      <c r="AT943" s="897"/>
    </row>
    <row r="944" spans="1:46" s="930" customFormat="1">
      <c r="A944" s="892"/>
      <c r="B944" s="899"/>
      <c r="C944" s="900"/>
      <c r="D944" s="894"/>
      <c r="E944" s="936"/>
      <c r="F944" s="905"/>
      <c r="G944" s="896"/>
      <c r="H944" s="897"/>
      <c r="I944" s="897"/>
      <c r="J944" s="897"/>
      <c r="K944" s="897"/>
      <c r="L944" s="898"/>
      <c r="M944" s="898"/>
      <c r="N944" s="898"/>
      <c r="O944" s="898"/>
      <c r="P944" s="898"/>
      <c r="Q944" s="898"/>
      <c r="R944" s="898"/>
      <c r="S944" s="898"/>
      <c r="T944" s="898"/>
      <c r="U944" s="898"/>
      <c r="V944" s="898"/>
      <c r="W944" s="898"/>
      <c r="X944" s="898"/>
      <c r="Y944" s="898"/>
      <c r="Z944" s="898"/>
      <c r="AA944" s="898"/>
      <c r="AB944" s="898"/>
      <c r="AC944" s="898"/>
      <c r="AD944" s="898"/>
      <c r="AE944" s="898"/>
      <c r="AF944" s="898"/>
      <c r="AG944" s="898"/>
      <c r="AH944" s="898"/>
      <c r="AI944" s="898"/>
      <c r="AJ944" s="898"/>
      <c r="AK944" s="898"/>
      <c r="AL944" s="898"/>
      <c r="AM944" s="897"/>
      <c r="AN944" s="897"/>
      <c r="AO944" s="897"/>
      <c r="AP944" s="897"/>
      <c r="AQ944" s="897"/>
      <c r="AR944" s="897"/>
      <c r="AS944" s="897"/>
      <c r="AT944" s="897"/>
    </row>
    <row r="945" spans="1:46" s="930" customFormat="1">
      <c r="A945" s="892"/>
      <c r="B945" s="899"/>
      <c r="C945" s="900"/>
      <c r="D945" s="894"/>
      <c r="E945" s="936"/>
      <c r="F945" s="905"/>
      <c r="G945" s="896"/>
      <c r="H945" s="897"/>
      <c r="I945" s="897"/>
      <c r="J945" s="897"/>
      <c r="K945" s="897"/>
      <c r="L945" s="898"/>
      <c r="M945" s="898"/>
      <c r="N945" s="898"/>
      <c r="O945" s="898"/>
      <c r="P945" s="898"/>
      <c r="Q945" s="898"/>
      <c r="R945" s="898"/>
      <c r="S945" s="898"/>
      <c r="T945" s="898"/>
      <c r="U945" s="898"/>
      <c r="V945" s="898"/>
      <c r="W945" s="898"/>
      <c r="X945" s="898"/>
      <c r="Y945" s="898"/>
      <c r="Z945" s="898"/>
      <c r="AA945" s="898"/>
      <c r="AB945" s="898"/>
      <c r="AC945" s="898"/>
      <c r="AD945" s="898"/>
      <c r="AE945" s="898"/>
      <c r="AF945" s="898"/>
      <c r="AG945" s="898"/>
      <c r="AH945" s="898"/>
      <c r="AI945" s="898"/>
      <c r="AJ945" s="898"/>
      <c r="AK945" s="898"/>
      <c r="AL945" s="898"/>
      <c r="AM945" s="897"/>
      <c r="AN945" s="897"/>
      <c r="AO945" s="897"/>
      <c r="AP945" s="897"/>
      <c r="AQ945" s="897"/>
      <c r="AR945" s="897"/>
      <c r="AS945" s="897"/>
      <c r="AT945" s="897"/>
    </row>
    <row r="946" spans="1:46" s="930" customFormat="1">
      <c r="A946" s="892"/>
      <c r="B946" s="899"/>
      <c r="C946" s="900"/>
      <c r="D946" s="894"/>
      <c r="E946" s="936"/>
      <c r="F946" s="905"/>
      <c r="G946" s="896"/>
      <c r="H946" s="897"/>
      <c r="I946" s="897"/>
      <c r="J946" s="897"/>
      <c r="K946" s="897"/>
      <c r="L946" s="898"/>
      <c r="M946" s="898"/>
      <c r="N946" s="898"/>
      <c r="O946" s="898"/>
      <c r="P946" s="898"/>
      <c r="Q946" s="898"/>
      <c r="R946" s="898"/>
      <c r="S946" s="898"/>
      <c r="T946" s="898"/>
      <c r="U946" s="898"/>
      <c r="V946" s="898"/>
      <c r="W946" s="898"/>
      <c r="X946" s="898"/>
      <c r="Y946" s="898"/>
      <c r="Z946" s="898"/>
      <c r="AA946" s="898"/>
      <c r="AB946" s="898"/>
      <c r="AC946" s="898"/>
      <c r="AD946" s="898"/>
      <c r="AE946" s="898"/>
      <c r="AF946" s="898"/>
      <c r="AG946" s="898"/>
      <c r="AH946" s="898"/>
      <c r="AI946" s="898"/>
      <c r="AJ946" s="898"/>
      <c r="AK946" s="898"/>
      <c r="AL946" s="898"/>
      <c r="AM946" s="897"/>
      <c r="AN946" s="897"/>
      <c r="AO946" s="897"/>
      <c r="AP946" s="897"/>
      <c r="AQ946" s="897"/>
      <c r="AR946" s="897"/>
      <c r="AS946" s="897"/>
      <c r="AT946" s="897"/>
    </row>
    <row r="947" spans="1:46" s="930" customFormat="1">
      <c r="A947" s="892"/>
      <c r="B947" s="899"/>
      <c r="C947" s="900"/>
      <c r="D947" s="894"/>
      <c r="E947" s="936"/>
      <c r="F947" s="905"/>
      <c r="G947" s="896"/>
      <c r="H947" s="897"/>
      <c r="I947" s="897"/>
      <c r="J947" s="897"/>
      <c r="K947" s="897"/>
      <c r="L947" s="898"/>
      <c r="M947" s="898"/>
      <c r="N947" s="898"/>
      <c r="O947" s="898"/>
      <c r="P947" s="898"/>
      <c r="Q947" s="898"/>
      <c r="R947" s="898"/>
      <c r="S947" s="898"/>
      <c r="T947" s="898"/>
      <c r="U947" s="898"/>
      <c r="V947" s="898"/>
      <c r="W947" s="898"/>
      <c r="X947" s="898"/>
      <c r="Y947" s="898"/>
      <c r="Z947" s="898"/>
      <c r="AA947" s="898"/>
      <c r="AB947" s="898"/>
      <c r="AC947" s="898"/>
      <c r="AD947" s="898"/>
      <c r="AE947" s="898"/>
      <c r="AF947" s="898"/>
      <c r="AG947" s="898"/>
      <c r="AH947" s="898"/>
      <c r="AI947" s="898"/>
      <c r="AJ947" s="898"/>
      <c r="AK947" s="898"/>
      <c r="AL947" s="898"/>
      <c r="AM947" s="897"/>
      <c r="AN947" s="897"/>
      <c r="AO947" s="897"/>
      <c r="AP947" s="897"/>
      <c r="AQ947" s="897"/>
      <c r="AR947" s="897"/>
      <c r="AS947" s="897"/>
      <c r="AT947" s="897"/>
    </row>
    <row r="948" spans="1:46" s="930" customFormat="1">
      <c r="A948" s="892"/>
      <c r="B948" s="899"/>
      <c r="C948" s="900"/>
      <c r="D948" s="894"/>
      <c r="E948" s="936"/>
      <c r="F948" s="905"/>
      <c r="G948" s="896"/>
      <c r="H948" s="897"/>
      <c r="I948" s="897"/>
      <c r="J948" s="897"/>
      <c r="K948" s="897"/>
      <c r="L948" s="898"/>
      <c r="M948" s="898"/>
      <c r="N948" s="898"/>
      <c r="O948" s="898"/>
      <c r="P948" s="898"/>
      <c r="Q948" s="898"/>
      <c r="R948" s="898"/>
      <c r="S948" s="898"/>
      <c r="T948" s="898"/>
      <c r="U948" s="898"/>
      <c r="V948" s="898"/>
      <c r="W948" s="898"/>
      <c r="X948" s="898"/>
      <c r="Y948" s="898"/>
      <c r="Z948" s="898"/>
      <c r="AA948" s="898"/>
      <c r="AB948" s="898"/>
      <c r="AC948" s="898"/>
      <c r="AD948" s="898"/>
      <c r="AE948" s="898"/>
      <c r="AF948" s="898"/>
      <c r="AG948" s="898"/>
      <c r="AH948" s="898"/>
      <c r="AI948" s="898"/>
      <c r="AJ948" s="898"/>
      <c r="AK948" s="898"/>
      <c r="AL948" s="898"/>
      <c r="AM948" s="897"/>
      <c r="AN948" s="897"/>
      <c r="AO948" s="897"/>
      <c r="AP948" s="897"/>
      <c r="AQ948" s="897"/>
      <c r="AR948" s="897"/>
      <c r="AS948" s="897"/>
      <c r="AT948" s="897"/>
    </row>
    <row r="949" spans="1:46" s="930" customFormat="1">
      <c r="A949" s="892"/>
      <c r="B949" s="899"/>
      <c r="C949" s="900"/>
      <c r="D949" s="894"/>
      <c r="E949" s="936"/>
      <c r="F949" s="905"/>
      <c r="G949" s="896"/>
      <c r="H949" s="897"/>
      <c r="I949" s="897"/>
      <c r="J949" s="897"/>
      <c r="K949" s="897"/>
      <c r="L949" s="898"/>
      <c r="M949" s="898"/>
      <c r="N949" s="898"/>
      <c r="O949" s="898"/>
      <c r="P949" s="898"/>
      <c r="Q949" s="898"/>
      <c r="R949" s="898"/>
      <c r="S949" s="898"/>
      <c r="T949" s="898"/>
      <c r="U949" s="898"/>
      <c r="V949" s="898"/>
      <c r="W949" s="898"/>
      <c r="X949" s="898"/>
      <c r="Y949" s="898"/>
      <c r="Z949" s="898"/>
      <c r="AA949" s="898"/>
      <c r="AB949" s="898"/>
      <c r="AC949" s="898"/>
      <c r="AD949" s="898"/>
      <c r="AE949" s="898"/>
      <c r="AF949" s="898"/>
      <c r="AG949" s="898"/>
      <c r="AH949" s="898"/>
      <c r="AI949" s="898"/>
      <c r="AJ949" s="898"/>
      <c r="AK949" s="898"/>
      <c r="AL949" s="898"/>
      <c r="AM949" s="897"/>
      <c r="AN949" s="897"/>
      <c r="AO949" s="897"/>
      <c r="AP949" s="897"/>
      <c r="AQ949" s="897"/>
      <c r="AR949" s="897"/>
      <c r="AS949" s="897"/>
      <c r="AT949" s="897"/>
    </row>
    <row r="950" spans="1:46" s="930" customFormat="1">
      <c r="A950" s="892"/>
      <c r="B950" s="899"/>
      <c r="C950" s="900"/>
      <c r="D950" s="894"/>
      <c r="E950" s="936"/>
      <c r="F950" s="905"/>
      <c r="G950" s="896"/>
      <c r="H950" s="897"/>
      <c r="I950" s="897"/>
      <c r="J950" s="897"/>
      <c r="K950" s="897"/>
      <c r="L950" s="898"/>
      <c r="M950" s="898"/>
      <c r="N950" s="898"/>
      <c r="O950" s="898"/>
      <c r="P950" s="898"/>
      <c r="Q950" s="898"/>
      <c r="R950" s="898"/>
      <c r="S950" s="898"/>
      <c r="T950" s="898"/>
      <c r="U950" s="898"/>
      <c r="V950" s="898"/>
      <c r="W950" s="898"/>
      <c r="X950" s="898"/>
      <c r="Y950" s="898"/>
      <c r="Z950" s="898"/>
      <c r="AA950" s="898"/>
      <c r="AB950" s="898"/>
      <c r="AC950" s="898"/>
      <c r="AD950" s="898"/>
      <c r="AE950" s="898"/>
      <c r="AF950" s="898"/>
      <c r="AG950" s="898"/>
      <c r="AH950" s="898"/>
      <c r="AI950" s="898"/>
      <c r="AJ950" s="898"/>
      <c r="AK950" s="898"/>
      <c r="AL950" s="898"/>
      <c r="AM950" s="897"/>
      <c r="AN950" s="897"/>
      <c r="AO950" s="897"/>
      <c r="AP950" s="897"/>
      <c r="AQ950" s="897"/>
      <c r="AR950" s="897"/>
      <c r="AS950" s="897"/>
      <c r="AT950" s="897"/>
    </row>
    <row r="951" spans="1:46" s="930" customFormat="1">
      <c r="A951" s="892"/>
      <c r="B951" s="899"/>
      <c r="C951" s="900"/>
      <c r="D951" s="894"/>
      <c r="E951" s="936"/>
      <c r="F951" s="905"/>
      <c r="G951" s="896"/>
      <c r="H951" s="897"/>
      <c r="I951" s="897"/>
      <c r="J951" s="897"/>
      <c r="K951" s="897"/>
      <c r="L951" s="898"/>
      <c r="M951" s="898"/>
      <c r="N951" s="898"/>
      <c r="O951" s="898"/>
      <c r="P951" s="898"/>
      <c r="Q951" s="898"/>
      <c r="R951" s="898"/>
      <c r="S951" s="898"/>
      <c r="T951" s="898"/>
      <c r="U951" s="898"/>
      <c r="V951" s="898"/>
      <c r="W951" s="898"/>
      <c r="X951" s="898"/>
      <c r="Y951" s="898"/>
      <c r="Z951" s="898"/>
      <c r="AA951" s="898"/>
      <c r="AB951" s="898"/>
      <c r="AC951" s="898"/>
      <c r="AD951" s="898"/>
      <c r="AE951" s="898"/>
      <c r="AF951" s="898"/>
      <c r="AG951" s="898"/>
      <c r="AH951" s="898"/>
      <c r="AI951" s="898"/>
      <c r="AJ951" s="898"/>
      <c r="AK951" s="898"/>
      <c r="AL951" s="898"/>
      <c r="AM951" s="897"/>
      <c r="AN951" s="897"/>
      <c r="AO951" s="897"/>
      <c r="AP951" s="897"/>
      <c r="AQ951" s="897"/>
      <c r="AR951" s="897"/>
      <c r="AS951" s="897"/>
      <c r="AT951" s="897"/>
    </row>
    <row r="952" spans="1:46" s="930" customFormat="1">
      <c r="A952" s="892"/>
      <c r="B952" s="899"/>
      <c r="C952" s="900"/>
      <c r="D952" s="894"/>
      <c r="E952" s="936"/>
      <c r="F952" s="905"/>
      <c r="G952" s="896"/>
      <c r="H952" s="897"/>
      <c r="I952" s="897"/>
      <c r="J952" s="897"/>
      <c r="K952" s="897"/>
      <c r="L952" s="898"/>
      <c r="M952" s="898"/>
      <c r="N952" s="898"/>
      <c r="O952" s="898"/>
      <c r="P952" s="898"/>
      <c r="Q952" s="898"/>
      <c r="R952" s="898"/>
      <c r="S952" s="898"/>
      <c r="T952" s="898"/>
      <c r="U952" s="898"/>
      <c r="V952" s="898"/>
      <c r="W952" s="898"/>
      <c r="X952" s="898"/>
      <c r="Y952" s="898"/>
      <c r="Z952" s="898"/>
      <c r="AA952" s="898"/>
      <c r="AB952" s="898"/>
      <c r="AC952" s="898"/>
      <c r="AD952" s="898"/>
      <c r="AE952" s="898"/>
      <c r="AF952" s="898"/>
      <c r="AG952" s="898"/>
      <c r="AH952" s="898"/>
      <c r="AI952" s="898"/>
      <c r="AJ952" s="898"/>
      <c r="AK952" s="898"/>
      <c r="AL952" s="898"/>
      <c r="AM952" s="897"/>
      <c r="AN952" s="897"/>
      <c r="AO952" s="897"/>
      <c r="AP952" s="897"/>
      <c r="AQ952" s="897"/>
      <c r="AR952" s="897"/>
      <c r="AS952" s="897"/>
      <c r="AT952" s="897"/>
    </row>
    <row r="953" spans="1:46" s="930" customFormat="1">
      <c r="A953" s="892"/>
      <c r="B953" s="899"/>
      <c r="C953" s="900"/>
      <c r="D953" s="894"/>
      <c r="E953" s="936"/>
      <c r="F953" s="905"/>
      <c r="G953" s="896"/>
      <c r="H953" s="897"/>
      <c r="I953" s="897"/>
      <c r="J953" s="897"/>
      <c r="K953" s="897"/>
      <c r="L953" s="898"/>
      <c r="M953" s="898"/>
      <c r="N953" s="898"/>
      <c r="O953" s="898"/>
      <c r="P953" s="898"/>
      <c r="Q953" s="898"/>
      <c r="R953" s="898"/>
      <c r="S953" s="898"/>
      <c r="T953" s="898"/>
      <c r="U953" s="898"/>
      <c r="V953" s="898"/>
      <c r="W953" s="898"/>
      <c r="X953" s="898"/>
      <c r="Y953" s="898"/>
      <c r="Z953" s="898"/>
      <c r="AA953" s="898"/>
      <c r="AB953" s="898"/>
      <c r="AC953" s="898"/>
      <c r="AD953" s="898"/>
      <c r="AE953" s="898"/>
      <c r="AF953" s="898"/>
      <c r="AG953" s="898"/>
      <c r="AH953" s="898"/>
      <c r="AI953" s="898"/>
      <c r="AJ953" s="898"/>
      <c r="AK953" s="898"/>
      <c r="AL953" s="898"/>
      <c r="AM953" s="897"/>
      <c r="AN953" s="897"/>
      <c r="AO953" s="897"/>
      <c r="AP953" s="897"/>
      <c r="AQ953" s="897"/>
      <c r="AR953" s="897"/>
      <c r="AS953" s="897"/>
      <c r="AT953" s="897"/>
    </row>
    <row r="954" spans="1:46" s="930" customFormat="1">
      <c r="A954" s="892"/>
      <c r="B954" s="899"/>
      <c r="C954" s="900"/>
      <c r="D954" s="894"/>
      <c r="E954" s="936"/>
      <c r="F954" s="905"/>
      <c r="G954" s="896"/>
      <c r="H954" s="897"/>
      <c r="I954" s="897"/>
      <c r="J954" s="897"/>
      <c r="K954" s="897"/>
      <c r="L954" s="898"/>
      <c r="M954" s="898"/>
      <c r="N954" s="898"/>
      <c r="O954" s="898"/>
      <c r="P954" s="898"/>
      <c r="Q954" s="898"/>
      <c r="R954" s="898"/>
      <c r="S954" s="898"/>
      <c r="T954" s="898"/>
      <c r="U954" s="898"/>
      <c r="V954" s="898"/>
      <c r="W954" s="898"/>
      <c r="X954" s="898"/>
      <c r="Y954" s="898"/>
      <c r="Z954" s="898"/>
      <c r="AA954" s="898"/>
      <c r="AB954" s="898"/>
      <c r="AC954" s="898"/>
      <c r="AD954" s="898"/>
      <c r="AE954" s="898"/>
      <c r="AF954" s="898"/>
      <c r="AG954" s="898"/>
      <c r="AH954" s="898"/>
      <c r="AI954" s="898"/>
      <c r="AJ954" s="898"/>
      <c r="AK954" s="898"/>
      <c r="AL954" s="898"/>
      <c r="AM954" s="897"/>
      <c r="AN954" s="897"/>
      <c r="AO954" s="897"/>
      <c r="AP954" s="897"/>
      <c r="AQ954" s="897"/>
      <c r="AR954" s="897"/>
      <c r="AS954" s="897"/>
      <c r="AT954" s="897"/>
    </row>
    <row r="955" spans="1:46" s="930" customFormat="1">
      <c r="A955" s="892"/>
      <c r="B955" s="899"/>
      <c r="C955" s="900"/>
      <c r="D955" s="894"/>
      <c r="E955" s="936"/>
      <c r="F955" s="905"/>
      <c r="G955" s="896"/>
      <c r="H955" s="897"/>
      <c r="I955" s="897"/>
      <c r="J955" s="897"/>
      <c r="K955" s="897"/>
      <c r="L955" s="898"/>
      <c r="M955" s="898"/>
      <c r="N955" s="898"/>
      <c r="O955" s="898"/>
      <c r="P955" s="898"/>
      <c r="Q955" s="898"/>
      <c r="R955" s="898"/>
      <c r="S955" s="898"/>
      <c r="T955" s="898"/>
      <c r="U955" s="898"/>
      <c r="V955" s="898"/>
      <c r="W955" s="898"/>
      <c r="X955" s="898"/>
      <c r="Y955" s="898"/>
      <c r="Z955" s="898"/>
      <c r="AA955" s="898"/>
      <c r="AB955" s="898"/>
      <c r="AC955" s="898"/>
      <c r="AD955" s="898"/>
      <c r="AE955" s="898"/>
      <c r="AF955" s="898"/>
      <c r="AG955" s="898"/>
      <c r="AH955" s="898"/>
      <c r="AI955" s="898"/>
      <c r="AJ955" s="898"/>
      <c r="AK955" s="898"/>
      <c r="AL955" s="898"/>
      <c r="AM955" s="897"/>
      <c r="AN955" s="897"/>
      <c r="AO955" s="897"/>
      <c r="AP955" s="897"/>
      <c r="AQ955" s="897"/>
      <c r="AR955" s="897"/>
      <c r="AS955" s="897"/>
      <c r="AT955" s="897"/>
    </row>
    <row r="956" spans="1:46" s="930" customFormat="1">
      <c r="A956" s="892"/>
      <c r="B956" s="899"/>
      <c r="C956" s="900"/>
      <c r="D956" s="894"/>
      <c r="E956" s="936"/>
      <c r="F956" s="905"/>
      <c r="G956" s="896"/>
      <c r="H956" s="897"/>
      <c r="I956" s="897"/>
      <c r="J956" s="897"/>
      <c r="K956" s="897"/>
      <c r="L956" s="898"/>
      <c r="M956" s="898"/>
      <c r="N956" s="898"/>
      <c r="O956" s="898"/>
      <c r="P956" s="898"/>
      <c r="Q956" s="898"/>
      <c r="R956" s="898"/>
      <c r="S956" s="898"/>
      <c r="T956" s="898"/>
      <c r="U956" s="898"/>
      <c r="V956" s="898"/>
      <c r="W956" s="898"/>
      <c r="X956" s="898"/>
      <c r="Y956" s="898"/>
      <c r="Z956" s="898"/>
      <c r="AA956" s="898"/>
      <c r="AB956" s="898"/>
      <c r="AC956" s="898"/>
      <c r="AD956" s="898"/>
      <c r="AE956" s="898"/>
      <c r="AF956" s="898"/>
      <c r="AG956" s="898"/>
      <c r="AH956" s="898"/>
      <c r="AI956" s="898"/>
      <c r="AJ956" s="898"/>
      <c r="AK956" s="898"/>
      <c r="AL956" s="898"/>
      <c r="AM956" s="897"/>
      <c r="AN956" s="897"/>
      <c r="AO956" s="897"/>
      <c r="AP956" s="897"/>
      <c r="AQ956" s="897"/>
      <c r="AR956" s="897"/>
      <c r="AS956" s="897"/>
      <c r="AT956" s="897"/>
    </row>
    <row r="957" spans="1:46" s="930" customFormat="1">
      <c r="A957" s="892"/>
      <c r="B957" s="899"/>
      <c r="C957" s="900"/>
      <c r="D957" s="894"/>
      <c r="E957" s="936"/>
      <c r="F957" s="905"/>
      <c r="G957" s="896"/>
      <c r="H957" s="897"/>
      <c r="I957" s="897"/>
      <c r="J957" s="897"/>
      <c r="K957" s="897"/>
      <c r="L957" s="898"/>
      <c r="M957" s="898"/>
      <c r="N957" s="898"/>
      <c r="O957" s="898"/>
      <c r="P957" s="898"/>
      <c r="Q957" s="898"/>
      <c r="R957" s="898"/>
      <c r="S957" s="898"/>
      <c r="T957" s="898"/>
      <c r="U957" s="898"/>
      <c r="V957" s="898"/>
      <c r="W957" s="898"/>
      <c r="X957" s="898"/>
      <c r="Y957" s="898"/>
      <c r="Z957" s="898"/>
      <c r="AA957" s="898"/>
      <c r="AB957" s="898"/>
      <c r="AC957" s="898"/>
      <c r="AD957" s="898"/>
      <c r="AE957" s="898"/>
      <c r="AF957" s="898"/>
      <c r="AG957" s="898"/>
      <c r="AH957" s="898"/>
      <c r="AI957" s="898"/>
      <c r="AJ957" s="898"/>
      <c r="AK957" s="898"/>
      <c r="AL957" s="898"/>
      <c r="AM957" s="897"/>
      <c r="AN957" s="897"/>
      <c r="AO957" s="897"/>
      <c r="AP957" s="897"/>
      <c r="AQ957" s="897"/>
      <c r="AR957" s="897"/>
      <c r="AS957" s="897"/>
      <c r="AT957" s="897"/>
    </row>
    <row r="958" spans="1:46" s="930" customFormat="1">
      <c r="A958" s="892"/>
      <c r="B958" s="899"/>
      <c r="C958" s="900"/>
      <c r="D958" s="894"/>
      <c r="E958" s="936"/>
      <c r="F958" s="905"/>
      <c r="G958" s="896"/>
      <c r="H958" s="897"/>
      <c r="I958" s="897"/>
      <c r="J958" s="897"/>
      <c r="K958" s="897"/>
      <c r="L958" s="898"/>
      <c r="M958" s="898"/>
      <c r="N958" s="898"/>
      <c r="O958" s="898"/>
      <c r="P958" s="898"/>
      <c r="Q958" s="898"/>
      <c r="R958" s="898"/>
      <c r="S958" s="898"/>
      <c r="T958" s="898"/>
      <c r="U958" s="898"/>
      <c r="V958" s="898"/>
      <c r="W958" s="898"/>
      <c r="X958" s="898"/>
      <c r="Y958" s="898"/>
      <c r="Z958" s="898"/>
      <c r="AA958" s="898"/>
      <c r="AB958" s="898"/>
      <c r="AC958" s="898"/>
      <c r="AD958" s="898"/>
      <c r="AE958" s="898"/>
      <c r="AF958" s="898"/>
      <c r="AG958" s="898"/>
      <c r="AH958" s="898"/>
      <c r="AI958" s="898"/>
      <c r="AJ958" s="898"/>
      <c r="AK958" s="898"/>
      <c r="AL958" s="898"/>
      <c r="AM958" s="897"/>
      <c r="AN958" s="897"/>
      <c r="AO958" s="897"/>
      <c r="AP958" s="897"/>
      <c r="AQ958" s="897"/>
      <c r="AR958" s="897"/>
      <c r="AS958" s="897"/>
      <c r="AT958" s="897"/>
    </row>
    <row r="959" spans="1:46" s="930" customFormat="1">
      <c r="A959" s="892"/>
      <c r="B959" s="899"/>
      <c r="C959" s="900"/>
      <c r="D959" s="894"/>
      <c r="E959" s="936"/>
      <c r="F959" s="905"/>
      <c r="G959" s="896"/>
      <c r="H959" s="897"/>
      <c r="I959" s="897"/>
      <c r="J959" s="897"/>
      <c r="K959" s="897"/>
      <c r="L959" s="898"/>
      <c r="M959" s="898"/>
      <c r="N959" s="898"/>
      <c r="O959" s="898"/>
      <c r="P959" s="898"/>
      <c r="Q959" s="898"/>
      <c r="R959" s="898"/>
      <c r="S959" s="898"/>
      <c r="T959" s="898"/>
      <c r="U959" s="898"/>
      <c r="V959" s="898"/>
      <c r="W959" s="898"/>
      <c r="X959" s="898"/>
      <c r="Y959" s="898"/>
      <c r="Z959" s="898"/>
      <c r="AA959" s="898"/>
      <c r="AB959" s="898"/>
      <c r="AC959" s="898"/>
      <c r="AD959" s="898"/>
      <c r="AE959" s="898"/>
      <c r="AF959" s="898"/>
      <c r="AG959" s="898"/>
      <c r="AH959" s="898"/>
      <c r="AI959" s="898"/>
      <c r="AJ959" s="898"/>
      <c r="AK959" s="898"/>
      <c r="AL959" s="898"/>
      <c r="AM959" s="897"/>
      <c r="AN959" s="897"/>
      <c r="AO959" s="897"/>
      <c r="AP959" s="897"/>
      <c r="AQ959" s="897"/>
      <c r="AR959" s="897"/>
      <c r="AS959" s="897"/>
      <c r="AT959" s="897"/>
    </row>
    <row r="960" spans="1:46" s="930" customFormat="1">
      <c r="A960" s="892"/>
      <c r="B960" s="899"/>
      <c r="C960" s="900"/>
      <c r="D960" s="894"/>
      <c r="E960" s="936"/>
      <c r="F960" s="905"/>
      <c r="G960" s="896"/>
      <c r="H960" s="897"/>
      <c r="I960" s="897"/>
      <c r="J960" s="897"/>
      <c r="K960" s="897"/>
      <c r="L960" s="898"/>
      <c r="M960" s="898"/>
      <c r="N960" s="898"/>
      <c r="O960" s="898"/>
      <c r="P960" s="898"/>
      <c r="Q960" s="898"/>
      <c r="R960" s="898"/>
      <c r="S960" s="898"/>
      <c r="T960" s="898"/>
      <c r="U960" s="898"/>
      <c r="V960" s="898"/>
      <c r="W960" s="898"/>
      <c r="X960" s="898"/>
      <c r="Y960" s="898"/>
      <c r="Z960" s="898"/>
      <c r="AA960" s="898"/>
      <c r="AB960" s="898"/>
      <c r="AC960" s="898"/>
      <c r="AD960" s="898"/>
      <c r="AE960" s="898"/>
      <c r="AF960" s="898"/>
      <c r="AG960" s="898"/>
      <c r="AH960" s="898"/>
      <c r="AI960" s="898"/>
      <c r="AJ960" s="898"/>
      <c r="AK960" s="898"/>
      <c r="AL960" s="898"/>
      <c r="AM960" s="897"/>
      <c r="AN960" s="897"/>
      <c r="AO960" s="897"/>
      <c r="AP960" s="897"/>
      <c r="AQ960" s="897"/>
      <c r="AR960" s="897"/>
      <c r="AS960" s="897"/>
      <c r="AT960" s="897"/>
    </row>
    <row r="961" spans="1:46" s="930" customFormat="1">
      <c r="A961" s="892"/>
      <c r="B961" s="899"/>
      <c r="C961" s="900"/>
      <c r="D961" s="894"/>
      <c r="E961" s="936"/>
      <c r="F961" s="905"/>
      <c r="G961" s="896"/>
      <c r="H961" s="897"/>
      <c r="I961" s="897"/>
      <c r="J961" s="897"/>
      <c r="K961" s="897"/>
      <c r="L961" s="898"/>
      <c r="M961" s="898"/>
      <c r="N961" s="898"/>
      <c r="O961" s="898"/>
      <c r="P961" s="898"/>
      <c r="Q961" s="898"/>
      <c r="R961" s="898"/>
      <c r="S961" s="898"/>
      <c r="T961" s="898"/>
      <c r="U961" s="898"/>
      <c r="V961" s="898"/>
      <c r="W961" s="898"/>
      <c r="X961" s="898"/>
      <c r="Y961" s="898"/>
      <c r="Z961" s="898"/>
      <c r="AA961" s="898"/>
      <c r="AB961" s="898"/>
      <c r="AC961" s="898"/>
      <c r="AD961" s="898"/>
      <c r="AE961" s="898"/>
      <c r="AF961" s="898"/>
      <c r="AG961" s="898"/>
      <c r="AH961" s="898"/>
      <c r="AI961" s="898"/>
      <c r="AJ961" s="898"/>
      <c r="AK961" s="898"/>
      <c r="AL961" s="898"/>
      <c r="AM961" s="897"/>
      <c r="AN961" s="897"/>
      <c r="AO961" s="897"/>
      <c r="AP961" s="897"/>
      <c r="AQ961" s="897"/>
      <c r="AR961" s="897"/>
      <c r="AS961" s="897"/>
      <c r="AT961" s="897"/>
    </row>
    <row r="962" spans="1:46" s="930" customFormat="1">
      <c r="A962" s="892"/>
      <c r="B962" s="899"/>
      <c r="C962" s="900"/>
      <c r="D962" s="894"/>
      <c r="E962" s="936"/>
      <c r="F962" s="905"/>
      <c r="G962" s="896"/>
      <c r="H962" s="897"/>
      <c r="I962" s="897"/>
      <c r="J962" s="897"/>
      <c r="K962" s="897"/>
      <c r="L962" s="898"/>
      <c r="M962" s="898"/>
      <c r="N962" s="898"/>
      <c r="O962" s="898"/>
      <c r="P962" s="898"/>
      <c r="Q962" s="898"/>
      <c r="R962" s="898"/>
      <c r="S962" s="898"/>
      <c r="T962" s="898"/>
      <c r="U962" s="898"/>
      <c r="V962" s="898"/>
      <c r="W962" s="898"/>
      <c r="X962" s="898"/>
      <c r="Y962" s="898"/>
      <c r="Z962" s="898"/>
      <c r="AA962" s="898"/>
      <c r="AB962" s="898"/>
      <c r="AC962" s="898"/>
      <c r="AD962" s="898"/>
      <c r="AE962" s="898"/>
      <c r="AF962" s="898"/>
      <c r="AG962" s="898"/>
      <c r="AH962" s="898"/>
      <c r="AI962" s="898"/>
      <c r="AJ962" s="898"/>
      <c r="AK962" s="898"/>
      <c r="AL962" s="898"/>
      <c r="AM962" s="897"/>
      <c r="AN962" s="897"/>
      <c r="AO962" s="897"/>
      <c r="AP962" s="897"/>
      <c r="AQ962" s="897"/>
      <c r="AR962" s="897"/>
      <c r="AS962" s="897"/>
      <c r="AT962" s="897"/>
    </row>
    <row r="963" spans="1:46" s="930" customFormat="1">
      <c r="A963" s="892"/>
      <c r="B963" s="899"/>
      <c r="C963" s="900"/>
      <c r="D963" s="894"/>
      <c r="E963" s="936"/>
      <c r="F963" s="905"/>
      <c r="G963" s="896"/>
      <c r="H963" s="897"/>
      <c r="I963" s="897"/>
      <c r="J963" s="897"/>
      <c r="K963" s="897"/>
      <c r="L963" s="898"/>
      <c r="M963" s="898"/>
      <c r="N963" s="898"/>
      <c r="O963" s="898"/>
      <c r="P963" s="898"/>
      <c r="Q963" s="898"/>
      <c r="R963" s="898"/>
      <c r="S963" s="898"/>
      <c r="T963" s="898"/>
      <c r="U963" s="898"/>
      <c r="V963" s="898"/>
      <c r="W963" s="898"/>
      <c r="X963" s="898"/>
      <c r="Y963" s="898"/>
      <c r="Z963" s="898"/>
      <c r="AA963" s="898"/>
      <c r="AB963" s="898"/>
      <c r="AC963" s="898"/>
      <c r="AD963" s="898"/>
      <c r="AE963" s="898"/>
      <c r="AF963" s="898"/>
      <c r="AG963" s="898"/>
      <c r="AH963" s="898"/>
      <c r="AI963" s="898"/>
      <c r="AJ963" s="898"/>
      <c r="AK963" s="898"/>
      <c r="AL963" s="898"/>
      <c r="AM963" s="897"/>
      <c r="AN963" s="897"/>
      <c r="AO963" s="897"/>
      <c r="AP963" s="897"/>
      <c r="AQ963" s="897"/>
      <c r="AR963" s="897"/>
      <c r="AS963" s="897"/>
      <c r="AT963" s="897"/>
    </row>
    <row r="964" spans="1:46" s="930" customFormat="1">
      <c r="A964" s="892"/>
      <c r="B964" s="899"/>
      <c r="C964" s="900"/>
      <c r="D964" s="894"/>
      <c r="E964" s="936"/>
      <c r="F964" s="905"/>
      <c r="G964" s="896"/>
      <c r="H964" s="897"/>
      <c r="I964" s="897"/>
      <c r="J964" s="897"/>
      <c r="K964" s="897"/>
      <c r="L964" s="898"/>
      <c r="M964" s="898"/>
      <c r="N964" s="898"/>
      <c r="O964" s="898"/>
      <c r="P964" s="898"/>
      <c r="Q964" s="898"/>
      <c r="R964" s="898"/>
      <c r="S964" s="898"/>
      <c r="T964" s="898"/>
      <c r="U964" s="898"/>
      <c r="V964" s="898"/>
      <c r="W964" s="898"/>
      <c r="X964" s="898"/>
      <c r="Y964" s="898"/>
      <c r="Z964" s="898"/>
      <c r="AA964" s="898"/>
      <c r="AB964" s="898"/>
      <c r="AC964" s="898"/>
      <c r="AD964" s="898"/>
      <c r="AE964" s="898"/>
      <c r="AF964" s="898"/>
      <c r="AG964" s="898"/>
      <c r="AH964" s="898"/>
      <c r="AI964" s="898"/>
      <c r="AJ964" s="898"/>
      <c r="AK964" s="898"/>
      <c r="AL964" s="898"/>
      <c r="AM964" s="897"/>
      <c r="AN964" s="897"/>
      <c r="AO964" s="897"/>
      <c r="AP964" s="897"/>
      <c r="AQ964" s="897"/>
      <c r="AR964" s="897"/>
      <c r="AS964" s="897"/>
      <c r="AT964" s="897"/>
    </row>
    <row r="965" spans="1:46" s="930" customFormat="1">
      <c r="A965" s="892"/>
      <c r="B965" s="899"/>
      <c r="C965" s="900"/>
      <c r="D965" s="894"/>
      <c r="E965" s="936"/>
      <c r="F965" s="905"/>
      <c r="G965" s="896"/>
      <c r="H965" s="897"/>
      <c r="I965" s="897"/>
      <c r="J965" s="897"/>
      <c r="K965" s="897"/>
      <c r="L965" s="898"/>
      <c r="M965" s="898"/>
      <c r="N965" s="898"/>
      <c r="O965" s="898"/>
      <c r="P965" s="898"/>
      <c r="Q965" s="898"/>
      <c r="R965" s="898"/>
      <c r="S965" s="898"/>
      <c r="T965" s="898"/>
      <c r="U965" s="898"/>
      <c r="V965" s="898"/>
      <c r="W965" s="898"/>
      <c r="X965" s="898"/>
      <c r="Y965" s="898"/>
      <c r="Z965" s="898"/>
      <c r="AA965" s="898"/>
      <c r="AB965" s="898"/>
      <c r="AC965" s="898"/>
      <c r="AD965" s="898"/>
      <c r="AE965" s="898"/>
      <c r="AF965" s="898"/>
      <c r="AG965" s="898"/>
      <c r="AH965" s="898"/>
      <c r="AI965" s="898"/>
      <c r="AJ965" s="898"/>
      <c r="AK965" s="898"/>
      <c r="AL965" s="898"/>
      <c r="AM965" s="897"/>
      <c r="AN965" s="897"/>
      <c r="AO965" s="897"/>
      <c r="AP965" s="897"/>
      <c r="AQ965" s="897"/>
      <c r="AR965" s="897"/>
      <c r="AS965" s="897"/>
      <c r="AT965" s="897"/>
    </row>
    <row r="966" spans="1:46" s="930" customFormat="1">
      <c r="A966" s="892"/>
      <c r="B966" s="899"/>
      <c r="C966" s="900"/>
      <c r="D966" s="894"/>
      <c r="E966" s="936"/>
      <c r="F966" s="905"/>
      <c r="G966" s="896"/>
      <c r="H966" s="897"/>
      <c r="I966" s="897"/>
      <c r="J966" s="897"/>
      <c r="K966" s="897"/>
      <c r="L966" s="898"/>
      <c r="M966" s="898"/>
      <c r="N966" s="898"/>
      <c r="O966" s="898"/>
      <c r="P966" s="898"/>
      <c r="Q966" s="898"/>
      <c r="R966" s="898"/>
      <c r="S966" s="898"/>
      <c r="T966" s="898"/>
      <c r="U966" s="898"/>
      <c r="V966" s="898"/>
      <c r="W966" s="898"/>
      <c r="X966" s="898"/>
      <c r="Y966" s="898"/>
      <c r="Z966" s="898"/>
      <c r="AA966" s="898"/>
      <c r="AB966" s="898"/>
      <c r="AC966" s="898"/>
      <c r="AD966" s="898"/>
      <c r="AE966" s="898"/>
      <c r="AF966" s="898"/>
      <c r="AG966" s="898"/>
      <c r="AH966" s="898"/>
      <c r="AI966" s="898"/>
      <c r="AJ966" s="898"/>
      <c r="AK966" s="898"/>
      <c r="AL966" s="898"/>
      <c r="AM966" s="897"/>
      <c r="AN966" s="897"/>
      <c r="AO966" s="897"/>
      <c r="AP966" s="897"/>
      <c r="AQ966" s="897"/>
      <c r="AR966" s="897"/>
      <c r="AS966" s="897"/>
      <c r="AT966" s="897"/>
    </row>
    <row r="967" spans="1:46" s="930" customFormat="1">
      <c r="A967" s="892"/>
      <c r="B967" s="899"/>
      <c r="C967" s="900"/>
      <c r="D967" s="894"/>
      <c r="E967" s="936"/>
      <c r="F967" s="905"/>
      <c r="G967" s="896"/>
      <c r="H967" s="897"/>
      <c r="I967" s="897"/>
      <c r="J967" s="897"/>
      <c r="K967" s="897"/>
      <c r="L967" s="898"/>
      <c r="M967" s="898"/>
      <c r="N967" s="898"/>
      <c r="O967" s="898"/>
      <c r="P967" s="898"/>
      <c r="Q967" s="898"/>
      <c r="R967" s="898"/>
      <c r="S967" s="898"/>
      <c r="T967" s="898"/>
      <c r="U967" s="898"/>
      <c r="V967" s="898"/>
      <c r="W967" s="898"/>
      <c r="X967" s="898"/>
      <c r="Y967" s="898"/>
      <c r="Z967" s="898"/>
      <c r="AA967" s="898"/>
      <c r="AB967" s="898"/>
      <c r="AC967" s="898"/>
      <c r="AD967" s="898"/>
      <c r="AE967" s="898"/>
      <c r="AF967" s="898"/>
      <c r="AG967" s="898"/>
      <c r="AH967" s="898"/>
      <c r="AI967" s="898"/>
      <c r="AJ967" s="898"/>
      <c r="AK967" s="898"/>
      <c r="AL967" s="898"/>
      <c r="AM967" s="897"/>
      <c r="AN967" s="897"/>
      <c r="AO967" s="897"/>
      <c r="AP967" s="897"/>
      <c r="AQ967" s="897"/>
      <c r="AR967" s="897"/>
      <c r="AS967" s="897"/>
      <c r="AT967" s="897"/>
    </row>
    <row r="968" spans="1:46" s="930" customFormat="1">
      <c r="A968" s="892"/>
      <c r="B968" s="899"/>
      <c r="C968" s="900"/>
      <c r="D968" s="894"/>
      <c r="E968" s="936"/>
      <c r="F968" s="905"/>
      <c r="G968" s="896"/>
      <c r="H968" s="897"/>
      <c r="I968" s="897"/>
      <c r="J968" s="897"/>
      <c r="K968" s="897"/>
      <c r="L968" s="898"/>
      <c r="M968" s="898"/>
      <c r="N968" s="898"/>
      <c r="O968" s="898"/>
      <c r="P968" s="898"/>
      <c r="Q968" s="898"/>
      <c r="R968" s="898"/>
      <c r="S968" s="898"/>
      <c r="T968" s="898"/>
      <c r="U968" s="898"/>
      <c r="V968" s="898"/>
      <c r="W968" s="898"/>
      <c r="X968" s="898"/>
      <c r="Y968" s="898"/>
      <c r="Z968" s="898"/>
      <c r="AA968" s="898"/>
      <c r="AB968" s="898"/>
      <c r="AC968" s="898"/>
      <c r="AD968" s="898"/>
      <c r="AE968" s="898"/>
      <c r="AF968" s="898"/>
      <c r="AG968" s="898"/>
      <c r="AH968" s="898"/>
      <c r="AI968" s="898"/>
      <c r="AJ968" s="898"/>
      <c r="AK968" s="898"/>
      <c r="AL968" s="898"/>
      <c r="AM968" s="897"/>
      <c r="AN968" s="897"/>
      <c r="AO968" s="897"/>
      <c r="AP968" s="897"/>
      <c r="AQ968" s="897"/>
      <c r="AR968" s="897"/>
      <c r="AS968" s="897"/>
      <c r="AT968" s="897"/>
    </row>
    <row r="969" spans="1:46" s="930" customFormat="1">
      <c r="A969" s="892"/>
      <c r="B969" s="899"/>
      <c r="C969" s="900"/>
      <c r="D969" s="894"/>
      <c r="E969" s="936"/>
      <c r="F969" s="905"/>
      <c r="G969" s="896"/>
      <c r="H969" s="897"/>
      <c r="I969" s="897"/>
      <c r="J969" s="897"/>
      <c r="K969" s="897"/>
      <c r="L969" s="898"/>
      <c r="M969" s="898"/>
      <c r="N969" s="898"/>
      <c r="O969" s="898"/>
      <c r="P969" s="898"/>
      <c r="Q969" s="898"/>
      <c r="R969" s="898"/>
      <c r="S969" s="898"/>
      <c r="T969" s="898"/>
      <c r="U969" s="898"/>
      <c r="V969" s="898"/>
      <c r="W969" s="898"/>
      <c r="X969" s="898"/>
      <c r="Y969" s="898"/>
      <c r="Z969" s="898"/>
      <c r="AA969" s="898"/>
      <c r="AB969" s="898"/>
      <c r="AC969" s="898"/>
      <c r="AD969" s="898"/>
      <c r="AE969" s="898"/>
      <c r="AF969" s="898"/>
      <c r="AG969" s="898"/>
      <c r="AH969" s="898"/>
      <c r="AI969" s="898"/>
      <c r="AJ969" s="898"/>
      <c r="AK969" s="898"/>
      <c r="AL969" s="898"/>
      <c r="AM969" s="897"/>
      <c r="AN969" s="897"/>
      <c r="AO969" s="897"/>
      <c r="AP969" s="897"/>
      <c r="AQ969" s="897"/>
      <c r="AR969" s="897"/>
      <c r="AS969" s="897"/>
      <c r="AT969" s="897"/>
    </row>
    <row r="970" spans="1:46" s="930" customFormat="1">
      <c r="A970" s="892"/>
      <c r="B970" s="899"/>
      <c r="C970" s="900"/>
      <c r="D970" s="894"/>
      <c r="E970" s="936"/>
      <c r="F970" s="905"/>
      <c r="G970" s="896"/>
      <c r="H970" s="897"/>
      <c r="I970" s="897"/>
      <c r="J970" s="897"/>
      <c r="K970" s="897"/>
      <c r="L970" s="898"/>
      <c r="M970" s="898"/>
      <c r="N970" s="898"/>
      <c r="O970" s="898"/>
      <c r="P970" s="898"/>
      <c r="Q970" s="898"/>
      <c r="R970" s="898"/>
      <c r="S970" s="898"/>
      <c r="T970" s="898"/>
      <c r="U970" s="898"/>
      <c r="V970" s="898"/>
      <c r="W970" s="898"/>
      <c r="X970" s="898"/>
      <c r="Y970" s="898"/>
      <c r="Z970" s="898"/>
      <c r="AA970" s="898"/>
      <c r="AB970" s="898"/>
      <c r="AC970" s="898"/>
      <c r="AD970" s="898"/>
      <c r="AE970" s="898"/>
      <c r="AF970" s="898"/>
      <c r="AG970" s="898"/>
      <c r="AH970" s="898"/>
      <c r="AI970" s="898"/>
      <c r="AJ970" s="898"/>
      <c r="AK970" s="898"/>
      <c r="AL970" s="898"/>
      <c r="AM970" s="897"/>
      <c r="AN970" s="897"/>
      <c r="AO970" s="897"/>
      <c r="AP970" s="897"/>
      <c r="AQ970" s="897"/>
      <c r="AR970" s="897"/>
      <c r="AS970" s="897"/>
      <c r="AT970" s="897"/>
    </row>
    <row r="971" spans="1:46" s="930" customFormat="1">
      <c r="A971" s="892"/>
      <c r="B971" s="899"/>
      <c r="C971" s="900"/>
      <c r="D971" s="894"/>
      <c r="E971" s="936"/>
      <c r="F971" s="905"/>
      <c r="G971" s="896"/>
      <c r="H971" s="897"/>
      <c r="I971" s="897"/>
      <c r="J971" s="897"/>
      <c r="K971" s="897"/>
      <c r="L971" s="898"/>
      <c r="M971" s="898"/>
      <c r="N971" s="898"/>
      <c r="O971" s="898"/>
      <c r="P971" s="898"/>
      <c r="Q971" s="898"/>
      <c r="R971" s="898"/>
      <c r="S971" s="898"/>
      <c r="T971" s="898"/>
      <c r="U971" s="898"/>
      <c r="V971" s="898"/>
      <c r="W971" s="898"/>
      <c r="X971" s="898"/>
      <c r="Y971" s="898"/>
      <c r="Z971" s="898"/>
      <c r="AA971" s="898"/>
      <c r="AB971" s="898"/>
      <c r="AC971" s="898"/>
      <c r="AD971" s="898"/>
      <c r="AE971" s="898"/>
      <c r="AF971" s="898"/>
      <c r="AG971" s="898"/>
      <c r="AH971" s="898"/>
      <c r="AI971" s="898"/>
      <c r="AJ971" s="898"/>
      <c r="AK971" s="898"/>
      <c r="AL971" s="898"/>
      <c r="AM971" s="897"/>
      <c r="AN971" s="897"/>
      <c r="AO971" s="897"/>
      <c r="AP971" s="897"/>
      <c r="AQ971" s="897"/>
      <c r="AR971" s="897"/>
      <c r="AS971" s="897"/>
      <c r="AT971" s="897"/>
    </row>
    <row r="972" spans="1:46" s="930" customFormat="1">
      <c r="A972" s="892"/>
      <c r="B972" s="899"/>
      <c r="C972" s="900"/>
      <c r="D972" s="894"/>
      <c r="E972" s="936"/>
      <c r="F972" s="905"/>
      <c r="G972" s="896"/>
      <c r="H972" s="897"/>
      <c r="I972" s="897"/>
      <c r="J972" s="897"/>
      <c r="K972" s="897"/>
      <c r="L972" s="898"/>
      <c r="M972" s="898"/>
      <c r="N972" s="898"/>
      <c r="O972" s="898"/>
      <c r="P972" s="898"/>
      <c r="Q972" s="898"/>
      <c r="R972" s="898"/>
      <c r="S972" s="898"/>
      <c r="T972" s="898"/>
      <c r="U972" s="898"/>
      <c r="V972" s="898"/>
      <c r="W972" s="898"/>
      <c r="X972" s="898"/>
      <c r="Y972" s="898"/>
      <c r="Z972" s="898"/>
      <c r="AA972" s="898"/>
      <c r="AB972" s="898"/>
      <c r="AC972" s="898"/>
      <c r="AD972" s="898"/>
      <c r="AE972" s="898"/>
      <c r="AF972" s="898"/>
      <c r="AG972" s="898"/>
      <c r="AH972" s="898"/>
      <c r="AI972" s="898"/>
      <c r="AJ972" s="898"/>
      <c r="AK972" s="898"/>
      <c r="AL972" s="898"/>
      <c r="AM972" s="897"/>
      <c r="AN972" s="897"/>
      <c r="AO972" s="897"/>
      <c r="AP972" s="897"/>
      <c r="AQ972" s="897"/>
      <c r="AR972" s="897"/>
      <c r="AS972" s="897"/>
      <c r="AT972" s="897"/>
    </row>
    <row r="973" spans="1:46" s="930" customFormat="1">
      <c r="A973" s="892"/>
      <c r="B973" s="899"/>
      <c r="C973" s="900"/>
      <c r="D973" s="894"/>
      <c r="E973" s="936"/>
      <c r="F973" s="905"/>
      <c r="G973" s="896"/>
      <c r="H973" s="897"/>
      <c r="I973" s="897"/>
      <c r="J973" s="897"/>
      <c r="K973" s="897"/>
      <c r="L973" s="898"/>
      <c r="M973" s="898"/>
      <c r="N973" s="898"/>
      <c r="O973" s="898"/>
      <c r="P973" s="898"/>
      <c r="Q973" s="898"/>
      <c r="R973" s="898"/>
      <c r="S973" s="898"/>
      <c r="T973" s="898"/>
      <c r="U973" s="898"/>
      <c r="V973" s="898"/>
      <c r="W973" s="898"/>
      <c r="X973" s="898"/>
      <c r="Y973" s="898"/>
      <c r="Z973" s="898"/>
      <c r="AA973" s="898"/>
      <c r="AB973" s="898"/>
      <c r="AC973" s="898"/>
      <c r="AD973" s="898"/>
      <c r="AE973" s="898"/>
      <c r="AF973" s="898"/>
      <c r="AG973" s="898"/>
      <c r="AH973" s="898"/>
      <c r="AI973" s="898"/>
      <c r="AJ973" s="898"/>
      <c r="AK973" s="898"/>
      <c r="AL973" s="898"/>
      <c r="AM973" s="897"/>
      <c r="AN973" s="897"/>
      <c r="AO973" s="897"/>
      <c r="AP973" s="897"/>
      <c r="AQ973" s="897"/>
      <c r="AR973" s="897"/>
      <c r="AS973" s="897"/>
      <c r="AT973" s="897"/>
    </row>
    <row r="974" spans="1:46" s="930" customFormat="1">
      <c r="A974" s="892"/>
      <c r="B974" s="899"/>
      <c r="C974" s="900"/>
      <c r="D974" s="894"/>
      <c r="E974" s="936"/>
      <c r="F974" s="905"/>
      <c r="G974" s="896"/>
      <c r="H974" s="897"/>
      <c r="I974" s="897"/>
      <c r="J974" s="897"/>
      <c r="K974" s="897"/>
      <c r="L974" s="898"/>
      <c r="M974" s="898"/>
      <c r="N974" s="898"/>
      <c r="O974" s="898"/>
      <c r="P974" s="898"/>
      <c r="Q974" s="898"/>
      <c r="R974" s="898"/>
      <c r="S974" s="898"/>
      <c r="T974" s="898"/>
      <c r="U974" s="898"/>
      <c r="V974" s="898"/>
      <c r="W974" s="898"/>
      <c r="X974" s="898"/>
      <c r="Y974" s="898"/>
      <c r="Z974" s="898"/>
      <c r="AA974" s="898"/>
      <c r="AB974" s="898"/>
      <c r="AC974" s="898"/>
      <c r="AD974" s="898"/>
      <c r="AE974" s="898"/>
      <c r="AF974" s="898"/>
      <c r="AG974" s="898"/>
      <c r="AH974" s="898"/>
      <c r="AI974" s="898"/>
      <c r="AJ974" s="898"/>
      <c r="AK974" s="898"/>
      <c r="AL974" s="898"/>
      <c r="AM974" s="897"/>
      <c r="AN974" s="897"/>
      <c r="AO974" s="897"/>
      <c r="AP974" s="897"/>
      <c r="AQ974" s="897"/>
      <c r="AR974" s="897"/>
      <c r="AS974" s="897"/>
      <c r="AT974" s="897"/>
    </row>
    <row r="975" spans="1:46" s="930" customFormat="1">
      <c r="A975" s="892"/>
      <c r="B975" s="899"/>
      <c r="C975" s="900"/>
      <c r="D975" s="894"/>
      <c r="E975" s="936"/>
      <c r="F975" s="905"/>
      <c r="G975" s="896"/>
      <c r="H975" s="897"/>
      <c r="I975" s="897"/>
      <c r="J975" s="897"/>
      <c r="K975" s="897"/>
      <c r="L975" s="898"/>
      <c r="M975" s="898"/>
      <c r="N975" s="898"/>
      <c r="O975" s="898"/>
      <c r="P975" s="898"/>
      <c r="Q975" s="898"/>
      <c r="R975" s="898"/>
      <c r="S975" s="898"/>
      <c r="T975" s="898"/>
      <c r="U975" s="898"/>
      <c r="V975" s="898"/>
      <c r="W975" s="898"/>
      <c r="X975" s="898"/>
      <c r="Y975" s="898"/>
      <c r="Z975" s="898"/>
      <c r="AA975" s="898"/>
      <c r="AB975" s="898"/>
      <c r="AC975" s="898"/>
      <c r="AD975" s="898"/>
      <c r="AE975" s="898"/>
      <c r="AF975" s="898"/>
      <c r="AG975" s="898"/>
      <c r="AH975" s="898"/>
      <c r="AI975" s="898"/>
      <c r="AJ975" s="898"/>
      <c r="AK975" s="898"/>
      <c r="AL975" s="898"/>
      <c r="AM975" s="897"/>
      <c r="AN975" s="897"/>
      <c r="AO975" s="897"/>
      <c r="AP975" s="897"/>
      <c r="AQ975" s="897"/>
      <c r="AR975" s="897"/>
      <c r="AS975" s="897"/>
      <c r="AT975" s="897"/>
    </row>
    <row r="976" spans="1:46" s="930" customFormat="1">
      <c r="A976" s="892"/>
      <c r="B976" s="899"/>
      <c r="C976" s="900"/>
      <c r="D976" s="894"/>
      <c r="E976" s="936"/>
      <c r="F976" s="905"/>
      <c r="G976" s="896"/>
      <c r="H976" s="897"/>
      <c r="I976" s="897"/>
      <c r="J976" s="897"/>
      <c r="K976" s="897"/>
      <c r="L976" s="898"/>
      <c r="M976" s="898"/>
      <c r="N976" s="898"/>
      <c r="O976" s="898"/>
      <c r="P976" s="898"/>
      <c r="Q976" s="898"/>
      <c r="R976" s="898"/>
      <c r="S976" s="898"/>
      <c r="T976" s="898"/>
      <c r="U976" s="898"/>
      <c r="V976" s="898"/>
      <c r="W976" s="898"/>
      <c r="X976" s="898"/>
      <c r="Y976" s="898"/>
      <c r="Z976" s="898"/>
      <c r="AA976" s="898"/>
      <c r="AB976" s="898"/>
      <c r="AC976" s="898"/>
      <c r="AD976" s="898"/>
      <c r="AE976" s="898"/>
      <c r="AF976" s="898"/>
      <c r="AG976" s="898"/>
      <c r="AH976" s="898"/>
      <c r="AI976" s="898"/>
      <c r="AJ976" s="898"/>
      <c r="AK976" s="898"/>
      <c r="AL976" s="898"/>
      <c r="AM976" s="897"/>
      <c r="AN976" s="897"/>
      <c r="AO976" s="897"/>
      <c r="AP976" s="897"/>
      <c r="AQ976" s="897"/>
      <c r="AR976" s="897"/>
      <c r="AS976" s="897"/>
      <c r="AT976" s="897"/>
    </row>
    <row r="977" spans="1:46" s="930" customFormat="1">
      <c r="A977" s="892"/>
      <c r="B977" s="899"/>
      <c r="C977" s="900"/>
      <c r="D977" s="894"/>
      <c r="E977" s="936"/>
      <c r="F977" s="905"/>
      <c r="G977" s="896"/>
      <c r="H977" s="897"/>
      <c r="I977" s="897"/>
      <c r="J977" s="897"/>
      <c r="K977" s="897"/>
      <c r="L977" s="898"/>
      <c r="M977" s="898"/>
      <c r="N977" s="898"/>
      <c r="O977" s="898"/>
      <c r="P977" s="898"/>
      <c r="Q977" s="898"/>
      <c r="R977" s="898"/>
      <c r="S977" s="898"/>
      <c r="T977" s="898"/>
      <c r="U977" s="898"/>
      <c r="V977" s="898"/>
      <c r="W977" s="898"/>
      <c r="X977" s="898"/>
      <c r="Y977" s="898"/>
      <c r="Z977" s="898"/>
      <c r="AA977" s="898"/>
      <c r="AB977" s="898"/>
      <c r="AC977" s="898"/>
      <c r="AD977" s="898"/>
      <c r="AE977" s="898"/>
      <c r="AF977" s="898"/>
      <c r="AG977" s="898"/>
      <c r="AH977" s="898"/>
      <c r="AI977" s="898"/>
      <c r="AJ977" s="898"/>
      <c r="AK977" s="898"/>
      <c r="AL977" s="898"/>
      <c r="AM977" s="897"/>
      <c r="AN977" s="897"/>
      <c r="AO977" s="897"/>
      <c r="AP977" s="897"/>
      <c r="AQ977" s="897"/>
      <c r="AR977" s="897"/>
      <c r="AS977" s="897"/>
      <c r="AT977" s="897"/>
    </row>
    <row r="978" spans="1:46" s="930" customFormat="1">
      <c r="A978" s="892"/>
      <c r="B978" s="899"/>
      <c r="C978" s="900"/>
      <c r="D978" s="894"/>
      <c r="E978" s="936"/>
      <c r="F978" s="905"/>
      <c r="G978" s="896"/>
      <c r="H978" s="897"/>
      <c r="I978" s="897"/>
      <c r="J978" s="897"/>
      <c r="K978" s="897"/>
      <c r="L978" s="898"/>
      <c r="M978" s="898"/>
      <c r="N978" s="898"/>
      <c r="O978" s="898"/>
      <c r="P978" s="898"/>
      <c r="Q978" s="898"/>
      <c r="R978" s="898"/>
      <c r="S978" s="898"/>
      <c r="T978" s="898"/>
      <c r="U978" s="898"/>
      <c r="V978" s="898"/>
      <c r="W978" s="898"/>
      <c r="X978" s="898"/>
      <c r="Y978" s="898"/>
      <c r="Z978" s="898"/>
      <c r="AA978" s="898"/>
      <c r="AB978" s="898"/>
      <c r="AC978" s="898"/>
      <c r="AD978" s="898"/>
      <c r="AE978" s="898"/>
      <c r="AF978" s="898"/>
      <c r="AG978" s="898"/>
      <c r="AH978" s="898"/>
      <c r="AI978" s="898"/>
      <c r="AJ978" s="898"/>
      <c r="AK978" s="898"/>
      <c r="AL978" s="898"/>
      <c r="AM978" s="897"/>
      <c r="AN978" s="897"/>
      <c r="AO978" s="897"/>
      <c r="AP978" s="897"/>
      <c r="AQ978" s="897"/>
      <c r="AR978" s="897"/>
      <c r="AS978" s="897"/>
      <c r="AT978" s="897"/>
    </row>
    <row r="979" spans="1:46" s="930" customFormat="1">
      <c r="A979" s="892"/>
      <c r="B979" s="899"/>
      <c r="C979" s="900"/>
      <c r="D979" s="894"/>
      <c r="E979" s="936"/>
      <c r="F979" s="905"/>
      <c r="G979" s="896"/>
      <c r="H979" s="897"/>
      <c r="I979" s="897"/>
      <c r="J979" s="897"/>
      <c r="K979" s="897"/>
      <c r="L979" s="898"/>
      <c r="M979" s="898"/>
      <c r="N979" s="898"/>
      <c r="O979" s="898"/>
      <c r="P979" s="898"/>
      <c r="Q979" s="898"/>
      <c r="R979" s="898"/>
      <c r="S979" s="898"/>
      <c r="T979" s="898"/>
      <c r="U979" s="898"/>
      <c r="V979" s="898"/>
      <c r="W979" s="898"/>
      <c r="X979" s="898"/>
      <c r="Y979" s="898"/>
      <c r="Z979" s="898"/>
      <c r="AA979" s="898"/>
      <c r="AB979" s="898"/>
      <c r="AC979" s="898"/>
      <c r="AD979" s="898"/>
      <c r="AE979" s="898"/>
      <c r="AF979" s="898"/>
      <c r="AG979" s="898"/>
      <c r="AH979" s="898"/>
      <c r="AI979" s="898"/>
      <c r="AJ979" s="898"/>
      <c r="AK979" s="898"/>
      <c r="AL979" s="898"/>
      <c r="AM979" s="897"/>
      <c r="AN979" s="897"/>
      <c r="AO979" s="897"/>
      <c r="AP979" s="897"/>
      <c r="AQ979" s="897"/>
      <c r="AR979" s="897"/>
      <c r="AS979" s="897"/>
      <c r="AT979" s="897"/>
    </row>
    <row r="980" spans="1:46" s="930" customFormat="1">
      <c r="A980" s="892"/>
      <c r="B980" s="899"/>
      <c r="C980" s="900"/>
      <c r="D980" s="894"/>
      <c r="E980" s="936"/>
      <c r="F980" s="905"/>
      <c r="G980" s="896"/>
      <c r="H980" s="897"/>
      <c r="I980" s="897"/>
      <c r="J980" s="897"/>
      <c r="K980" s="897"/>
      <c r="L980" s="898"/>
      <c r="M980" s="898"/>
      <c r="N980" s="898"/>
      <c r="O980" s="898"/>
      <c r="P980" s="898"/>
      <c r="Q980" s="898"/>
      <c r="R980" s="898"/>
      <c r="S980" s="898"/>
      <c r="T980" s="898"/>
      <c r="U980" s="898"/>
      <c r="V980" s="898"/>
      <c r="W980" s="898"/>
      <c r="X980" s="898"/>
      <c r="Y980" s="898"/>
      <c r="Z980" s="898"/>
      <c r="AA980" s="898"/>
      <c r="AB980" s="898"/>
      <c r="AC980" s="898"/>
      <c r="AD980" s="898"/>
      <c r="AE980" s="898"/>
      <c r="AF980" s="898"/>
      <c r="AG980" s="898"/>
      <c r="AH980" s="898"/>
      <c r="AI980" s="898"/>
      <c r="AJ980" s="898"/>
      <c r="AK980" s="898"/>
      <c r="AL980" s="898"/>
      <c r="AM980" s="897"/>
      <c r="AN980" s="897"/>
      <c r="AO980" s="897"/>
      <c r="AP980" s="897"/>
      <c r="AQ980" s="897"/>
      <c r="AR980" s="897"/>
      <c r="AS980" s="897"/>
      <c r="AT980" s="897"/>
    </row>
    <row r="981" spans="1:46" s="930" customFormat="1">
      <c r="A981" s="892"/>
      <c r="B981" s="899"/>
      <c r="C981" s="900"/>
      <c r="D981" s="894"/>
      <c r="E981" s="936"/>
      <c r="F981" s="905"/>
      <c r="G981" s="896"/>
      <c r="H981" s="897"/>
      <c r="I981" s="897"/>
      <c r="J981" s="897"/>
      <c r="K981" s="897"/>
      <c r="L981" s="898"/>
      <c r="M981" s="898"/>
      <c r="N981" s="898"/>
      <c r="O981" s="898"/>
      <c r="P981" s="898"/>
      <c r="Q981" s="898"/>
      <c r="R981" s="898"/>
      <c r="S981" s="898"/>
      <c r="T981" s="898"/>
      <c r="U981" s="898"/>
      <c r="V981" s="898"/>
      <c r="W981" s="898"/>
      <c r="X981" s="898"/>
      <c r="Y981" s="898"/>
      <c r="Z981" s="898"/>
      <c r="AA981" s="898"/>
      <c r="AB981" s="898"/>
      <c r="AC981" s="898"/>
      <c r="AD981" s="898"/>
      <c r="AE981" s="898"/>
      <c r="AF981" s="898"/>
      <c r="AG981" s="898"/>
      <c r="AH981" s="898"/>
      <c r="AI981" s="898"/>
      <c r="AJ981" s="898"/>
      <c r="AK981" s="898"/>
      <c r="AL981" s="898"/>
      <c r="AM981" s="897"/>
      <c r="AN981" s="897"/>
      <c r="AO981" s="897"/>
      <c r="AP981" s="897"/>
      <c r="AQ981" s="897"/>
      <c r="AR981" s="897"/>
      <c r="AS981" s="897"/>
      <c r="AT981" s="897"/>
    </row>
    <row r="982" spans="1:46" s="930" customFormat="1">
      <c r="A982" s="892"/>
      <c r="B982" s="899"/>
      <c r="C982" s="900"/>
      <c r="D982" s="894"/>
      <c r="E982" s="936"/>
      <c r="F982" s="905"/>
      <c r="G982" s="896"/>
      <c r="H982" s="897"/>
      <c r="I982" s="897"/>
      <c r="J982" s="897"/>
      <c r="K982" s="897"/>
      <c r="L982" s="898"/>
      <c r="M982" s="898"/>
      <c r="N982" s="898"/>
      <c r="O982" s="898"/>
      <c r="P982" s="898"/>
      <c r="Q982" s="898"/>
      <c r="R982" s="898"/>
      <c r="S982" s="898"/>
      <c r="T982" s="898"/>
      <c r="U982" s="898"/>
      <c r="V982" s="898"/>
      <c r="W982" s="898"/>
      <c r="X982" s="898"/>
      <c r="Y982" s="898"/>
      <c r="Z982" s="898"/>
      <c r="AA982" s="898"/>
      <c r="AB982" s="898"/>
      <c r="AC982" s="898"/>
      <c r="AD982" s="898"/>
      <c r="AE982" s="898"/>
      <c r="AF982" s="898"/>
      <c r="AG982" s="898"/>
      <c r="AH982" s="898"/>
      <c r="AI982" s="898"/>
      <c r="AJ982" s="898"/>
      <c r="AK982" s="898"/>
      <c r="AL982" s="898"/>
      <c r="AM982" s="897"/>
      <c r="AN982" s="897"/>
      <c r="AO982" s="897"/>
      <c r="AP982" s="897"/>
      <c r="AQ982" s="897"/>
      <c r="AR982" s="897"/>
      <c r="AS982" s="897"/>
      <c r="AT982" s="897"/>
    </row>
    <row r="983" spans="1:46" s="930" customFormat="1">
      <c r="A983" s="892"/>
      <c r="B983" s="899"/>
      <c r="C983" s="900"/>
      <c r="D983" s="894"/>
      <c r="E983" s="936"/>
      <c r="F983" s="905"/>
      <c r="G983" s="896"/>
      <c r="H983" s="897"/>
      <c r="I983" s="897"/>
      <c r="J983" s="897"/>
      <c r="K983" s="897"/>
      <c r="L983" s="898"/>
      <c r="M983" s="898"/>
      <c r="N983" s="898"/>
      <c r="O983" s="898"/>
      <c r="P983" s="898"/>
      <c r="Q983" s="898"/>
      <c r="R983" s="898"/>
      <c r="S983" s="898"/>
      <c r="T983" s="898"/>
      <c r="U983" s="898"/>
      <c r="V983" s="898"/>
      <c r="W983" s="898"/>
      <c r="X983" s="898"/>
      <c r="Y983" s="898"/>
      <c r="Z983" s="898"/>
      <c r="AA983" s="898"/>
      <c r="AB983" s="898"/>
      <c r="AC983" s="898"/>
      <c r="AD983" s="898"/>
      <c r="AE983" s="898"/>
      <c r="AF983" s="898"/>
      <c r="AG983" s="898"/>
      <c r="AH983" s="898"/>
      <c r="AI983" s="898"/>
      <c r="AJ983" s="898"/>
      <c r="AK983" s="898"/>
      <c r="AL983" s="898"/>
      <c r="AM983" s="897"/>
      <c r="AN983" s="897"/>
      <c r="AO983" s="897"/>
      <c r="AP983" s="897"/>
      <c r="AQ983" s="897"/>
      <c r="AR983" s="897"/>
      <c r="AS983" s="897"/>
      <c r="AT983" s="897"/>
    </row>
    <row r="984" spans="1:46" s="930" customFormat="1">
      <c r="A984" s="892"/>
      <c r="B984" s="899"/>
      <c r="C984" s="900"/>
      <c r="D984" s="894"/>
      <c r="E984" s="936"/>
      <c r="F984" s="905"/>
      <c r="G984" s="896"/>
      <c r="H984" s="897"/>
      <c r="I984" s="897"/>
      <c r="J984" s="897"/>
      <c r="K984" s="897"/>
      <c r="L984" s="898"/>
      <c r="M984" s="898"/>
      <c r="N984" s="898"/>
      <c r="O984" s="898"/>
      <c r="P984" s="898"/>
      <c r="Q984" s="898"/>
      <c r="R984" s="898"/>
      <c r="S984" s="898"/>
      <c r="T984" s="898"/>
      <c r="U984" s="898"/>
      <c r="V984" s="898"/>
      <c r="W984" s="898"/>
      <c r="X984" s="898"/>
      <c r="Y984" s="898"/>
      <c r="Z984" s="898"/>
      <c r="AA984" s="898"/>
      <c r="AB984" s="898"/>
      <c r="AC984" s="898"/>
      <c r="AD984" s="898"/>
      <c r="AE984" s="898"/>
      <c r="AF984" s="898"/>
      <c r="AG984" s="898"/>
      <c r="AH984" s="898"/>
      <c r="AI984" s="898"/>
      <c r="AJ984" s="898"/>
      <c r="AK984" s="898"/>
      <c r="AL984" s="898"/>
      <c r="AM984" s="897"/>
      <c r="AN984" s="897"/>
      <c r="AO984" s="897"/>
      <c r="AP984" s="897"/>
      <c r="AQ984" s="897"/>
      <c r="AR984" s="897"/>
      <c r="AS984" s="897"/>
      <c r="AT984" s="897"/>
    </row>
    <row r="985" spans="1:46" s="930" customFormat="1">
      <c r="A985" s="892"/>
      <c r="B985" s="899"/>
      <c r="C985" s="900"/>
      <c r="D985" s="894"/>
      <c r="E985" s="936"/>
      <c r="F985" s="905"/>
      <c r="G985" s="896"/>
      <c r="H985" s="897"/>
      <c r="I985" s="897"/>
      <c r="J985" s="897"/>
      <c r="K985" s="897"/>
      <c r="L985" s="898"/>
      <c r="M985" s="898"/>
      <c r="N985" s="898"/>
      <c r="O985" s="898"/>
      <c r="P985" s="898"/>
      <c r="Q985" s="898"/>
      <c r="R985" s="898"/>
      <c r="S985" s="898"/>
      <c r="T985" s="898"/>
      <c r="U985" s="898"/>
      <c r="V985" s="898"/>
      <c r="W985" s="898"/>
      <c r="X985" s="898"/>
      <c r="Y985" s="898"/>
      <c r="Z985" s="898"/>
      <c r="AA985" s="898"/>
      <c r="AB985" s="898"/>
      <c r="AC985" s="898"/>
      <c r="AD985" s="898"/>
      <c r="AE985" s="898"/>
      <c r="AF985" s="898"/>
      <c r="AG985" s="898"/>
      <c r="AH985" s="898"/>
      <c r="AI985" s="898"/>
      <c r="AJ985" s="898"/>
      <c r="AK985" s="898"/>
      <c r="AL985" s="898"/>
      <c r="AM985" s="897"/>
      <c r="AN985" s="897"/>
      <c r="AO985" s="897"/>
      <c r="AP985" s="897"/>
      <c r="AQ985" s="897"/>
      <c r="AR985" s="897"/>
      <c r="AS985" s="897"/>
      <c r="AT985" s="897"/>
    </row>
    <row r="986" spans="1:46" s="930" customFormat="1">
      <c r="A986" s="892"/>
      <c r="B986" s="899"/>
      <c r="C986" s="900"/>
      <c r="D986" s="894"/>
      <c r="E986" s="936"/>
      <c r="F986" s="905"/>
      <c r="G986" s="896"/>
      <c r="H986" s="897"/>
      <c r="I986" s="897"/>
      <c r="J986" s="897"/>
      <c r="K986" s="897"/>
      <c r="L986" s="898"/>
      <c r="M986" s="898"/>
      <c r="N986" s="898"/>
      <c r="O986" s="898"/>
      <c r="P986" s="898"/>
      <c r="Q986" s="898"/>
      <c r="R986" s="898"/>
      <c r="S986" s="898"/>
      <c r="T986" s="898"/>
      <c r="U986" s="898"/>
      <c r="V986" s="898"/>
      <c r="W986" s="898"/>
      <c r="X986" s="898"/>
      <c r="Y986" s="898"/>
      <c r="Z986" s="898"/>
      <c r="AA986" s="898"/>
      <c r="AB986" s="898"/>
      <c r="AC986" s="898"/>
      <c r="AD986" s="898"/>
      <c r="AE986" s="898"/>
      <c r="AF986" s="898"/>
      <c r="AG986" s="898"/>
      <c r="AH986" s="898"/>
      <c r="AI986" s="898"/>
      <c r="AJ986" s="898"/>
      <c r="AK986" s="898"/>
      <c r="AL986" s="898"/>
      <c r="AM986" s="897"/>
      <c r="AN986" s="897"/>
      <c r="AO986" s="897"/>
      <c r="AP986" s="897"/>
      <c r="AQ986" s="897"/>
      <c r="AR986" s="897"/>
      <c r="AS986" s="897"/>
      <c r="AT986" s="897"/>
    </row>
    <row r="987" spans="1:46" s="930" customFormat="1">
      <c r="A987" s="892"/>
      <c r="B987" s="899"/>
      <c r="C987" s="900"/>
      <c r="D987" s="894"/>
      <c r="E987" s="936"/>
      <c r="F987" s="905"/>
      <c r="G987" s="896"/>
      <c r="H987" s="897"/>
      <c r="I987" s="897"/>
      <c r="J987" s="897"/>
      <c r="K987" s="897"/>
      <c r="L987" s="898"/>
      <c r="M987" s="898"/>
      <c r="N987" s="898"/>
      <c r="O987" s="898"/>
      <c r="P987" s="898"/>
      <c r="Q987" s="898"/>
      <c r="R987" s="898"/>
      <c r="S987" s="898"/>
      <c r="T987" s="898"/>
      <c r="U987" s="898"/>
      <c r="V987" s="898"/>
      <c r="W987" s="898"/>
      <c r="X987" s="898"/>
      <c r="Y987" s="898"/>
      <c r="Z987" s="898"/>
      <c r="AA987" s="898"/>
      <c r="AB987" s="898"/>
      <c r="AC987" s="898"/>
      <c r="AD987" s="898"/>
      <c r="AE987" s="898"/>
      <c r="AF987" s="898"/>
      <c r="AG987" s="898"/>
      <c r="AH987" s="898"/>
      <c r="AI987" s="898"/>
      <c r="AJ987" s="898"/>
      <c r="AK987" s="898"/>
      <c r="AL987" s="898"/>
      <c r="AM987" s="897"/>
      <c r="AN987" s="897"/>
      <c r="AO987" s="897"/>
      <c r="AP987" s="897"/>
      <c r="AQ987" s="897"/>
      <c r="AR987" s="897"/>
      <c r="AS987" s="897"/>
      <c r="AT987" s="897"/>
    </row>
    <row r="988" spans="1:46" s="930" customFormat="1">
      <c r="A988" s="892"/>
      <c r="B988" s="899"/>
      <c r="C988" s="900"/>
      <c r="D988" s="894"/>
      <c r="E988" s="936"/>
      <c r="F988" s="905"/>
      <c r="G988" s="896"/>
      <c r="H988" s="897"/>
      <c r="I988" s="897"/>
      <c r="J988" s="897"/>
      <c r="K988" s="897"/>
      <c r="L988" s="898"/>
      <c r="M988" s="898"/>
      <c r="N988" s="898"/>
      <c r="O988" s="898"/>
      <c r="P988" s="898"/>
      <c r="Q988" s="898"/>
      <c r="R988" s="898"/>
      <c r="S988" s="898"/>
      <c r="T988" s="898"/>
      <c r="U988" s="898"/>
      <c r="V988" s="898"/>
      <c r="W988" s="898"/>
      <c r="X988" s="898"/>
      <c r="Y988" s="898"/>
      <c r="Z988" s="898"/>
      <c r="AA988" s="898"/>
      <c r="AB988" s="898"/>
      <c r="AC988" s="898"/>
      <c r="AD988" s="898"/>
      <c r="AE988" s="898"/>
      <c r="AF988" s="898"/>
      <c r="AG988" s="898"/>
      <c r="AH988" s="898"/>
      <c r="AI988" s="898"/>
      <c r="AJ988" s="898"/>
      <c r="AK988" s="898"/>
      <c r="AL988" s="898"/>
      <c r="AM988" s="897"/>
      <c r="AN988" s="897"/>
      <c r="AO988" s="897"/>
      <c r="AP988" s="897"/>
      <c r="AQ988" s="897"/>
      <c r="AR988" s="897"/>
      <c r="AS988" s="897"/>
      <c r="AT988" s="897"/>
    </row>
    <row r="989" spans="1:46" s="930" customFormat="1">
      <c r="A989" s="892"/>
      <c r="B989" s="899"/>
      <c r="C989" s="900"/>
      <c r="D989" s="894"/>
      <c r="E989" s="936"/>
      <c r="F989" s="905"/>
      <c r="G989" s="896"/>
      <c r="H989" s="897"/>
      <c r="I989" s="897"/>
      <c r="J989" s="897"/>
      <c r="K989" s="897"/>
      <c r="L989" s="898"/>
      <c r="M989" s="898"/>
      <c r="N989" s="898"/>
      <c r="O989" s="898"/>
      <c r="P989" s="898"/>
      <c r="Q989" s="898"/>
      <c r="R989" s="898"/>
      <c r="S989" s="898"/>
      <c r="T989" s="898"/>
      <c r="U989" s="898"/>
      <c r="V989" s="898"/>
      <c r="W989" s="898"/>
      <c r="X989" s="898"/>
      <c r="Y989" s="898"/>
      <c r="Z989" s="898"/>
      <c r="AA989" s="898"/>
      <c r="AB989" s="898"/>
      <c r="AC989" s="898"/>
      <c r="AD989" s="898"/>
      <c r="AE989" s="898"/>
      <c r="AF989" s="898"/>
      <c r="AG989" s="898"/>
      <c r="AH989" s="898"/>
      <c r="AI989" s="898"/>
      <c r="AJ989" s="898"/>
      <c r="AK989" s="898"/>
      <c r="AL989" s="898"/>
      <c r="AM989" s="897"/>
      <c r="AN989" s="897"/>
      <c r="AO989" s="897"/>
      <c r="AP989" s="897"/>
      <c r="AQ989" s="897"/>
      <c r="AR989" s="897"/>
      <c r="AS989" s="897"/>
      <c r="AT989" s="897"/>
    </row>
    <row r="990" spans="1:46" s="930" customFormat="1">
      <c r="A990" s="892"/>
      <c r="B990" s="899"/>
      <c r="C990" s="900"/>
      <c r="D990" s="894"/>
      <c r="E990" s="936"/>
      <c r="F990" s="905"/>
      <c r="G990" s="896"/>
      <c r="H990" s="897"/>
      <c r="I990" s="897"/>
      <c r="J990" s="897"/>
      <c r="K990" s="897"/>
      <c r="L990" s="898"/>
      <c r="M990" s="898"/>
      <c r="N990" s="898"/>
      <c r="O990" s="898"/>
      <c r="P990" s="898"/>
      <c r="Q990" s="898"/>
      <c r="R990" s="898"/>
      <c r="S990" s="898"/>
      <c r="T990" s="898"/>
      <c r="U990" s="898"/>
      <c r="V990" s="898"/>
      <c r="W990" s="898"/>
      <c r="X990" s="898"/>
      <c r="Y990" s="898"/>
      <c r="Z990" s="898"/>
      <c r="AA990" s="898"/>
      <c r="AB990" s="898"/>
      <c r="AC990" s="898"/>
      <c r="AD990" s="898"/>
      <c r="AE990" s="898"/>
      <c r="AF990" s="898"/>
      <c r="AG990" s="898"/>
      <c r="AH990" s="898"/>
      <c r="AI990" s="898"/>
      <c r="AJ990" s="898"/>
      <c r="AK990" s="898"/>
      <c r="AL990" s="898"/>
      <c r="AM990" s="897"/>
      <c r="AN990" s="897"/>
      <c r="AO990" s="897"/>
      <c r="AP990" s="897"/>
      <c r="AQ990" s="897"/>
      <c r="AR990" s="897"/>
      <c r="AS990" s="897"/>
      <c r="AT990" s="897"/>
    </row>
    <row r="991" spans="1:46" s="930" customFormat="1">
      <c r="A991" s="892"/>
      <c r="B991" s="899"/>
      <c r="C991" s="900"/>
      <c r="D991" s="894"/>
      <c r="E991" s="936"/>
      <c r="F991" s="905"/>
      <c r="G991" s="896"/>
      <c r="H991" s="897"/>
      <c r="I991" s="897"/>
      <c r="J991" s="897"/>
      <c r="K991" s="897"/>
      <c r="L991" s="898"/>
      <c r="M991" s="898"/>
      <c r="N991" s="898"/>
      <c r="O991" s="898"/>
      <c r="P991" s="898"/>
      <c r="Q991" s="898"/>
      <c r="R991" s="898"/>
      <c r="S991" s="898"/>
      <c r="T991" s="898"/>
      <c r="U991" s="898"/>
      <c r="V991" s="898"/>
      <c r="W991" s="898"/>
      <c r="X991" s="898"/>
      <c r="Y991" s="898"/>
      <c r="Z991" s="898"/>
      <c r="AA991" s="898"/>
      <c r="AB991" s="898"/>
      <c r="AC991" s="898"/>
      <c r="AD991" s="898"/>
      <c r="AE991" s="898"/>
      <c r="AF991" s="898"/>
      <c r="AG991" s="898"/>
      <c r="AH991" s="898"/>
      <c r="AI991" s="898"/>
      <c r="AJ991" s="898"/>
      <c r="AK991" s="898"/>
      <c r="AL991" s="898"/>
      <c r="AM991" s="897"/>
      <c r="AN991" s="897"/>
      <c r="AO991" s="897"/>
      <c r="AP991" s="897"/>
      <c r="AQ991" s="897"/>
      <c r="AR991" s="897"/>
      <c r="AS991" s="897"/>
      <c r="AT991" s="897"/>
    </row>
    <row r="992" spans="1:46" s="930" customFormat="1">
      <c r="A992" s="892"/>
      <c r="B992" s="899"/>
      <c r="C992" s="900"/>
      <c r="D992" s="894"/>
      <c r="E992" s="936"/>
      <c r="F992" s="905"/>
      <c r="G992" s="896"/>
      <c r="H992" s="897"/>
      <c r="I992" s="897"/>
      <c r="J992" s="897"/>
      <c r="K992" s="897"/>
      <c r="L992" s="898"/>
      <c r="M992" s="898"/>
      <c r="N992" s="898"/>
      <c r="O992" s="898"/>
      <c r="P992" s="898"/>
      <c r="Q992" s="898"/>
      <c r="R992" s="898"/>
      <c r="S992" s="898"/>
      <c r="T992" s="898"/>
      <c r="U992" s="898"/>
      <c r="V992" s="898"/>
      <c r="W992" s="898"/>
      <c r="X992" s="898"/>
      <c r="Y992" s="898"/>
      <c r="Z992" s="898"/>
      <c r="AA992" s="898"/>
      <c r="AB992" s="898"/>
      <c r="AC992" s="898"/>
      <c r="AD992" s="898"/>
      <c r="AE992" s="898"/>
      <c r="AF992" s="898"/>
      <c r="AG992" s="898"/>
      <c r="AH992" s="898"/>
      <c r="AI992" s="898"/>
      <c r="AJ992" s="898"/>
      <c r="AK992" s="898"/>
      <c r="AL992" s="898"/>
      <c r="AM992" s="897"/>
      <c r="AN992" s="897"/>
      <c r="AO992" s="897"/>
      <c r="AP992" s="897"/>
      <c r="AQ992" s="897"/>
      <c r="AR992" s="897"/>
      <c r="AS992" s="897"/>
      <c r="AT992" s="897"/>
    </row>
    <row r="993" spans="1:46" s="930" customFormat="1">
      <c r="A993" s="892"/>
      <c r="B993" s="899"/>
      <c r="C993" s="900"/>
      <c r="D993" s="894"/>
      <c r="E993" s="936"/>
      <c r="F993" s="905"/>
      <c r="G993" s="896"/>
      <c r="H993" s="897"/>
      <c r="I993" s="897"/>
      <c r="J993" s="897"/>
      <c r="K993" s="897"/>
      <c r="L993" s="898"/>
      <c r="M993" s="898"/>
      <c r="N993" s="898"/>
      <c r="O993" s="898"/>
      <c r="P993" s="898"/>
      <c r="Q993" s="898"/>
      <c r="R993" s="898"/>
      <c r="S993" s="898"/>
      <c r="T993" s="898"/>
      <c r="U993" s="898"/>
      <c r="V993" s="898"/>
      <c r="W993" s="898"/>
      <c r="X993" s="898"/>
      <c r="Y993" s="898"/>
      <c r="Z993" s="898"/>
      <c r="AA993" s="898"/>
      <c r="AB993" s="898"/>
      <c r="AC993" s="898"/>
      <c r="AD993" s="898"/>
      <c r="AE993" s="898"/>
      <c r="AF993" s="898"/>
      <c r="AG993" s="898"/>
      <c r="AH993" s="898"/>
      <c r="AI993" s="898"/>
      <c r="AJ993" s="898"/>
      <c r="AK993" s="898"/>
      <c r="AL993" s="898"/>
      <c r="AM993" s="897"/>
      <c r="AN993" s="897"/>
      <c r="AO993" s="897"/>
      <c r="AP993" s="897"/>
      <c r="AQ993" s="897"/>
      <c r="AR993" s="897"/>
      <c r="AS993" s="897"/>
      <c r="AT993" s="897"/>
    </row>
    <row r="994" spans="1:46" s="930" customFormat="1">
      <c r="A994" s="892"/>
      <c r="B994" s="899"/>
      <c r="C994" s="900"/>
      <c r="D994" s="894"/>
      <c r="E994" s="936"/>
      <c r="F994" s="905"/>
      <c r="G994" s="896"/>
      <c r="H994" s="897"/>
      <c r="I994" s="897"/>
      <c r="J994" s="897"/>
      <c r="K994" s="897"/>
      <c r="L994" s="898"/>
      <c r="M994" s="898"/>
      <c r="N994" s="898"/>
      <c r="O994" s="898"/>
      <c r="P994" s="898"/>
      <c r="Q994" s="898"/>
      <c r="R994" s="898"/>
      <c r="S994" s="898"/>
      <c r="T994" s="898"/>
      <c r="U994" s="898"/>
      <c r="V994" s="898"/>
      <c r="W994" s="898"/>
      <c r="X994" s="898"/>
      <c r="Y994" s="898"/>
      <c r="Z994" s="898"/>
      <c r="AA994" s="898"/>
      <c r="AB994" s="898"/>
      <c r="AC994" s="898"/>
      <c r="AD994" s="898"/>
      <c r="AE994" s="898"/>
      <c r="AF994" s="898"/>
      <c r="AG994" s="898"/>
      <c r="AH994" s="898"/>
      <c r="AI994" s="898"/>
      <c r="AJ994" s="898"/>
      <c r="AK994" s="898"/>
      <c r="AL994" s="898"/>
      <c r="AM994" s="897"/>
      <c r="AN994" s="897"/>
      <c r="AO994" s="897"/>
      <c r="AP994" s="897"/>
      <c r="AQ994" s="897"/>
      <c r="AR994" s="897"/>
      <c r="AS994" s="897"/>
      <c r="AT994" s="897"/>
    </row>
    <row r="995" spans="1:46" s="930" customFormat="1">
      <c r="A995" s="892"/>
      <c r="B995" s="899"/>
      <c r="C995" s="900"/>
      <c r="D995" s="894"/>
      <c r="E995" s="936"/>
      <c r="F995" s="905"/>
      <c r="G995" s="896"/>
      <c r="H995" s="897"/>
      <c r="I995" s="897"/>
      <c r="J995" s="897"/>
      <c r="K995" s="897"/>
      <c r="L995" s="898"/>
      <c r="M995" s="898"/>
      <c r="N995" s="898"/>
      <c r="O995" s="898"/>
      <c r="P995" s="898"/>
      <c r="Q995" s="898"/>
      <c r="R995" s="898"/>
      <c r="S995" s="898"/>
      <c r="T995" s="898"/>
      <c r="U995" s="898"/>
      <c r="V995" s="898"/>
      <c r="W995" s="898"/>
      <c r="X995" s="898"/>
      <c r="Y995" s="898"/>
      <c r="Z995" s="898"/>
      <c r="AA995" s="898"/>
      <c r="AB995" s="898"/>
      <c r="AC995" s="898"/>
      <c r="AD995" s="898"/>
      <c r="AE995" s="898"/>
      <c r="AF995" s="898"/>
      <c r="AG995" s="898"/>
      <c r="AH995" s="898"/>
      <c r="AI995" s="898"/>
      <c r="AJ995" s="898"/>
      <c r="AK995" s="898"/>
      <c r="AL995" s="898"/>
      <c r="AM995" s="897"/>
      <c r="AN995" s="897"/>
      <c r="AO995" s="897"/>
      <c r="AP995" s="897"/>
      <c r="AQ995" s="897"/>
      <c r="AR995" s="897"/>
      <c r="AS995" s="897"/>
      <c r="AT995" s="897"/>
    </row>
    <row r="996" spans="1:46" s="930" customFormat="1">
      <c r="A996" s="892"/>
      <c r="B996" s="899"/>
      <c r="C996" s="900"/>
      <c r="D996" s="894"/>
      <c r="E996" s="936"/>
      <c r="F996" s="905"/>
      <c r="G996" s="896"/>
      <c r="H996" s="897"/>
      <c r="I996" s="897"/>
      <c r="J996" s="897"/>
      <c r="K996" s="897"/>
      <c r="L996" s="898"/>
      <c r="M996" s="898"/>
      <c r="N996" s="898"/>
      <c r="O996" s="898"/>
      <c r="P996" s="898"/>
      <c r="Q996" s="898"/>
      <c r="R996" s="898"/>
      <c r="S996" s="898"/>
      <c r="T996" s="898"/>
      <c r="U996" s="898"/>
      <c r="V996" s="898"/>
      <c r="W996" s="898"/>
      <c r="X996" s="898"/>
      <c r="Y996" s="898"/>
      <c r="Z996" s="898"/>
      <c r="AA996" s="898"/>
      <c r="AB996" s="898"/>
      <c r="AC996" s="898"/>
      <c r="AD996" s="898"/>
      <c r="AE996" s="898"/>
      <c r="AF996" s="898"/>
      <c r="AG996" s="898"/>
      <c r="AH996" s="898"/>
      <c r="AI996" s="898"/>
      <c r="AJ996" s="898"/>
      <c r="AK996" s="898"/>
      <c r="AL996" s="898"/>
      <c r="AM996" s="897"/>
      <c r="AN996" s="897"/>
      <c r="AO996" s="897"/>
      <c r="AP996" s="897"/>
      <c r="AQ996" s="897"/>
      <c r="AR996" s="897"/>
      <c r="AS996" s="897"/>
      <c r="AT996" s="897"/>
    </row>
    <row r="997" spans="1:46" s="930" customFormat="1">
      <c r="A997" s="892"/>
      <c r="B997" s="899"/>
      <c r="C997" s="900"/>
      <c r="D997" s="894"/>
      <c r="E997" s="936"/>
      <c r="F997" s="905"/>
      <c r="G997" s="896"/>
      <c r="H997" s="897"/>
      <c r="I997" s="897"/>
      <c r="J997" s="897"/>
      <c r="K997" s="897"/>
      <c r="L997" s="898"/>
      <c r="M997" s="898"/>
      <c r="N997" s="898"/>
      <c r="O997" s="898"/>
      <c r="P997" s="898"/>
      <c r="Q997" s="898"/>
      <c r="R997" s="898"/>
      <c r="S997" s="898"/>
      <c r="T997" s="898"/>
      <c r="U997" s="898"/>
      <c r="V997" s="898"/>
      <c r="W997" s="898"/>
      <c r="X997" s="898"/>
      <c r="Y997" s="898"/>
      <c r="Z997" s="898"/>
      <c r="AA997" s="898"/>
      <c r="AB997" s="898"/>
      <c r="AC997" s="898"/>
      <c r="AD997" s="898"/>
      <c r="AE997" s="898"/>
      <c r="AF997" s="898"/>
      <c r="AG997" s="898"/>
      <c r="AH997" s="898"/>
      <c r="AI997" s="898"/>
      <c r="AJ997" s="898"/>
      <c r="AK997" s="898"/>
      <c r="AL997" s="898"/>
      <c r="AM997" s="897"/>
      <c r="AN997" s="897"/>
      <c r="AO997" s="897"/>
      <c r="AP997" s="897"/>
      <c r="AQ997" s="897"/>
      <c r="AR997" s="897"/>
      <c r="AS997" s="897"/>
      <c r="AT997" s="897"/>
    </row>
    <row r="998" spans="1:46" s="930" customFormat="1">
      <c r="A998" s="892"/>
      <c r="B998" s="899"/>
      <c r="C998" s="900"/>
      <c r="D998" s="894"/>
      <c r="E998" s="936"/>
      <c r="F998" s="905"/>
      <c r="G998" s="896"/>
      <c r="H998" s="897"/>
      <c r="I998" s="897"/>
      <c r="J998" s="897"/>
      <c r="K998" s="897"/>
      <c r="L998" s="898"/>
      <c r="M998" s="898"/>
      <c r="N998" s="898"/>
      <c r="O998" s="898"/>
      <c r="P998" s="898"/>
      <c r="Q998" s="898"/>
      <c r="R998" s="898"/>
      <c r="S998" s="898"/>
      <c r="T998" s="898"/>
      <c r="U998" s="898"/>
      <c r="V998" s="898"/>
      <c r="W998" s="898"/>
      <c r="X998" s="898"/>
      <c r="Y998" s="898"/>
      <c r="Z998" s="898"/>
      <c r="AA998" s="898"/>
      <c r="AB998" s="898"/>
      <c r="AC998" s="898"/>
      <c r="AD998" s="898"/>
      <c r="AE998" s="898"/>
      <c r="AF998" s="898"/>
      <c r="AG998" s="898"/>
      <c r="AH998" s="898"/>
      <c r="AI998" s="898"/>
      <c r="AJ998" s="898"/>
      <c r="AK998" s="898"/>
      <c r="AL998" s="898"/>
      <c r="AM998" s="897"/>
      <c r="AN998" s="897"/>
      <c r="AO998" s="897"/>
      <c r="AP998" s="897"/>
      <c r="AQ998" s="897"/>
      <c r="AR998" s="897"/>
      <c r="AS998" s="897"/>
      <c r="AT998" s="897"/>
    </row>
    <row r="999" spans="1:46" s="930" customFormat="1">
      <c r="A999" s="892"/>
      <c r="B999" s="899"/>
      <c r="C999" s="900"/>
      <c r="D999" s="894"/>
      <c r="E999" s="936"/>
      <c r="F999" s="905"/>
      <c r="G999" s="896"/>
      <c r="H999" s="897"/>
      <c r="I999" s="897"/>
      <c r="J999" s="897"/>
      <c r="K999" s="897"/>
      <c r="L999" s="898"/>
      <c r="M999" s="898"/>
      <c r="N999" s="898"/>
      <c r="O999" s="898"/>
      <c r="P999" s="898"/>
      <c r="Q999" s="898"/>
      <c r="R999" s="898"/>
      <c r="S999" s="898"/>
      <c r="T999" s="898"/>
      <c r="U999" s="898"/>
      <c r="V999" s="898"/>
      <c r="W999" s="898"/>
      <c r="X999" s="898"/>
      <c r="Y999" s="898"/>
      <c r="Z999" s="898"/>
      <c r="AA999" s="898"/>
      <c r="AB999" s="898"/>
      <c r="AC999" s="898"/>
      <c r="AD999" s="898"/>
      <c r="AE999" s="898"/>
      <c r="AF999" s="898"/>
      <c r="AG999" s="898"/>
      <c r="AH999" s="898"/>
      <c r="AI999" s="898"/>
      <c r="AJ999" s="898"/>
      <c r="AK999" s="898"/>
      <c r="AL999" s="898"/>
      <c r="AM999" s="897"/>
      <c r="AN999" s="897"/>
      <c r="AO999" s="897"/>
      <c r="AP999" s="897"/>
      <c r="AQ999" s="897"/>
      <c r="AR999" s="897"/>
      <c r="AS999" s="897"/>
      <c r="AT999" s="897"/>
    </row>
    <row r="1000" spans="1:46" s="930" customFormat="1">
      <c r="A1000" s="892"/>
      <c r="B1000" s="899"/>
      <c r="C1000" s="900"/>
      <c r="D1000" s="894"/>
      <c r="E1000" s="936"/>
      <c r="F1000" s="905"/>
      <c r="G1000" s="896"/>
      <c r="H1000" s="897"/>
      <c r="I1000" s="897"/>
      <c r="J1000" s="897"/>
      <c r="K1000" s="897"/>
      <c r="L1000" s="898"/>
      <c r="M1000" s="898"/>
      <c r="N1000" s="898"/>
      <c r="O1000" s="898"/>
      <c r="P1000" s="898"/>
      <c r="Q1000" s="898"/>
      <c r="R1000" s="898"/>
      <c r="S1000" s="898"/>
      <c r="T1000" s="898"/>
      <c r="U1000" s="898"/>
      <c r="V1000" s="898"/>
      <c r="W1000" s="898"/>
      <c r="X1000" s="898"/>
      <c r="Y1000" s="898"/>
      <c r="Z1000" s="898"/>
      <c r="AA1000" s="898"/>
      <c r="AB1000" s="898"/>
      <c r="AC1000" s="898"/>
      <c r="AD1000" s="898"/>
      <c r="AE1000" s="898"/>
      <c r="AF1000" s="898"/>
      <c r="AG1000" s="898"/>
      <c r="AH1000" s="898"/>
      <c r="AI1000" s="898"/>
      <c r="AJ1000" s="898"/>
      <c r="AK1000" s="898"/>
      <c r="AL1000" s="898"/>
      <c r="AM1000" s="897"/>
      <c r="AN1000" s="897"/>
      <c r="AO1000" s="897"/>
      <c r="AP1000" s="897"/>
      <c r="AQ1000" s="897"/>
      <c r="AR1000" s="897"/>
      <c r="AS1000" s="897"/>
      <c r="AT1000" s="897"/>
    </row>
    <row r="1001" spans="1:46" s="930" customFormat="1">
      <c r="A1001" s="892"/>
      <c r="B1001" s="899"/>
      <c r="C1001" s="900"/>
      <c r="D1001" s="894"/>
      <c r="E1001" s="936"/>
      <c r="F1001" s="905"/>
      <c r="G1001" s="896"/>
      <c r="H1001" s="897"/>
      <c r="I1001" s="897"/>
      <c r="J1001" s="897"/>
      <c r="K1001" s="897"/>
      <c r="L1001" s="898"/>
      <c r="M1001" s="898"/>
      <c r="N1001" s="898"/>
      <c r="O1001" s="898"/>
      <c r="P1001" s="898"/>
      <c r="Q1001" s="898"/>
      <c r="R1001" s="898"/>
      <c r="S1001" s="898"/>
      <c r="T1001" s="898"/>
      <c r="U1001" s="898"/>
      <c r="V1001" s="898"/>
      <c r="W1001" s="898"/>
      <c r="X1001" s="898"/>
      <c r="Y1001" s="898"/>
      <c r="Z1001" s="898"/>
      <c r="AA1001" s="898"/>
      <c r="AB1001" s="898"/>
      <c r="AC1001" s="898"/>
      <c r="AD1001" s="898"/>
      <c r="AE1001" s="898"/>
      <c r="AF1001" s="898"/>
      <c r="AG1001" s="898"/>
      <c r="AH1001" s="898"/>
      <c r="AI1001" s="898"/>
      <c r="AJ1001" s="898"/>
      <c r="AK1001" s="898"/>
      <c r="AL1001" s="898"/>
      <c r="AM1001" s="897"/>
      <c r="AN1001" s="897"/>
      <c r="AO1001" s="897"/>
      <c r="AP1001" s="897"/>
      <c r="AQ1001" s="897"/>
      <c r="AR1001" s="897"/>
      <c r="AS1001" s="897"/>
      <c r="AT1001" s="897"/>
    </row>
    <row r="1002" spans="1:46" s="930" customFormat="1">
      <c r="A1002" s="892"/>
      <c r="B1002" s="899"/>
      <c r="C1002" s="900"/>
      <c r="D1002" s="894"/>
      <c r="E1002" s="936"/>
      <c r="F1002" s="905"/>
      <c r="G1002" s="896"/>
      <c r="H1002" s="897"/>
      <c r="I1002" s="897"/>
      <c r="J1002" s="897"/>
      <c r="K1002" s="897"/>
      <c r="L1002" s="898"/>
      <c r="M1002" s="898"/>
      <c r="N1002" s="898"/>
      <c r="O1002" s="898"/>
      <c r="P1002" s="898"/>
      <c r="Q1002" s="898"/>
      <c r="R1002" s="898"/>
      <c r="S1002" s="898"/>
      <c r="T1002" s="898"/>
      <c r="U1002" s="898"/>
      <c r="V1002" s="898"/>
      <c r="W1002" s="898"/>
      <c r="X1002" s="898"/>
      <c r="Y1002" s="898"/>
      <c r="Z1002" s="898"/>
      <c r="AA1002" s="898"/>
      <c r="AB1002" s="898"/>
      <c r="AC1002" s="898"/>
      <c r="AD1002" s="898"/>
      <c r="AE1002" s="898"/>
      <c r="AF1002" s="898"/>
      <c r="AG1002" s="898"/>
      <c r="AH1002" s="898"/>
      <c r="AI1002" s="898"/>
      <c r="AJ1002" s="898"/>
      <c r="AK1002" s="898"/>
      <c r="AL1002" s="898"/>
      <c r="AM1002" s="897"/>
      <c r="AN1002" s="897"/>
      <c r="AO1002" s="897"/>
      <c r="AP1002" s="897"/>
      <c r="AQ1002" s="897"/>
      <c r="AR1002" s="897"/>
      <c r="AS1002" s="897"/>
      <c r="AT1002" s="897"/>
    </row>
    <row r="1003" spans="1:46" s="930" customFormat="1">
      <c r="A1003" s="892"/>
      <c r="B1003" s="899"/>
      <c r="C1003" s="900"/>
      <c r="D1003" s="894"/>
      <c r="E1003" s="936"/>
      <c r="F1003" s="905"/>
      <c r="G1003" s="896"/>
      <c r="H1003" s="897"/>
      <c r="I1003" s="897"/>
      <c r="J1003" s="897"/>
      <c r="K1003" s="897"/>
      <c r="L1003" s="898"/>
      <c r="M1003" s="898"/>
      <c r="N1003" s="898"/>
      <c r="O1003" s="898"/>
      <c r="P1003" s="898"/>
      <c r="Q1003" s="898"/>
      <c r="R1003" s="898"/>
      <c r="S1003" s="898"/>
      <c r="T1003" s="898"/>
      <c r="U1003" s="898"/>
      <c r="V1003" s="898"/>
      <c r="W1003" s="898"/>
      <c r="X1003" s="898"/>
      <c r="Y1003" s="898"/>
      <c r="Z1003" s="898"/>
      <c r="AA1003" s="898"/>
      <c r="AB1003" s="898"/>
      <c r="AC1003" s="898"/>
      <c r="AD1003" s="898"/>
      <c r="AE1003" s="898"/>
      <c r="AF1003" s="898"/>
      <c r="AG1003" s="898"/>
      <c r="AH1003" s="898"/>
      <c r="AI1003" s="898"/>
      <c r="AJ1003" s="898"/>
      <c r="AK1003" s="898"/>
      <c r="AL1003" s="898"/>
      <c r="AM1003" s="897"/>
      <c r="AN1003" s="897"/>
      <c r="AO1003" s="897"/>
      <c r="AP1003" s="897"/>
      <c r="AQ1003" s="897"/>
      <c r="AR1003" s="897"/>
      <c r="AS1003" s="897"/>
      <c r="AT1003" s="897"/>
    </row>
    <row r="1004" spans="1:46" s="930" customFormat="1">
      <c r="A1004" s="892"/>
      <c r="B1004" s="899"/>
      <c r="C1004" s="900"/>
      <c r="D1004" s="894"/>
      <c r="E1004" s="936"/>
      <c r="F1004" s="905"/>
      <c r="G1004" s="896"/>
      <c r="H1004" s="897"/>
      <c r="I1004" s="897"/>
      <c r="J1004" s="897"/>
      <c r="K1004" s="897"/>
      <c r="L1004" s="898"/>
      <c r="M1004" s="898"/>
      <c r="N1004" s="898"/>
      <c r="O1004" s="898"/>
      <c r="P1004" s="898"/>
      <c r="Q1004" s="898"/>
      <c r="R1004" s="898"/>
      <c r="S1004" s="898"/>
      <c r="T1004" s="898"/>
      <c r="U1004" s="898"/>
      <c r="V1004" s="898"/>
      <c r="W1004" s="898"/>
      <c r="X1004" s="898"/>
      <c r="Y1004" s="898"/>
      <c r="Z1004" s="898"/>
      <c r="AA1004" s="898"/>
      <c r="AB1004" s="898"/>
      <c r="AC1004" s="898"/>
      <c r="AD1004" s="898"/>
      <c r="AE1004" s="898"/>
      <c r="AF1004" s="898"/>
      <c r="AG1004" s="898"/>
      <c r="AH1004" s="898"/>
      <c r="AI1004" s="898"/>
      <c r="AJ1004" s="898"/>
      <c r="AK1004" s="898"/>
      <c r="AL1004" s="898"/>
      <c r="AM1004" s="897"/>
      <c r="AN1004" s="897"/>
      <c r="AO1004" s="897"/>
      <c r="AP1004" s="897"/>
      <c r="AQ1004" s="897"/>
      <c r="AR1004" s="897"/>
      <c r="AS1004" s="897"/>
      <c r="AT1004" s="897"/>
    </row>
    <row r="1005" spans="1:46" s="930" customFormat="1">
      <c r="A1005" s="892"/>
      <c r="B1005" s="899"/>
      <c r="C1005" s="900"/>
      <c r="D1005" s="894"/>
      <c r="E1005" s="936"/>
      <c r="F1005" s="905"/>
      <c r="G1005" s="896"/>
      <c r="H1005" s="897"/>
      <c r="I1005" s="897"/>
      <c r="J1005" s="897"/>
      <c r="K1005" s="897"/>
      <c r="L1005" s="898"/>
      <c r="M1005" s="898"/>
      <c r="N1005" s="898"/>
      <c r="O1005" s="898"/>
      <c r="P1005" s="898"/>
      <c r="Q1005" s="898"/>
      <c r="R1005" s="898"/>
      <c r="S1005" s="898"/>
      <c r="T1005" s="898"/>
      <c r="U1005" s="898"/>
      <c r="V1005" s="898"/>
      <c r="W1005" s="898"/>
      <c r="X1005" s="898"/>
      <c r="Y1005" s="898"/>
      <c r="Z1005" s="898"/>
      <c r="AA1005" s="898"/>
      <c r="AB1005" s="898"/>
      <c r="AC1005" s="898"/>
      <c r="AD1005" s="898"/>
      <c r="AE1005" s="898"/>
      <c r="AF1005" s="898"/>
      <c r="AG1005" s="898"/>
      <c r="AH1005" s="898"/>
      <c r="AI1005" s="898"/>
      <c r="AJ1005" s="898"/>
      <c r="AK1005" s="898"/>
      <c r="AL1005" s="898"/>
      <c r="AM1005" s="897"/>
      <c r="AN1005" s="897"/>
      <c r="AO1005" s="897"/>
      <c r="AP1005" s="897"/>
      <c r="AQ1005" s="897"/>
      <c r="AR1005" s="897"/>
      <c r="AS1005" s="897"/>
      <c r="AT1005" s="897"/>
    </row>
    <row r="1006" spans="1:46" s="930" customFormat="1">
      <c r="A1006" s="892"/>
      <c r="B1006" s="899"/>
      <c r="C1006" s="900"/>
      <c r="D1006" s="894"/>
      <c r="E1006" s="936"/>
      <c r="F1006" s="905"/>
      <c r="G1006" s="896"/>
      <c r="H1006" s="897"/>
      <c r="I1006" s="897"/>
      <c r="J1006" s="897"/>
      <c r="K1006" s="897"/>
      <c r="L1006" s="898"/>
      <c r="M1006" s="898"/>
      <c r="N1006" s="898"/>
      <c r="O1006" s="898"/>
      <c r="P1006" s="898"/>
      <c r="Q1006" s="898"/>
      <c r="R1006" s="898"/>
      <c r="S1006" s="898"/>
      <c r="T1006" s="898"/>
      <c r="U1006" s="898"/>
      <c r="V1006" s="898"/>
      <c r="W1006" s="898"/>
      <c r="X1006" s="898"/>
      <c r="Y1006" s="898"/>
      <c r="Z1006" s="898"/>
      <c r="AA1006" s="898"/>
      <c r="AB1006" s="898"/>
      <c r="AC1006" s="898"/>
      <c r="AD1006" s="898"/>
      <c r="AE1006" s="898"/>
      <c r="AF1006" s="898"/>
      <c r="AG1006" s="898"/>
      <c r="AH1006" s="898"/>
      <c r="AI1006" s="898"/>
      <c r="AJ1006" s="898"/>
      <c r="AK1006" s="898"/>
      <c r="AL1006" s="898"/>
      <c r="AM1006" s="897"/>
      <c r="AN1006" s="897"/>
      <c r="AO1006" s="897"/>
      <c r="AP1006" s="897"/>
      <c r="AQ1006" s="897"/>
      <c r="AR1006" s="897"/>
      <c r="AS1006" s="897"/>
      <c r="AT1006" s="897"/>
    </row>
    <row r="1007" spans="1:46" s="930" customFormat="1">
      <c r="A1007" s="892"/>
      <c r="B1007" s="899"/>
      <c r="C1007" s="900"/>
      <c r="D1007" s="894"/>
      <c r="E1007" s="936"/>
      <c r="F1007" s="905"/>
      <c r="G1007" s="896"/>
      <c r="H1007" s="897"/>
      <c r="I1007" s="897"/>
      <c r="J1007" s="897"/>
      <c r="K1007" s="897"/>
      <c r="L1007" s="898"/>
      <c r="M1007" s="898"/>
      <c r="N1007" s="898"/>
      <c r="O1007" s="898"/>
      <c r="P1007" s="898"/>
      <c r="Q1007" s="898"/>
      <c r="R1007" s="898"/>
      <c r="S1007" s="898"/>
      <c r="T1007" s="898"/>
      <c r="U1007" s="898"/>
      <c r="V1007" s="898"/>
      <c r="W1007" s="898"/>
      <c r="X1007" s="898"/>
      <c r="Y1007" s="898"/>
      <c r="Z1007" s="898"/>
      <c r="AA1007" s="898"/>
      <c r="AB1007" s="898"/>
      <c r="AC1007" s="898"/>
      <c r="AD1007" s="898"/>
      <c r="AE1007" s="898"/>
      <c r="AF1007" s="898"/>
      <c r="AG1007" s="898"/>
      <c r="AH1007" s="898"/>
      <c r="AI1007" s="898"/>
      <c r="AJ1007" s="898"/>
      <c r="AK1007" s="898"/>
      <c r="AL1007" s="898"/>
      <c r="AM1007" s="897"/>
      <c r="AN1007" s="897"/>
      <c r="AO1007" s="897"/>
      <c r="AP1007" s="897"/>
      <c r="AQ1007" s="897"/>
      <c r="AR1007" s="897"/>
      <c r="AS1007" s="897"/>
      <c r="AT1007" s="897"/>
    </row>
    <row r="1008" spans="1:46" s="930" customFormat="1">
      <c r="A1008" s="892"/>
      <c r="B1008" s="899"/>
      <c r="C1008" s="900"/>
      <c r="D1008" s="894"/>
      <c r="E1008" s="936"/>
      <c r="F1008" s="905"/>
      <c r="G1008" s="896"/>
      <c r="H1008" s="897"/>
      <c r="I1008" s="897"/>
      <c r="J1008" s="897"/>
      <c r="K1008" s="897"/>
      <c r="L1008" s="898"/>
      <c r="M1008" s="898"/>
      <c r="N1008" s="898"/>
      <c r="O1008" s="898"/>
      <c r="P1008" s="898"/>
      <c r="Q1008" s="898"/>
      <c r="R1008" s="898"/>
      <c r="S1008" s="898"/>
      <c r="T1008" s="898"/>
      <c r="U1008" s="898"/>
      <c r="V1008" s="898"/>
      <c r="W1008" s="898"/>
      <c r="X1008" s="898"/>
      <c r="Y1008" s="898"/>
      <c r="Z1008" s="898"/>
      <c r="AA1008" s="898"/>
      <c r="AB1008" s="898"/>
      <c r="AC1008" s="898"/>
      <c r="AD1008" s="898"/>
      <c r="AE1008" s="898"/>
      <c r="AF1008" s="898"/>
      <c r="AG1008" s="898"/>
      <c r="AH1008" s="898"/>
      <c r="AI1008" s="898"/>
      <c r="AJ1008" s="898"/>
      <c r="AK1008" s="898"/>
      <c r="AL1008" s="898"/>
      <c r="AM1008" s="897"/>
      <c r="AN1008" s="897"/>
      <c r="AO1008" s="897"/>
      <c r="AP1008" s="897"/>
      <c r="AQ1008" s="897"/>
      <c r="AR1008" s="897"/>
      <c r="AS1008" s="897"/>
      <c r="AT1008" s="897"/>
    </row>
    <row r="1009" spans="1:46" s="930" customFormat="1">
      <c r="A1009" s="892"/>
      <c r="B1009" s="899"/>
      <c r="C1009" s="900"/>
      <c r="D1009" s="894"/>
      <c r="E1009" s="936"/>
      <c r="F1009" s="905"/>
      <c r="G1009" s="896"/>
      <c r="H1009" s="897"/>
      <c r="I1009" s="897"/>
      <c r="J1009" s="897"/>
      <c r="K1009" s="897"/>
      <c r="L1009" s="898"/>
      <c r="M1009" s="898"/>
      <c r="N1009" s="898"/>
      <c r="O1009" s="898"/>
      <c r="P1009" s="898"/>
      <c r="Q1009" s="898"/>
      <c r="R1009" s="898"/>
      <c r="S1009" s="898"/>
      <c r="T1009" s="898"/>
      <c r="U1009" s="898"/>
      <c r="V1009" s="898"/>
      <c r="W1009" s="898"/>
      <c r="X1009" s="898"/>
      <c r="Y1009" s="898"/>
      <c r="Z1009" s="898"/>
      <c r="AA1009" s="898"/>
      <c r="AB1009" s="898"/>
      <c r="AC1009" s="898"/>
      <c r="AD1009" s="898"/>
      <c r="AE1009" s="898"/>
      <c r="AF1009" s="898"/>
      <c r="AG1009" s="898"/>
      <c r="AH1009" s="898"/>
      <c r="AI1009" s="898"/>
      <c r="AJ1009" s="898"/>
      <c r="AK1009" s="898"/>
      <c r="AL1009" s="898"/>
      <c r="AM1009" s="897"/>
      <c r="AN1009" s="897"/>
      <c r="AO1009" s="897"/>
      <c r="AP1009" s="897"/>
      <c r="AQ1009" s="897"/>
      <c r="AR1009" s="897"/>
      <c r="AS1009" s="897"/>
      <c r="AT1009" s="897"/>
    </row>
    <row r="1010" spans="1:46" s="930" customFormat="1">
      <c r="A1010" s="892"/>
      <c r="B1010" s="899"/>
      <c r="C1010" s="900"/>
      <c r="D1010" s="894"/>
      <c r="E1010" s="936"/>
      <c r="F1010" s="905"/>
      <c r="G1010" s="896"/>
      <c r="H1010" s="897"/>
      <c r="I1010" s="897"/>
      <c r="J1010" s="897"/>
      <c r="K1010" s="897"/>
      <c r="L1010" s="898"/>
      <c r="M1010" s="898"/>
      <c r="N1010" s="898"/>
      <c r="O1010" s="898"/>
      <c r="P1010" s="898"/>
      <c r="Q1010" s="898"/>
      <c r="R1010" s="898"/>
      <c r="S1010" s="898"/>
      <c r="T1010" s="898"/>
      <c r="U1010" s="898"/>
      <c r="V1010" s="898"/>
      <c r="W1010" s="898"/>
      <c r="X1010" s="898"/>
      <c r="Y1010" s="898"/>
      <c r="Z1010" s="898"/>
      <c r="AA1010" s="898"/>
      <c r="AB1010" s="898"/>
      <c r="AC1010" s="898"/>
      <c r="AD1010" s="898"/>
      <c r="AE1010" s="898"/>
      <c r="AF1010" s="898"/>
      <c r="AG1010" s="898"/>
      <c r="AH1010" s="898"/>
      <c r="AI1010" s="898"/>
      <c r="AJ1010" s="898"/>
      <c r="AK1010" s="898"/>
      <c r="AL1010" s="898"/>
      <c r="AM1010" s="897"/>
      <c r="AN1010" s="897"/>
      <c r="AO1010" s="897"/>
      <c r="AP1010" s="897"/>
      <c r="AQ1010" s="897"/>
      <c r="AR1010" s="897"/>
      <c r="AS1010" s="897"/>
      <c r="AT1010" s="897"/>
    </row>
    <row r="1011" spans="1:46" s="930" customFormat="1">
      <c r="A1011" s="892"/>
      <c r="B1011" s="899"/>
      <c r="C1011" s="900"/>
      <c r="D1011" s="894"/>
      <c r="E1011" s="936"/>
      <c r="F1011" s="905"/>
      <c r="G1011" s="896"/>
      <c r="H1011" s="897"/>
      <c r="I1011" s="897"/>
      <c r="J1011" s="897"/>
      <c r="K1011" s="897"/>
      <c r="L1011" s="898"/>
      <c r="M1011" s="898"/>
      <c r="N1011" s="898"/>
      <c r="O1011" s="898"/>
      <c r="P1011" s="898"/>
      <c r="Q1011" s="898"/>
      <c r="R1011" s="898"/>
      <c r="S1011" s="898"/>
      <c r="T1011" s="898"/>
      <c r="U1011" s="898"/>
      <c r="V1011" s="898"/>
      <c r="W1011" s="898"/>
      <c r="X1011" s="898"/>
      <c r="Y1011" s="898"/>
      <c r="Z1011" s="898"/>
      <c r="AA1011" s="898"/>
      <c r="AB1011" s="898"/>
      <c r="AC1011" s="898"/>
      <c r="AD1011" s="898"/>
      <c r="AE1011" s="898"/>
      <c r="AF1011" s="898"/>
      <c r="AG1011" s="898"/>
      <c r="AH1011" s="898"/>
      <c r="AI1011" s="898"/>
      <c r="AJ1011" s="898"/>
      <c r="AK1011" s="898"/>
      <c r="AL1011" s="898"/>
      <c r="AM1011" s="897"/>
      <c r="AN1011" s="897"/>
      <c r="AO1011" s="897"/>
      <c r="AP1011" s="897"/>
      <c r="AQ1011" s="897"/>
      <c r="AR1011" s="897"/>
      <c r="AS1011" s="897"/>
      <c r="AT1011" s="897"/>
    </row>
    <row r="1012" spans="1:46" s="930" customFormat="1">
      <c r="A1012" s="892"/>
      <c r="B1012" s="899"/>
      <c r="C1012" s="900"/>
      <c r="D1012" s="894"/>
      <c r="E1012" s="936"/>
      <c r="F1012" s="905"/>
      <c r="G1012" s="896"/>
      <c r="H1012" s="897"/>
      <c r="I1012" s="897"/>
      <c r="J1012" s="897"/>
      <c r="K1012" s="897"/>
      <c r="L1012" s="898"/>
      <c r="M1012" s="898"/>
      <c r="N1012" s="898"/>
      <c r="O1012" s="898"/>
      <c r="P1012" s="898"/>
      <c r="Q1012" s="898"/>
      <c r="R1012" s="898"/>
      <c r="S1012" s="898"/>
      <c r="T1012" s="898"/>
      <c r="U1012" s="898"/>
      <c r="V1012" s="898"/>
      <c r="W1012" s="898"/>
      <c r="X1012" s="898"/>
      <c r="Y1012" s="898"/>
      <c r="Z1012" s="898"/>
      <c r="AA1012" s="898"/>
      <c r="AB1012" s="898"/>
      <c r="AC1012" s="898"/>
      <c r="AD1012" s="898"/>
      <c r="AE1012" s="898"/>
      <c r="AF1012" s="898"/>
      <c r="AG1012" s="898"/>
      <c r="AH1012" s="898"/>
      <c r="AI1012" s="898"/>
      <c r="AJ1012" s="898"/>
      <c r="AK1012" s="898"/>
      <c r="AL1012" s="898"/>
      <c r="AM1012" s="897"/>
      <c r="AN1012" s="897"/>
      <c r="AO1012" s="897"/>
      <c r="AP1012" s="897"/>
      <c r="AQ1012" s="897"/>
      <c r="AR1012" s="897"/>
      <c r="AS1012" s="897"/>
      <c r="AT1012" s="897"/>
    </row>
    <row r="1013" spans="1:46" s="930" customFormat="1">
      <c r="A1013" s="892"/>
      <c r="B1013" s="899"/>
      <c r="C1013" s="900"/>
      <c r="D1013" s="894"/>
      <c r="E1013" s="936"/>
      <c r="F1013" s="905"/>
      <c r="G1013" s="896"/>
      <c r="H1013" s="897"/>
      <c r="I1013" s="897"/>
      <c r="J1013" s="897"/>
      <c r="K1013" s="897"/>
      <c r="L1013" s="898"/>
      <c r="M1013" s="898"/>
      <c r="N1013" s="898"/>
      <c r="O1013" s="898"/>
      <c r="P1013" s="898"/>
      <c r="Q1013" s="898"/>
      <c r="R1013" s="898"/>
      <c r="S1013" s="898"/>
      <c r="T1013" s="898"/>
      <c r="U1013" s="898"/>
      <c r="V1013" s="898"/>
      <c r="W1013" s="898"/>
      <c r="X1013" s="898"/>
      <c r="Y1013" s="898"/>
      <c r="Z1013" s="898"/>
      <c r="AA1013" s="898"/>
      <c r="AB1013" s="898"/>
      <c r="AC1013" s="898"/>
      <c r="AD1013" s="898"/>
      <c r="AE1013" s="898"/>
      <c r="AF1013" s="898"/>
      <c r="AG1013" s="898"/>
      <c r="AH1013" s="898"/>
      <c r="AI1013" s="898"/>
      <c r="AJ1013" s="898"/>
      <c r="AK1013" s="898"/>
      <c r="AL1013" s="898"/>
      <c r="AM1013" s="897"/>
      <c r="AN1013" s="897"/>
      <c r="AO1013" s="897"/>
      <c r="AP1013" s="897"/>
      <c r="AQ1013" s="897"/>
      <c r="AR1013" s="897"/>
      <c r="AS1013" s="897"/>
      <c r="AT1013" s="897"/>
    </row>
    <row r="1014" spans="1:46" s="930" customFormat="1">
      <c r="A1014" s="892"/>
      <c r="B1014" s="899"/>
      <c r="C1014" s="900"/>
      <c r="D1014" s="894"/>
      <c r="E1014" s="936"/>
      <c r="F1014" s="905"/>
      <c r="G1014" s="896"/>
      <c r="H1014" s="897"/>
      <c r="I1014" s="897"/>
      <c r="J1014" s="897"/>
      <c r="K1014" s="897"/>
      <c r="L1014" s="898"/>
      <c r="M1014" s="898"/>
      <c r="N1014" s="898"/>
      <c r="O1014" s="898"/>
      <c r="P1014" s="898"/>
      <c r="Q1014" s="898"/>
      <c r="R1014" s="898"/>
      <c r="S1014" s="898"/>
      <c r="T1014" s="898"/>
      <c r="U1014" s="898"/>
      <c r="V1014" s="898"/>
      <c r="W1014" s="898"/>
      <c r="X1014" s="898"/>
      <c r="Y1014" s="898"/>
      <c r="Z1014" s="898"/>
      <c r="AA1014" s="898"/>
      <c r="AB1014" s="898"/>
      <c r="AC1014" s="898"/>
      <c r="AD1014" s="898"/>
      <c r="AE1014" s="898"/>
      <c r="AF1014" s="898"/>
      <c r="AG1014" s="898"/>
      <c r="AH1014" s="898"/>
      <c r="AI1014" s="898"/>
      <c r="AJ1014" s="898"/>
      <c r="AK1014" s="898"/>
      <c r="AL1014" s="898"/>
      <c r="AM1014" s="897"/>
      <c r="AN1014" s="897"/>
      <c r="AO1014" s="897"/>
      <c r="AP1014" s="897"/>
      <c r="AQ1014" s="897"/>
      <c r="AR1014" s="897"/>
      <c r="AS1014" s="897"/>
      <c r="AT1014" s="897"/>
    </row>
    <row r="1015" spans="1:46" s="930" customFormat="1">
      <c r="A1015" s="892"/>
      <c r="B1015" s="899"/>
      <c r="C1015" s="900"/>
      <c r="D1015" s="894"/>
      <c r="E1015" s="936"/>
      <c r="F1015" s="905"/>
      <c r="G1015" s="896"/>
      <c r="H1015" s="897"/>
      <c r="I1015" s="897"/>
      <c r="J1015" s="897"/>
      <c r="K1015" s="897"/>
      <c r="L1015" s="898"/>
      <c r="M1015" s="898"/>
      <c r="N1015" s="898"/>
      <c r="O1015" s="898"/>
      <c r="P1015" s="898"/>
      <c r="Q1015" s="898"/>
      <c r="R1015" s="898"/>
      <c r="S1015" s="898"/>
      <c r="T1015" s="898"/>
      <c r="U1015" s="898"/>
      <c r="V1015" s="898"/>
      <c r="W1015" s="898"/>
      <c r="X1015" s="898"/>
      <c r="Y1015" s="898"/>
      <c r="Z1015" s="898"/>
      <c r="AA1015" s="898"/>
      <c r="AB1015" s="898"/>
      <c r="AC1015" s="898"/>
      <c r="AD1015" s="898"/>
      <c r="AE1015" s="898"/>
      <c r="AF1015" s="898"/>
      <c r="AG1015" s="898"/>
      <c r="AH1015" s="898"/>
      <c r="AI1015" s="898"/>
      <c r="AJ1015" s="898"/>
      <c r="AK1015" s="898"/>
      <c r="AL1015" s="898"/>
      <c r="AM1015" s="897"/>
      <c r="AN1015" s="897"/>
      <c r="AO1015" s="897"/>
      <c r="AP1015" s="897"/>
      <c r="AQ1015" s="897"/>
      <c r="AR1015" s="897"/>
      <c r="AS1015" s="897"/>
      <c r="AT1015" s="897"/>
    </row>
    <row r="1016" spans="1:46" s="930" customFormat="1">
      <c r="A1016" s="892"/>
      <c r="B1016" s="899"/>
      <c r="C1016" s="900"/>
      <c r="D1016" s="894"/>
      <c r="E1016" s="936"/>
      <c r="F1016" s="905"/>
      <c r="G1016" s="896"/>
      <c r="H1016" s="897"/>
      <c r="I1016" s="897"/>
      <c r="J1016" s="897"/>
      <c r="K1016" s="897"/>
      <c r="L1016" s="898"/>
      <c r="M1016" s="898"/>
      <c r="N1016" s="898"/>
      <c r="O1016" s="898"/>
      <c r="P1016" s="898"/>
      <c r="Q1016" s="898"/>
      <c r="R1016" s="898"/>
      <c r="S1016" s="898"/>
      <c r="T1016" s="898"/>
      <c r="U1016" s="898"/>
      <c r="V1016" s="898"/>
      <c r="W1016" s="898"/>
      <c r="X1016" s="898"/>
      <c r="Y1016" s="898"/>
      <c r="Z1016" s="898"/>
      <c r="AA1016" s="898"/>
      <c r="AB1016" s="898"/>
      <c r="AC1016" s="898"/>
      <c r="AD1016" s="898"/>
      <c r="AE1016" s="898"/>
      <c r="AF1016" s="898"/>
      <c r="AG1016" s="898"/>
      <c r="AH1016" s="898"/>
      <c r="AI1016" s="898"/>
      <c r="AJ1016" s="898"/>
      <c r="AK1016" s="898"/>
      <c r="AL1016" s="898"/>
      <c r="AM1016" s="897"/>
      <c r="AN1016" s="897"/>
      <c r="AO1016" s="897"/>
      <c r="AP1016" s="897"/>
      <c r="AQ1016" s="897"/>
      <c r="AR1016" s="897"/>
      <c r="AS1016" s="897"/>
      <c r="AT1016" s="897"/>
    </row>
    <row r="1017" spans="1:46" s="930" customFormat="1">
      <c r="A1017" s="892"/>
      <c r="B1017" s="899"/>
      <c r="C1017" s="900"/>
      <c r="D1017" s="894"/>
      <c r="E1017" s="936"/>
      <c r="F1017" s="905"/>
      <c r="G1017" s="896"/>
      <c r="H1017" s="897"/>
      <c r="I1017" s="897"/>
      <c r="J1017" s="897"/>
      <c r="K1017" s="897"/>
      <c r="L1017" s="898"/>
      <c r="M1017" s="898"/>
      <c r="N1017" s="898"/>
      <c r="O1017" s="898"/>
      <c r="P1017" s="898"/>
      <c r="Q1017" s="898"/>
      <c r="R1017" s="898"/>
      <c r="S1017" s="898"/>
      <c r="T1017" s="898"/>
      <c r="U1017" s="898"/>
      <c r="V1017" s="898"/>
      <c r="W1017" s="898"/>
      <c r="X1017" s="898"/>
      <c r="Y1017" s="898"/>
      <c r="Z1017" s="898"/>
      <c r="AA1017" s="898"/>
      <c r="AB1017" s="898"/>
      <c r="AC1017" s="898"/>
      <c r="AD1017" s="898"/>
      <c r="AE1017" s="898"/>
      <c r="AF1017" s="898"/>
      <c r="AG1017" s="898"/>
      <c r="AH1017" s="898"/>
      <c r="AI1017" s="898"/>
      <c r="AJ1017" s="898"/>
      <c r="AK1017" s="898"/>
      <c r="AL1017" s="898"/>
      <c r="AM1017" s="897"/>
      <c r="AN1017" s="897"/>
      <c r="AO1017" s="897"/>
      <c r="AP1017" s="897"/>
      <c r="AQ1017" s="897"/>
      <c r="AR1017" s="897"/>
      <c r="AS1017" s="897"/>
      <c r="AT1017" s="897"/>
    </row>
    <row r="1018" spans="1:46" s="930" customFormat="1">
      <c r="A1018" s="892"/>
      <c r="B1018" s="899"/>
      <c r="C1018" s="900"/>
      <c r="D1018" s="894"/>
      <c r="E1018" s="936"/>
      <c r="F1018" s="905"/>
      <c r="G1018" s="896"/>
      <c r="H1018" s="897"/>
      <c r="I1018" s="897"/>
      <c r="J1018" s="897"/>
      <c r="K1018" s="897"/>
      <c r="L1018" s="898"/>
      <c r="M1018" s="898"/>
      <c r="N1018" s="898"/>
      <c r="O1018" s="898"/>
      <c r="P1018" s="898"/>
      <c r="Q1018" s="898"/>
      <c r="R1018" s="898"/>
      <c r="S1018" s="898"/>
      <c r="T1018" s="898"/>
      <c r="U1018" s="898"/>
      <c r="V1018" s="898"/>
      <c r="W1018" s="898"/>
      <c r="X1018" s="898"/>
      <c r="Y1018" s="898"/>
      <c r="Z1018" s="898"/>
      <c r="AA1018" s="898"/>
      <c r="AB1018" s="898"/>
      <c r="AC1018" s="898"/>
      <c r="AD1018" s="898"/>
      <c r="AE1018" s="898"/>
      <c r="AF1018" s="898"/>
      <c r="AG1018" s="898"/>
      <c r="AH1018" s="898"/>
      <c r="AI1018" s="898"/>
      <c r="AJ1018" s="898"/>
      <c r="AK1018" s="898"/>
      <c r="AL1018" s="898"/>
      <c r="AM1018" s="897"/>
      <c r="AN1018" s="897"/>
      <c r="AO1018" s="897"/>
      <c r="AP1018" s="897"/>
      <c r="AQ1018" s="897"/>
      <c r="AR1018" s="897"/>
      <c r="AS1018" s="897"/>
      <c r="AT1018" s="897"/>
    </row>
    <row r="1019" spans="1:46" s="930" customFormat="1">
      <c r="A1019" s="892"/>
      <c r="B1019" s="899"/>
      <c r="C1019" s="900"/>
      <c r="D1019" s="894"/>
      <c r="E1019" s="936"/>
      <c r="F1019" s="905"/>
      <c r="G1019" s="896"/>
      <c r="H1019" s="897"/>
      <c r="I1019" s="897"/>
      <c r="J1019" s="897"/>
      <c r="K1019" s="897"/>
      <c r="L1019" s="898"/>
      <c r="M1019" s="898"/>
      <c r="N1019" s="898"/>
      <c r="O1019" s="898"/>
      <c r="P1019" s="898"/>
      <c r="Q1019" s="898"/>
      <c r="R1019" s="898"/>
      <c r="S1019" s="898"/>
      <c r="T1019" s="898"/>
      <c r="U1019" s="898"/>
      <c r="V1019" s="898"/>
      <c r="W1019" s="898"/>
      <c r="X1019" s="898"/>
      <c r="Y1019" s="898"/>
      <c r="Z1019" s="898"/>
      <c r="AA1019" s="898"/>
      <c r="AB1019" s="898"/>
      <c r="AC1019" s="898"/>
      <c r="AD1019" s="898"/>
      <c r="AE1019" s="898"/>
      <c r="AF1019" s="898"/>
      <c r="AG1019" s="898"/>
      <c r="AH1019" s="898"/>
      <c r="AI1019" s="898"/>
      <c r="AJ1019" s="898"/>
      <c r="AK1019" s="898"/>
      <c r="AL1019" s="898"/>
      <c r="AM1019" s="897"/>
      <c r="AN1019" s="897"/>
      <c r="AO1019" s="897"/>
      <c r="AP1019" s="897"/>
      <c r="AQ1019" s="897"/>
      <c r="AR1019" s="897"/>
      <c r="AS1019" s="897"/>
      <c r="AT1019" s="897"/>
    </row>
    <row r="1020" spans="1:46" s="930" customFormat="1">
      <c r="A1020" s="892"/>
      <c r="B1020" s="899"/>
      <c r="C1020" s="900"/>
      <c r="D1020" s="894"/>
      <c r="E1020" s="936"/>
      <c r="F1020" s="905"/>
      <c r="G1020" s="896"/>
      <c r="H1020" s="897"/>
      <c r="I1020" s="897"/>
      <c r="J1020" s="897"/>
      <c r="K1020" s="897"/>
      <c r="L1020" s="898"/>
      <c r="M1020" s="898"/>
      <c r="N1020" s="898"/>
      <c r="O1020" s="898"/>
      <c r="P1020" s="898"/>
      <c r="Q1020" s="898"/>
      <c r="R1020" s="898"/>
      <c r="S1020" s="898"/>
      <c r="T1020" s="898"/>
      <c r="U1020" s="898"/>
      <c r="V1020" s="898"/>
      <c r="W1020" s="898"/>
      <c r="X1020" s="898"/>
      <c r="Y1020" s="898"/>
      <c r="Z1020" s="898"/>
      <c r="AA1020" s="898"/>
      <c r="AB1020" s="898"/>
      <c r="AC1020" s="898"/>
      <c r="AD1020" s="898"/>
      <c r="AE1020" s="898"/>
      <c r="AF1020" s="898"/>
      <c r="AG1020" s="898"/>
      <c r="AH1020" s="898"/>
      <c r="AI1020" s="898"/>
      <c r="AJ1020" s="898"/>
      <c r="AK1020" s="898"/>
      <c r="AL1020" s="898"/>
      <c r="AM1020" s="897"/>
      <c r="AN1020" s="897"/>
      <c r="AO1020" s="897"/>
      <c r="AP1020" s="897"/>
      <c r="AQ1020" s="897"/>
      <c r="AR1020" s="897"/>
      <c r="AS1020" s="897"/>
      <c r="AT1020" s="897"/>
    </row>
    <row r="1021" spans="1:46" s="930" customFormat="1">
      <c r="A1021" s="892"/>
      <c r="B1021" s="899"/>
      <c r="C1021" s="900"/>
      <c r="D1021" s="894"/>
      <c r="E1021" s="936"/>
      <c r="F1021" s="905"/>
      <c r="G1021" s="896"/>
      <c r="H1021" s="897"/>
      <c r="I1021" s="897"/>
      <c r="J1021" s="897"/>
      <c r="K1021" s="897"/>
      <c r="L1021" s="898"/>
      <c r="M1021" s="898"/>
      <c r="N1021" s="898"/>
      <c r="O1021" s="898"/>
      <c r="P1021" s="898"/>
      <c r="Q1021" s="898"/>
      <c r="R1021" s="898"/>
      <c r="S1021" s="898"/>
      <c r="T1021" s="898"/>
      <c r="U1021" s="898"/>
      <c r="V1021" s="898"/>
      <c r="W1021" s="898"/>
      <c r="X1021" s="898"/>
      <c r="Y1021" s="898"/>
      <c r="Z1021" s="898"/>
      <c r="AA1021" s="898"/>
      <c r="AB1021" s="898"/>
      <c r="AC1021" s="898"/>
      <c r="AD1021" s="898"/>
      <c r="AE1021" s="898"/>
      <c r="AF1021" s="898"/>
      <c r="AG1021" s="898"/>
      <c r="AH1021" s="898"/>
      <c r="AI1021" s="898"/>
      <c r="AJ1021" s="898"/>
      <c r="AK1021" s="898"/>
      <c r="AL1021" s="898"/>
      <c r="AM1021" s="897"/>
      <c r="AN1021" s="897"/>
      <c r="AO1021" s="897"/>
      <c r="AP1021" s="897"/>
      <c r="AQ1021" s="897"/>
      <c r="AR1021" s="897"/>
      <c r="AS1021" s="897"/>
      <c r="AT1021" s="897"/>
    </row>
    <row r="1022" spans="1:46" s="930" customFormat="1">
      <c r="A1022" s="892"/>
      <c r="B1022" s="899"/>
      <c r="C1022" s="900"/>
      <c r="D1022" s="894"/>
      <c r="E1022" s="936"/>
      <c r="F1022" s="905"/>
      <c r="G1022" s="896"/>
      <c r="H1022" s="897"/>
      <c r="I1022" s="897"/>
      <c r="J1022" s="897"/>
      <c r="K1022" s="897"/>
      <c r="L1022" s="898"/>
      <c r="M1022" s="898"/>
      <c r="N1022" s="898"/>
      <c r="O1022" s="898"/>
      <c r="P1022" s="898"/>
      <c r="Q1022" s="898"/>
      <c r="R1022" s="898"/>
      <c r="S1022" s="898"/>
      <c r="T1022" s="898"/>
      <c r="U1022" s="898"/>
      <c r="V1022" s="898"/>
      <c r="W1022" s="898"/>
      <c r="X1022" s="898"/>
      <c r="Y1022" s="898"/>
      <c r="Z1022" s="898"/>
      <c r="AA1022" s="898"/>
      <c r="AB1022" s="898"/>
      <c r="AC1022" s="898"/>
      <c r="AD1022" s="898"/>
      <c r="AE1022" s="898"/>
      <c r="AF1022" s="898"/>
      <c r="AG1022" s="898"/>
      <c r="AH1022" s="898"/>
      <c r="AI1022" s="898"/>
      <c r="AJ1022" s="898"/>
      <c r="AK1022" s="898"/>
      <c r="AL1022" s="898"/>
      <c r="AM1022" s="897"/>
      <c r="AN1022" s="897"/>
      <c r="AO1022" s="897"/>
      <c r="AP1022" s="897"/>
      <c r="AQ1022" s="897"/>
      <c r="AR1022" s="897"/>
      <c r="AS1022" s="897"/>
      <c r="AT1022" s="897"/>
    </row>
    <row r="1023" spans="1:46" s="930" customFormat="1">
      <c r="A1023" s="892"/>
      <c r="B1023" s="899"/>
      <c r="C1023" s="900"/>
      <c r="D1023" s="894"/>
      <c r="E1023" s="936"/>
      <c r="F1023" s="905"/>
      <c r="G1023" s="896"/>
      <c r="H1023" s="897"/>
      <c r="I1023" s="897"/>
      <c r="J1023" s="897"/>
      <c r="K1023" s="897"/>
      <c r="L1023" s="898"/>
      <c r="M1023" s="898"/>
      <c r="N1023" s="898"/>
      <c r="O1023" s="898"/>
      <c r="P1023" s="898"/>
      <c r="Q1023" s="898"/>
      <c r="R1023" s="898"/>
      <c r="S1023" s="898"/>
      <c r="T1023" s="898"/>
      <c r="U1023" s="898"/>
      <c r="V1023" s="898"/>
      <c r="W1023" s="898"/>
      <c r="X1023" s="898"/>
      <c r="Y1023" s="898"/>
      <c r="Z1023" s="898"/>
      <c r="AA1023" s="898"/>
      <c r="AB1023" s="898"/>
      <c r="AC1023" s="898"/>
      <c r="AD1023" s="898"/>
      <c r="AE1023" s="898"/>
      <c r="AF1023" s="898"/>
      <c r="AG1023" s="898"/>
      <c r="AH1023" s="898"/>
      <c r="AI1023" s="898"/>
      <c r="AJ1023" s="898"/>
      <c r="AK1023" s="898"/>
      <c r="AL1023" s="898"/>
      <c r="AM1023" s="897"/>
      <c r="AN1023" s="897"/>
      <c r="AO1023" s="897"/>
      <c r="AP1023" s="897"/>
      <c r="AQ1023" s="897"/>
      <c r="AR1023" s="897"/>
      <c r="AS1023" s="897"/>
      <c r="AT1023" s="897"/>
    </row>
    <row r="1024" spans="1:46" s="930" customFormat="1">
      <c r="A1024" s="892"/>
      <c r="B1024" s="899"/>
      <c r="C1024" s="900"/>
      <c r="D1024" s="894"/>
      <c r="E1024" s="936"/>
      <c r="F1024" s="905"/>
      <c r="G1024" s="896"/>
      <c r="H1024" s="897"/>
      <c r="I1024" s="897"/>
      <c r="J1024" s="897"/>
      <c r="K1024" s="897"/>
      <c r="L1024" s="898"/>
      <c r="M1024" s="898"/>
      <c r="N1024" s="898"/>
      <c r="O1024" s="898"/>
      <c r="P1024" s="898"/>
      <c r="Q1024" s="898"/>
      <c r="R1024" s="898"/>
      <c r="S1024" s="898"/>
      <c r="T1024" s="898"/>
      <c r="U1024" s="898"/>
      <c r="V1024" s="898"/>
      <c r="W1024" s="898"/>
      <c r="X1024" s="898"/>
      <c r="Y1024" s="898"/>
      <c r="Z1024" s="898"/>
      <c r="AA1024" s="898"/>
      <c r="AB1024" s="898"/>
      <c r="AC1024" s="898"/>
      <c r="AD1024" s="898"/>
      <c r="AE1024" s="898"/>
      <c r="AF1024" s="898"/>
      <c r="AG1024" s="898"/>
      <c r="AH1024" s="898"/>
      <c r="AI1024" s="898"/>
      <c r="AJ1024" s="898"/>
      <c r="AK1024" s="898"/>
      <c r="AL1024" s="898"/>
      <c r="AM1024" s="897"/>
      <c r="AN1024" s="897"/>
      <c r="AO1024" s="897"/>
      <c r="AP1024" s="897"/>
      <c r="AQ1024" s="897"/>
      <c r="AR1024" s="897"/>
      <c r="AS1024" s="897"/>
      <c r="AT1024" s="897"/>
    </row>
    <row r="1025" spans="1:46" s="930" customFormat="1">
      <c r="A1025" s="892"/>
      <c r="B1025" s="899"/>
      <c r="C1025" s="900"/>
      <c r="D1025" s="894"/>
      <c r="E1025" s="936"/>
      <c r="F1025" s="905"/>
      <c r="G1025" s="896"/>
      <c r="H1025" s="897"/>
      <c r="I1025" s="897"/>
      <c r="J1025" s="897"/>
      <c r="K1025" s="897"/>
      <c r="L1025" s="898"/>
      <c r="M1025" s="898"/>
      <c r="N1025" s="898"/>
      <c r="O1025" s="898"/>
      <c r="P1025" s="898"/>
      <c r="Q1025" s="898"/>
      <c r="R1025" s="898"/>
      <c r="S1025" s="898"/>
      <c r="T1025" s="898"/>
      <c r="U1025" s="898"/>
      <c r="V1025" s="898"/>
      <c r="W1025" s="898"/>
      <c r="X1025" s="898"/>
      <c r="Y1025" s="898"/>
      <c r="Z1025" s="898"/>
      <c r="AA1025" s="898"/>
      <c r="AB1025" s="898"/>
      <c r="AC1025" s="898"/>
      <c r="AD1025" s="898"/>
      <c r="AE1025" s="898"/>
      <c r="AF1025" s="898"/>
      <c r="AG1025" s="898"/>
      <c r="AH1025" s="898"/>
      <c r="AI1025" s="898"/>
      <c r="AJ1025" s="898"/>
      <c r="AK1025" s="898"/>
      <c r="AL1025" s="898"/>
      <c r="AM1025" s="897"/>
      <c r="AN1025" s="897"/>
      <c r="AO1025" s="897"/>
      <c r="AP1025" s="897"/>
      <c r="AQ1025" s="897"/>
      <c r="AR1025" s="897"/>
      <c r="AS1025" s="897"/>
      <c r="AT1025" s="897"/>
    </row>
    <row r="1026" spans="1:46" s="930" customFormat="1">
      <c r="A1026" s="892"/>
      <c r="B1026" s="899"/>
      <c r="C1026" s="900"/>
      <c r="D1026" s="894"/>
      <c r="E1026" s="936"/>
      <c r="F1026" s="905"/>
      <c r="G1026" s="896"/>
      <c r="H1026" s="897"/>
      <c r="I1026" s="897"/>
      <c r="J1026" s="897"/>
      <c r="K1026" s="897"/>
      <c r="L1026" s="898"/>
      <c r="M1026" s="898"/>
      <c r="N1026" s="898"/>
      <c r="O1026" s="898"/>
      <c r="P1026" s="898"/>
      <c r="Q1026" s="898"/>
      <c r="R1026" s="898"/>
      <c r="S1026" s="898"/>
      <c r="T1026" s="898"/>
      <c r="U1026" s="898"/>
      <c r="V1026" s="898"/>
      <c r="W1026" s="898"/>
      <c r="X1026" s="898"/>
      <c r="Y1026" s="898"/>
      <c r="Z1026" s="898"/>
      <c r="AA1026" s="898"/>
      <c r="AB1026" s="898"/>
      <c r="AC1026" s="898"/>
      <c r="AD1026" s="898"/>
      <c r="AE1026" s="898"/>
      <c r="AF1026" s="898"/>
      <c r="AG1026" s="898"/>
      <c r="AH1026" s="898"/>
      <c r="AI1026" s="898"/>
      <c r="AJ1026" s="898"/>
      <c r="AK1026" s="898"/>
      <c r="AL1026" s="898"/>
      <c r="AM1026" s="897"/>
      <c r="AN1026" s="897"/>
      <c r="AO1026" s="897"/>
      <c r="AP1026" s="897"/>
      <c r="AQ1026" s="897"/>
      <c r="AR1026" s="897"/>
      <c r="AS1026" s="897"/>
      <c r="AT1026" s="897"/>
    </row>
    <row r="1027" spans="1:46" s="930" customFormat="1">
      <c r="A1027" s="892"/>
      <c r="B1027" s="899"/>
      <c r="C1027" s="900"/>
      <c r="D1027" s="894"/>
      <c r="E1027" s="936"/>
      <c r="F1027" s="905"/>
      <c r="G1027" s="896"/>
      <c r="H1027" s="897"/>
      <c r="I1027" s="897"/>
      <c r="J1027" s="897"/>
      <c r="K1027" s="897"/>
      <c r="L1027" s="898"/>
      <c r="M1027" s="898"/>
      <c r="N1027" s="898"/>
      <c r="O1027" s="898"/>
      <c r="P1027" s="898"/>
      <c r="Q1027" s="898"/>
      <c r="R1027" s="898"/>
      <c r="S1027" s="898"/>
      <c r="T1027" s="898"/>
      <c r="U1027" s="898"/>
      <c r="V1027" s="898"/>
      <c r="W1027" s="898"/>
      <c r="X1027" s="898"/>
      <c r="Y1027" s="898"/>
      <c r="Z1027" s="898"/>
      <c r="AA1027" s="898"/>
      <c r="AB1027" s="898"/>
      <c r="AC1027" s="898"/>
      <c r="AD1027" s="898"/>
      <c r="AE1027" s="898"/>
      <c r="AF1027" s="898"/>
      <c r="AG1027" s="898"/>
      <c r="AH1027" s="898"/>
      <c r="AI1027" s="898"/>
      <c r="AJ1027" s="898"/>
      <c r="AK1027" s="898"/>
      <c r="AL1027" s="898"/>
      <c r="AM1027" s="897"/>
      <c r="AN1027" s="897"/>
      <c r="AO1027" s="897"/>
      <c r="AP1027" s="897"/>
      <c r="AQ1027" s="897"/>
      <c r="AR1027" s="897"/>
      <c r="AS1027" s="897"/>
      <c r="AT1027" s="897"/>
    </row>
    <row r="1028" spans="1:46" s="930" customFormat="1">
      <c r="A1028" s="892"/>
      <c r="B1028" s="899"/>
      <c r="C1028" s="900"/>
      <c r="D1028" s="894"/>
      <c r="E1028" s="936"/>
      <c r="F1028" s="905"/>
      <c r="G1028" s="896"/>
      <c r="H1028" s="897"/>
      <c r="I1028" s="897"/>
      <c r="J1028" s="897"/>
      <c r="K1028" s="897"/>
      <c r="L1028" s="898"/>
      <c r="M1028" s="898"/>
      <c r="N1028" s="898"/>
      <c r="O1028" s="898"/>
      <c r="P1028" s="898"/>
      <c r="Q1028" s="898"/>
      <c r="R1028" s="898"/>
      <c r="S1028" s="898"/>
      <c r="T1028" s="898"/>
      <c r="U1028" s="898"/>
      <c r="V1028" s="898"/>
      <c r="W1028" s="898"/>
      <c r="X1028" s="898"/>
      <c r="Y1028" s="898"/>
      <c r="Z1028" s="898"/>
      <c r="AA1028" s="898"/>
      <c r="AB1028" s="898"/>
      <c r="AC1028" s="898"/>
      <c r="AD1028" s="898"/>
      <c r="AE1028" s="898"/>
      <c r="AF1028" s="898"/>
      <c r="AG1028" s="898"/>
      <c r="AH1028" s="898"/>
      <c r="AI1028" s="898"/>
      <c r="AJ1028" s="898"/>
      <c r="AK1028" s="898"/>
      <c r="AL1028" s="898"/>
      <c r="AM1028" s="897"/>
      <c r="AN1028" s="897"/>
      <c r="AO1028" s="897"/>
      <c r="AP1028" s="897"/>
      <c r="AQ1028" s="897"/>
      <c r="AR1028" s="897"/>
      <c r="AS1028" s="897"/>
      <c r="AT1028" s="897"/>
    </row>
    <row r="1029" spans="1:46" s="930" customFormat="1">
      <c r="A1029" s="892"/>
      <c r="B1029" s="899"/>
      <c r="C1029" s="900"/>
      <c r="D1029" s="894"/>
      <c r="E1029" s="936"/>
      <c r="F1029" s="905"/>
      <c r="G1029" s="896"/>
      <c r="H1029" s="897"/>
      <c r="I1029" s="897"/>
      <c r="J1029" s="897"/>
      <c r="K1029" s="897"/>
      <c r="L1029" s="898"/>
      <c r="M1029" s="898"/>
      <c r="N1029" s="898"/>
      <c r="O1029" s="898"/>
      <c r="P1029" s="898"/>
      <c r="Q1029" s="898"/>
      <c r="R1029" s="898"/>
      <c r="S1029" s="898"/>
      <c r="T1029" s="898"/>
      <c r="U1029" s="898"/>
      <c r="V1029" s="898"/>
      <c r="W1029" s="898"/>
      <c r="X1029" s="898"/>
      <c r="Y1029" s="898"/>
      <c r="Z1029" s="898"/>
      <c r="AA1029" s="898"/>
      <c r="AB1029" s="898"/>
      <c r="AC1029" s="898"/>
      <c r="AD1029" s="898"/>
      <c r="AE1029" s="898"/>
      <c r="AF1029" s="898"/>
      <c r="AG1029" s="898"/>
      <c r="AH1029" s="898"/>
      <c r="AI1029" s="898"/>
      <c r="AJ1029" s="898"/>
      <c r="AK1029" s="898"/>
      <c r="AL1029" s="898"/>
      <c r="AM1029" s="897"/>
      <c r="AN1029" s="897"/>
      <c r="AO1029" s="897"/>
      <c r="AP1029" s="897"/>
      <c r="AQ1029" s="897"/>
      <c r="AR1029" s="897"/>
      <c r="AS1029" s="897"/>
      <c r="AT1029" s="897"/>
    </row>
    <row r="1030" spans="1:46" s="930" customFormat="1">
      <c r="A1030" s="892"/>
      <c r="B1030" s="899"/>
      <c r="C1030" s="900"/>
      <c r="D1030" s="894"/>
      <c r="E1030" s="936"/>
      <c r="F1030" s="905"/>
      <c r="G1030" s="896"/>
      <c r="H1030" s="897"/>
      <c r="I1030" s="897"/>
      <c r="J1030" s="897"/>
      <c r="K1030" s="897"/>
      <c r="L1030" s="898"/>
      <c r="M1030" s="898"/>
      <c r="N1030" s="898"/>
      <c r="O1030" s="898"/>
      <c r="P1030" s="898"/>
      <c r="Q1030" s="898"/>
      <c r="R1030" s="898"/>
      <c r="S1030" s="898"/>
      <c r="T1030" s="898"/>
      <c r="U1030" s="898"/>
      <c r="V1030" s="898"/>
      <c r="W1030" s="898"/>
      <c r="X1030" s="898"/>
      <c r="Y1030" s="898"/>
      <c r="Z1030" s="898"/>
      <c r="AA1030" s="898"/>
      <c r="AB1030" s="898"/>
      <c r="AC1030" s="898"/>
      <c r="AD1030" s="898"/>
      <c r="AE1030" s="898"/>
      <c r="AF1030" s="898"/>
      <c r="AG1030" s="898"/>
      <c r="AH1030" s="898"/>
      <c r="AI1030" s="898"/>
      <c r="AJ1030" s="898"/>
      <c r="AK1030" s="898"/>
      <c r="AL1030" s="898"/>
      <c r="AM1030" s="897"/>
      <c r="AN1030" s="897"/>
      <c r="AO1030" s="897"/>
      <c r="AP1030" s="897"/>
      <c r="AQ1030" s="897"/>
      <c r="AR1030" s="897"/>
      <c r="AS1030" s="897"/>
      <c r="AT1030" s="897"/>
    </row>
    <row r="1031" spans="1:46" s="930" customFormat="1">
      <c r="A1031" s="892"/>
      <c r="B1031" s="899"/>
      <c r="C1031" s="900"/>
      <c r="D1031" s="894"/>
      <c r="E1031" s="936"/>
      <c r="F1031" s="905"/>
      <c r="G1031" s="896"/>
      <c r="H1031" s="897"/>
      <c r="I1031" s="897"/>
      <c r="J1031" s="897"/>
      <c r="K1031" s="897"/>
      <c r="L1031" s="898"/>
      <c r="M1031" s="898"/>
      <c r="N1031" s="898"/>
      <c r="O1031" s="898"/>
      <c r="P1031" s="898"/>
      <c r="Q1031" s="898"/>
      <c r="R1031" s="898"/>
      <c r="S1031" s="898"/>
      <c r="T1031" s="898"/>
      <c r="U1031" s="898"/>
      <c r="V1031" s="898"/>
      <c r="W1031" s="898"/>
      <c r="X1031" s="898"/>
      <c r="Y1031" s="898"/>
      <c r="Z1031" s="898"/>
      <c r="AA1031" s="898"/>
      <c r="AB1031" s="898"/>
      <c r="AC1031" s="898"/>
      <c r="AD1031" s="898"/>
      <c r="AE1031" s="898"/>
      <c r="AF1031" s="898"/>
      <c r="AG1031" s="898"/>
      <c r="AH1031" s="898"/>
      <c r="AI1031" s="898"/>
      <c r="AJ1031" s="898"/>
      <c r="AK1031" s="898"/>
      <c r="AL1031" s="898"/>
      <c r="AM1031" s="897"/>
      <c r="AN1031" s="897"/>
      <c r="AO1031" s="897"/>
      <c r="AP1031" s="897"/>
      <c r="AQ1031" s="897"/>
      <c r="AR1031" s="897"/>
      <c r="AS1031" s="897"/>
      <c r="AT1031" s="897"/>
    </row>
    <row r="1032" spans="1:46" s="930" customFormat="1">
      <c r="A1032" s="892"/>
      <c r="B1032" s="899"/>
      <c r="C1032" s="900"/>
      <c r="D1032" s="894"/>
      <c r="E1032" s="936"/>
      <c r="F1032" s="905"/>
      <c r="G1032" s="896"/>
      <c r="H1032" s="897"/>
      <c r="I1032" s="897"/>
      <c r="J1032" s="897"/>
      <c r="K1032" s="897"/>
      <c r="L1032" s="898"/>
      <c r="M1032" s="898"/>
      <c r="N1032" s="898"/>
      <c r="O1032" s="898"/>
      <c r="P1032" s="898"/>
      <c r="Q1032" s="898"/>
      <c r="R1032" s="898"/>
      <c r="S1032" s="898"/>
      <c r="T1032" s="898"/>
      <c r="U1032" s="898"/>
      <c r="V1032" s="898"/>
      <c r="W1032" s="898"/>
      <c r="X1032" s="898"/>
      <c r="Y1032" s="898"/>
      <c r="Z1032" s="898"/>
      <c r="AA1032" s="898"/>
      <c r="AB1032" s="898"/>
      <c r="AC1032" s="898"/>
      <c r="AD1032" s="898"/>
      <c r="AE1032" s="898"/>
      <c r="AF1032" s="898"/>
      <c r="AG1032" s="898"/>
      <c r="AH1032" s="898"/>
      <c r="AI1032" s="898"/>
      <c r="AJ1032" s="898"/>
      <c r="AK1032" s="898"/>
      <c r="AL1032" s="898"/>
      <c r="AM1032" s="897"/>
      <c r="AN1032" s="897"/>
      <c r="AO1032" s="897"/>
      <c r="AP1032" s="897"/>
      <c r="AQ1032" s="897"/>
      <c r="AR1032" s="897"/>
      <c r="AS1032" s="897"/>
      <c r="AT1032" s="897"/>
    </row>
    <row r="1033" spans="1:46" s="930" customFormat="1">
      <c r="A1033" s="892"/>
      <c r="B1033" s="899"/>
      <c r="C1033" s="900"/>
      <c r="D1033" s="894"/>
      <c r="E1033" s="936"/>
      <c r="F1033" s="905"/>
      <c r="G1033" s="896"/>
      <c r="H1033" s="897"/>
      <c r="I1033" s="897"/>
      <c r="J1033" s="897"/>
      <c r="K1033" s="897"/>
      <c r="L1033" s="898"/>
      <c r="M1033" s="898"/>
      <c r="N1033" s="898"/>
      <c r="O1033" s="898"/>
      <c r="P1033" s="898"/>
      <c r="Q1033" s="898"/>
      <c r="R1033" s="898"/>
      <c r="S1033" s="898"/>
      <c r="T1033" s="898"/>
      <c r="U1033" s="898"/>
      <c r="V1033" s="898"/>
      <c r="W1033" s="898"/>
      <c r="X1033" s="898"/>
      <c r="Y1033" s="898"/>
      <c r="Z1033" s="898"/>
      <c r="AA1033" s="898"/>
      <c r="AB1033" s="898"/>
      <c r="AC1033" s="898"/>
      <c r="AD1033" s="898"/>
      <c r="AE1033" s="898"/>
      <c r="AF1033" s="898"/>
      <c r="AG1033" s="898"/>
      <c r="AH1033" s="898"/>
      <c r="AI1033" s="898"/>
      <c r="AJ1033" s="898"/>
      <c r="AK1033" s="898"/>
      <c r="AL1033" s="898"/>
      <c r="AM1033" s="897"/>
      <c r="AN1033" s="897"/>
      <c r="AO1033" s="897"/>
      <c r="AP1033" s="897"/>
      <c r="AQ1033" s="897"/>
      <c r="AR1033" s="897"/>
      <c r="AS1033" s="897"/>
      <c r="AT1033" s="897"/>
    </row>
    <row r="1034" spans="1:46" s="930" customFormat="1">
      <c r="A1034" s="892"/>
      <c r="B1034" s="899"/>
      <c r="C1034" s="900"/>
      <c r="D1034" s="894"/>
      <c r="E1034" s="936"/>
      <c r="F1034" s="905"/>
      <c r="G1034" s="896"/>
      <c r="H1034" s="897"/>
      <c r="I1034" s="897"/>
      <c r="J1034" s="897"/>
      <c r="K1034" s="897"/>
      <c r="L1034" s="898"/>
      <c r="M1034" s="898"/>
      <c r="N1034" s="898"/>
      <c r="O1034" s="898"/>
      <c r="P1034" s="898"/>
      <c r="Q1034" s="898"/>
      <c r="R1034" s="898"/>
      <c r="S1034" s="898"/>
      <c r="T1034" s="898"/>
      <c r="U1034" s="898"/>
      <c r="V1034" s="898"/>
      <c r="W1034" s="898"/>
      <c r="X1034" s="898"/>
      <c r="Y1034" s="898"/>
      <c r="Z1034" s="898"/>
      <c r="AA1034" s="898"/>
      <c r="AB1034" s="898"/>
      <c r="AC1034" s="898"/>
      <c r="AD1034" s="898"/>
      <c r="AE1034" s="898"/>
      <c r="AF1034" s="898"/>
      <c r="AG1034" s="898"/>
      <c r="AH1034" s="898"/>
      <c r="AI1034" s="898"/>
      <c r="AJ1034" s="898"/>
      <c r="AK1034" s="898"/>
      <c r="AL1034" s="898"/>
      <c r="AM1034" s="897"/>
      <c r="AN1034" s="897"/>
      <c r="AO1034" s="897"/>
      <c r="AP1034" s="897"/>
      <c r="AQ1034" s="897"/>
      <c r="AR1034" s="897"/>
      <c r="AS1034" s="897"/>
      <c r="AT1034" s="897"/>
    </row>
    <row r="1035" spans="1:46" s="930" customFormat="1">
      <c r="A1035" s="892"/>
      <c r="B1035" s="899"/>
      <c r="C1035" s="900"/>
      <c r="D1035" s="894"/>
      <c r="E1035" s="936"/>
      <c r="F1035" s="905"/>
      <c r="G1035" s="896"/>
      <c r="H1035" s="897"/>
      <c r="I1035" s="897"/>
      <c r="J1035" s="897"/>
      <c r="K1035" s="897"/>
      <c r="L1035" s="898"/>
      <c r="M1035" s="898"/>
      <c r="N1035" s="898"/>
      <c r="O1035" s="898"/>
      <c r="P1035" s="898"/>
      <c r="Q1035" s="898"/>
      <c r="R1035" s="898"/>
      <c r="S1035" s="898"/>
      <c r="T1035" s="898"/>
      <c r="U1035" s="898"/>
      <c r="V1035" s="898"/>
      <c r="W1035" s="898"/>
      <c r="X1035" s="898"/>
      <c r="Y1035" s="898"/>
      <c r="Z1035" s="898"/>
      <c r="AA1035" s="898"/>
      <c r="AB1035" s="898"/>
      <c r="AC1035" s="898"/>
      <c r="AD1035" s="898"/>
      <c r="AE1035" s="898"/>
      <c r="AF1035" s="898"/>
      <c r="AG1035" s="898"/>
      <c r="AH1035" s="898"/>
      <c r="AI1035" s="898"/>
      <c r="AJ1035" s="898"/>
      <c r="AK1035" s="898"/>
      <c r="AL1035" s="898"/>
      <c r="AM1035" s="897"/>
      <c r="AN1035" s="897"/>
      <c r="AO1035" s="897"/>
      <c r="AP1035" s="897"/>
      <c r="AQ1035" s="897"/>
      <c r="AR1035" s="897"/>
      <c r="AS1035" s="897"/>
      <c r="AT1035" s="897"/>
    </row>
    <row r="1036" spans="1:46" s="930" customFormat="1">
      <c r="A1036" s="892"/>
      <c r="B1036" s="899"/>
      <c r="C1036" s="900"/>
      <c r="D1036" s="894"/>
      <c r="E1036" s="936"/>
      <c r="F1036" s="905"/>
      <c r="G1036" s="896"/>
      <c r="H1036" s="897"/>
      <c r="I1036" s="897"/>
      <c r="J1036" s="897"/>
      <c r="K1036" s="897"/>
      <c r="L1036" s="898"/>
      <c r="M1036" s="898"/>
      <c r="N1036" s="898"/>
      <c r="O1036" s="898"/>
      <c r="P1036" s="898"/>
      <c r="Q1036" s="898"/>
      <c r="R1036" s="898"/>
      <c r="S1036" s="898"/>
      <c r="T1036" s="898"/>
      <c r="U1036" s="898"/>
      <c r="V1036" s="898"/>
      <c r="W1036" s="898"/>
      <c r="X1036" s="898"/>
      <c r="Y1036" s="898"/>
      <c r="Z1036" s="898"/>
      <c r="AA1036" s="898"/>
      <c r="AB1036" s="898"/>
      <c r="AC1036" s="898"/>
      <c r="AD1036" s="898"/>
      <c r="AE1036" s="898"/>
      <c r="AF1036" s="898"/>
      <c r="AG1036" s="898"/>
      <c r="AH1036" s="898"/>
      <c r="AI1036" s="898"/>
      <c r="AJ1036" s="898"/>
      <c r="AK1036" s="898"/>
      <c r="AL1036" s="898"/>
      <c r="AM1036" s="897"/>
      <c r="AN1036" s="897"/>
      <c r="AO1036" s="897"/>
      <c r="AP1036" s="897"/>
      <c r="AQ1036" s="897"/>
      <c r="AR1036" s="897"/>
      <c r="AS1036" s="897"/>
      <c r="AT1036" s="897"/>
    </row>
    <row r="1037" spans="1:46" s="930" customFormat="1">
      <c r="A1037" s="892"/>
      <c r="B1037" s="899"/>
      <c r="C1037" s="900"/>
      <c r="D1037" s="894"/>
      <c r="E1037" s="936"/>
      <c r="F1037" s="905"/>
      <c r="G1037" s="896"/>
      <c r="H1037" s="897"/>
      <c r="I1037" s="897"/>
      <c r="J1037" s="897"/>
      <c r="K1037" s="897"/>
      <c r="L1037" s="898"/>
      <c r="M1037" s="898"/>
      <c r="N1037" s="898"/>
      <c r="O1037" s="898"/>
      <c r="P1037" s="898"/>
      <c r="Q1037" s="898"/>
      <c r="R1037" s="898"/>
      <c r="S1037" s="898"/>
      <c r="T1037" s="898"/>
      <c r="U1037" s="898"/>
      <c r="V1037" s="898"/>
      <c r="W1037" s="898"/>
      <c r="X1037" s="898"/>
      <c r="Y1037" s="898"/>
      <c r="Z1037" s="898"/>
      <c r="AA1037" s="898"/>
      <c r="AB1037" s="898"/>
      <c r="AC1037" s="898"/>
      <c r="AD1037" s="898"/>
      <c r="AE1037" s="898"/>
      <c r="AF1037" s="898"/>
      <c r="AG1037" s="898"/>
      <c r="AH1037" s="898"/>
      <c r="AI1037" s="898"/>
      <c r="AJ1037" s="898"/>
      <c r="AK1037" s="898"/>
      <c r="AL1037" s="898"/>
      <c r="AM1037" s="897"/>
      <c r="AN1037" s="897"/>
      <c r="AO1037" s="897"/>
      <c r="AP1037" s="897"/>
      <c r="AQ1037" s="897"/>
      <c r="AR1037" s="897"/>
      <c r="AS1037" s="897"/>
      <c r="AT1037" s="897"/>
    </row>
    <row r="1038" spans="1:46" s="930" customFormat="1">
      <c r="A1038" s="892"/>
      <c r="B1038" s="899"/>
      <c r="C1038" s="900"/>
      <c r="D1038" s="894"/>
      <c r="E1038" s="936"/>
      <c r="F1038" s="905"/>
      <c r="G1038" s="896"/>
      <c r="H1038" s="897"/>
      <c r="I1038" s="897"/>
      <c r="J1038" s="897"/>
      <c r="K1038" s="897"/>
      <c r="L1038" s="898"/>
      <c r="M1038" s="898"/>
      <c r="N1038" s="898"/>
      <c r="O1038" s="898"/>
      <c r="P1038" s="898"/>
      <c r="Q1038" s="898"/>
      <c r="R1038" s="898"/>
      <c r="S1038" s="898"/>
      <c r="T1038" s="898"/>
      <c r="U1038" s="898"/>
      <c r="V1038" s="898"/>
      <c r="W1038" s="898"/>
      <c r="X1038" s="898"/>
      <c r="Y1038" s="898"/>
      <c r="Z1038" s="898"/>
      <c r="AA1038" s="898"/>
      <c r="AB1038" s="898"/>
      <c r="AC1038" s="898"/>
      <c r="AD1038" s="898"/>
      <c r="AE1038" s="898"/>
      <c r="AF1038" s="898"/>
      <c r="AG1038" s="898"/>
      <c r="AH1038" s="898"/>
      <c r="AI1038" s="898"/>
      <c r="AJ1038" s="898"/>
      <c r="AK1038" s="898"/>
      <c r="AL1038" s="898"/>
      <c r="AM1038" s="897"/>
      <c r="AN1038" s="897"/>
      <c r="AO1038" s="897"/>
      <c r="AP1038" s="897"/>
      <c r="AQ1038" s="897"/>
      <c r="AR1038" s="897"/>
      <c r="AS1038" s="897"/>
      <c r="AT1038" s="897"/>
    </row>
    <row r="1039" spans="1:46" s="930" customFormat="1">
      <c r="A1039" s="892"/>
      <c r="B1039" s="899"/>
      <c r="C1039" s="900"/>
      <c r="D1039" s="894"/>
      <c r="E1039" s="936"/>
      <c r="F1039" s="905"/>
      <c r="G1039" s="896"/>
      <c r="H1039" s="897"/>
      <c r="I1039" s="897"/>
      <c r="J1039" s="897"/>
      <c r="K1039" s="897"/>
      <c r="L1039" s="898"/>
      <c r="M1039" s="898"/>
      <c r="N1039" s="898"/>
      <c r="O1039" s="898"/>
      <c r="P1039" s="898"/>
      <c r="Q1039" s="898"/>
      <c r="R1039" s="898"/>
      <c r="S1039" s="898"/>
      <c r="T1039" s="898"/>
      <c r="U1039" s="898"/>
      <c r="V1039" s="898"/>
      <c r="W1039" s="898"/>
      <c r="X1039" s="898"/>
      <c r="Y1039" s="898"/>
      <c r="Z1039" s="898"/>
      <c r="AA1039" s="898"/>
      <c r="AB1039" s="898"/>
      <c r="AC1039" s="898"/>
      <c r="AD1039" s="898"/>
      <c r="AE1039" s="898"/>
      <c r="AF1039" s="898"/>
      <c r="AG1039" s="898"/>
      <c r="AH1039" s="898"/>
      <c r="AI1039" s="898"/>
      <c r="AJ1039" s="898"/>
      <c r="AK1039" s="898"/>
      <c r="AL1039" s="898"/>
      <c r="AM1039" s="897"/>
      <c r="AN1039" s="897"/>
      <c r="AO1039" s="897"/>
      <c r="AP1039" s="897"/>
      <c r="AQ1039" s="897"/>
      <c r="AR1039" s="897"/>
      <c r="AS1039" s="897"/>
      <c r="AT1039" s="897"/>
    </row>
    <row r="1040" spans="1:46" s="930" customFormat="1">
      <c r="A1040" s="892"/>
      <c r="B1040" s="899"/>
      <c r="C1040" s="900"/>
      <c r="D1040" s="894"/>
      <c r="E1040" s="936"/>
      <c r="F1040" s="905"/>
      <c r="G1040" s="896"/>
      <c r="H1040" s="897"/>
      <c r="I1040" s="897"/>
      <c r="J1040" s="897"/>
      <c r="K1040" s="897"/>
      <c r="L1040" s="898"/>
      <c r="M1040" s="898"/>
      <c r="N1040" s="898"/>
      <c r="O1040" s="898"/>
      <c r="P1040" s="898"/>
      <c r="Q1040" s="898"/>
      <c r="R1040" s="898"/>
      <c r="S1040" s="898"/>
      <c r="T1040" s="898"/>
      <c r="U1040" s="898"/>
      <c r="V1040" s="898"/>
      <c r="W1040" s="898"/>
      <c r="X1040" s="898"/>
      <c r="Y1040" s="898"/>
      <c r="Z1040" s="898"/>
      <c r="AA1040" s="898"/>
      <c r="AB1040" s="898"/>
      <c r="AC1040" s="898"/>
      <c r="AD1040" s="898"/>
      <c r="AE1040" s="898"/>
      <c r="AF1040" s="898"/>
      <c r="AG1040" s="898"/>
      <c r="AH1040" s="898"/>
      <c r="AI1040" s="898"/>
      <c r="AJ1040" s="898"/>
      <c r="AK1040" s="898"/>
      <c r="AL1040" s="898"/>
      <c r="AM1040" s="897"/>
      <c r="AN1040" s="897"/>
      <c r="AO1040" s="897"/>
      <c r="AP1040" s="897"/>
      <c r="AQ1040" s="897"/>
      <c r="AR1040" s="897"/>
      <c r="AS1040" s="897"/>
      <c r="AT1040" s="897"/>
    </row>
    <row r="1041" spans="1:46" s="930" customFormat="1">
      <c r="A1041" s="892"/>
      <c r="B1041" s="899"/>
      <c r="C1041" s="900"/>
      <c r="D1041" s="894"/>
      <c r="E1041" s="936"/>
      <c r="F1041" s="905"/>
      <c r="G1041" s="896"/>
      <c r="H1041" s="897"/>
      <c r="I1041" s="897"/>
      <c r="J1041" s="897"/>
      <c r="K1041" s="897"/>
      <c r="L1041" s="898"/>
      <c r="M1041" s="898"/>
      <c r="N1041" s="898"/>
      <c r="O1041" s="898"/>
      <c r="P1041" s="898"/>
      <c r="Q1041" s="898"/>
      <c r="R1041" s="898"/>
      <c r="S1041" s="898"/>
      <c r="T1041" s="898"/>
      <c r="U1041" s="898"/>
      <c r="V1041" s="898"/>
      <c r="W1041" s="898"/>
      <c r="X1041" s="898"/>
      <c r="Y1041" s="898"/>
      <c r="Z1041" s="898"/>
      <c r="AA1041" s="898"/>
      <c r="AB1041" s="898"/>
      <c r="AC1041" s="898"/>
      <c r="AD1041" s="898"/>
      <c r="AE1041" s="898"/>
      <c r="AF1041" s="898"/>
      <c r="AG1041" s="898"/>
      <c r="AH1041" s="898"/>
      <c r="AI1041" s="898"/>
      <c r="AJ1041" s="898"/>
      <c r="AK1041" s="898"/>
      <c r="AL1041" s="898"/>
      <c r="AM1041" s="897"/>
      <c r="AN1041" s="897"/>
      <c r="AO1041" s="897"/>
      <c r="AP1041" s="897"/>
      <c r="AQ1041" s="897"/>
      <c r="AR1041" s="897"/>
      <c r="AS1041" s="897"/>
      <c r="AT1041" s="897"/>
    </row>
    <row r="1042" spans="1:46" s="930" customFormat="1">
      <c r="A1042" s="892"/>
      <c r="B1042" s="899"/>
      <c r="C1042" s="900"/>
      <c r="D1042" s="894"/>
      <c r="E1042" s="936"/>
      <c r="F1042" s="905"/>
      <c r="G1042" s="896"/>
      <c r="H1042" s="897"/>
      <c r="I1042" s="897"/>
      <c r="J1042" s="897"/>
      <c r="K1042" s="897"/>
      <c r="L1042" s="898"/>
      <c r="M1042" s="898"/>
      <c r="N1042" s="898"/>
      <c r="O1042" s="898"/>
      <c r="P1042" s="898"/>
      <c r="Q1042" s="898"/>
      <c r="R1042" s="898"/>
      <c r="S1042" s="898"/>
      <c r="T1042" s="898"/>
      <c r="U1042" s="898"/>
      <c r="V1042" s="898"/>
      <c r="W1042" s="898"/>
      <c r="X1042" s="898"/>
      <c r="Y1042" s="898"/>
      <c r="Z1042" s="898"/>
      <c r="AA1042" s="898"/>
      <c r="AB1042" s="898"/>
      <c r="AC1042" s="898"/>
      <c r="AD1042" s="898"/>
      <c r="AE1042" s="898"/>
      <c r="AF1042" s="898"/>
      <c r="AG1042" s="898"/>
      <c r="AH1042" s="898"/>
      <c r="AI1042" s="898"/>
      <c r="AJ1042" s="898"/>
      <c r="AK1042" s="898"/>
      <c r="AL1042" s="898"/>
      <c r="AM1042" s="897"/>
      <c r="AN1042" s="897"/>
      <c r="AO1042" s="897"/>
      <c r="AP1042" s="897"/>
      <c r="AQ1042" s="897"/>
      <c r="AR1042" s="897"/>
      <c r="AS1042" s="897"/>
      <c r="AT1042" s="897"/>
    </row>
    <row r="1043" spans="1:46" s="930" customFormat="1">
      <c r="A1043" s="892"/>
      <c r="B1043" s="899"/>
      <c r="C1043" s="900"/>
      <c r="D1043" s="894"/>
      <c r="E1043" s="936"/>
      <c r="F1043" s="905"/>
      <c r="G1043" s="896"/>
      <c r="H1043" s="897"/>
      <c r="I1043" s="897"/>
      <c r="J1043" s="897"/>
      <c r="K1043" s="897"/>
      <c r="L1043" s="898"/>
      <c r="M1043" s="898"/>
      <c r="N1043" s="898"/>
      <c r="O1043" s="898"/>
      <c r="P1043" s="898"/>
      <c r="Q1043" s="898"/>
      <c r="R1043" s="898"/>
      <c r="S1043" s="898"/>
      <c r="T1043" s="898"/>
      <c r="U1043" s="898"/>
      <c r="V1043" s="898"/>
      <c r="W1043" s="898"/>
      <c r="X1043" s="898"/>
      <c r="Y1043" s="898"/>
      <c r="Z1043" s="898"/>
      <c r="AA1043" s="898"/>
      <c r="AB1043" s="898"/>
      <c r="AC1043" s="898"/>
      <c r="AD1043" s="898"/>
      <c r="AE1043" s="898"/>
      <c r="AF1043" s="898"/>
      <c r="AG1043" s="898"/>
      <c r="AH1043" s="898"/>
      <c r="AI1043" s="898"/>
      <c r="AJ1043" s="898"/>
      <c r="AK1043" s="898"/>
      <c r="AL1043" s="898"/>
      <c r="AM1043" s="897"/>
      <c r="AN1043" s="897"/>
      <c r="AO1043" s="897"/>
      <c r="AP1043" s="897"/>
      <c r="AQ1043" s="897"/>
      <c r="AR1043" s="897"/>
      <c r="AS1043" s="897"/>
      <c r="AT1043" s="897"/>
    </row>
    <row r="1044" spans="1:46" s="930" customFormat="1">
      <c r="A1044" s="892"/>
      <c r="B1044" s="899"/>
      <c r="C1044" s="900"/>
      <c r="D1044" s="894"/>
      <c r="E1044" s="936"/>
      <c r="F1044" s="905"/>
      <c r="G1044" s="896"/>
      <c r="H1044" s="897"/>
      <c r="I1044" s="897"/>
      <c r="J1044" s="897"/>
      <c r="K1044" s="897"/>
      <c r="L1044" s="898"/>
      <c r="M1044" s="898"/>
      <c r="N1044" s="898"/>
      <c r="O1044" s="898"/>
      <c r="P1044" s="898"/>
      <c r="Q1044" s="898"/>
      <c r="R1044" s="898"/>
      <c r="S1044" s="898"/>
      <c r="T1044" s="898"/>
      <c r="U1044" s="898"/>
      <c r="V1044" s="898"/>
      <c r="W1044" s="898"/>
      <c r="X1044" s="898"/>
      <c r="Y1044" s="898"/>
      <c r="Z1044" s="898"/>
      <c r="AA1044" s="898"/>
      <c r="AB1044" s="898"/>
      <c r="AC1044" s="898"/>
      <c r="AD1044" s="898"/>
      <c r="AE1044" s="898"/>
      <c r="AF1044" s="898"/>
      <c r="AG1044" s="898"/>
      <c r="AH1044" s="898"/>
      <c r="AI1044" s="898"/>
      <c r="AJ1044" s="898"/>
      <c r="AK1044" s="898"/>
      <c r="AL1044" s="898"/>
      <c r="AM1044" s="897"/>
      <c r="AN1044" s="897"/>
      <c r="AO1044" s="897"/>
      <c r="AP1044" s="897"/>
      <c r="AQ1044" s="897"/>
      <c r="AR1044" s="897"/>
      <c r="AS1044" s="897"/>
      <c r="AT1044" s="897"/>
    </row>
    <row r="1045" spans="1:46" s="930" customFormat="1">
      <c r="A1045" s="892"/>
      <c r="B1045" s="899"/>
      <c r="C1045" s="900"/>
      <c r="D1045" s="894"/>
      <c r="E1045" s="936"/>
      <c r="F1045" s="905"/>
      <c r="G1045" s="896"/>
      <c r="H1045" s="897"/>
      <c r="I1045" s="897"/>
      <c r="J1045" s="897"/>
      <c r="K1045" s="897"/>
      <c r="L1045" s="898"/>
      <c r="M1045" s="898"/>
      <c r="N1045" s="898"/>
      <c r="O1045" s="898"/>
      <c r="P1045" s="898"/>
      <c r="Q1045" s="898"/>
      <c r="R1045" s="898"/>
      <c r="S1045" s="898"/>
      <c r="T1045" s="898"/>
      <c r="U1045" s="898"/>
      <c r="V1045" s="898"/>
      <c r="W1045" s="898"/>
      <c r="X1045" s="898"/>
      <c r="Y1045" s="898"/>
      <c r="Z1045" s="898"/>
      <c r="AA1045" s="898"/>
      <c r="AB1045" s="898"/>
      <c r="AC1045" s="898"/>
      <c r="AD1045" s="898"/>
      <c r="AE1045" s="898"/>
      <c r="AF1045" s="898"/>
      <c r="AG1045" s="898"/>
      <c r="AH1045" s="898"/>
      <c r="AI1045" s="898"/>
      <c r="AJ1045" s="898"/>
      <c r="AK1045" s="898"/>
      <c r="AL1045" s="898"/>
      <c r="AM1045" s="897"/>
      <c r="AN1045" s="897"/>
      <c r="AO1045" s="897"/>
      <c r="AP1045" s="897"/>
      <c r="AQ1045" s="897"/>
      <c r="AR1045" s="897"/>
      <c r="AS1045" s="897"/>
      <c r="AT1045" s="897"/>
    </row>
    <row r="1046" spans="1:46" s="930" customFormat="1">
      <c r="A1046" s="892"/>
      <c r="B1046" s="899"/>
      <c r="C1046" s="900"/>
      <c r="D1046" s="894"/>
      <c r="E1046" s="936"/>
      <c r="F1046" s="905"/>
      <c r="G1046" s="896"/>
      <c r="H1046" s="897"/>
      <c r="I1046" s="897"/>
      <c r="J1046" s="897"/>
      <c r="K1046" s="897"/>
      <c r="L1046" s="898"/>
      <c r="M1046" s="898"/>
      <c r="N1046" s="898"/>
      <c r="O1046" s="898"/>
      <c r="P1046" s="898"/>
      <c r="Q1046" s="898"/>
      <c r="R1046" s="898"/>
      <c r="S1046" s="898"/>
      <c r="T1046" s="898"/>
      <c r="U1046" s="898"/>
      <c r="V1046" s="898"/>
      <c r="W1046" s="898"/>
      <c r="X1046" s="898"/>
      <c r="Y1046" s="898"/>
      <c r="Z1046" s="898"/>
      <c r="AA1046" s="898"/>
      <c r="AB1046" s="898"/>
      <c r="AC1046" s="898"/>
      <c r="AD1046" s="898"/>
      <c r="AE1046" s="898"/>
      <c r="AF1046" s="898"/>
      <c r="AG1046" s="898"/>
      <c r="AH1046" s="898"/>
      <c r="AI1046" s="898"/>
      <c r="AJ1046" s="898"/>
      <c r="AK1046" s="898"/>
      <c r="AL1046" s="898"/>
      <c r="AM1046" s="897"/>
      <c r="AN1046" s="897"/>
      <c r="AO1046" s="897"/>
      <c r="AP1046" s="897"/>
      <c r="AQ1046" s="897"/>
      <c r="AR1046" s="897"/>
      <c r="AS1046" s="897"/>
      <c r="AT1046" s="897"/>
    </row>
    <row r="1047" spans="1:46" s="930" customFormat="1">
      <c r="A1047" s="892"/>
      <c r="B1047" s="899"/>
      <c r="C1047" s="900"/>
      <c r="D1047" s="894"/>
      <c r="E1047" s="936"/>
      <c r="F1047" s="905"/>
      <c r="G1047" s="896"/>
      <c r="H1047" s="897"/>
      <c r="I1047" s="897"/>
      <c r="J1047" s="897"/>
      <c r="K1047" s="897"/>
      <c r="L1047" s="898"/>
      <c r="M1047" s="898"/>
      <c r="N1047" s="898"/>
      <c r="O1047" s="898"/>
      <c r="P1047" s="898"/>
      <c r="Q1047" s="898"/>
      <c r="R1047" s="898"/>
      <c r="S1047" s="898"/>
      <c r="T1047" s="898"/>
      <c r="U1047" s="898"/>
      <c r="V1047" s="898"/>
      <c r="W1047" s="898"/>
      <c r="X1047" s="898"/>
      <c r="Y1047" s="898"/>
      <c r="Z1047" s="898"/>
      <c r="AA1047" s="898"/>
      <c r="AB1047" s="898"/>
      <c r="AC1047" s="898"/>
      <c r="AD1047" s="898"/>
      <c r="AE1047" s="898"/>
      <c r="AF1047" s="898"/>
      <c r="AG1047" s="898"/>
      <c r="AH1047" s="898"/>
      <c r="AI1047" s="898"/>
      <c r="AJ1047" s="898"/>
      <c r="AK1047" s="898"/>
      <c r="AL1047" s="898"/>
      <c r="AM1047" s="897"/>
      <c r="AN1047" s="897"/>
      <c r="AO1047" s="897"/>
      <c r="AP1047" s="897"/>
      <c r="AQ1047" s="897"/>
      <c r="AR1047" s="897"/>
      <c r="AS1047" s="897"/>
      <c r="AT1047" s="897"/>
    </row>
    <row r="1048" spans="1:46" s="930" customFormat="1">
      <c r="A1048" s="892"/>
      <c r="B1048" s="899"/>
      <c r="C1048" s="900"/>
      <c r="D1048" s="894"/>
      <c r="E1048" s="936"/>
      <c r="F1048" s="905"/>
      <c r="G1048" s="896"/>
      <c r="H1048" s="897"/>
      <c r="I1048" s="897"/>
      <c r="J1048" s="897"/>
      <c r="K1048" s="897"/>
      <c r="L1048" s="898"/>
      <c r="M1048" s="898"/>
      <c r="N1048" s="898"/>
      <c r="O1048" s="898"/>
      <c r="P1048" s="898"/>
      <c r="Q1048" s="898"/>
      <c r="R1048" s="898"/>
      <c r="S1048" s="898"/>
      <c r="T1048" s="898"/>
      <c r="U1048" s="898"/>
      <c r="V1048" s="898"/>
      <c r="W1048" s="898"/>
      <c r="X1048" s="898"/>
      <c r="Y1048" s="898"/>
      <c r="Z1048" s="898"/>
      <c r="AA1048" s="898"/>
      <c r="AB1048" s="898"/>
      <c r="AC1048" s="898"/>
      <c r="AD1048" s="898"/>
      <c r="AE1048" s="898"/>
      <c r="AF1048" s="898"/>
      <c r="AG1048" s="898"/>
      <c r="AH1048" s="898"/>
      <c r="AI1048" s="898"/>
      <c r="AJ1048" s="898"/>
      <c r="AK1048" s="898"/>
      <c r="AL1048" s="898"/>
      <c r="AM1048" s="897"/>
      <c r="AN1048" s="897"/>
      <c r="AO1048" s="897"/>
      <c r="AP1048" s="897"/>
      <c r="AQ1048" s="897"/>
      <c r="AR1048" s="897"/>
      <c r="AS1048" s="897"/>
      <c r="AT1048" s="897"/>
    </row>
    <row r="1049" spans="1:46" s="930" customFormat="1">
      <c r="A1049" s="892"/>
      <c r="B1049" s="899"/>
      <c r="C1049" s="900"/>
      <c r="D1049" s="894"/>
      <c r="E1049" s="936"/>
      <c r="F1049" s="905"/>
      <c r="G1049" s="896"/>
      <c r="H1049" s="897"/>
      <c r="I1049" s="897"/>
      <c r="J1049" s="897"/>
      <c r="K1049" s="897"/>
      <c r="L1049" s="898"/>
      <c r="M1049" s="898"/>
      <c r="N1049" s="898"/>
      <c r="O1049" s="898"/>
      <c r="P1049" s="898"/>
      <c r="Q1049" s="898"/>
      <c r="R1049" s="898"/>
      <c r="S1049" s="898"/>
      <c r="T1049" s="898"/>
      <c r="U1049" s="898"/>
      <c r="V1049" s="898"/>
      <c r="W1049" s="898"/>
      <c r="X1049" s="898"/>
      <c r="Y1049" s="898"/>
      <c r="Z1049" s="898"/>
      <c r="AA1049" s="898"/>
      <c r="AB1049" s="898"/>
      <c r="AC1049" s="898"/>
      <c r="AD1049" s="898"/>
      <c r="AE1049" s="898"/>
      <c r="AF1049" s="898"/>
      <c r="AG1049" s="898"/>
      <c r="AH1049" s="898"/>
      <c r="AI1049" s="898"/>
      <c r="AJ1049" s="898"/>
      <c r="AK1049" s="898"/>
      <c r="AL1049" s="898"/>
      <c r="AM1049" s="897"/>
      <c r="AN1049" s="897"/>
      <c r="AO1049" s="897"/>
      <c r="AP1049" s="897"/>
      <c r="AQ1049" s="897"/>
      <c r="AR1049" s="897"/>
      <c r="AS1049" s="897"/>
      <c r="AT1049" s="897"/>
    </row>
    <row r="1050" spans="1:46" s="930" customFormat="1">
      <c r="A1050" s="892"/>
      <c r="B1050" s="899"/>
      <c r="C1050" s="900"/>
      <c r="D1050" s="894"/>
      <c r="E1050" s="936"/>
      <c r="F1050" s="905"/>
      <c r="G1050" s="896"/>
      <c r="H1050" s="897"/>
      <c r="I1050" s="897"/>
      <c r="J1050" s="897"/>
      <c r="K1050" s="897"/>
      <c r="L1050" s="898"/>
      <c r="M1050" s="898"/>
      <c r="N1050" s="898"/>
      <c r="O1050" s="898"/>
      <c r="P1050" s="898"/>
      <c r="Q1050" s="898"/>
      <c r="R1050" s="898"/>
      <c r="S1050" s="898"/>
      <c r="T1050" s="898"/>
      <c r="U1050" s="898"/>
      <c r="V1050" s="898"/>
      <c r="W1050" s="898"/>
      <c r="X1050" s="898"/>
      <c r="Y1050" s="898"/>
      <c r="Z1050" s="898"/>
      <c r="AA1050" s="898"/>
      <c r="AB1050" s="898"/>
      <c r="AC1050" s="898"/>
      <c r="AD1050" s="898"/>
      <c r="AE1050" s="898"/>
      <c r="AF1050" s="898"/>
      <c r="AG1050" s="898"/>
      <c r="AH1050" s="898"/>
      <c r="AI1050" s="898"/>
      <c r="AJ1050" s="898"/>
      <c r="AK1050" s="898"/>
      <c r="AL1050" s="898"/>
      <c r="AM1050" s="897"/>
      <c r="AN1050" s="897"/>
      <c r="AO1050" s="897"/>
      <c r="AP1050" s="897"/>
      <c r="AQ1050" s="897"/>
      <c r="AR1050" s="897"/>
      <c r="AS1050" s="897"/>
      <c r="AT1050" s="897"/>
    </row>
    <row r="1051" spans="1:46" s="930" customFormat="1">
      <c r="A1051" s="892"/>
      <c r="B1051" s="899"/>
      <c r="C1051" s="900"/>
      <c r="D1051" s="894"/>
      <c r="E1051" s="936"/>
      <c r="F1051" s="905"/>
      <c r="G1051" s="896"/>
      <c r="H1051" s="897"/>
      <c r="I1051" s="897"/>
      <c r="J1051" s="897"/>
      <c r="K1051" s="897"/>
      <c r="L1051" s="898"/>
      <c r="M1051" s="898"/>
      <c r="N1051" s="898"/>
      <c r="O1051" s="898"/>
      <c r="P1051" s="898"/>
      <c r="Q1051" s="898"/>
      <c r="R1051" s="898"/>
      <c r="S1051" s="898"/>
      <c r="T1051" s="898"/>
      <c r="U1051" s="898"/>
      <c r="V1051" s="898"/>
      <c r="W1051" s="898"/>
      <c r="X1051" s="898"/>
      <c r="Y1051" s="898"/>
      <c r="Z1051" s="898"/>
      <c r="AA1051" s="898"/>
      <c r="AB1051" s="898"/>
      <c r="AC1051" s="898"/>
      <c r="AD1051" s="898"/>
      <c r="AE1051" s="898"/>
      <c r="AF1051" s="898"/>
      <c r="AG1051" s="898"/>
      <c r="AH1051" s="898"/>
      <c r="AI1051" s="898"/>
      <c r="AJ1051" s="898"/>
      <c r="AK1051" s="898"/>
      <c r="AL1051" s="898"/>
      <c r="AM1051" s="897"/>
      <c r="AN1051" s="897"/>
      <c r="AO1051" s="897"/>
      <c r="AP1051" s="897"/>
      <c r="AQ1051" s="897"/>
      <c r="AR1051" s="897"/>
      <c r="AS1051" s="897"/>
      <c r="AT1051" s="897"/>
    </row>
    <row r="1052" spans="1:46" s="930" customFormat="1">
      <c r="A1052" s="892"/>
      <c r="B1052" s="899"/>
      <c r="C1052" s="900"/>
      <c r="D1052" s="894"/>
      <c r="E1052" s="936"/>
      <c r="F1052" s="905"/>
      <c r="G1052" s="896"/>
      <c r="H1052" s="897"/>
      <c r="I1052" s="897"/>
      <c r="J1052" s="897"/>
      <c r="K1052" s="897"/>
      <c r="L1052" s="898"/>
      <c r="M1052" s="898"/>
      <c r="N1052" s="898"/>
      <c r="O1052" s="898"/>
      <c r="P1052" s="898"/>
      <c r="Q1052" s="898"/>
      <c r="R1052" s="898"/>
      <c r="S1052" s="898"/>
      <c r="T1052" s="898"/>
      <c r="U1052" s="898"/>
      <c r="V1052" s="898"/>
      <c r="W1052" s="898"/>
      <c r="X1052" s="898"/>
      <c r="Y1052" s="898"/>
      <c r="Z1052" s="898"/>
      <c r="AA1052" s="898"/>
      <c r="AB1052" s="898"/>
      <c r="AC1052" s="898"/>
      <c r="AD1052" s="898"/>
      <c r="AE1052" s="898"/>
      <c r="AF1052" s="898"/>
      <c r="AG1052" s="898"/>
      <c r="AH1052" s="898"/>
      <c r="AI1052" s="898"/>
      <c r="AJ1052" s="898"/>
      <c r="AK1052" s="898"/>
      <c r="AL1052" s="898"/>
      <c r="AM1052" s="897"/>
      <c r="AN1052" s="897"/>
      <c r="AO1052" s="897"/>
      <c r="AP1052" s="897"/>
      <c r="AQ1052" s="897"/>
      <c r="AR1052" s="897"/>
      <c r="AS1052" s="897"/>
      <c r="AT1052" s="897"/>
    </row>
    <row r="1053" spans="1:46" s="930" customFormat="1">
      <c r="A1053" s="892"/>
      <c r="B1053" s="899"/>
      <c r="C1053" s="900"/>
      <c r="D1053" s="894"/>
      <c r="E1053" s="936"/>
      <c r="F1053" s="905"/>
      <c r="G1053" s="896"/>
      <c r="H1053" s="897"/>
      <c r="I1053" s="897"/>
      <c r="J1053" s="897"/>
      <c r="K1053" s="897"/>
      <c r="L1053" s="898"/>
      <c r="M1053" s="898"/>
      <c r="N1053" s="898"/>
      <c r="O1053" s="898"/>
      <c r="P1053" s="898"/>
      <c r="Q1053" s="898"/>
      <c r="R1053" s="898"/>
      <c r="S1053" s="898"/>
      <c r="T1053" s="898"/>
      <c r="U1053" s="898"/>
      <c r="V1053" s="898"/>
      <c r="W1053" s="898"/>
      <c r="X1053" s="898"/>
      <c r="Y1053" s="898"/>
      <c r="Z1053" s="898"/>
      <c r="AA1053" s="898"/>
      <c r="AB1053" s="898"/>
      <c r="AC1053" s="898"/>
      <c r="AD1053" s="898"/>
      <c r="AE1053" s="898"/>
      <c r="AF1053" s="898"/>
      <c r="AG1053" s="898"/>
      <c r="AH1053" s="898"/>
      <c r="AI1053" s="898"/>
      <c r="AJ1053" s="898"/>
      <c r="AK1053" s="898"/>
      <c r="AL1053" s="898"/>
      <c r="AM1053" s="897"/>
      <c r="AN1053" s="897"/>
      <c r="AO1053" s="897"/>
      <c r="AP1053" s="897"/>
      <c r="AQ1053" s="897"/>
      <c r="AR1053" s="897"/>
      <c r="AS1053" s="897"/>
      <c r="AT1053" s="897"/>
    </row>
    <row r="1054" spans="1:46" s="930" customFormat="1">
      <c r="A1054" s="892"/>
      <c r="B1054" s="899"/>
      <c r="C1054" s="900"/>
      <c r="D1054" s="894"/>
      <c r="E1054" s="936"/>
      <c r="F1054" s="905"/>
      <c r="G1054" s="896"/>
      <c r="H1054" s="897"/>
      <c r="I1054" s="897"/>
      <c r="J1054" s="897"/>
      <c r="K1054" s="897"/>
      <c r="L1054" s="898"/>
      <c r="M1054" s="898"/>
      <c r="N1054" s="898"/>
      <c r="O1054" s="898"/>
      <c r="P1054" s="898"/>
      <c r="Q1054" s="898"/>
      <c r="R1054" s="898"/>
      <c r="S1054" s="898"/>
      <c r="T1054" s="898"/>
      <c r="U1054" s="898"/>
      <c r="V1054" s="898"/>
      <c r="W1054" s="898"/>
      <c r="X1054" s="898"/>
      <c r="Y1054" s="898"/>
      <c r="Z1054" s="898"/>
      <c r="AA1054" s="898"/>
      <c r="AB1054" s="898"/>
      <c r="AC1054" s="898"/>
      <c r="AD1054" s="898"/>
      <c r="AE1054" s="898"/>
      <c r="AF1054" s="898"/>
      <c r="AG1054" s="898"/>
      <c r="AH1054" s="898"/>
      <c r="AI1054" s="898"/>
      <c r="AJ1054" s="898"/>
      <c r="AK1054" s="898"/>
      <c r="AL1054" s="898"/>
      <c r="AM1054" s="897"/>
      <c r="AN1054" s="897"/>
      <c r="AO1054" s="897"/>
      <c r="AP1054" s="897"/>
      <c r="AQ1054" s="897"/>
      <c r="AR1054" s="897"/>
      <c r="AS1054" s="897"/>
      <c r="AT1054" s="897"/>
    </row>
    <row r="1055" spans="1:46" s="930" customFormat="1">
      <c r="A1055" s="892"/>
      <c r="B1055" s="899"/>
      <c r="C1055" s="900"/>
      <c r="D1055" s="894"/>
      <c r="E1055" s="936"/>
      <c r="F1055" s="905"/>
      <c r="G1055" s="896"/>
      <c r="H1055" s="897"/>
      <c r="I1055" s="897"/>
      <c r="J1055" s="897"/>
      <c r="K1055" s="897"/>
      <c r="L1055" s="898"/>
      <c r="M1055" s="898"/>
      <c r="N1055" s="898"/>
      <c r="O1055" s="898"/>
      <c r="P1055" s="898"/>
      <c r="Q1055" s="898"/>
      <c r="R1055" s="898"/>
      <c r="S1055" s="898"/>
      <c r="T1055" s="898"/>
      <c r="U1055" s="898"/>
      <c r="V1055" s="898"/>
      <c r="W1055" s="898"/>
      <c r="X1055" s="898"/>
      <c r="Y1055" s="898"/>
      <c r="Z1055" s="898"/>
      <c r="AA1055" s="898"/>
      <c r="AB1055" s="898"/>
      <c r="AC1055" s="898"/>
      <c r="AD1055" s="898"/>
      <c r="AE1055" s="898"/>
      <c r="AF1055" s="898"/>
      <c r="AG1055" s="898"/>
      <c r="AH1055" s="898"/>
      <c r="AI1055" s="898"/>
      <c r="AJ1055" s="898"/>
      <c r="AK1055" s="898"/>
      <c r="AL1055" s="898"/>
      <c r="AM1055" s="897"/>
      <c r="AN1055" s="897"/>
      <c r="AO1055" s="897"/>
      <c r="AP1055" s="897"/>
      <c r="AQ1055" s="897"/>
      <c r="AR1055" s="897"/>
      <c r="AS1055" s="897"/>
      <c r="AT1055" s="897"/>
    </row>
    <row r="1056" spans="1:46" s="930" customFormat="1">
      <c r="A1056" s="892"/>
      <c r="B1056" s="899"/>
      <c r="C1056" s="900"/>
      <c r="D1056" s="894"/>
      <c r="E1056" s="936"/>
      <c r="F1056" s="905"/>
      <c r="G1056" s="896"/>
      <c r="H1056" s="897"/>
      <c r="I1056" s="897"/>
      <c r="J1056" s="897"/>
      <c r="K1056" s="897"/>
      <c r="L1056" s="898"/>
      <c r="M1056" s="898"/>
      <c r="N1056" s="898"/>
      <c r="O1056" s="898"/>
      <c r="P1056" s="898"/>
      <c r="Q1056" s="898"/>
      <c r="R1056" s="898"/>
      <c r="S1056" s="898"/>
      <c r="T1056" s="898"/>
      <c r="U1056" s="898"/>
      <c r="V1056" s="898"/>
      <c r="W1056" s="898"/>
      <c r="X1056" s="898"/>
      <c r="Y1056" s="898"/>
      <c r="Z1056" s="898"/>
      <c r="AA1056" s="898"/>
      <c r="AB1056" s="898"/>
      <c r="AC1056" s="898"/>
      <c r="AD1056" s="898"/>
      <c r="AE1056" s="898"/>
      <c r="AF1056" s="898"/>
      <c r="AG1056" s="898"/>
      <c r="AH1056" s="898"/>
      <c r="AI1056" s="898"/>
      <c r="AJ1056" s="898"/>
      <c r="AK1056" s="898"/>
      <c r="AL1056" s="898"/>
      <c r="AM1056" s="897"/>
      <c r="AN1056" s="897"/>
      <c r="AO1056" s="897"/>
      <c r="AP1056" s="897"/>
      <c r="AQ1056" s="897"/>
      <c r="AR1056" s="897"/>
      <c r="AS1056" s="897"/>
      <c r="AT1056" s="897"/>
    </row>
    <row r="1057" spans="1:46" s="930" customFormat="1">
      <c r="A1057" s="892"/>
      <c r="B1057" s="899"/>
      <c r="C1057" s="900"/>
      <c r="D1057" s="894"/>
      <c r="E1057" s="936"/>
      <c r="F1057" s="905"/>
      <c r="G1057" s="896"/>
      <c r="H1057" s="897"/>
      <c r="I1057" s="897"/>
      <c r="J1057" s="897"/>
      <c r="K1057" s="897"/>
      <c r="L1057" s="898"/>
      <c r="M1057" s="898"/>
      <c r="N1057" s="898"/>
      <c r="O1057" s="898"/>
      <c r="P1057" s="898"/>
      <c r="Q1057" s="898"/>
      <c r="R1057" s="898"/>
      <c r="S1057" s="898"/>
      <c r="T1057" s="898"/>
      <c r="U1057" s="898"/>
      <c r="V1057" s="898"/>
      <c r="W1057" s="898"/>
      <c r="X1057" s="898"/>
      <c r="Y1057" s="898"/>
      <c r="Z1057" s="898"/>
      <c r="AA1057" s="898"/>
      <c r="AB1057" s="898"/>
      <c r="AC1057" s="898"/>
      <c r="AD1057" s="898"/>
      <c r="AE1057" s="898"/>
      <c r="AF1057" s="898"/>
      <c r="AG1057" s="898"/>
      <c r="AH1057" s="898"/>
      <c r="AI1057" s="898"/>
      <c r="AJ1057" s="898"/>
      <c r="AK1057" s="898"/>
      <c r="AL1057" s="898"/>
      <c r="AM1057" s="897"/>
      <c r="AN1057" s="897"/>
      <c r="AO1057" s="897"/>
      <c r="AP1057" s="897"/>
      <c r="AQ1057" s="897"/>
      <c r="AR1057" s="897"/>
      <c r="AS1057" s="897"/>
      <c r="AT1057" s="897"/>
    </row>
    <row r="1058" spans="1:46" s="930" customFormat="1">
      <c r="A1058" s="892"/>
      <c r="B1058" s="899"/>
      <c r="C1058" s="900"/>
      <c r="D1058" s="894"/>
      <c r="E1058" s="936"/>
      <c r="F1058" s="905"/>
      <c r="G1058" s="896"/>
      <c r="H1058" s="897"/>
      <c r="I1058" s="897"/>
      <c r="J1058" s="897"/>
      <c r="K1058" s="897"/>
      <c r="L1058" s="898"/>
      <c r="M1058" s="898"/>
      <c r="N1058" s="898"/>
      <c r="O1058" s="898"/>
      <c r="P1058" s="898"/>
      <c r="Q1058" s="898"/>
      <c r="R1058" s="898"/>
      <c r="S1058" s="898"/>
      <c r="T1058" s="898"/>
      <c r="U1058" s="898"/>
      <c r="V1058" s="898"/>
      <c r="W1058" s="898"/>
      <c r="X1058" s="898"/>
      <c r="Y1058" s="898"/>
      <c r="Z1058" s="898"/>
      <c r="AA1058" s="898"/>
      <c r="AB1058" s="898"/>
      <c r="AC1058" s="898"/>
      <c r="AD1058" s="898"/>
      <c r="AE1058" s="898"/>
      <c r="AF1058" s="898"/>
      <c r="AG1058" s="898"/>
      <c r="AH1058" s="898"/>
      <c r="AI1058" s="898"/>
      <c r="AJ1058" s="898"/>
      <c r="AK1058" s="898"/>
      <c r="AL1058" s="898"/>
      <c r="AM1058" s="897"/>
      <c r="AN1058" s="897"/>
      <c r="AO1058" s="897"/>
      <c r="AP1058" s="897"/>
      <c r="AQ1058" s="897"/>
      <c r="AR1058" s="897"/>
      <c r="AS1058" s="897"/>
      <c r="AT1058" s="897"/>
    </row>
    <row r="1059" spans="1:46" s="930" customFormat="1">
      <c r="A1059" s="892"/>
      <c r="B1059" s="899"/>
      <c r="C1059" s="900"/>
      <c r="D1059" s="894"/>
      <c r="E1059" s="936"/>
      <c r="F1059" s="905"/>
      <c r="G1059" s="896"/>
      <c r="H1059" s="897"/>
      <c r="I1059" s="897"/>
      <c r="J1059" s="897"/>
      <c r="K1059" s="897"/>
      <c r="L1059" s="898"/>
      <c r="M1059" s="898"/>
      <c r="N1059" s="898"/>
      <c r="O1059" s="898"/>
      <c r="P1059" s="898"/>
      <c r="Q1059" s="898"/>
      <c r="R1059" s="898"/>
      <c r="S1059" s="898"/>
      <c r="T1059" s="898"/>
      <c r="U1059" s="898"/>
      <c r="V1059" s="898"/>
      <c r="W1059" s="898"/>
      <c r="X1059" s="898"/>
      <c r="Y1059" s="898"/>
      <c r="Z1059" s="898"/>
      <c r="AA1059" s="898"/>
      <c r="AB1059" s="898"/>
      <c r="AC1059" s="898"/>
      <c r="AD1059" s="898"/>
      <c r="AE1059" s="898"/>
      <c r="AF1059" s="898"/>
      <c r="AG1059" s="898"/>
      <c r="AH1059" s="898"/>
      <c r="AI1059" s="898"/>
      <c r="AJ1059" s="898"/>
      <c r="AK1059" s="898"/>
      <c r="AL1059" s="898"/>
      <c r="AM1059" s="897"/>
      <c r="AN1059" s="897"/>
      <c r="AO1059" s="897"/>
      <c r="AP1059" s="897"/>
      <c r="AQ1059" s="897"/>
      <c r="AR1059" s="897"/>
      <c r="AS1059" s="897"/>
      <c r="AT1059" s="897"/>
    </row>
    <row r="1060" spans="1:46" s="930" customFormat="1">
      <c r="A1060" s="892"/>
      <c r="B1060" s="899"/>
      <c r="C1060" s="900"/>
      <c r="D1060" s="894"/>
      <c r="E1060" s="936"/>
      <c r="F1060" s="905"/>
      <c r="G1060" s="896"/>
      <c r="H1060" s="897"/>
      <c r="I1060" s="897"/>
      <c r="J1060" s="897"/>
      <c r="K1060" s="897"/>
      <c r="L1060" s="898"/>
      <c r="M1060" s="898"/>
      <c r="N1060" s="898"/>
      <c r="O1060" s="898"/>
      <c r="P1060" s="898"/>
      <c r="Q1060" s="898"/>
      <c r="R1060" s="898"/>
      <c r="S1060" s="898"/>
      <c r="T1060" s="898"/>
      <c r="U1060" s="898"/>
      <c r="V1060" s="898"/>
      <c r="W1060" s="898"/>
      <c r="X1060" s="898"/>
      <c r="Y1060" s="898"/>
      <c r="Z1060" s="898"/>
      <c r="AA1060" s="898"/>
      <c r="AB1060" s="898"/>
      <c r="AC1060" s="898"/>
      <c r="AD1060" s="898"/>
      <c r="AE1060" s="898"/>
      <c r="AF1060" s="898"/>
      <c r="AG1060" s="898"/>
      <c r="AH1060" s="898"/>
      <c r="AI1060" s="898"/>
      <c r="AJ1060" s="898"/>
      <c r="AK1060" s="898"/>
      <c r="AL1060" s="898"/>
      <c r="AM1060" s="897"/>
      <c r="AN1060" s="897"/>
      <c r="AO1060" s="897"/>
      <c r="AP1060" s="897"/>
      <c r="AQ1060" s="897"/>
      <c r="AR1060" s="897"/>
      <c r="AS1060" s="897"/>
      <c r="AT1060" s="897"/>
    </row>
    <row r="1061" spans="1:46" s="930" customFormat="1">
      <c r="A1061" s="892"/>
      <c r="B1061" s="899"/>
      <c r="C1061" s="900"/>
      <c r="D1061" s="894"/>
      <c r="E1061" s="936"/>
      <c r="F1061" s="905"/>
      <c r="G1061" s="896"/>
      <c r="H1061" s="897"/>
      <c r="I1061" s="897"/>
      <c r="J1061" s="897"/>
      <c r="K1061" s="897"/>
      <c r="L1061" s="898"/>
      <c r="M1061" s="898"/>
      <c r="N1061" s="898"/>
      <c r="O1061" s="898"/>
      <c r="P1061" s="898"/>
      <c r="Q1061" s="898"/>
      <c r="R1061" s="898"/>
      <c r="S1061" s="898"/>
      <c r="T1061" s="898"/>
      <c r="U1061" s="898"/>
      <c r="V1061" s="898"/>
      <c r="W1061" s="898"/>
      <c r="X1061" s="898"/>
      <c r="Y1061" s="898"/>
      <c r="Z1061" s="898"/>
      <c r="AA1061" s="898"/>
      <c r="AB1061" s="898"/>
      <c r="AC1061" s="898"/>
      <c r="AD1061" s="898"/>
      <c r="AE1061" s="898"/>
      <c r="AF1061" s="898"/>
      <c r="AG1061" s="898"/>
      <c r="AH1061" s="898"/>
      <c r="AI1061" s="898"/>
      <c r="AJ1061" s="898"/>
      <c r="AK1061" s="898"/>
      <c r="AL1061" s="898"/>
      <c r="AM1061" s="897"/>
      <c r="AN1061" s="897"/>
      <c r="AO1061" s="897"/>
      <c r="AP1061" s="897"/>
      <c r="AQ1061" s="897"/>
      <c r="AR1061" s="897"/>
      <c r="AS1061" s="897"/>
      <c r="AT1061" s="897"/>
    </row>
    <row r="1062" spans="1:46" s="930" customFormat="1">
      <c r="A1062" s="892"/>
      <c r="B1062" s="899"/>
      <c r="C1062" s="900"/>
      <c r="D1062" s="894"/>
      <c r="E1062" s="936"/>
      <c r="F1062" s="905"/>
      <c r="G1062" s="896"/>
      <c r="H1062" s="897"/>
      <c r="I1062" s="897"/>
      <c r="J1062" s="897"/>
      <c r="K1062" s="897"/>
      <c r="L1062" s="898"/>
      <c r="M1062" s="898"/>
      <c r="N1062" s="898"/>
      <c r="O1062" s="898"/>
      <c r="P1062" s="898"/>
      <c r="Q1062" s="898"/>
      <c r="R1062" s="898"/>
      <c r="S1062" s="898"/>
      <c r="T1062" s="898"/>
      <c r="U1062" s="898"/>
      <c r="V1062" s="898"/>
      <c r="W1062" s="898"/>
      <c r="X1062" s="898"/>
      <c r="Y1062" s="898"/>
      <c r="Z1062" s="898"/>
      <c r="AA1062" s="898"/>
      <c r="AB1062" s="898"/>
      <c r="AC1062" s="898"/>
      <c r="AD1062" s="898"/>
      <c r="AE1062" s="898"/>
      <c r="AF1062" s="898"/>
      <c r="AG1062" s="898"/>
      <c r="AH1062" s="898"/>
      <c r="AI1062" s="898"/>
      <c r="AJ1062" s="898"/>
      <c r="AK1062" s="898"/>
      <c r="AL1062" s="898"/>
      <c r="AM1062" s="897"/>
      <c r="AN1062" s="897"/>
      <c r="AO1062" s="897"/>
      <c r="AP1062" s="897"/>
      <c r="AQ1062" s="897"/>
      <c r="AR1062" s="897"/>
      <c r="AS1062" s="897"/>
      <c r="AT1062" s="897"/>
    </row>
    <row r="1063" spans="1:46" s="930" customFormat="1">
      <c r="A1063" s="892"/>
      <c r="B1063" s="899"/>
      <c r="C1063" s="900"/>
      <c r="D1063" s="894"/>
      <c r="E1063" s="936"/>
      <c r="F1063" s="905"/>
      <c r="G1063" s="896"/>
      <c r="H1063" s="897"/>
      <c r="I1063" s="897"/>
      <c r="J1063" s="897"/>
      <c r="K1063" s="897"/>
      <c r="L1063" s="898"/>
      <c r="M1063" s="898"/>
      <c r="N1063" s="898"/>
      <c r="O1063" s="898"/>
      <c r="P1063" s="898"/>
      <c r="Q1063" s="898"/>
      <c r="R1063" s="898"/>
      <c r="S1063" s="898"/>
      <c r="T1063" s="898"/>
      <c r="U1063" s="898"/>
      <c r="V1063" s="898"/>
      <c r="W1063" s="898"/>
      <c r="X1063" s="898"/>
      <c r="Y1063" s="898"/>
      <c r="Z1063" s="898"/>
      <c r="AA1063" s="898"/>
      <c r="AB1063" s="898"/>
      <c r="AC1063" s="898"/>
      <c r="AD1063" s="898"/>
      <c r="AE1063" s="898"/>
      <c r="AF1063" s="898"/>
      <c r="AG1063" s="898"/>
      <c r="AH1063" s="898"/>
      <c r="AI1063" s="898"/>
      <c r="AJ1063" s="898"/>
      <c r="AK1063" s="898"/>
      <c r="AL1063" s="898"/>
      <c r="AM1063" s="897"/>
      <c r="AN1063" s="897"/>
      <c r="AO1063" s="897"/>
      <c r="AP1063" s="897"/>
      <c r="AQ1063" s="897"/>
      <c r="AR1063" s="897"/>
      <c r="AS1063" s="897"/>
      <c r="AT1063" s="897"/>
    </row>
    <row r="1064" spans="1:46" s="930" customFormat="1">
      <c r="A1064" s="892"/>
      <c r="B1064" s="899"/>
      <c r="C1064" s="900"/>
      <c r="D1064" s="894"/>
      <c r="E1064" s="936"/>
      <c r="F1064" s="905"/>
      <c r="G1064" s="896"/>
      <c r="H1064" s="897"/>
      <c r="I1064" s="897"/>
      <c r="J1064" s="897"/>
      <c r="K1064" s="897"/>
      <c r="L1064" s="898"/>
      <c r="M1064" s="898"/>
      <c r="N1064" s="898"/>
      <c r="O1064" s="898"/>
      <c r="P1064" s="898"/>
      <c r="Q1064" s="898"/>
      <c r="R1064" s="898"/>
      <c r="S1064" s="898"/>
      <c r="T1064" s="898"/>
      <c r="U1064" s="898"/>
      <c r="V1064" s="898"/>
      <c r="W1064" s="898"/>
      <c r="X1064" s="898"/>
      <c r="Y1064" s="898"/>
      <c r="Z1064" s="898"/>
      <c r="AA1064" s="898"/>
      <c r="AB1064" s="898"/>
      <c r="AC1064" s="898"/>
      <c r="AD1064" s="898"/>
      <c r="AE1064" s="898"/>
      <c r="AF1064" s="898"/>
      <c r="AG1064" s="898"/>
      <c r="AH1064" s="898"/>
      <c r="AI1064" s="898"/>
      <c r="AJ1064" s="898"/>
      <c r="AK1064" s="898"/>
      <c r="AL1064" s="898"/>
      <c r="AM1064" s="897"/>
      <c r="AN1064" s="897"/>
      <c r="AO1064" s="897"/>
      <c r="AP1064" s="897"/>
      <c r="AQ1064" s="897"/>
      <c r="AR1064" s="897"/>
      <c r="AS1064" s="897"/>
      <c r="AT1064" s="897"/>
    </row>
    <row r="1065" spans="1:46" s="930" customFormat="1">
      <c r="A1065" s="892"/>
      <c r="B1065" s="899"/>
      <c r="C1065" s="900"/>
      <c r="D1065" s="894"/>
      <c r="E1065" s="936"/>
      <c r="F1065" s="905"/>
      <c r="G1065" s="896"/>
      <c r="H1065" s="897"/>
      <c r="I1065" s="897"/>
      <c r="J1065" s="897"/>
      <c r="K1065" s="897"/>
      <c r="L1065" s="898"/>
      <c r="M1065" s="898"/>
      <c r="N1065" s="898"/>
      <c r="O1065" s="898"/>
      <c r="P1065" s="898"/>
      <c r="Q1065" s="898"/>
      <c r="R1065" s="898"/>
      <c r="S1065" s="898"/>
      <c r="T1065" s="898"/>
      <c r="U1065" s="898"/>
      <c r="V1065" s="898"/>
      <c r="W1065" s="898"/>
      <c r="X1065" s="898"/>
      <c r="Y1065" s="898"/>
      <c r="Z1065" s="898"/>
      <c r="AA1065" s="898"/>
      <c r="AB1065" s="898"/>
      <c r="AC1065" s="898"/>
      <c r="AD1065" s="898"/>
      <c r="AE1065" s="898"/>
      <c r="AF1065" s="898"/>
      <c r="AG1065" s="898"/>
      <c r="AH1065" s="898"/>
      <c r="AI1065" s="898"/>
      <c r="AJ1065" s="898"/>
      <c r="AK1065" s="898"/>
      <c r="AL1065" s="898"/>
      <c r="AM1065" s="897"/>
      <c r="AN1065" s="897"/>
      <c r="AO1065" s="897"/>
      <c r="AP1065" s="897"/>
      <c r="AQ1065" s="897"/>
      <c r="AR1065" s="897"/>
      <c r="AS1065" s="897"/>
      <c r="AT1065" s="897"/>
    </row>
    <row r="1066" spans="1:46" s="930" customFormat="1">
      <c r="A1066" s="892"/>
      <c r="B1066" s="899"/>
      <c r="C1066" s="900"/>
      <c r="D1066" s="894"/>
      <c r="E1066" s="936"/>
      <c r="F1066" s="905"/>
      <c r="G1066" s="896"/>
      <c r="H1066" s="897"/>
      <c r="I1066" s="897"/>
      <c r="J1066" s="897"/>
      <c r="K1066" s="897"/>
      <c r="L1066" s="898"/>
      <c r="M1066" s="898"/>
      <c r="N1066" s="898"/>
      <c r="O1066" s="898"/>
      <c r="P1066" s="898"/>
      <c r="Q1066" s="898"/>
      <c r="R1066" s="898"/>
      <c r="S1066" s="898"/>
      <c r="T1066" s="898"/>
      <c r="U1066" s="898"/>
      <c r="V1066" s="898"/>
      <c r="W1066" s="898"/>
      <c r="X1066" s="898"/>
      <c r="Y1066" s="898"/>
      <c r="Z1066" s="898"/>
      <c r="AA1066" s="898"/>
      <c r="AB1066" s="898"/>
      <c r="AC1066" s="898"/>
      <c r="AD1066" s="898"/>
      <c r="AE1066" s="898"/>
      <c r="AF1066" s="898"/>
      <c r="AG1066" s="898"/>
      <c r="AH1066" s="898"/>
      <c r="AI1066" s="898"/>
      <c r="AJ1066" s="898"/>
      <c r="AK1066" s="898"/>
      <c r="AL1066" s="898"/>
      <c r="AM1066" s="897"/>
      <c r="AN1066" s="897"/>
      <c r="AO1066" s="897"/>
      <c r="AP1066" s="897"/>
      <c r="AQ1066" s="897"/>
      <c r="AR1066" s="897"/>
      <c r="AS1066" s="897"/>
      <c r="AT1066" s="897"/>
    </row>
    <row r="1067" spans="1:46" s="930" customFormat="1">
      <c r="A1067" s="892"/>
      <c r="B1067" s="899"/>
      <c r="C1067" s="900"/>
      <c r="D1067" s="894"/>
      <c r="E1067" s="936"/>
      <c r="F1067" s="905"/>
      <c r="G1067" s="896"/>
      <c r="H1067" s="897"/>
      <c r="I1067" s="897"/>
      <c r="J1067" s="897"/>
      <c r="K1067" s="897"/>
      <c r="L1067" s="898"/>
      <c r="M1067" s="898"/>
      <c r="N1067" s="898"/>
      <c r="O1067" s="898"/>
      <c r="P1067" s="898"/>
      <c r="Q1067" s="898"/>
      <c r="R1067" s="898"/>
      <c r="S1067" s="898"/>
      <c r="T1067" s="898"/>
      <c r="U1067" s="898"/>
      <c r="V1067" s="898"/>
      <c r="W1067" s="898"/>
      <c r="X1067" s="898"/>
      <c r="Y1067" s="898"/>
      <c r="Z1067" s="898"/>
      <c r="AA1067" s="898"/>
      <c r="AB1067" s="898"/>
      <c r="AC1067" s="898"/>
      <c r="AD1067" s="898"/>
      <c r="AE1067" s="898"/>
      <c r="AF1067" s="898"/>
      <c r="AG1067" s="898"/>
      <c r="AH1067" s="898"/>
      <c r="AI1067" s="898"/>
      <c r="AJ1067" s="898"/>
      <c r="AK1067" s="898"/>
      <c r="AL1067" s="898"/>
      <c r="AM1067" s="897"/>
      <c r="AN1067" s="897"/>
      <c r="AO1067" s="897"/>
      <c r="AP1067" s="897"/>
      <c r="AQ1067" s="897"/>
      <c r="AR1067" s="897"/>
      <c r="AS1067" s="897"/>
      <c r="AT1067" s="897"/>
    </row>
    <row r="1068" spans="1:46" s="930" customFormat="1">
      <c r="A1068" s="892"/>
      <c r="B1068" s="899"/>
      <c r="C1068" s="900"/>
      <c r="D1068" s="894"/>
      <c r="E1068" s="936"/>
      <c r="F1068" s="905"/>
      <c r="G1068" s="896"/>
      <c r="H1068" s="897"/>
      <c r="I1068" s="897"/>
      <c r="J1068" s="897"/>
      <c r="K1068" s="897"/>
      <c r="L1068" s="898"/>
      <c r="M1068" s="898"/>
      <c r="N1068" s="898"/>
      <c r="O1068" s="898"/>
      <c r="P1068" s="898"/>
      <c r="Q1068" s="898"/>
      <c r="R1068" s="898"/>
      <c r="S1068" s="898"/>
      <c r="T1068" s="898"/>
      <c r="U1068" s="898"/>
      <c r="V1068" s="898"/>
      <c r="W1068" s="898"/>
      <c r="X1068" s="898"/>
      <c r="Y1068" s="898"/>
      <c r="Z1068" s="898"/>
      <c r="AA1068" s="898"/>
      <c r="AB1068" s="898"/>
      <c r="AC1068" s="898"/>
      <c r="AD1068" s="898"/>
      <c r="AE1068" s="898"/>
      <c r="AF1068" s="898"/>
      <c r="AG1068" s="898"/>
      <c r="AH1068" s="898"/>
      <c r="AI1068" s="898"/>
      <c r="AJ1068" s="898"/>
      <c r="AK1068" s="898"/>
      <c r="AL1068" s="898"/>
      <c r="AM1068" s="897"/>
      <c r="AN1068" s="897"/>
      <c r="AO1068" s="897"/>
      <c r="AP1068" s="897"/>
      <c r="AQ1068" s="897"/>
      <c r="AR1068" s="897"/>
      <c r="AS1068" s="897"/>
      <c r="AT1068" s="897"/>
    </row>
    <row r="1069" spans="1:46" s="930" customFormat="1">
      <c r="A1069" s="892"/>
      <c r="B1069" s="899"/>
      <c r="C1069" s="900"/>
      <c r="D1069" s="894"/>
      <c r="E1069" s="936"/>
      <c r="F1069" s="905"/>
      <c r="G1069" s="896"/>
      <c r="H1069" s="897"/>
      <c r="I1069" s="897"/>
      <c r="J1069" s="897"/>
      <c r="K1069" s="897"/>
      <c r="L1069" s="898"/>
      <c r="M1069" s="898"/>
      <c r="N1069" s="898"/>
      <c r="O1069" s="898"/>
      <c r="P1069" s="898"/>
      <c r="Q1069" s="898"/>
      <c r="R1069" s="898"/>
      <c r="S1069" s="898"/>
      <c r="T1069" s="898"/>
      <c r="U1069" s="898"/>
      <c r="V1069" s="898"/>
      <c r="W1069" s="898"/>
      <c r="X1069" s="898"/>
      <c r="Y1069" s="898"/>
      <c r="Z1069" s="898"/>
      <c r="AA1069" s="898"/>
      <c r="AB1069" s="898"/>
      <c r="AC1069" s="898"/>
      <c r="AD1069" s="898"/>
      <c r="AE1069" s="898"/>
      <c r="AF1069" s="898"/>
      <c r="AG1069" s="898"/>
      <c r="AH1069" s="898"/>
      <c r="AI1069" s="898"/>
      <c r="AJ1069" s="898"/>
      <c r="AK1069" s="898"/>
      <c r="AL1069" s="898"/>
      <c r="AM1069" s="897"/>
      <c r="AN1069" s="897"/>
      <c r="AO1069" s="897"/>
      <c r="AP1069" s="897"/>
      <c r="AQ1069" s="897"/>
      <c r="AR1069" s="897"/>
      <c r="AS1069" s="897"/>
      <c r="AT1069" s="897"/>
    </row>
    <row r="1070" spans="1:46" s="930" customFormat="1">
      <c r="A1070" s="892"/>
      <c r="B1070" s="899"/>
      <c r="C1070" s="900"/>
      <c r="D1070" s="894"/>
      <c r="E1070" s="936"/>
      <c r="F1070" s="905"/>
      <c r="G1070" s="896"/>
      <c r="H1070" s="897"/>
      <c r="I1070" s="897"/>
      <c r="J1070" s="897"/>
      <c r="K1070" s="897"/>
      <c r="L1070" s="898"/>
      <c r="M1070" s="898"/>
      <c r="N1070" s="898"/>
      <c r="O1070" s="898"/>
      <c r="P1070" s="898"/>
      <c r="Q1070" s="898"/>
      <c r="R1070" s="898"/>
      <c r="S1070" s="898"/>
      <c r="T1070" s="898"/>
      <c r="U1070" s="898"/>
      <c r="V1070" s="898"/>
      <c r="W1070" s="898"/>
      <c r="X1070" s="898"/>
      <c r="Y1070" s="898"/>
      <c r="Z1070" s="898"/>
      <c r="AA1070" s="898"/>
      <c r="AB1070" s="898"/>
      <c r="AC1070" s="898"/>
      <c r="AD1070" s="898"/>
      <c r="AE1070" s="898"/>
      <c r="AF1070" s="898"/>
      <c r="AG1070" s="898"/>
      <c r="AH1070" s="898"/>
      <c r="AI1070" s="898"/>
      <c r="AJ1070" s="898"/>
      <c r="AK1070" s="898"/>
      <c r="AL1070" s="898"/>
      <c r="AM1070" s="897"/>
      <c r="AN1070" s="897"/>
      <c r="AO1070" s="897"/>
      <c r="AP1070" s="897"/>
      <c r="AQ1070" s="897"/>
      <c r="AR1070" s="897"/>
      <c r="AS1070" s="897"/>
      <c r="AT1070" s="897"/>
    </row>
    <row r="1071" spans="1:46" s="930" customFormat="1">
      <c r="A1071" s="892"/>
      <c r="B1071" s="899"/>
      <c r="C1071" s="900"/>
      <c r="D1071" s="894"/>
      <c r="E1071" s="936"/>
      <c r="F1071" s="905"/>
      <c r="G1071" s="896"/>
      <c r="H1071" s="897"/>
      <c r="I1071" s="897"/>
      <c r="J1071" s="897"/>
      <c r="K1071" s="897"/>
      <c r="L1071" s="898"/>
      <c r="M1071" s="898"/>
      <c r="N1071" s="898"/>
      <c r="O1071" s="898"/>
      <c r="P1071" s="898"/>
      <c r="Q1071" s="898"/>
      <c r="R1071" s="898"/>
      <c r="S1071" s="898"/>
      <c r="T1071" s="898"/>
      <c r="U1071" s="898"/>
      <c r="V1071" s="898"/>
      <c r="W1071" s="898"/>
      <c r="X1071" s="898"/>
      <c r="Y1071" s="898"/>
      <c r="Z1071" s="898"/>
      <c r="AA1071" s="898"/>
      <c r="AB1071" s="898"/>
      <c r="AC1071" s="898"/>
      <c r="AD1071" s="898"/>
      <c r="AE1071" s="898"/>
      <c r="AF1071" s="898"/>
      <c r="AG1071" s="898"/>
      <c r="AH1071" s="898"/>
      <c r="AI1071" s="898"/>
      <c r="AJ1071" s="898"/>
      <c r="AK1071" s="898"/>
      <c r="AL1071" s="898"/>
      <c r="AM1071" s="897"/>
      <c r="AN1071" s="897"/>
      <c r="AO1071" s="897"/>
      <c r="AP1071" s="897"/>
      <c r="AQ1071" s="897"/>
      <c r="AR1071" s="897"/>
      <c r="AS1071" s="897"/>
      <c r="AT1071" s="897"/>
    </row>
    <row r="1072" spans="1:46" s="930" customFormat="1">
      <c r="A1072" s="892"/>
      <c r="B1072" s="899"/>
      <c r="C1072" s="900"/>
      <c r="D1072" s="894"/>
      <c r="E1072" s="936"/>
      <c r="F1072" s="905"/>
      <c r="G1072" s="896"/>
      <c r="H1072" s="897"/>
      <c r="I1072" s="897"/>
      <c r="J1072" s="897"/>
      <c r="K1072" s="897"/>
      <c r="L1072" s="898"/>
      <c r="M1072" s="898"/>
      <c r="N1072" s="898"/>
      <c r="O1072" s="898"/>
      <c r="P1072" s="898"/>
      <c r="Q1072" s="898"/>
      <c r="R1072" s="898"/>
      <c r="S1072" s="898"/>
      <c r="T1072" s="898"/>
      <c r="U1072" s="898"/>
      <c r="V1072" s="898"/>
      <c r="W1072" s="898"/>
      <c r="X1072" s="898"/>
      <c r="Y1072" s="898"/>
      <c r="Z1072" s="898"/>
      <c r="AA1072" s="898"/>
      <c r="AB1072" s="898"/>
      <c r="AC1072" s="898"/>
      <c r="AD1072" s="898"/>
      <c r="AE1072" s="898"/>
      <c r="AF1072" s="898"/>
      <c r="AG1072" s="898"/>
      <c r="AH1072" s="898"/>
      <c r="AI1072" s="898"/>
      <c r="AJ1072" s="898"/>
      <c r="AK1072" s="898"/>
      <c r="AL1072" s="898"/>
      <c r="AM1072" s="897"/>
      <c r="AN1072" s="897"/>
      <c r="AO1072" s="897"/>
      <c r="AP1072" s="897"/>
      <c r="AQ1072" s="897"/>
      <c r="AR1072" s="897"/>
      <c r="AS1072" s="897"/>
      <c r="AT1072" s="897"/>
    </row>
    <row r="1073" spans="1:46" s="930" customFormat="1">
      <c r="A1073" s="892"/>
      <c r="B1073" s="899"/>
      <c r="C1073" s="900"/>
      <c r="D1073" s="894"/>
      <c r="E1073" s="936"/>
      <c r="F1073" s="905"/>
      <c r="G1073" s="896"/>
      <c r="H1073" s="897"/>
      <c r="I1073" s="897"/>
      <c r="J1073" s="897"/>
      <c r="K1073" s="897"/>
      <c r="L1073" s="898"/>
      <c r="M1073" s="898"/>
      <c r="N1073" s="898"/>
      <c r="O1073" s="898"/>
      <c r="P1073" s="898"/>
      <c r="Q1073" s="898"/>
      <c r="R1073" s="898"/>
      <c r="S1073" s="898"/>
      <c r="T1073" s="898"/>
      <c r="U1073" s="898"/>
      <c r="V1073" s="898"/>
      <c r="W1073" s="898"/>
      <c r="X1073" s="898"/>
      <c r="Y1073" s="898"/>
      <c r="Z1073" s="898"/>
      <c r="AA1073" s="898"/>
      <c r="AB1073" s="898"/>
      <c r="AC1073" s="898"/>
      <c r="AD1073" s="898"/>
      <c r="AE1073" s="898"/>
      <c r="AF1073" s="898"/>
      <c r="AG1073" s="898"/>
      <c r="AH1073" s="898"/>
      <c r="AI1073" s="898"/>
      <c r="AJ1073" s="898"/>
      <c r="AK1073" s="898"/>
      <c r="AL1073" s="898"/>
      <c r="AM1073" s="897"/>
      <c r="AN1073" s="897"/>
      <c r="AO1073" s="897"/>
      <c r="AP1073" s="897"/>
      <c r="AQ1073" s="897"/>
      <c r="AR1073" s="897"/>
      <c r="AS1073" s="897"/>
      <c r="AT1073" s="897"/>
    </row>
    <row r="1074" spans="1:46" s="930" customFormat="1">
      <c r="A1074" s="892"/>
      <c r="B1074" s="899"/>
      <c r="C1074" s="900"/>
      <c r="D1074" s="894"/>
      <c r="E1074" s="936"/>
      <c r="F1074" s="905"/>
      <c r="G1074" s="896"/>
      <c r="H1074" s="897"/>
      <c r="I1074" s="897"/>
      <c r="J1074" s="897"/>
      <c r="K1074" s="897"/>
      <c r="L1074" s="898"/>
      <c r="M1074" s="898"/>
      <c r="N1074" s="898"/>
      <c r="O1074" s="898"/>
      <c r="P1074" s="898"/>
      <c r="Q1074" s="898"/>
      <c r="R1074" s="898"/>
      <c r="S1074" s="898"/>
      <c r="T1074" s="898"/>
      <c r="U1074" s="898"/>
      <c r="V1074" s="898"/>
      <c r="W1074" s="898"/>
      <c r="X1074" s="898"/>
      <c r="Y1074" s="898"/>
      <c r="Z1074" s="898"/>
      <c r="AA1074" s="898"/>
      <c r="AB1074" s="898"/>
      <c r="AC1074" s="898"/>
      <c r="AD1074" s="898"/>
      <c r="AE1074" s="898"/>
      <c r="AF1074" s="898"/>
      <c r="AG1074" s="898"/>
      <c r="AH1074" s="898"/>
      <c r="AI1074" s="898"/>
      <c r="AJ1074" s="898"/>
      <c r="AK1074" s="898"/>
      <c r="AL1074" s="898"/>
      <c r="AM1074" s="897"/>
      <c r="AN1074" s="897"/>
      <c r="AO1074" s="897"/>
      <c r="AP1074" s="897"/>
      <c r="AQ1074" s="897"/>
      <c r="AR1074" s="897"/>
      <c r="AS1074" s="897"/>
      <c r="AT1074" s="897"/>
    </row>
    <row r="1075" spans="1:46" s="930" customFormat="1">
      <c r="A1075" s="892"/>
      <c r="B1075" s="899"/>
      <c r="C1075" s="900"/>
      <c r="D1075" s="894"/>
      <c r="E1075" s="936"/>
      <c r="F1075" s="905"/>
      <c r="G1075" s="896"/>
      <c r="H1075" s="897"/>
      <c r="I1075" s="897"/>
      <c r="J1075" s="897"/>
      <c r="K1075" s="897"/>
      <c r="L1075" s="898"/>
      <c r="M1075" s="898"/>
      <c r="N1075" s="898"/>
      <c r="O1075" s="898"/>
      <c r="P1075" s="898"/>
      <c r="Q1075" s="898"/>
      <c r="R1075" s="898"/>
      <c r="S1075" s="898"/>
      <c r="T1075" s="898"/>
      <c r="U1075" s="898"/>
      <c r="V1075" s="898"/>
      <c r="W1075" s="898"/>
      <c r="X1075" s="898"/>
      <c r="Y1075" s="898"/>
      <c r="Z1075" s="898"/>
      <c r="AA1075" s="898"/>
      <c r="AB1075" s="898"/>
      <c r="AC1075" s="898"/>
      <c r="AD1075" s="898"/>
      <c r="AE1075" s="898"/>
      <c r="AF1075" s="898"/>
      <c r="AG1075" s="898"/>
      <c r="AH1075" s="898"/>
      <c r="AI1075" s="898"/>
      <c r="AJ1075" s="898"/>
      <c r="AK1075" s="898"/>
      <c r="AL1075" s="898"/>
      <c r="AM1075" s="897"/>
      <c r="AN1075" s="897"/>
      <c r="AO1075" s="897"/>
      <c r="AP1075" s="897"/>
      <c r="AQ1075" s="897"/>
      <c r="AR1075" s="897"/>
      <c r="AS1075" s="897"/>
      <c r="AT1075" s="897"/>
    </row>
    <row r="1076" spans="1:46" s="930" customFormat="1">
      <c r="A1076" s="892"/>
      <c r="B1076" s="899"/>
      <c r="C1076" s="900"/>
      <c r="D1076" s="894"/>
      <c r="E1076" s="936"/>
      <c r="F1076" s="905"/>
      <c r="G1076" s="896"/>
      <c r="H1076" s="897"/>
      <c r="I1076" s="897"/>
      <c r="J1076" s="897"/>
      <c r="K1076" s="897"/>
      <c r="L1076" s="898"/>
      <c r="M1076" s="898"/>
      <c r="N1076" s="898"/>
      <c r="O1076" s="898"/>
      <c r="P1076" s="898"/>
      <c r="Q1076" s="898"/>
      <c r="R1076" s="898"/>
      <c r="S1076" s="898"/>
      <c r="T1076" s="898"/>
      <c r="U1076" s="898"/>
      <c r="V1076" s="898"/>
      <c r="W1076" s="898"/>
      <c r="X1076" s="898"/>
      <c r="Y1076" s="898"/>
      <c r="Z1076" s="898"/>
      <c r="AA1076" s="898"/>
      <c r="AB1076" s="898"/>
      <c r="AC1076" s="898"/>
      <c r="AD1076" s="898"/>
      <c r="AE1076" s="898"/>
      <c r="AF1076" s="898"/>
      <c r="AG1076" s="898"/>
      <c r="AH1076" s="898"/>
      <c r="AI1076" s="898"/>
      <c r="AJ1076" s="898"/>
      <c r="AK1076" s="898"/>
      <c r="AL1076" s="898"/>
      <c r="AM1076" s="897"/>
      <c r="AN1076" s="897"/>
      <c r="AO1076" s="897"/>
      <c r="AP1076" s="897"/>
      <c r="AQ1076" s="897"/>
      <c r="AR1076" s="897"/>
      <c r="AS1076" s="897"/>
      <c r="AT1076" s="897"/>
    </row>
    <row r="1077" spans="1:46" s="930" customFormat="1">
      <c r="A1077" s="892"/>
      <c r="B1077" s="899"/>
      <c r="C1077" s="900"/>
      <c r="D1077" s="894"/>
      <c r="E1077" s="936"/>
      <c r="F1077" s="905"/>
      <c r="G1077" s="896"/>
      <c r="H1077" s="897"/>
      <c r="I1077" s="897"/>
      <c r="J1077" s="897"/>
      <c r="K1077" s="897"/>
      <c r="L1077" s="898"/>
      <c r="M1077" s="898"/>
      <c r="N1077" s="898"/>
      <c r="O1077" s="898"/>
      <c r="P1077" s="898"/>
      <c r="Q1077" s="898"/>
      <c r="R1077" s="898"/>
      <c r="S1077" s="898"/>
      <c r="T1077" s="898"/>
      <c r="U1077" s="898"/>
      <c r="V1077" s="898"/>
      <c r="W1077" s="898"/>
      <c r="X1077" s="898"/>
      <c r="Y1077" s="898"/>
      <c r="Z1077" s="898"/>
      <c r="AA1077" s="898"/>
      <c r="AB1077" s="898"/>
      <c r="AC1077" s="898"/>
      <c r="AD1077" s="898"/>
      <c r="AE1077" s="898"/>
      <c r="AF1077" s="898"/>
      <c r="AG1077" s="898"/>
      <c r="AH1077" s="898"/>
      <c r="AI1077" s="898"/>
      <c r="AJ1077" s="898"/>
      <c r="AK1077" s="898"/>
      <c r="AL1077" s="898"/>
      <c r="AM1077" s="897"/>
      <c r="AN1077" s="897"/>
      <c r="AO1077" s="897"/>
      <c r="AP1077" s="897"/>
      <c r="AQ1077" s="897"/>
      <c r="AR1077" s="897"/>
      <c r="AS1077" s="897"/>
      <c r="AT1077" s="897"/>
    </row>
    <row r="1078" spans="1:46" s="930" customFormat="1">
      <c r="A1078" s="892"/>
      <c r="B1078" s="899"/>
      <c r="C1078" s="900"/>
      <c r="D1078" s="894"/>
      <c r="E1078" s="936"/>
      <c r="F1078" s="905"/>
      <c r="G1078" s="896"/>
      <c r="H1078" s="897"/>
      <c r="I1078" s="897"/>
      <c r="J1078" s="897"/>
      <c r="K1078" s="897"/>
      <c r="L1078" s="898"/>
      <c r="M1078" s="898"/>
      <c r="N1078" s="898"/>
      <c r="O1078" s="898"/>
      <c r="P1078" s="898"/>
      <c r="Q1078" s="898"/>
      <c r="R1078" s="898"/>
      <c r="S1078" s="898"/>
      <c r="T1078" s="898"/>
      <c r="U1078" s="898"/>
      <c r="V1078" s="898"/>
      <c r="W1078" s="898"/>
      <c r="X1078" s="898"/>
      <c r="Y1078" s="898"/>
      <c r="Z1078" s="898"/>
      <c r="AA1078" s="898"/>
      <c r="AB1078" s="898"/>
      <c r="AC1078" s="898"/>
      <c r="AD1078" s="898"/>
      <c r="AE1078" s="898"/>
      <c r="AF1078" s="898"/>
      <c r="AG1078" s="898"/>
      <c r="AH1078" s="898"/>
      <c r="AI1078" s="898"/>
      <c r="AJ1078" s="898"/>
      <c r="AK1078" s="898"/>
      <c r="AL1078" s="898"/>
      <c r="AM1078" s="897"/>
      <c r="AN1078" s="897"/>
      <c r="AO1078" s="897"/>
      <c r="AP1078" s="897"/>
      <c r="AQ1078" s="897"/>
      <c r="AR1078" s="897"/>
      <c r="AS1078" s="897"/>
      <c r="AT1078" s="897"/>
    </row>
    <row r="1079" spans="1:46" s="930" customFormat="1">
      <c r="A1079" s="892"/>
      <c r="B1079" s="899"/>
      <c r="C1079" s="900"/>
      <c r="D1079" s="894"/>
      <c r="E1079" s="936"/>
      <c r="F1079" s="905"/>
      <c r="G1079" s="896"/>
      <c r="H1079" s="897"/>
      <c r="I1079" s="897"/>
      <c r="J1079" s="897"/>
      <c r="K1079" s="897"/>
      <c r="L1079" s="898"/>
      <c r="M1079" s="898"/>
      <c r="N1079" s="898"/>
      <c r="O1079" s="898"/>
      <c r="P1079" s="898"/>
      <c r="Q1079" s="898"/>
      <c r="R1079" s="898"/>
      <c r="S1079" s="898"/>
      <c r="T1079" s="898"/>
      <c r="U1079" s="898"/>
      <c r="V1079" s="898"/>
      <c r="W1079" s="898"/>
      <c r="X1079" s="898"/>
      <c r="Y1079" s="898"/>
      <c r="Z1079" s="898"/>
      <c r="AA1079" s="898"/>
      <c r="AB1079" s="898"/>
      <c r="AC1079" s="898"/>
      <c r="AD1079" s="898"/>
      <c r="AE1079" s="898"/>
      <c r="AF1079" s="898"/>
      <c r="AG1079" s="898"/>
      <c r="AH1079" s="898"/>
      <c r="AI1079" s="898"/>
      <c r="AJ1079" s="898"/>
      <c r="AK1079" s="898"/>
      <c r="AL1079" s="898"/>
      <c r="AM1079" s="897"/>
      <c r="AN1079" s="897"/>
      <c r="AO1079" s="897"/>
      <c r="AP1079" s="897"/>
      <c r="AQ1079" s="897"/>
      <c r="AR1079" s="897"/>
      <c r="AS1079" s="897"/>
      <c r="AT1079" s="897"/>
    </row>
    <row r="1080" spans="1:46" s="930" customFormat="1">
      <c r="A1080" s="892"/>
      <c r="B1080" s="899"/>
      <c r="C1080" s="900"/>
      <c r="D1080" s="894"/>
      <c r="E1080" s="936"/>
      <c r="F1080" s="905"/>
      <c r="G1080" s="896"/>
      <c r="H1080" s="897"/>
      <c r="I1080" s="897"/>
      <c r="J1080" s="897"/>
      <c r="K1080" s="897"/>
      <c r="L1080" s="898"/>
      <c r="M1080" s="898"/>
      <c r="N1080" s="898"/>
      <c r="O1080" s="898"/>
      <c r="P1080" s="898"/>
      <c r="Q1080" s="898"/>
      <c r="R1080" s="898"/>
      <c r="S1080" s="898"/>
      <c r="T1080" s="898"/>
      <c r="U1080" s="898"/>
      <c r="V1080" s="898"/>
      <c r="W1080" s="898"/>
      <c r="X1080" s="898"/>
      <c r="Y1080" s="898"/>
      <c r="Z1080" s="898"/>
      <c r="AA1080" s="898"/>
      <c r="AB1080" s="898"/>
      <c r="AC1080" s="898"/>
      <c r="AD1080" s="898"/>
      <c r="AE1080" s="898"/>
      <c r="AF1080" s="898"/>
      <c r="AG1080" s="898"/>
      <c r="AH1080" s="898"/>
      <c r="AI1080" s="898"/>
      <c r="AJ1080" s="898"/>
      <c r="AK1080" s="898"/>
      <c r="AL1080" s="898"/>
      <c r="AM1080" s="897"/>
      <c r="AN1080" s="897"/>
      <c r="AO1080" s="897"/>
      <c r="AP1080" s="897"/>
      <c r="AQ1080" s="897"/>
      <c r="AR1080" s="897"/>
      <c r="AS1080" s="897"/>
      <c r="AT1080" s="897"/>
    </row>
    <row r="1081" spans="1:46" s="930" customFormat="1">
      <c r="A1081" s="892"/>
      <c r="B1081" s="899"/>
      <c r="C1081" s="900"/>
      <c r="D1081" s="894"/>
      <c r="E1081" s="936"/>
      <c r="F1081" s="905"/>
      <c r="G1081" s="896"/>
      <c r="H1081" s="897"/>
      <c r="I1081" s="897"/>
      <c r="J1081" s="897"/>
      <c r="K1081" s="897"/>
      <c r="L1081" s="898"/>
      <c r="M1081" s="898"/>
      <c r="N1081" s="898"/>
      <c r="O1081" s="898"/>
      <c r="P1081" s="898"/>
      <c r="Q1081" s="898"/>
      <c r="R1081" s="898"/>
      <c r="S1081" s="898"/>
      <c r="T1081" s="898"/>
      <c r="U1081" s="898"/>
      <c r="V1081" s="898"/>
      <c r="W1081" s="898"/>
      <c r="X1081" s="898"/>
      <c r="Y1081" s="898"/>
      <c r="Z1081" s="898"/>
      <c r="AA1081" s="898"/>
      <c r="AB1081" s="898"/>
      <c r="AC1081" s="898"/>
      <c r="AD1081" s="898"/>
      <c r="AE1081" s="898"/>
      <c r="AF1081" s="898"/>
      <c r="AG1081" s="898"/>
      <c r="AH1081" s="898"/>
      <c r="AI1081" s="898"/>
      <c r="AJ1081" s="898"/>
      <c r="AK1081" s="898"/>
      <c r="AL1081" s="898"/>
      <c r="AM1081" s="897"/>
      <c r="AN1081" s="897"/>
      <c r="AO1081" s="897"/>
      <c r="AP1081" s="897"/>
      <c r="AQ1081" s="897"/>
      <c r="AR1081" s="897"/>
      <c r="AS1081" s="897"/>
      <c r="AT1081" s="897"/>
    </row>
    <row r="1082" spans="1:46" s="930" customFormat="1">
      <c r="A1082" s="892"/>
      <c r="B1082" s="899"/>
      <c r="C1082" s="900"/>
      <c r="D1082" s="894"/>
      <c r="E1082" s="936"/>
      <c r="F1082" s="905"/>
      <c r="G1082" s="896"/>
      <c r="H1082" s="897"/>
      <c r="I1082" s="897"/>
      <c r="J1082" s="897"/>
      <c r="K1082" s="897"/>
      <c r="L1082" s="898"/>
      <c r="M1082" s="898"/>
      <c r="N1082" s="898"/>
      <c r="O1082" s="898"/>
      <c r="P1082" s="898"/>
      <c r="Q1082" s="898"/>
      <c r="R1082" s="898"/>
      <c r="S1082" s="898"/>
      <c r="T1082" s="898"/>
      <c r="U1082" s="898"/>
      <c r="V1082" s="898"/>
      <c r="W1082" s="898"/>
      <c r="X1082" s="898"/>
      <c r="Y1082" s="898"/>
      <c r="Z1082" s="898"/>
      <c r="AA1082" s="898"/>
      <c r="AB1082" s="898"/>
      <c r="AC1082" s="898"/>
      <c r="AD1082" s="898"/>
      <c r="AE1082" s="898"/>
      <c r="AF1082" s="898"/>
      <c r="AG1082" s="898"/>
      <c r="AH1082" s="898"/>
      <c r="AI1082" s="898"/>
      <c r="AJ1082" s="898"/>
      <c r="AK1082" s="898"/>
      <c r="AL1082" s="898"/>
      <c r="AM1082" s="897"/>
      <c r="AN1082" s="897"/>
      <c r="AO1082" s="897"/>
      <c r="AP1082" s="897"/>
      <c r="AQ1082" s="897"/>
      <c r="AR1082" s="897"/>
      <c r="AS1082" s="897"/>
      <c r="AT1082" s="897"/>
    </row>
    <row r="1083" spans="1:46" s="930" customFormat="1">
      <c r="A1083" s="892"/>
      <c r="B1083" s="899"/>
      <c r="C1083" s="900"/>
      <c r="D1083" s="894"/>
      <c r="E1083" s="936"/>
      <c r="F1083" s="905"/>
      <c r="G1083" s="896"/>
      <c r="H1083" s="897"/>
      <c r="I1083" s="897"/>
      <c r="J1083" s="897"/>
      <c r="K1083" s="897"/>
      <c r="L1083" s="898"/>
      <c r="M1083" s="898"/>
      <c r="N1083" s="898"/>
      <c r="O1083" s="898"/>
      <c r="P1083" s="898"/>
      <c r="Q1083" s="898"/>
      <c r="R1083" s="898"/>
      <c r="S1083" s="898"/>
      <c r="T1083" s="898"/>
      <c r="U1083" s="898"/>
      <c r="V1083" s="898"/>
      <c r="W1083" s="898"/>
      <c r="X1083" s="898"/>
      <c r="Y1083" s="898"/>
      <c r="Z1083" s="898"/>
      <c r="AA1083" s="898"/>
      <c r="AB1083" s="898"/>
      <c r="AC1083" s="898"/>
      <c r="AD1083" s="898"/>
      <c r="AE1083" s="898"/>
      <c r="AF1083" s="898"/>
      <c r="AG1083" s="898"/>
      <c r="AH1083" s="898"/>
      <c r="AI1083" s="898"/>
      <c r="AJ1083" s="898"/>
      <c r="AK1083" s="898"/>
      <c r="AL1083" s="898"/>
      <c r="AM1083" s="897"/>
      <c r="AN1083" s="897"/>
      <c r="AO1083" s="897"/>
      <c r="AP1083" s="897"/>
      <c r="AQ1083" s="897"/>
      <c r="AR1083" s="897"/>
      <c r="AS1083" s="897"/>
      <c r="AT1083" s="897"/>
    </row>
    <row r="1084" spans="1:46" s="930" customFormat="1">
      <c r="A1084" s="892"/>
      <c r="B1084" s="899"/>
      <c r="C1084" s="900"/>
      <c r="D1084" s="894"/>
      <c r="E1084" s="936"/>
      <c r="F1084" s="905"/>
      <c r="G1084" s="896"/>
      <c r="H1084" s="897"/>
      <c r="I1084" s="897"/>
      <c r="J1084" s="897"/>
      <c r="K1084" s="897"/>
      <c r="L1084" s="898"/>
      <c r="M1084" s="898"/>
      <c r="N1084" s="898"/>
      <c r="O1084" s="898"/>
      <c r="P1084" s="898"/>
      <c r="Q1084" s="898"/>
      <c r="R1084" s="898"/>
      <c r="S1084" s="898"/>
      <c r="T1084" s="898"/>
      <c r="U1084" s="898"/>
      <c r="V1084" s="898"/>
      <c r="W1084" s="898"/>
      <c r="X1084" s="898"/>
      <c r="Y1084" s="898"/>
      <c r="Z1084" s="898"/>
      <c r="AA1084" s="898"/>
      <c r="AB1084" s="898"/>
      <c r="AC1084" s="898"/>
      <c r="AD1084" s="898"/>
      <c r="AE1084" s="898"/>
      <c r="AF1084" s="898"/>
      <c r="AG1084" s="898"/>
      <c r="AH1084" s="898"/>
      <c r="AI1084" s="898"/>
      <c r="AJ1084" s="898"/>
      <c r="AK1084" s="898"/>
      <c r="AL1084" s="898"/>
      <c r="AM1084" s="897"/>
      <c r="AN1084" s="897"/>
      <c r="AO1084" s="897"/>
      <c r="AP1084" s="897"/>
      <c r="AQ1084" s="897"/>
      <c r="AR1084" s="897"/>
      <c r="AS1084" s="897"/>
      <c r="AT1084" s="897"/>
    </row>
    <row r="1085" spans="1:46" s="930" customFormat="1">
      <c r="A1085" s="892"/>
      <c r="B1085" s="899"/>
      <c r="C1085" s="900"/>
      <c r="D1085" s="894"/>
      <c r="E1085" s="936"/>
      <c r="F1085" s="905"/>
      <c r="G1085" s="896"/>
      <c r="H1085" s="897"/>
      <c r="I1085" s="897"/>
      <c r="J1085" s="897"/>
      <c r="K1085" s="897"/>
      <c r="L1085" s="898"/>
      <c r="M1085" s="898"/>
      <c r="N1085" s="898"/>
      <c r="O1085" s="898"/>
      <c r="P1085" s="898"/>
      <c r="Q1085" s="898"/>
      <c r="R1085" s="898"/>
      <c r="S1085" s="898"/>
      <c r="T1085" s="898"/>
      <c r="U1085" s="898"/>
      <c r="V1085" s="898"/>
      <c r="W1085" s="898"/>
      <c r="X1085" s="898"/>
      <c r="Y1085" s="898"/>
      <c r="Z1085" s="898"/>
      <c r="AA1085" s="898"/>
      <c r="AB1085" s="898"/>
      <c r="AC1085" s="898"/>
      <c r="AD1085" s="898"/>
      <c r="AE1085" s="898"/>
      <c r="AF1085" s="898"/>
      <c r="AG1085" s="898"/>
      <c r="AH1085" s="898"/>
      <c r="AI1085" s="898"/>
      <c r="AJ1085" s="898"/>
      <c r="AK1085" s="898"/>
      <c r="AL1085" s="898"/>
      <c r="AM1085" s="897"/>
      <c r="AN1085" s="897"/>
      <c r="AO1085" s="897"/>
      <c r="AP1085" s="897"/>
      <c r="AQ1085" s="897"/>
      <c r="AR1085" s="897"/>
      <c r="AS1085" s="897"/>
      <c r="AT1085" s="897"/>
    </row>
    <row r="1086" spans="1:46" s="930" customFormat="1">
      <c r="A1086" s="892"/>
      <c r="B1086" s="899"/>
      <c r="C1086" s="900"/>
      <c r="D1086" s="894"/>
      <c r="E1086" s="936"/>
      <c r="F1086" s="905"/>
      <c r="G1086" s="896"/>
      <c r="H1086" s="897"/>
      <c r="I1086" s="897"/>
      <c r="J1086" s="897"/>
      <c r="K1086" s="897"/>
      <c r="L1086" s="898"/>
      <c r="M1086" s="898"/>
      <c r="N1086" s="898"/>
      <c r="O1086" s="898"/>
      <c r="P1086" s="898"/>
      <c r="Q1086" s="898"/>
      <c r="R1086" s="898"/>
      <c r="S1086" s="898"/>
      <c r="T1086" s="898"/>
      <c r="U1086" s="898"/>
      <c r="V1086" s="898"/>
      <c r="W1086" s="898"/>
      <c r="X1086" s="898"/>
      <c r="Y1086" s="898"/>
      <c r="Z1086" s="898"/>
      <c r="AA1086" s="898"/>
      <c r="AB1086" s="898"/>
      <c r="AC1086" s="898"/>
      <c r="AD1086" s="898"/>
      <c r="AE1086" s="898"/>
      <c r="AF1086" s="898"/>
      <c r="AG1086" s="898"/>
      <c r="AH1086" s="898"/>
      <c r="AI1086" s="898"/>
      <c r="AJ1086" s="898"/>
      <c r="AK1086" s="898"/>
      <c r="AL1086" s="898"/>
      <c r="AM1086" s="897"/>
      <c r="AN1086" s="897"/>
      <c r="AO1086" s="897"/>
      <c r="AP1086" s="897"/>
      <c r="AQ1086" s="897"/>
      <c r="AR1086" s="897"/>
      <c r="AS1086" s="897"/>
      <c r="AT1086" s="897"/>
    </row>
    <row r="1087" spans="1:46" s="930" customFormat="1">
      <c r="A1087" s="892"/>
      <c r="B1087" s="899"/>
      <c r="C1087" s="900"/>
      <c r="D1087" s="894"/>
      <c r="E1087" s="936"/>
      <c r="F1087" s="905"/>
      <c r="G1087" s="896"/>
      <c r="H1087" s="897"/>
      <c r="I1087" s="897"/>
      <c r="J1087" s="897"/>
      <c r="K1087" s="897"/>
      <c r="L1087" s="898"/>
      <c r="M1087" s="898"/>
      <c r="N1087" s="898"/>
      <c r="O1087" s="898"/>
      <c r="P1087" s="898"/>
      <c r="Q1087" s="898"/>
      <c r="R1087" s="898"/>
      <c r="S1087" s="898"/>
      <c r="T1087" s="898"/>
      <c r="U1087" s="898"/>
      <c r="V1087" s="898"/>
      <c r="W1087" s="898"/>
      <c r="X1087" s="898"/>
      <c r="Y1087" s="898"/>
      <c r="Z1087" s="898"/>
      <c r="AA1087" s="898"/>
      <c r="AB1087" s="898"/>
      <c r="AC1087" s="898"/>
      <c r="AD1087" s="898"/>
      <c r="AE1087" s="898"/>
      <c r="AF1087" s="898"/>
      <c r="AG1087" s="898"/>
      <c r="AH1087" s="898"/>
      <c r="AI1087" s="898"/>
      <c r="AJ1087" s="898"/>
      <c r="AK1087" s="898"/>
      <c r="AL1087" s="898"/>
      <c r="AM1087" s="897"/>
      <c r="AN1087" s="897"/>
      <c r="AO1087" s="897"/>
      <c r="AP1087" s="897"/>
      <c r="AQ1087" s="897"/>
      <c r="AR1087" s="897"/>
      <c r="AS1087" s="897"/>
      <c r="AT1087" s="897"/>
    </row>
    <row r="1088" spans="1:46" s="930" customFormat="1">
      <c r="A1088" s="892"/>
      <c r="B1088" s="899"/>
      <c r="C1088" s="900"/>
      <c r="D1088" s="894"/>
      <c r="E1088" s="936"/>
      <c r="F1088" s="905"/>
      <c r="G1088" s="896"/>
      <c r="H1088" s="897"/>
      <c r="I1088" s="897"/>
      <c r="J1088" s="897"/>
      <c r="K1088" s="897"/>
      <c r="L1088" s="898"/>
      <c r="M1088" s="898"/>
      <c r="N1088" s="898"/>
      <c r="O1088" s="898"/>
      <c r="P1088" s="898"/>
      <c r="Q1088" s="898"/>
      <c r="R1088" s="898"/>
      <c r="S1088" s="898"/>
      <c r="T1088" s="898"/>
      <c r="U1088" s="898"/>
      <c r="V1088" s="898"/>
      <c r="W1088" s="898"/>
      <c r="X1088" s="898"/>
      <c r="Y1088" s="898"/>
      <c r="Z1088" s="898"/>
      <c r="AA1088" s="898"/>
      <c r="AB1088" s="898"/>
      <c r="AC1088" s="898"/>
      <c r="AD1088" s="898"/>
      <c r="AE1088" s="898"/>
      <c r="AF1088" s="898"/>
      <c r="AG1088" s="898"/>
      <c r="AH1088" s="898"/>
      <c r="AI1088" s="898"/>
      <c r="AJ1088" s="898"/>
      <c r="AK1088" s="898"/>
      <c r="AL1088" s="898"/>
      <c r="AM1088" s="897"/>
      <c r="AN1088" s="897"/>
      <c r="AO1088" s="897"/>
      <c r="AP1088" s="897"/>
      <c r="AQ1088" s="897"/>
      <c r="AR1088" s="897"/>
      <c r="AS1088" s="897"/>
      <c r="AT1088" s="897"/>
    </row>
    <row r="1089" spans="1:46" s="930" customFormat="1">
      <c r="A1089" s="892"/>
      <c r="B1089" s="899"/>
      <c r="C1089" s="900"/>
      <c r="D1089" s="894"/>
      <c r="E1089" s="936"/>
      <c r="F1089" s="905"/>
      <c r="G1089" s="896"/>
      <c r="H1089" s="897"/>
      <c r="I1089" s="897"/>
      <c r="J1089" s="897"/>
      <c r="K1089" s="897"/>
      <c r="L1089" s="898"/>
      <c r="M1089" s="898"/>
      <c r="N1089" s="898"/>
      <c r="O1089" s="898"/>
      <c r="P1089" s="898"/>
      <c r="Q1089" s="898"/>
      <c r="R1089" s="898"/>
      <c r="S1089" s="898"/>
      <c r="T1089" s="898"/>
      <c r="U1089" s="898"/>
      <c r="V1089" s="898"/>
      <c r="W1089" s="898"/>
      <c r="X1089" s="898"/>
      <c r="Y1089" s="898"/>
      <c r="Z1089" s="898"/>
      <c r="AA1089" s="898"/>
      <c r="AB1089" s="898"/>
      <c r="AC1089" s="898"/>
      <c r="AD1089" s="898"/>
      <c r="AE1089" s="898"/>
      <c r="AF1089" s="898"/>
      <c r="AG1089" s="898"/>
      <c r="AH1089" s="898"/>
      <c r="AI1089" s="898"/>
      <c r="AJ1089" s="898"/>
      <c r="AK1089" s="898"/>
      <c r="AL1089" s="898"/>
      <c r="AM1089" s="897"/>
      <c r="AN1089" s="897"/>
      <c r="AO1089" s="897"/>
      <c r="AP1089" s="897"/>
      <c r="AQ1089" s="897"/>
      <c r="AR1089" s="897"/>
      <c r="AS1089" s="897"/>
      <c r="AT1089" s="897"/>
    </row>
    <row r="1090" spans="1:46" s="930" customFormat="1">
      <c r="A1090" s="892"/>
      <c r="B1090" s="899"/>
      <c r="C1090" s="900"/>
      <c r="D1090" s="894"/>
      <c r="E1090" s="936"/>
      <c r="F1090" s="905"/>
      <c r="G1090" s="896"/>
      <c r="H1090" s="897"/>
      <c r="I1090" s="897"/>
      <c r="J1090" s="897"/>
      <c r="K1090" s="897"/>
      <c r="L1090" s="898"/>
      <c r="M1090" s="898"/>
      <c r="N1090" s="898"/>
      <c r="O1090" s="898"/>
      <c r="P1090" s="898"/>
      <c r="Q1090" s="898"/>
      <c r="R1090" s="898"/>
      <c r="S1090" s="898"/>
      <c r="T1090" s="898"/>
      <c r="U1090" s="898"/>
      <c r="V1090" s="898"/>
      <c r="W1090" s="898"/>
      <c r="X1090" s="898"/>
      <c r="Y1090" s="898"/>
      <c r="Z1090" s="898"/>
      <c r="AA1090" s="898"/>
      <c r="AB1090" s="898"/>
      <c r="AC1090" s="898"/>
      <c r="AD1090" s="898"/>
      <c r="AE1090" s="898"/>
      <c r="AF1090" s="898"/>
      <c r="AG1090" s="898"/>
      <c r="AH1090" s="898"/>
      <c r="AI1090" s="898"/>
      <c r="AJ1090" s="898"/>
      <c r="AK1090" s="898"/>
      <c r="AL1090" s="898"/>
      <c r="AM1090" s="897"/>
      <c r="AN1090" s="897"/>
      <c r="AO1090" s="897"/>
      <c r="AP1090" s="897"/>
      <c r="AQ1090" s="897"/>
      <c r="AR1090" s="897"/>
      <c r="AS1090" s="897"/>
      <c r="AT1090" s="897"/>
    </row>
    <row r="1091" spans="1:46" s="930" customFormat="1">
      <c r="A1091" s="892"/>
      <c r="B1091" s="899"/>
      <c r="C1091" s="900"/>
      <c r="D1091" s="894"/>
      <c r="E1091" s="936"/>
      <c r="F1091" s="905"/>
      <c r="G1091" s="896"/>
      <c r="H1091" s="897"/>
      <c r="I1091" s="897"/>
      <c r="J1091" s="897"/>
      <c r="K1091" s="897"/>
      <c r="L1091" s="898"/>
      <c r="M1091" s="898"/>
      <c r="N1091" s="898"/>
      <c r="O1091" s="898"/>
      <c r="P1091" s="898"/>
      <c r="Q1091" s="898"/>
      <c r="R1091" s="898"/>
      <c r="S1091" s="898"/>
      <c r="T1091" s="898"/>
      <c r="U1091" s="898"/>
      <c r="V1091" s="898"/>
      <c r="W1091" s="898"/>
      <c r="X1091" s="898"/>
      <c r="Y1091" s="898"/>
      <c r="Z1091" s="898"/>
      <c r="AA1091" s="898"/>
      <c r="AB1091" s="898"/>
      <c r="AC1091" s="898"/>
      <c r="AD1091" s="898"/>
      <c r="AE1091" s="898"/>
      <c r="AF1091" s="898"/>
      <c r="AG1091" s="898"/>
      <c r="AH1091" s="898"/>
      <c r="AI1091" s="898"/>
      <c r="AJ1091" s="898"/>
      <c r="AK1091" s="898"/>
      <c r="AL1091" s="898"/>
      <c r="AM1091" s="897"/>
      <c r="AN1091" s="897"/>
      <c r="AO1091" s="897"/>
      <c r="AP1091" s="897"/>
      <c r="AQ1091" s="897"/>
      <c r="AR1091" s="897"/>
      <c r="AS1091" s="897"/>
      <c r="AT1091" s="897"/>
    </row>
    <row r="1092" spans="1:46" s="930" customFormat="1">
      <c r="A1092" s="892"/>
      <c r="B1092" s="899"/>
      <c r="C1092" s="900"/>
      <c r="D1092" s="894"/>
      <c r="E1092" s="936"/>
      <c r="F1092" s="905"/>
      <c r="G1092" s="896"/>
      <c r="H1092" s="897"/>
      <c r="I1092" s="897"/>
      <c r="J1092" s="897"/>
      <c r="K1092" s="897"/>
      <c r="L1092" s="898"/>
      <c r="M1092" s="898"/>
      <c r="N1092" s="898"/>
      <c r="O1092" s="898"/>
      <c r="P1092" s="898"/>
      <c r="Q1092" s="898"/>
      <c r="R1092" s="898"/>
      <c r="S1092" s="898"/>
      <c r="T1092" s="898"/>
      <c r="U1092" s="898"/>
      <c r="V1092" s="898"/>
      <c r="W1092" s="898"/>
      <c r="X1092" s="898"/>
      <c r="Y1092" s="898"/>
      <c r="Z1092" s="898"/>
      <c r="AA1092" s="898"/>
      <c r="AB1092" s="898"/>
      <c r="AC1092" s="898"/>
      <c r="AD1092" s="898"/>
      <c r="AE1092" s="898"/>
      <c r="AF1092" s="898"/>
      <c r="AG1092" s="898"/>
      <c r="AH1092" s="898"/>
      <c r="AI1092" s="898"/>
      <c r="AJ1092" s="898"/>
      <c r="AK1092" s="898"/>
      <c r="AL1092" s="898"/>
      <c r="AM1092" s="897"/>
      <c r="AN1092" s="897"/>
      <c r="AO1092" s="897"/>
      <c r="AP1092" s="897"/>
      <c r="AQ1092" s="897"/>
      <c r="AR1092" s="897"/>
      <c r="AS1092" s="897"/>
      <c r="AT1092" s="897"/>
    </row>
    <row r="1093" spans="1:46" s="930" customFormat="1">
      <c r="A1093" s="892"/>
      <c r="B1093" s="899"/>
      <c r="C1093" s="900"/>
      <c r="D1093" s="894"/>
      <c r="E1093" s="936"/>
      <c r="F1093" s="905"/>
      <c r="G1093" s="896"/>
      <c r="H1093" s="897"/>
      <c r="I1093" s="897"/>
      <c r="J1093" s="897"/>
      <c r="K1093" s="897"/>
      <c r="L1093" s="898"/>
      <c r="M1093" s="898"/>
      <c r="N1093" s="898"/>
      <c r="O1093" s="898"/>
      <c r="P1093" s="898"/>
      <c r="Q1093" s="898"/>
      <c r="R1093" s="898"/>
      <c r="S1093" s="898"/>
      <c r="T1093" s="898"/>
      <c r="U1093" s="898"/>
      <c r="V1093" s="898"/>
      <c r="W1093" s="898"/>
      <c r="X1093" s="898"/>
      <c r="Y1093" s="898"/>
      <c r="Z1093" s="898"/>
      <c r="AA1093" s="898"/>
      <c r="AB1093" s="898"/>
      <c r="AC1093" s="898"/>
      <c r="AD1093" s="898"/>
      <c r="AE1093" s="898"/>
      <c r="AF1093" s="898"/>
      <c r="AG1093" s="898"/>
      <c r="AH1093" s="898"/>
      <c r="AI1093" s="898"/>
      <c r="AJ1093" s="898"/>
      <c r="AK1093" s="898"/>
      <c r="AL1093" s="898"/>
      <c r="AM1093" s="897"/>
      <c r="AN1093" s="897"/>
      <c r="AO1093" s="897"/>
      <c r="AP1093" s="897"/>
      <c r="AQ1093" s="897"/>
      <c r="AR1093" s="897"/>
      <c r="AS1093" s="897"/>
      <c r="AT1093" s="897"/>
    </row>
    <row r="1094" spans="1:46" s="930" customFormat="1">
      <c r="A1094" s="892"/>
      <c r="B1094" s="899"/>
      <c r="C1094" s="900"/>
      <c r="D1094" s="894"/>
      <c r="E1094" s="936"/>
      <c r="F1094" s="905"/>
      <c r="G1094" s="896"/>
      <c r="H1094" s="897"/>
      <c r="I1094" s="897"/>
      <c r="J1094" s="897"/>
      <c r="K1094" s="897"/>
      <c r="L1094" s="898"/>
      <c r="M1094" s="898"/>
      <c r="N1094" s="898"/>
      <c r="O1094" s="898"/>
      <c r="P1094" s="898"/>
      <c r="Q1094" s="898"/>
      <c r="R1094" s="898"/>
      <c r="S1094" s="898"/>
      <c r="T1094" s="898"/>
      <c r="U1094" s="898"/>
      <c r="V1094" s="898"/>
      <c r="W1094" s="898"/>
      <c r="X1094" s="898"/>
      <c r="Y1094" s="898"/>
      <c r="Z1094" s="898"/>
      <c r="AA1094" s="898"/>
      <c r="AB1094" s="898"/>
      <c r="AC1094" s="898"/>
      <c r="AD1094" s="898"/>
      <c r="AE1094" s="898"/>
      <c r="AF1094" s="898"/>
      <c r="AG1094" s="898"/>
      <c r="AH1094" s="898"/>
      <c r="AI1094" s="898"/>
      <c r="AJ1094" s="898"/>
      <c r="AK1094" s="898"/>
      <c r="AL1094" s="898"/>
      <c r="AM1094" s="897"/>
      <c r="AN1094" s="897"/>
      <c r="AO1094" s="897"/>
      <c r="AP1094" s="897"/>
      <c r="AQ1094" s="897"/>
      <c r="AR1094" s="897"/>
      <c r="AS1094" s="897"/>
      <c r="AT1094" s="897"/>
    </row>
    <row r="1095" spans="1:46" s="930" customFormat="1">
      <c r="A1095" s="892"/>
      <c r="B1095" s="899"/>
      <c r="C1095" s="900"/>
      <c r="D1095" s="894"/>
      <c r="E1095" s="936"/>
      <c r="F1095" s="905"/>
      <c r="G1095" s="896"/>
      <c r="H1095" s="897"/>
      <c r="I1095" s="897"/>
      <c r="J1095" s="897"/>
      <c r="K1095" s="897"/>
      <c r="L1095" s="898"/>
      <c r="M1095" s="898"/>
      <c r="N1095" s="898"/>
      <c r="O1095" s="898"/>
      <c r="P1095" s="898"/>
      <c r="Q1095" s="898"/>
      <c r="R1095" s="898"/>
      <c r="S1095" s="898"/>
      <c r="T1095" s="898"/>
      <c r="U1095" s="898"/>
      <c r="V1095" s="898"/>
      <c r="W1095" s="898"/>
      <c r="X1095" s="898"/>
      <c r="Y1095" s="898"/>
      <c r="Z1095" s="898"/>
      <c r="AA1095" s="898"/>
      <c r="AB1095" s="898"/>
      <c r="AC1095" s="898"/>
      <c r="AD1095" s="898"/>
      <c r="AE1095" s="898"/>
      <c r="AF1095" s="898"/>
      <c r="AG1095" s="898"/>
      <c r="AH1095" s="898"/>
      <c r="AI1095" s="898"/>
      <c r="AJ1095" s="898"/>
      <c r="AK1095" s="898"/>
      <c r="AL1095" s="898"/>
      <c r="AM1095" s="897"/>
      <c r="AN1095" s="897"/>
      <c r="AO1095" s="897"/>
      <c r="AP1095" s="897"/>
      <c r="AQ1095" s="897"/>
      <c r="AR1095" s="897"/>
      <c r="AS1095" s="897"/>
      <c r="AT1095" s="897"/>
    </row>
    <row r="1096" spans="1:46" s="930" customFormat="1">
      <c r="A1096" s="892"/>
      <c r="B1096" s="899"/>
      <c r="C1096" s="900"/>
      <c r="D1096" s="894"/>
      <c r="E1096" s="936"/>
      <c r="F1096" s="905"/>
      <c r="G1096" s="896"/>
      <c r="H1096" s="897"/>
      <c r="I1096" s="897"/>
      <c r="J1096" s="897"/>
      <c r="K1096" s="897"/>
      <c r="L1096" s="898"/>
      <c r="M1096" s="898"/>
      <c r="N1096" s="898"/>
      <c r="O1096" s="898"/>
      <c r="P1096" s="898"/>
      <c r="Q1096" s="898"/>
      <c r="R1096" s="898"/>
      <c r="S1096" s="898"/>
      <c r="T1096" s="898"/>
      <c r="U1096" s="898"/>
      <c r="V1096" s="898"/>
      <c r="W1096" s="898"/>
      <c r="X1096" s="898"/>
      <c r="Y1096" s="898"/>
      <c r="Z1096" s="898"/>
      <c r="AA1096" s="898"/>
      <c r="AB1096" s="898"/>
      <c r="AC1096" s="898"/>
      <c r="AD1096" s="898"/>
      <c r="AE1096" s="898"/>
      <c r="AF1096" s="898"/>
      <c r="AG1096" s="898"/>
      <c r="AH1096" s="898"/>
      <c r="AI1096" s="898"/>
      <c r="AJ1096" s="898"/>
      <c r="AK1096" s="898"/>
      <c r="AL1096" s="898"/>
      <c r="AM1096" s="897"/>
      <c r="AN1096" s="897"/>
      <c r="AO1096" s="897"/>
      <c r="AP1096" s="897"/>
      <c r="AQ1096" s="897"/>
      <c r="AR1096" s="897"/>
      <c r="AS1096" s="897"/>
      <c r="AT1096" s="897"/>
    </row>
    <row r="1097" spans="1:46" s="930" customFormat="1">
      <c r="A1097" s="892"/>
      <c r="B1097" s="899"/>
      <c r="C1097" s="900"/>
      <c r="D1097" s="894"/>
      <c r="E1097" s="936"/>
      <c r="F1097" s="905"/>
      <c r="G1097" s="896"/>
      <c r="H1097" s="897"/>
      <c r="I1097" s="897"/>
      <c r="J1097" s="897"/>
      <c r="K1097" s="897"/>
      <c r="L1097" s="898"/>
      <c r="M1097" s="898"/>
      <c r="N1097" s="898"/>
      <c r="O1097" s="898"/>
      <c r="P1097" s="898"/>
      <c r="Q1097" s="898"/>
      <c r="R1097" s="898"/>
      <c r="S1097" s="898"/>
      <c r="T1097" s="898"/>
      <c r="U1097" s="898"/>
      <c r="V1097" s="898"/>
      <c r="W1097" s="898"/>
      <c r="X1097" s="898"/>
      <c r="Y1097" s="898"/>
      <c r="Z1097" s="898"/>
      <c r="AA1097" s="898"/>
      <c r="AB1097" s="898"/>
      <c r="AC1097" s="898"/>
      <c r="AD1097" s="898"/>
      <c r="AE1097" s="898"/>
      <c r="AF1097" s="898"/>
      <c r="AG1097" s="898"/>
      <c r="AH1097" s="898"/>
      <c r="AI1097" s="898"/>
      <c r="AJ1097" s="898"/>
      <c r="AK1097" s="898"/>
      <c r="AL1097" s="898"/>
      <c r="AM1097" s="897"/>
      <c r="AN1097" s="897"/>
      <c r="AO1097" s="897"/>
      <c r="AP1097" s="897"/>
      <c r="AQ1097" s="897"/>
      <c r="AR1097" s="897"/>
      <c r="AS1097" s="897"/>
      <c r="AT1097" s="897"/>
    </row>
    <row r="1098" spans="1:46" s="930" customFormat="1">
      <c r="A1098" s="892"/>
      <c r="B1098" s="899"/>
      <c r="C1098" s="900"/>
      <c r="D1098" s="894"/>
      <c r="E1098" s="936"/>
      <c r="F1098" s="905"/>
      <c r="G1098" s="896"/>
      <c r="H1098" s="897"/>
      <c r="I1098" s="897"/>
      <c r="J1098" s="897"/>
      <c r="K1098" s="897"/>
      <c r="L1098" s="898"/>
      <c r="M1098" s="898"/>
      <c r="N1098" s="898"/>
      <c r="O1098" s="898"/>
      <c r="P1098" s="898"/>
      <c r="Q1098" s="898"/>
      <c r="R1098" s="898"/>
      <c r="S1098" s="898"/>
      <c r="T1098" s="898"/>
      <c r="U1098" s="898"/>
      <c r="V1098" s="898"/>
      <c r="W1098" s="898"/>
      <c r="X1098" s="898"/>
      <c r="Y1098" s="898"/>
      <c r="Z1098" s="898"/>
      <c r="AA1098" s="898"/>
      <c r="AB1098" s="898"/>
      <c r="AC1098" s="898"/>
      <c r="AD1098" s="898"/>
      <c r="AE1098" s="898"/>
      <c r="AF1098" s="898"/>
      <c r="AG1098" s="898"/>
      <c r="AH1098" s="898"/>
      <c r="AI1098" s="898"/>
      <c r="AJ1098" s="898"/>
      <c r="AK1098" s="898"/>
      <c r="AL1098" s="898"/>
      <c r="AM1098" s="897"/>
      <c r="AN1098" s="897"/>
      <c r="AO1098" s="897"/>
      <c r="AP1098" s="897"/>
      <c r="AQ1098" s="897"/>
      <c r="AR1098" s="897"/>
      <c r="AS1098" s="897"/>
      <c r="AT1098" s="897"/>
    </row>
    <row r="1099" spans="1:46" s="930" customFormat="1">
      <c r="A1099" s="892"/>
      <c r="B1099" s="899"/>
      <c r="C1099" s="900"/>
      <c r="D1099" s="894"/>
      <c r="E1099" s="936"/>
      <c r="F1099" s="905"/>
      <c r="G1099" s="896"/>
      <c r="H1099" s="897"/>
      <c r="I1099" s="897"/>
      <c r="J1099" s="897"/>
      <c r="K1099" s="897"/>
      <c r="L1099" s="898"/>
      <c r="M1099" s="898"/>
      <c r="N1099" s="898"/>
      <c r="O1099" s="898"/>
      <c r="P1099" s="898"/>
      <c r="Q1099" s="898"/>
      <c r="R1099" s="898"/>
      <c r="S1099" s="898"/>
      <c r="T1099" s="898"/>
      <c r="U1099" s="898"/>
      <c r="V1099" s="898"/>
      <c r="W1099" s="898"/>
      <c r="X1099" s="898"/>
      <c r="Y1099" s="898"/>
      <c r="Z1099" s="898"/>
      <c r="AA1099" s="898"/>
      <c r="AB1099" s="898"/>
      <c r="AC1099" s="898"/>
      <c r="AD1099" s="898"/>
      <c r="AE1099" s="898"/>
      <c r="AF1099" s="898"/>
      <c r="AG1099" s="898"/>
      <c r="AH1099" s="898"/>
      <c r="AI1099" s="898"/>
      <c r="AJ1099" s="898"/>
      <c r="AK1099" s="898"/>
      <c r="AL1099" s="898"/>
      <c r="AM1099" s="897"/>
      <c r="AN1099" s="897"/>
      <c r="AO1099" s="897"/>
      <c r="AP1099" s="897"/>
      <c r="AQ1099" s="897"/>
      <c r="AR1099" s="897"/>
      <c r="AS1099" s="897"/>
      <c r="AT1099" s="897"/>
    </row>
    <row r="1100" spans="1:46" s="930" customFormat="1">
      <c r="A1100" s="892"/>
      <c r="B1100" s="899"/>
      <c r="C1100" s="900"/>
      <c r="D1100" s="894"/>
      <c r="E1100" s="936"/>
      <c r="F1100" s="905"/>
      <c r="G1100" s="896"/>
      <c r="H1100" s="897"/>
      <c r="I1100" s="897"/>
      <c r="J1100" s="897"/>
      <c r="K1100" s="897"/>
      <c r="L1100" s="898"/>
      <c r="M1100" s="898"/>
      <c r="N1100" s="898"/>
      <c r="O1100" s="898"/>
      <c r="P1100" s="898"/>
      <c r="Q1100" s="898"/>
      <c r="R1100" s="898"/>
      <c r="S1100" s="898"/>
      <c r="T1100" s="898"/>
      <c r="U1100" s="898"/>
      <c r="V1100" s="898"/>
      <c r="W1100" s="898"/>
      <c r="X1100" s="898"/>
      <c r="Y1100" s="898"/>
      <c r="Z1100" s="898"/>
      <c r="AA1100" s="898"/>
      <c r="AB1100" s="898"/>
      <c r="AC1100" s="898"/>
      <c r="AD1100" s="898"/>
      <c r="AE1100" s="898"/>
      <c r="AF1100" s="898"/>
      <c r="AG1100" s="898"/>
      <c r="AH1100" s="898"/>
      <c r="AI1100" s="898"/>
      <c r="AJ1100" s="898"/>
      <c r="AK1100" s="898"/>
      <c r="AL1100" s="898"/>
      <c r="AM1100" s="897"/>
      <c r="AN1100" s="897"/>
      <c r="AO1100" s="897"/>
      <c r="AP1100" s="897"/>
      <c r="AQ1100" s="897"/>
      <c r="AR1100" s="897"/>
      <c r="AS1100" s="897"/>
      <c r="AT1100" s="897"/>
    </row>
    <row r="1101" spans="1:46" s="930" customFormat="1">
      <c r="A1101" s="892"/>
      <c r="B1101" s="899"/>
      <c r="C1101" s="900"/>
      <c r="D1101" s="894"/>
      <c r="E1101" s="936"/>
      <c r="F1101" s="905"/>
      <c r="G1101" s="896"/>
      <c r="H1101" s="897"/>
      <c r="I1101" s="897"/>
      <c r="J1101" s="897"/>
      <c r="K1101" s="897"/>
      <c r="L1101" s="898"/>
      <c r="M1101" s="898"/>
      <c r="N1101" s="898"/>
      <c r="O1101" s="898"/>
      <c r="P1101" s="898"/>
      <c r="Q1101" s="898"/>
      <c r="R1101" s="898"/>
      <c r="S1101" s="898"/>
      <c r="T1101" s="898"/>
      <c r="U1101" s="898"/>
      <c r="V1101" s="898"/>
      <c r="W1101" s="898"/>
      <c r="X1101" s="898"/>
      <c r="Y1101" s="898"/>
      <c r="Z1101" s="898"/>
      <c r="AA1101" s="898"/>
      <c r="AB1101" s="898"/>
      <c r="AC1101" s="898"/>
      <c r="AD1101" s="898"/>
      <c r="AE1101" s="898"/>
      <c r="AF1101" s="898"/>
      <c r="AG1101" s="898"/>
      <c r="AH1101" s="898"/>
      <c r="AI1101" s="898"/>
      <c r="AJ1101" s="898"/>
      <c r="AK1101" s="898"/>
      <c r="AL1101" s="898"/>
      <c r="AM1101" s="897"/>
      <c r="AN1101" s="897"/>
      <c r="AO1101" s="897"/>
      <c r="AP1101" s="897"/>
      <c r="AQ1101" s="897"/>
      <c r="AR1101" s="897"/>
      <c r="AS1101" s="897"/>
      <c r="AT1101" s="897"/>
    </row>
    <row r="1102" spans="1:46" s="930" customFormat="1">
      <c r="A1102" s="892"/>
      <c r="B1102" s="899"/>
      <c r="C1102" s="900"/>
      <c r="D1102" s="894"/>
      <c r="E1102" s="936"/>
      <c r="F1102" s="905"/>
      <c r="G1102" s="896"/>
      <c r="H1102" s="897"/>
      <c r="I1102" s="897"/>
      <c r="J1102" s="897"/>
      <c r="K1102" s="897"/>
      <c r="L1102" s="898"/>
      <c r="M1102" s="898"/>
      <c r="N1102" s="898"/>
      <c r="O1102" s="898"/>
      <c r="P1102" s="898"/>
      <c r="Q1102" s="898"/>
      <c r="R1102" s="898"/>
      <c r="S1102" s="898"/>
      <c r="T1102" s="898"/>
      <c r="U1102" s="898"/>
      <c r="V1102" s="898"/>
      <c r="W1102" s="898"/>
      <c r="X1102" s="898"/>
      <c r="Y1102" s="898"/>
      <c r="Z1102" s="898"/>
      <c r="AA1102" s="898"/>
      <c r="AB1102" s="898"/>
      <c r="AC1102" s="898"/>
      <c r="AD1102" s="898"/>
      <c r="AE1102" s="898"/>
      <c r="AF1102" s="898"/>
      <c r="AG1102" s="898"/>
      <c r="AH1102" s="898"/>
      <c r="AI1102" s="898"/>
      <c r="AJ1102" s="898"/>
      <c r="AK1102" s="898"/>
      <c r="AL1102" s="898"/>
      <c r="AM1102" s="897"/>
      <c r="AN1102" s="897"/>
      <c r="AO1102" s="897"/>
      <c r="AP1102" s="897"/>
      <c r="AQ1102" s="897"/>
      <c r="AR1102" s="897"/>
      <c r="AS1102" s="897"/>
      <c r="AT1102" s="897"/>
    </row>
    <row r="1103" spans="1:46" s="930" customFormat="1">
      <c r="A1103" s="892"/>
      <c r="B1103" s="899"/>
      <c r="C1103" s="900"/>
      <c r="D1103" s="894"/>
      <c r="E1103" s="936"/>
      <c r="F1103" s="905"/>
      <c r="G1103" s="896"/>
      <c r="H1103" s="897"/>
      <c r="I1103" s="897"/>
      <c r="J1103" s="897"/>
      <c r="K1103" s="897"/>
      <c r="L1103" s="898"/>
      <c r="M1103" s="898"/>
      <c r="N1103" s="898"/>
      <c r="O1103" s="898"/>
      <c r="P1103" s="898"/>
      <c r="Q1103" s="898"/>
      <c r="R1103" s="898"/>
      <c r="S1103" s="898"/>
      <c r="T1103" s="898"/>
      <c r="U1103" s="898"/>
      <c r="V1103" s="898"/>
      <c r="W1103" s="898"/>
      <c r="X1103" s="898"/>
      <c r="Y1103" s="898"/>
      <c r="Z1103" s="898"/>
      <c r="AA1103" s="898"/>
      <c r="AB1103" s="898"/>
      <c r="AC1103" s="898"/>
      <c r="AD1103" s="898"/>
      <c r="AE1103" s="898"/>
      <c r="AF1103" s="898"/>
      <c r="AG1103" s="898"/>
      <c r="AH1103" s="898"/>
      <c r="AI1103" s="898"/>
      <c r="AJ1103" s="898"/>
      <c r="AK1103" s="898"/>
      <c r="AL1103" s="898"/>
      <c r="AM1103" s="897"/>
      <c r="AN1103" s="897"/>
      <c r="AO1103" s="897"/>
      <c r="AP1103" s="897"/>
      <c r="AQ1103" s="897"/>
      <c r="AR1103" s="897"/>
      <c r="AS1103" s="897"/>
      <c r="AT1103" s="897"/>
    </row>
    <row r="1104" spans="1:46" s="930" customFormat="1">
      <c r="A1104" s="892"/>
      <c r="B1104" s="899"/>
      <c r="C1104" s="900"/>
      <c r="D1104" s="894"/>
      <c r="E1104" s="936"/>
      <c r="F1104" s="905"/>
      <c r="G1104" s="896"/>
      <c r="H1104" s="897"/>
      <c r="I1104" s="897"/>
      <c r="J1104" s="897"/>
      <c r="K1104" s="897"/>
      <c r="L1104" s="898"/>
      <c r="M1104" s="898"/>
      <c r="N1104" s="898"/>
      <c r="O1104" s="898"/>
      <c r="P1104" s="898"/>
      <c r="Q1104" s="898"/>
      <c r="R1104" s="898"/>
      <c r="S1104" s="898"/>
      <c r="T1104" s="898"/>
      <c r="U1104" s="898"/>
      <c r="V1104" s="898"/>
      <c r="W1104" s="898"/>
      <c r="X1104" s="898"/>
      <c r="Y1104" s="898"/>
      <c r="Z1104" s="898"/>
      <c r="AA1104" s="898"/>
      <c r="AB1104" s="898"/>
      <c r="AC1104" s="898"/>
      <c r="AD1104" s="898"/>
      <c r="AE1104" s="898"/>
      <c r="AF1104" s="898"/>
      <c r="AG1104" s="898"/>
      <c r="AH1104" s="898"/>
      <c r="AI1104" s="898"/>
      <c r="AJ1104" s="898"/>
      <c r="AK1104" s="898"/>
      <c r="AL1104" s="898"/>
      <c r="AM1104" s="897"/>
      <c r="AN1104" s="897"/>
      <c r="AO1104" s="897"/>
      <c r="AP1104" s="897"/>
      <c r="AQ1104" s="897"/>
      <c r="AR1104" s="897"/>
      <c r="AS1104" s="897"/>
      <c r="AT1104" s="897"/>
    </row>
    <row r="1105" spans="1:46" s="930" customFormat="1">
      <c r="A1105" s="892"/>
      <c r="B1105" s="899"/>
      <c r="C1105" s="900"/>
      <c r="D1105" s="894"/>
      <c r="E1105" s="936"/>
      <c r="F1105" s="905"/>
      <c r="G1105" s="896"/>
      <c r="H1105" s="897"/>
      <c r="I1105" s="897"/>
      <c r="J1105" s="897"/>
      <c r="K1105" s="897"/>
      <c r="L1105" s="898"/>
      <c r="M1105" s="898"/>
      <c r="N1105" s="898"/>
      <c r="O1105" s="898"/>
      <c r="P1105" s="898"/>
      <c r="Q1105" s="898"/>
      <c r="R1105" s="898"/>
      <c r="S1105" s="898"/>
      <c r="T1105" s="898"/>
      <c r="U1105" s="898"/>
      <c r="V1105" s="898"/>
      <c r="W1105" s="898"/>
      <c r="X1105" s="898"/>
      <c r="Y1105" s="898"/>
      <c r="Z1105" s="898"/>
      <c r="AA1105" s="898"/>
      <c r="AB1105" s="898"/>
      <c r="AC1105" s="898"/>
      <c r="AD1105" s="898"/>
      <c r="AE1105" s="898"/>
      <c r="AF1105" s="898"/>
      <c r="AG1105" s="898"/>
      <c r="AH1105" s="898"/>
      <c r="AI1105" s="898"/>
      <c r="AJ1105" s="898"/>
      <c r="AK1105" s="898"/>
      <c r="AL1105" s="898"/>
      <c r="AM1105" s="897"/>
      <c r="AN1105" s="897"/>
      <c r="AO1105" s="897"/>
      <c r="AP1105" s="897"/>
      <c r="AQ1105" s="897"/>
      <c r="AR1105" s="897"/>
      <c r="AS1105" s="897"/>
      <c r="AT1105" s="897"/>
    </row>
    <row r="1106" spans="1:46" s="930" customFormat="1">
      <c r="A1106" s="892"/>
      <c r="B1106" s="899"/>
      <c r="C1106" s="900"/>
      <c r="D1106" s="894"/>
      <c r="E1106" s="936"/>
      <c r="F1106" s="905"/>
      <c r="G1106" s="896"/>
      <c r="H1106" s="897"/>
      <c r="I1106" s="897"/>
      <c r="J1106" s="897"/>
      <c r="K1106" s="897"/>
      <c r="L1106" s="898"/>
      <c r="M1106" s="898"/>
      <c r="N1106" s="898"/>
      <c r="O1106" s="898"/>
      <c r="P1106" s="898"/>
      <c r="Q1106" s="898"/>
      <c r="R1106" s="898"/>
      <c r="S1106" s="898"/>
      <c r="T1106" s="898"/>
      <c r="U1106" s="898"/>
      <c r="V1106" s="898"/>
      <c r="W1106" s="898"/>
      <c r="X1106" s="898"/>
      <c r="Y1106" s="898"/>
      <c r="Z1106" s="898"/>
      <c r="AA1106" s="898"/>
      <c r="AB1106" s="898"/>
      <c r="AC1106" s="898"/>
      <c r="AD1106" s="898"/>
      <c r="AE1106" s="898"/>
      <c r="AF1106" s="898"/>
      <c r="AG1106" s="898"/>
      <c r="AH1106" s="898"/>
      <c r="AI1106" s="898"/>
      <c r="AJ1106" s="898"/>
      <c r="AK1106" s="898"/>
      <c r="AL1106" s="898"/>
      <c r="AM1106" s="897"/>
      <c r="AN1106" s="897"/>
      <c r="AO1106" s="897"/>
      <c r="AP1106" s="897"/>
      <c r="AQ1106" s="897"/>
      <c r="AR1106" s="897"/>
      <c r="AS1106" s="897"/>
      <c r="AT1106" s="897"/>
    </row>
    <row r="1107" spans="1:46" s="930" customFormat="1">
      <c r="A1107" s="892"/>
      <c r="B1107" s="899"/>
      <c r="C1107" s="900"/>
      <c r="D1107" s="894"/>
      <c r="E1107" s="936"/>
      <c r="F1107" s="905"/>
      <c r="G1107" s="896"/>
      <c r="H1107" s="897"/>
      <c r="I1107" s="897"/>
      <c r="J1107" s="897"/>
      <c r="K1107" s="897"/>
      <c r="L1107" s="898"/>
      <c r="M1107" s="898"/>
      <c r="N1107" s="898"/>
      <c r="O1107" s="898"/>
      <c r="P1107" s="898"/>
      <c r="Q1107" s="898"/>
      <c r="R1107" s="898"/>
      <c r="S1107" s="898"/>
      <c r="T1107" s="898"/>
      <c r="U1107" s="898"/>
      <c r="V1107" s="898"/>
      <c r="W1107" s="898"/>
      <c r="X1107" s="898"/>
      <c r="Y1107" s="898"/>
      <c r="Z1107" s="898"/>
      <c r="AA1107" s="898"/>
      <c r="AB1107" s="898"/>
      <c r="AC1107" s="898"/>
      <c r="AD1107" s="898"/>
      <c r="AE1107" s="898"/>
      <c r="AF1107" s="898"/>
      <c r="AG1107" s="898"/>
      <c r="AH1107" s="898"/>
      <c r="AI1107" s="898"/>
      <c r="AJ1107" s="898"/>
      <c r="AK1107" s="898"/>
      <c r="AL1107" s="898"/>
      <c r="AM1107" s="897"/>
      <c r="AN1107" s="897"/>
      <c r="AO1107" s="897"/>
      <c r="AP1107" s="897"/>
      <c r="AQ1107" s="897"/>
      <c r="AR1107" s="897"/>
      <c r="AS1107" s="897"/>
      <c r="AT1107" s="897"/>
    </row>
    <row r="1108" spans="1:46" s="930" customFormat="1">
      <c r="A1108" s="892"/>
      <c r="B1108" s="899"/>
      <c r="C1108" s="900"/>
      <c r="D1108" s="894"/>
      <c r="E1108" s="936"/>
      <c r="F1108" s="905"/>
      <c r="G1108" s="896"/>
      <c r="H1108" s="897"/>
      <c r="I1108" s="897"/>
      <c r="J1108" s="897"/>
      <c r="K1108" s="897"/>
      <c r="L1108" s="898"/>
      <c r="M1108" s="898"/>
      <c r="N1108" s="898"/>
      <c r="O1108" s="898"/>
      <c r="P1108" s="898"/>
      <c r="Q1108" s="898"/>
      <c r="R1108" s="898"/>
      <c r="S1108" s="898"/>
      <c r="T1108" s="898"/>
      <c r="U1108" s="898"/>
      <c r="V1108" s="898"/>
      <c r="W1108" s="898"/>
      <c r="X1108" s="898"/>
      <c r="Y1108" s="898"/>
      <c r="Z1108" s="898"/>
      <c r="AA1108" s="898"/>
      <c r="AB1108" s="898"/>
      <c r="AC1108" s="898"/>
      <c r="AD1108" s="898"/>
      <c r="AE1108" s="898"/>
      <c r="AF1108" s="898"/>
      <c r="AG1108" s="898"/>
      <c r="AH1108" s="898"/>
      <c r="AI1108" s="898"/>
      <c r="AJ1108" s="898"/>
      <c r="AK1108" s="898"/>
      <c r="AL1108" s="898"/>
      <c r="AM1108" s="897"/>
      <c r="AN1108" s="897"/>
      <c r="AO1108" s="897"/>
      <c r="AP1108" s="897"/>
      <c r="AQ1108" s="897"/>
      <c r="AR1108" s="897"/>
      <c r="AS1108" s="897"/>
      <c r="AT1108" s="897"/>
    </row>
    <row r="1109" spans="1:46" s="930" customFormat="1">
      <c r="A1109" s="892"/>
      <c r="B1109" s="899"/>
      <c r="C1109" s="900"/>
      <c r="D1109" s="894"/>
      <c r="E1109" s="936"/>
      <c r="F1109" s="905"/>
      <c r="G1109" s="896"/>
      <c r="H1109" s="897"/>
      <c r="I1109" s="897"/>
      <c r="J1109" s="897"/>
      <c r="K1109" s="897"/>
      <c r="L1109" s="898"/>
      <c r="M1109" s="898"/>
      <c r="N1109" s="898"/>
      <c r="O1109" s="898"/>
      <c r="P1109" s="898"/>
      <c r="Q1109" s="898"/>
      <c r="R1109" s="898"/>
      <c r="S1109" s="898"/>
      <c r="T1109" s="898"/>
      <c r="U1109" s="898"/>
      <c r="V1109" s="898"/>
      <c r="W1109" s="898"/>
      <c r="X1109" s="898"/>
      <c r="Y1109" s="898"/>
      <c r="Z1109" s="898"/>
      <c r="AA1109" s="898"/>
      <c r="AB1109" s="898"/>
      <c r="AC1109" s="898"/>
      <c r="AD1109" s="898"/>
      <c r="AE1109" s="898"/>
      <c r="AF1109" s="898"/>
      <c r="AG1109" s="898"/>
      <c r="AH1109" s="898"/>
      <c r="AI1109" s="898"/>
      <c r="AJ1109" s="898"/>
      <c r="AK1109" s="898"/>
      <c r="AL1109" s="898"/>
      <c r="AM1109" s="897"/>
      <c r="AN1109" s="897"/>
      <c r="AO1109" s="897"/>
      <c r="AP1109" s="897"/>
      <c r="AQ1109" s="897"/>
      <c r="AR1109" s="897"/>
      <c r="AS1109" s="897"/>
      <c r="AT1109" s="897"/>
    </row>
    <row r="1110" spans="1:46" s="930" customFormat="1">
      <c r="A1110" s="892"/>
      <c r="B1110" s="899"/>
      <c r="C1110" s="900"/>
      <c r="D1110" s="894"/>
      <c r="E1110" s="936"/>
      <c r="F1110" s="905"/>
      <c r="G1110" s="896"/>
      <c r="H1110" s="897"/>
      <c r="I1110" s="897"/>
      <c r="J1110" s="897"/>
      <c r="K1110" s="897"/>
      <c r="L1110" s="898"/>
      <c r="M1110" s="898"/>
      <c r="N1110" s="898"/>
      <c r="O1110" s="898"/>
      <c r="P1110" s="898"/>
      <c r="Q1110" s="898"/>
      <c r="R1110" s="898"/>
      <c r="S1110" s="898"/>
      <c r="T1110" s="898"/>
      <c r="U1110" s="898"/>
      <c r="V1110" s="898"/>
      <c r="W1110" s="898"/>
      <c r="X1110" s="898"/>
      <c r="Y1110" s="898"/>
      <c r="Z1110" s="898"/>
      <c r="AA1110" s="898"/>
      <c r="AB1110" s="898"/>
      <c r="AC1110" s="898"/>
      <c r="AD1110" s="898"/>
      <c r="AE1110" s="898"/>
      <c r="AF1110" s="898"/>
      <c r="AG1110" s="898"/>
      <c r="AH1110" s="898"/>
      <c r="AI1110" s="898"/>
      <c r="AJ1110" s="898"/>
      <c r="AK1110" s="898"/>
      <c r="AL1110" s="898"/>
      <c r="AM1110" s="897"/>
      <c r="AN1110" s="897"/>
      <c r="AO1110" s="897"/>
      <c r="AP1110" s="897"/>
      <c r="AQ1110" s="897"/>
      <c r="AR1110" s="897"/>
      <c r="AS1110" s="897"/>
      <c r="AT1110" s="897"/>
    </row>
    <row r="1111" spans="1:46" s="930" customFormat="1">
      <c r="A1111" s="892"/>
      <c r="B1111" s="899"/>
      <c r="C1111" s="900"/>
      <c r="D1111" s="894"/>
      <c r="E1111" s="936"/>
      <c r="F1111" s="905"/>
      <c r="G1111" s="896"/>
      <c r="H1111" s="897"/>
      <c r="I1111" s="897"/>
      <c r="J1111" s="897"/>
      <c r="K1111" s="897"/>
      <c r="L1111" s="898"/>
      <c r="M1111" s="898"/>
      <c r="N1111" s="898"/>
      <c r="O1111" s="898"/>
      <c r="P1111" s="898"/>
      <c r="Q1111" s="898"/>
      <c r="R1111" s="898"/>
      <c r="S1111" s="898"/>
      <c r="T1111" s="898"/>
      <c r="U1111" s="898"/>
      <c r="V1111" s="898"/>
      <c r="W1111" s="898"/>
      <c r="X1111" s="898"/>
      <c r="Y1111" s="898"/>
      <c r="Z1111" s="898"/>
      <c r="AA1111" s="898"/>
      <c r="AB1111" s="898"/>
      <c r="AC1111" s="898"/>
      <c r="AD1111" s="898"/>
      <c r="AE1111" s="898"/>
      <c r="AF1111" s="898"/>
      <c r="AG1111" s="898"/>
      <c r="AH1111" s="898"/>
      <c r="AI1111" s="898"/>
      <c r="AJ1111" s="898"/>
      <c r="AK1111" s="898"/>
      <c r="AL1111" s="898"/>
      <c r="AM1111" s="897"/>
      <c r="AN1111" s="897"/>
      <c r="AO1111" s="897"/>
      <c r="AP1111" s="897"/>
      <c r="AQ1111" s="897"/>
      <c r="AR1111" s="897"/>
      <c r="AS1111" s="897"/>
      <c r="AT1111" s="897"/>
    </row>
    <row r="1112" spans="1:46" s="930" customFormat="1">
      <c r="A1112" s="892"/>
      <c r="B1112" s="899"/>
      <c r="C1112" s="900"/>
      <c r="D1112" s="894"/>
      <c r="E1112" s="936"/>
      <c r="F1112" s="905"/>
      <c r="G1112" s="896"/>
      <c r="H1112" s="897"/>
      <c r="I1112" s="897"/>
      <c r="J1112" s="897"/>
      <c r="K1112" s="897"/>
      <c r="L1112" s="898"/>
      <c r="M1112" s="898"/>
      <c r="N1112" s="898"/>
      <c r="O1112" s="898"/>
      <c r="P1112" s="898"/>
      <c r="Q1112" s="898"/>
      <c r="R1112" s="898"/>
      <c r="S1112" s="898"/>
      <c r="T1112" s="898"/>
      <c r="U1112" s="898"/>
      <c r="V1112" s="898"/>
      <c r="W1112" s="898"/>
      <c r="X1112" s="898"/>
      <c r="Y1112" s="898"/>
      <c r="Z1112" s="898"/>
      <c r="AA1112" s="898"/>
      <c r="AB1112" s="898"/>
      <c r="AC1112" s="898"/>
      <c r="AD1112" s="898"/>
      <c r="AE1112" s="898"/>
      <c r="AF1112" s="898"/>
      <c r="AG1112" s="898"/>
      <c r="AH1112" s="898"/>
      <c r="AI1112" s="898"/>
      <c r="AJ1112" s="898"/>
      <c r="AK1112" s="898"/>
      <c r="AL1112" s="898"/>
      <c r="AM1112" s="897"/>
      <c r="AN1112" s="897"/>
      <c r="AO1112" s="897"/>
      <c r="AP1112" s="897"/>
      <c r="AQ1112" s="897"/>
      <c r="AR1112" s="897"/>
      <c r="AS1112" s="897"/>
      <c r="AT1112" s="897"/>
    </row>
    <row r="1113" spans="1:46" s="930" customFormat="1">
      <c r="A1113" s="892"/>
      <c r="B1113" s="899"/>
      <c r="C1113" s="900"/>
      <c r="D1113" s="894"/>
      <c r="E1113" s="936"/>
      <c r="F1113" s="905"/>
      <c r="G1113" s="896"/>
      <c r="H1113" s="897"/>
      <c r="I1113" s="897"/>
      <c r="J1113" s="897"/>
      <c r="K1113" s="897"/>
      <c r="L1113" s="898"/>
      <c r="M1113" s="898"/>
      <c r="N1113" s="898"/>
      <c r="O1113" s="898"/>
      <c r="P1113" s="898"/>
      <c r="Q1113" s="898"/>
      <c r="R1113" s="898"/>
      <c r="S1113" s="898"/>
      <c r="T1113" s="898"/>
      <c r="U1113" s="898"/>
      <c r="V1113" s="898"/>
      <c r="W1113" s="898"/>
      <c r="X1113" s="898"/>
      <c r="Y1113" s="898"/>
      <c r="Z1113" s="898"/>
      <c r="AA1113" s="898"/>
      <c r="AB1113" s="898"/>
      <c r="AC1113" s="898"/>
      <c r="AD1113" s="898"/>
      <c r="AE1113" s="898"/>
      <c r="AF1113" s="898"/>
      <c r="AG1113" s="898"/>
      <c r="AH1113" s="898"/>
      <c r="AI1113" s="898"/>
      <c r="AJ1113" s="898"/>
      <c r="AK1113" s="898"/>
      <c r="AL1113" s="898"/>
      <c r="AM1113" s="897"/>
      <c r="AN1113" s="897"/>
      <c r="AO1113" s="897"/>
      <c r="AP1113" s="897"/>
      <c r="AQ1113" s="897"/>
      <c r="AR1113" s="897"/>
      <c r="AS1113" s="897"/>
      <c r="AT1113" s="897"/>
    </row>
    <row r="1114" spans="1:46" s="930" customFormat="1">
      <c r="A1114" s="892"/>
      <c r="B1114" s="899"/>
      <c r="C1114" s="900"/>
      <c r="D1114" s="894"/>
      <c r="E1114" s="936"/>
      <c r="F1114" s="905"/>
      <c r="G1114" s="896"/>
      <c r="H1114" s="897"/>
      <c r="I1114" s="897"/>
      <c r="J1114" s="897"/>
      <c r="K1114" s="897"/>
      <c r="L1114" s="898"/>
      <c r="M1114" s="898"/>
      <c r="N1114" s="898"/>
      <c r="O1114" s="898"/>
      <c r="P1114" s="898"/>
      <c r="Q1114" s="898"/>
      <c r="R1114" s="898"/>
      <c r="S1114" s="898"/>
      <c r="T1114" s="898"/>
      <c r="U1114" s="898"/>
      <c r="V1114" s="898"/>
      <c r="W1114" s="898"/>
      <c r="X1114" s="898"/>
      <c r="Y1114" s="898"/>
      <c r="Z1114" s="898"/>
      <c r="AA1114" s="898"/>
      <c r="AB1114" s="898"/>
      <c r="AC1114" s="898"/>
      <c r="AD1114" s="898"/>
      <c r="AE1114" s="898"/>
      <c r="AF1114" s="898"/>
      <c r="AG1114" s="898"/>
      <c r="AH1114" s="898"/>
      <c r="AI1114" s="898"/>
      <c r="AJ1114" s="898"/>
      <c r="AK1114" s="898"/>
      <c r="AL1114" s="898"/>
      <c r="AM1114" s="897"/>
      <c r="AN1114" s="897"/>
      <c r="AO1114" s="897"/>
      <c r="AP1114" s="897"/>
      <c r="AQ1114" s="897"/>
      <c r="AR1114" s="897"/>
      <c r="AS1114" s="897"/>
      <c r="AT1114" s="897"/>
    </row>
    <row r="1115" spans="1:46" s="930" customFormat="1">
      <c r="A1115" s="892"/>
      <c r="B1115" s="899"/>
      <c r="C1115" s="900"/>
      <c r="D1115" s="894"/>
      <c r="E1115" s="936"/>
      <c r="F1115" s="905"/>
      <c r="G1115" s="896"/>
      <c r="H1115" s="897"/>
      <c r="I1115" s="897"/>
      <c r="J1115" s="897"/>
      <c r="K1115" s="897"/>
      <c r="L1115" s="898"/>
      <c r="M1115" s="898"/>
      <c r="N1115" s="898"/>
      <c r="O1115" s="898"/>
      <c r="P1115" s="898"/>
      <c r="Q1115" s="898"/>
      <c r="R1115" s="898"/>
      <c r="S1115" s="898"/>
      <c r="T1115" s="898"/>
      <c r="U1115" s="898"/>
      <c r="V1115" s="898"/>
      <c r="W1115" s="898"/>
      <c r="X1115" s="898"/>
      <c r="Y1115" s="898"/>
      <c r="Z1115" s="898"/>
      <c r="AA1115" s="898"/>
      <c r="AB1115" s="898"/>
      <c r="AC1115" s="898"/>
      <c r="AD1115" s="898"/>
      <c r="AE1115" s="898"/>
      <c r="AF1115" s="898"/>
      <c r="AG1115" s="898"/>
      <c r="AH1115" s="898"/>
      <c r="AI1115" s="898"/>
      <c r="AJ1115" s="898"/>
      <c r="AK1115" s="898"/>
      <c r="AL1115" s="898"/>
      <c r="AM1115" s="897"/>
      <c r="AN1115" s="897"/>
      <c r="AO1115" s="897"/>
      <c r="AP1115" s="897"/>
      <c r="AQ1115" s="897"/>
      <c r="AR1115" s="897"/>
      <c r="AS1115" s="897"/>
      <c r="AT1115" s="897"/>
    </row>
    <row r="1116" spans="1:46" s="930" customFormat="1">
      <c r="A1116" s="892"/>
      <c r="B1116" s="899"/>
      <c r="C1116" s="900"/>
      <c r="D1116" s="894"/>
      <c r="E1116" s="936"/>
      <c r="F1116" s="905"/>
      <c r="G1116" s="896"/>
      <c r="H1116" s="897"/>
      <c r="I1116" s="897"/>
      <c r="J1116" s="897"/>
      <c r="K1116" s="897"/>
      <c r="L1116" s="898"/>
      <c r="M1116" s="898"/>
      <c r="N1116" s="898"/>
      <c r="O1116" s="898"/>
      <c r="P1116" s="898"/>
      <c r="Q1116" s="898"/>
      <c r="R1116" s="898"/>
      <c r="S1116" s="898"/>
      <c r="T1116" s="898"/>
      <c r="U1116" s="898"/>
      <c r="V1116" s="898"/>
      <c r="W1116" s="898"/>
      <c r="X1116" s="898"/>
      <c r="Y1116" s="898"/>
      <c r="Z1116" s="898"/>
      <c r="AA1116" s="898"/>
      <c r="AB1116" s="898"/>
      <c r="AC1116" s="898"/>
      <c r="AD1116" s="898"/>
      <c r="AE1116" s="898"/>
      <c r="AF1116" s="898"/>
      <c r="AG1116" s="898"/>
      <c r="AH1116" s="898"/>
      <c r="AI1116" s="898"/>
      <c r="AJ1116" s="898"/>
      <c r="AK1116" s="898"/>
      <c r="AL1116" s="898"/>
      <c r="AM1116" s="897"/>
      <c r="AN1116" s="897"/>
      <c r="AO1116" s="897"/>
      <c r="AP1116" s="897"/>
      <c r="AQ1116" s="897"/>
      <c r="AR1116" s="897"/>
      <c r="AS1116" s="897"/>
      <c r="AT1116" s="897"/>
    </row>
    <row r="1117" spans="1:46" s="930" customFormat="1">
      <c r="A1117" s="892"/>
      <c r="B1117" s="899"/>
      <c r="C1117" s="900"/>
      <c r="D1117" s="894"/>
      <c r="E1117" s="936"/>
      <c r="F1117" s="905"/>
      <c r="G1117" s="896"/>
      <c r="H1117" s="897"/>
      <c r="I1117" s="897"/>
      <c r="J1117" s="897"/>
      <c r="K1117" s="897"/>
      <c r="L1117" s="898"/>
      <c r="M1117" s="898"/>
      <c r="N1117" s="898"/>
      <c r="O1117" s="898"/>
      <c r="P1117" s="898"/>
      <c r="Q1117" s="898"/>
      <c r="R1117" s="898"/>
      <c r="S1117" s="898"/>
      <c r="T1117" s="898"/>
      <c r="U1117" s="898"/>
      <c r="V1117" s="898"/>
      <c r="W1117" s="898"/>
      <c r="X1117" s="898"/>
      <c r="Y1117" s="898"/>
      <c r="Z1117" s="898"/>
      <c r="AA1117" s="898"/>
      <c r="AB1117" s="898"/>
      <c r="AC1117" s="898"/>
      <c r="AD1117" s="898"/>
      <c r="AE1117" s="898"/>
      <c r="AF1117" s="898"/>
      <c r="AG1117" s="898"/>
      <c r="AH1117" s="898"/>
      <c r="AI1117" s="898"/>
      <c r="AJ1117" s="898"/>
      <c r="AK1117" s="898"/>
      <c r="AL1117" s="898"/>
      <c r="AM1117" s="897"/>
      <c r="AN1117" s="897"/>
      <c r="AO1117" s="897"/>
      <c r="AP1117" s="897"/>
      <c r="AQ1117" s="897"/>
      <c r="AR1117" s="897"/>
      <c r="AS1117" s="897"/>
      <c r="AT1117" s="897"/>
    </row>
    <row r="1118" spans="1:46" s="930" customFormat="1">
      <c r="A1118" s="892"/>
      <c r="B1118" s="899"/>
      <c r="C1118" s="900"/>
      <c r="D1118" s="894"/>
      <c r="E1118" s="936"/>
      <c r="F1118" s="905"/>
      <c r="G1118" s="896"/>
      <c r="H1118" s="897"/>
      <c r="I1118" s="897"/>
      <c r="J1118" s="897"/>
      <c r="K1118" s="897"/>
      <c r="L1118" s="898"/>
      <c r="M1118" s="898"/>
      <c r="N1118" s="898"/>
      <c r="O1118" s="898"/>
      <c r="P1118" s="898"/>
      <c r="Q1118" s="898"/>
      <c r="R1118" s="898"/>
      <c r="S1118" s="898"/>
      <c r="T1118" s="898"/>
      <c r="U1118" s="898"/>
      <c r="V1118" s="898"/>
      <c r="W1118" s="898"/>
      <c r="X1118" s="898"/>
      <c r="Y1118" s="898"/>
      <c r="Z1118" s="898"/>
      <c r="AA1118" s="898"/>
      <c r="AB1118" s="898"/>
      <c r="AC1118" s="898"/>
      <c r="AD1118" s="898"/>
      <c r="AE1118" s="898"/>
      <c r="AF1118" s="898"/>
      <c r="AG1118" s="898"/>
      <c r="AH1118" s="898"/>
      <c r="AI1118" s="898"/>
      <c r="AJ1118" s="898"/>
      <c r="AK1118" s="898"/>
      <c r="AL1118" s="898"/>
      <c r="AM1118" s="897"/>
      <c r="AN1118" s="897"/>
      <c r="AO1118" s="897"/>
      <c r="AP1118" s="897"/>
      <c r="AQ1118" s="897"/>
      <c r="AR1118" s="897"/>
      <c r="AS1118" s="897"/>
      <c r="AT1118" s="897"/>
    </row>
    <row r="1119" spans="1:46" s="930" customFormat="1">
      <c r="A1119" s="892"/>
      <c r="B1119" s="899"/>
      <c r="C1119" s="900"/>
      <c r="D1119" s="894"/>
      <c r="E1119" s="936"/>
      <c r="F1119" s="905"/>
      <c r="G1119" s="896"/>
      <c r="H1119" s="897"/>
      <c r="I1119" s="897"/>
      <c r="J1119" s="897"/>
      <c r="K1119" s="897"/>
      <c r="L1119" s="898"/>
      <c r="M1119" s="898"/>
      <c r="N1119" s="898"/>
      <c r="O1119" s="898"/>
      <c r="P1119" s="898"/>
      <c r="Q1119" s="898"/>
      <c r="R1119" s="898"/>
      <c r="S1119" s="898"/>
      <c r="T1119" s="898"/>
      <c r="U1119" s="898"/>
      <c r="V1119" s="898"/>
      <c r="W1119" s="898"/>
      <c r="X1119" s="898"/>
      <c r="Y1119" s="898"/>
      <c r="Z1119" s="898"/>
      <c r="AA1119" s="898"/>
      <c r="AB1119" s="898"/>
      <c r="AC1119" s="898"/>
      <c r="AD1119" s="898"/>
      <c r="AE1119" s="898"/>
      <c r="AF1119" s="898"/>
      <c r="AG1119" s="898"/>
      <c r="AH1119" s="898"/>
      <c r="AI1119" s="898"/>
      <c r="AJ1119" s="898"/>
      <c r="AK1119" s="898"/>
      <c r="AL1119" s="898"/>
      <c r="AM1119" s="897"/>
      <c r="AN1119" s="897"/>
      <c r="AO1119" s="897"/>
      <c r="AP1119" s="897"/>
      <c r="AQ1119" s="897"/>
      <c r="AR1119" s="897"/>
      <c r="AS1119" s="897"/>
      <c r="AT1119" s="897"/>
    </row>
    <row r="1120" spans="1:46" s="930" customFormat="1">
      <c r="A1120" s="892"/>
      <c r="B1120" s="899"/>
      <c r="C1120" s="900"/>
      <c r="D1120" s="894"/>
      <c r="E1120" s="936"/>
      <c r="F1120" s="905"/>
      <c r="G1120" s="896"/>
      <c r="H1120" s="897"/>
      <c r="I1120" s="897"/>
      <c r="J1120" s="897"/>
      <c r="K1120" s="897"/>
      <c r="L1120" s="898"/>
      <c r="M1120" s="898"/>
      <c r="N1120" s="898"/>
      <c r="O1120" s="898"/>
      <c r="P1120" s="898"/>
      <c r="Q1120" s="898"/>
      <c r="R1120" s="898"/>
      <c r="S1120" s="898"/>
      <c r="T1120" s="898"/>
      <c r="U1120" s="898"/>
      <c r="V1120" s="898"/>
      <c r="W1120" s="898"/>
      <c r="X1120" s="898"/>
      <c r="Y1120" s="898"/>
      <c r="Z1120" s="898"/>
      <c r="AA1120" s="898"/>
      <c r="AB1120" s="898"/>
      <c r="AC1120" s="898"/>
      <c r="AD1120" s="898"/>
      <c r="AE1120" s="898"/>
      <c r="AF1120" s="898"/>
      <c r="AG1120" s="898"/>
      <c r="AH1120" s="898"/>
      <c r="AI1120" s="898"/>
      <c r="AJ1120" s="898"/>
      <c r="AK1120" s="898"/>
      <c r="AL1120" s="898"/>
      <c r="AM1120" s="897"/>
      <c r="AN1120" s="897"/>
      <c r="AO1120" s="897"/>
      <c r="AP1120" s="897"/>
      <c r="AQ1120" s="897"/>
      <c r="AR1120" s="897"/>
      <c r="AS1120" s="897"/>
      <c r="AT1120" s="897"/>
    </row>
    <row r="1121" spans="1:46" s="930" customFormat="1">
      <c r="A1121" s="892"/>
      <c r="B1121" s="899"/>
      <c r="C1121" s="900"/>
      <c r="D1121" s="894"/>
      <c r="E1121" s="936"/>
      <c r="F1121" s="905"/>
      <c r="G1121" s="896"/>
      <c r="H1121" s="897"/>
      <c r="I1121" s="897"/>
      <c r="J1121" s="897"/>
      <c r="K1121" s="897"/>
      <c r="L1121" s="898"/>
      <c r="M1121" s="898"/>
      <c r="N1121" s="898"/>
      <c r="O1121" s="898"/>
      <c r="P1121" s="898"/>
      <c r="Q1121" s="898"/>
      <c r="R1121" s="898"/>
      <c r="S1121" s="898"/>
      <c r="T1121" s="898"/>
      <c r="U1121" s="898"/>
      <c r="V1121" s="898"/>
      <c r="W1121" s="898"/>
      <c r="X1121" s="898"/>
      <c r="Y1121" s="898"/>
      <c r="Z1121" s="898"/>
      <c r="AA1121" s="898"/>
      <c r="AB1121" s="898"/>
      <c r="AC1121" s="898"/>
      <c r="AD1121" s="898"/>
      <c r="AE1121" s="898"/>
      <c r="AF1121" s="898"/>
      <c r="AG1121" s="898"/>
      <c r="AH1121" s="898"/>
      <c r="AI1121" s="898"/>
      <c r="AJ1121" s="898"/>
      <c r="AK1121" s="898"/>
      <c r="AL1121" s="898"/>
      <c r="AM1121" s="897"/>
      <c r="AN1121" s="897"/>
      <c r="AO1121" s="897"/>
      <c r="AP1121" s="897"/>
      <c r="AQ1121" s="897"/>
      <c r="AR1121" s="897"/>
      <c r="AS1121" s="897"/>
      <c r="AT1121" s="897"/>
    </row>
    <row r="1122" spans="1:46" s="930" customFormat="1">
      <c r="A1122" s="892"/>
      <c r="B1122" s="899"/>
      <c r="C1122" s="900"/>
      <c r="D1122" s="894"/>
      <c r="E1122" s="936"/>
      <c r="F1122" s="905"/>
      <c r="G1122" s="896"/>
      <c r="H1122" s="897"/>
      <c r="I1122" s="897"/>
      <c r="J1122" s="897"/>
      <c r="K1122" s="897"/>
      <c r="L1122" s="898"/>
      <c r="M1122" s="898"/>
      <c r="N1122" s="898"/>
      <c r="O1122" s="898"/>
      <c r="P1122" s="898"/>
      <c r="Q1122" s="898"/>
      <c r="R1122" s="898"/>
      <c r="S1122" s="898"/>
      <c r="T1122" s="898"/>
      <c r="U1122" s="898"/>
      <c r="V1122" s="898"/>
      <c r="W1122" s="898"/>
      <c r="X1122" s="898"/>
      <c r="Y1122" s="898"/>
      <c r="Z1122" s="898"/>
      <c r="AA1122" s="898"/>
      <c r="AB1122" s="898"/>
      <c r="AC1122" s="898"/>
      <c r="AD1122" s="898"/>
      <c r="AE1122" s="898"/>
      <c r="AF1122" s="898"/>
      <c r="AG1122" s="898"/>
      <c r="AH1122" s="898"/>
      <c r="AI1122" s="898"/>
      <c r="AJ1122" s="898"/>
      <c r="AK1122" s="898"/>
      <c r="AL1122" s="898"/>
      <c r="AM1122" s="897"/>
      <c r="AN1122" s="897"/>
      <c r="AO1122" s="897"/>
      <c r="AP1122" s="897"/>
      <c r="AQ1122" s="897"/>
      <c r="AR1122" s="897"/>
      <c r="AS1122" s="897"/>
      <c r="AT1122" s="897"/>
    </row>
    <row r="1123" spans="1:46" s="930" customFormat="1">
      <c r="A1123" s="892"/>
      <c r="B1123" s="899"/>
      <c r="C1123" s="900"/>
      <c r="D1123" s="894"/>
      <c r="E1123" s="936"/>
      <c r="F1123" s="905"/>
      <c r="G1123" s="896"/>
      <c r="H1123" s="897"/>
      <c r="I1123" s="897"/>
      <c r="J1123" s="897"/>
      <c r="K1123" s="897"/>
      <c r="L1123" s="898"/>
      <c r="M1123" s="898"/>
      <c r="N1123" s="898"/>
      <c r="O1123" s="898"/>
      <c r="P1123" s="898"/>
      <c r="Q1123" s="898"/>
      <c r="R1123" s="898"/>
      <c r="S1123" s="898"/>
      <c r="T1123" s="898"/>
      <c r="U1123" s="898"/>
      <c r="V1123" s="898"/>
      <c r="W1123" s="898"/>
      <c r="X1123" s="898"/>
      <c r="Y1123" s="898"/>
      <c r="Z1123" s="898"/>
      <c r="AA1123" s="898"/>
      <c r="AB1123" s="898"/>
      <c r="AC1123" s="898"/>
      <c r="AD1123" s="898"/>
      <c r="AE1123" s="898"/>
      <c r="AF1123" s="898"/>
      <c r="AG1123" s="898"/>
      <c r="AH1123" s="898"/>
      <c r="AI1123" s="898"/>
      <c r="AJ1123" s="898"/>
      <c r="AK1123" s="898"/>
      <c r="AL1123" s="898"/>
      <c r="AM1123" s="897"/>
      <c r="AN1123" s="897"/>
      <c r="AO1123" s="897"/>
      <c r="AP1123" s="897"/>
      <c r="AQ1123" s="897"/>
      <c r="AR1123" s="897"/>
      <c r="AS1123" s="897"/>
      <c r="AT1123" s="897"/>
    </row>
    <row r="1124" spans="1:46" s="930" customFormat="1">
      <c r="A1124" s="892"/>
      <c r="B1124" s="899"/>
      <c r="C1124" s="900"/>
      <c r="D1124" s="894"/>
      <c r="E1124" s="936"/>
      <c r="F1124" s="905"/>
      <c r="G1124" s="896"/>
      <c r="H1124" s="897"/>
      <c r="I1124" s="897"/>
      <c r="J1124" s="897"/>
      <c r="K1124" s="897"/>
      <c r="L1124" s="898"/>
      <c r="M1124" s="898"/>
      <c r="N1124" s="898"/>
      <c r="O1124" s="898"/>
      <c r="P1124" s="898"/>
      <c r="Q1124" s="898"/>
      <c r="R1124" s="898"/>
      <c r="S1124" s="898"/>
      <c r="T1124" s="898"/>
      <c r="U1124" s="898"/>
      <c r="V1124" s="898"/>
      <c r="W1124" s="898"/>
      <c r="X1124" s="898"/>
      <c r="Y1124" s="898"/>
      <c r="Z1124" s="898"/>
      <c r="AA1124" s="898"/>
      <c r="AB1124" s="898"/>
      <c r="AC1124" s="898"/>
      <c r="AD1124" s="898"/>
      <c r="AE1124" s="898"/>
      <c r="AF1124" s="898"/>
      <c r="AG1124" s="898"/>
      <c r="AH1124" s="898"/>
      <c r="AI1124" s="898"/>
      <c r="AJ1124" s="898"/>
      <c r="AK1124" s="898"/>
      <c r="AL1124" s="898"/>
      <c r="AM1124" s="897"/>
      <c r="AN1124" s="897"/>
      <c r="AO1124" s="897"/>
      <c r="AP1124" s="897"/>
      <c r="AQ1124" s="897"/>
      <c r="AR1124" s="897"/>
      <c r="AS1124" s="897"/>
      <c r="AT1124" s="897"/>
    </row>
    <row r="1125" spans="1:46" s="930" customFormat="1">
      <c r="A1125" s="892"/>
      <c r="B1125" s="899"/>
      <c r="C1125" s="900"/>
      <c r="D1125" s="894"/>
      <c r="E1125" s="936"/>
      <c r="F1125" s="905"/>
      <c r="G1125" s="896"/>
      <c r="H1125" s="897"/>
      <c r="I1125" s="897"/>
      <c r="J1125" s="897"/>
      <c r="K1125" s="897"/>
      <c r="L1125" s="898"/>
      <c r="M1125" s="898"/>
      <c r="N1125" s="898"/>
      <c r="O1125" s="898"/>
      <c r="P1125" s="898"/>
      <c r="Q1125" s="898"/>
      <c r="R1125" s="898"/>
      <c r="S1125" s="898"/>
      <c r="T1125" s="898"/>
      <c r="U1125" s="898"/>
      <c r="V1125" s="898"/>
      <c r="W1125" s="898"/>
      <c r="X1125" s="898"/>
      <c r="Y1125" s="898"/>
      <c r="Z1125" s="898"/>
      <c r="AA1125" s="898"/>
      <c r="AB1125" s="898"/>
      <c r="AC1125" s="898"/>
      <c r="AD1125" s="898"/>
      <c r="AE1125" s="898"/>
      <c r="AF1125" s="898"/>
      <c r="AG1125" s="898"/>
      <c r="AH1125" s="898"/>
      <c r="AI1125" s="898"/>
      <c r="AJ1125" s="898"/>
      <c r="AK1125" s="898"/>
      <c r="AL1125" s="898"/>
      <c r="AM1125" s="897"/>
      <c r="AN1125" s="897"/>
      <c r="AO1125" s="897"/>
      <c r="AP1125" s="897"/>
      <c r="AQ1125" s="897"/>
      <c r="AR1125" s="897"/>
      <c r="AS1125" s="897"/>
      <c r="AT1125" s="897"/>
    </row>
    <row r="1126" spans="1:46" s="930" customFormat="1">
      <c r="A1126" s="892"/>
      <c r="B1126" s="899"/>
      <c r="C1126" s="900"/>
      <c r="D1126" s="894"/>
      <c r="E1126" s="936"/>
      <c r="F1126" s="905"/>
      <c r="G1126" s="896"/>
      <c r="H1126" s="897"/>
      <c r="I1126" s="897"/>
      <c r="J1126" s="897"/>
      <c r="K1126" s="897"/>
      <c r="L1126" s="898"/>
      <c r="M1126" s="898"/>
      <c r="N1126" s="898"/>
      <c r="O1126" s="898"/>
      <c r="P1126" s="898"/>
      <c r="Q1126" s="898"/>
      <c r="R1126" s="898"/>
      <c r="S1126" s="898"/>
      <c r="T1126" s="898"/>
      <c r="U1126" s="898"/>
      <c r="V1126" s="898"/>
      <c r="W1126" s="898"/>
      <c r="X1126" s="898"/>
      <c r="Y1126" s="898"/>
      <c r="Z1126" s="898"/>
      <c r="AA1126" s="898"/>
      <c r="AB1126" s="898"/>
      <c r="AC1126" s="898"/>
      <c r="AD1126" s="898"/>
      <c r="AE1126" s="898"/>
      <c r="AF1126" s="898"/>
      <c r="AG1126" s="898"/>
      <c r="AH1126" s="898"/>
      <c r="AI1126" s="898"/>
      <c r="AJ1126" s="898"/>
      <c r="AK1126" s="898"/>
      <c r="AL1126" s="898"/>
      <c r="AM1126" s="897"/>
      <c r="AN1126" s="897"/>
      <c r="AO1126" s="897"/>
      <c r="AP1126" s="897"/>
      <c r="AQ1126" s="897"/>
      <c r="AR1126" s="897"/>
      <c r="AS1126" s="897"/>
      <c r="AT1126" s="897"/>
    </row>
    <row r="1127" spans="1:46" s="930" customFormat="1">
      <c r="A1127" s="892"/>
      <c r="B1127" s="899"/>
      <c r="C1127" s="900"/>
      <c r="D1127" s="894"/>
      <c r="E1127" s="936"/>
      <c r="F1127" s="905"/>
      <c r="G1127" s="896"/>
      <c r="H1127" s="897"/>
      <c r="I1127" s="897"/>
      <c r="J1127" s="897"/>
      <c r="K1127" s="897"/>
      <c r="L1127" s="898"/>
      <c r="M1127" s="898"/>
      <c r="N1127" s="898"/>
      <c r="O1127" s="898"/>
      <c r="P1127" s="898"/>
      <c r="Q1127" s="898"/>
      <c r="R1127" s="898"/>
      <c r="S1127" s="898"/>
      <c r="T1127" s="898"/>
      <c r="U1127" s="898"/>
      <c r="V1127" s="898"/>
      <c r="W1127" s="898"/>
      <c r="X1127" s="898"/>
      <c r="Y1127" s="898"/>
      <c r="Z1127" s="898"/>
      <c r="AA1127" s="898"/>
      <c r="AB1127" s="898"/>
      <c r="AC1127" s="898"/>
      <c r="AD1127" s="898"/>
      <c r="AE1127" s="898"/>
      <c r="AF1127" s="898"/>
      <c r="AG1127" s="898"/>
      <c r="AH1127" s="898"/>
      <c r="AI1127" s="898"/>
      <c r="AJ1127" s="898"/>
      <c r="AK1127" s="898"/>
      <c r="AL1127" s="898"/>
      <c r="AM1127" s="897"/>
      <c r="AN1127" s="897"/>
      <c r="AO1127" s="897"/>
      <c r="AP1127" s="897"/>
      <c r="AQ1127" s="897"/>
      <c r="AR1127" s="897"/>
      <c r="AS1127" s="897"/>
      <c r="AT1127" s="897"/>
    </row>
    <row r="1128" spans="1:46" s="930" customFormat="1">
      <c r="A1128" s="892"/>
      <c r="B1128" s="899"/>
      <c r="C1128" s="900"/>
      <c r="D1128" s="894"/>
      <c r="E1128" s="936"/>
      <c r="F1128" s="905"/>
      <c r="G1128" s="896"/>
      <c r="H1128" s="897"/>
      <c r="I1128" s="897"/>
      <c r="J1128" s="897"/>
      <c r="K1128" s="897"/>
      <c r="L1128" s="898"/>
      <c r="M1128" s="898"/>
      <c r="N1128" s="898"/>
      <c r="O1128" s="898"/>
      <c r="P1128" s="898"/>
      <c r="Q1128" s="898"/>
      <c r="R1128" s="898"/>
      <c r="S1128" s="898"/>
      <c r="T1128" s="898"/>
      <c r="U1128" s="898"/>
      <c r="V1128" s="898"/>
      <c r="W1128" s="898"/>
      <c r="X1128" s="898"/>
      <c r="Y1128" s="898"/>
      <c r="Z1128" s="898"/>
      <c r="AA1128" s="898"/>
      <c r="AB1128" s="898"/>
      <c r="AC1128" s="898"/>
      <c r="AD1128" s="898"/>
      <c r="AE1128" s="898"/>
      <c r="AF1128" s="898"/>
      <c r="AG1128" s="898"/>
      <c r="AH1128" s="898"/>
      <c r="AI1128" s="898"/>
      <c r="AJ1128" s="898"/>
      <c r="AK1128" s="898"/>
      <c r="AL1128" s="898"/>
      <c r="AM1128" s="897"/>
      <c r="AN1128" s="897"/>
      <c r="AO1128" s="897"/>
      <c r="AP1128" s="897"/>
      <c r="AQ1128" s="897"/>
      <c r="AR1128" s="897"/>
      <c r="AS1128" s="897"/>
      <c r="AT1128" s="897"/>
    </row>
    <row r="1129" spans="1:46" s="930" customFormat="1">
      <c r="A1129" s="892"/>
      <c r="B1129" s="899"/>
      <c r="C1129" s="900"/>
      <c r="D1129" s="894"/>
      <c r="E1129" s="936"/>
      <c r="F1129" s="905"/>
      <c r="G1129" s="896"/>
      <c r="H1129" s="897"/>
      <c r="I1129" s="897"/>
      <c r="J1129" s="897"/>
      <c r="K1129" s="897"/>
      <c r="L1129" s="898"/>
      <c r="M1129" s="898"/>
      <c r="N1129" s="898"/>
      <c r="O1129" s="898"/>
      <c r="P1129" s="898"/>
      <c r="Q1129" s="898"/>
      <c r="R1129" s="898"/>
      <c r="S1129" s="898"/>
      <c r="T1129" s="898"/>
      <c r="U1129" s="898"/>
      <c r="V1129" s="898"/>
      <c r="W1129" s="898"/>
      <c r="X1129" s="898"/>
      <c r="Y1129" s="898"/>
      <c r="Z1129" s="898"/>
      <c r="AA1129" s="898"/>
      <c r="AB1129" s="898"/>
      <c r="AC1129" s="898"/>
      <c r="AD1129" s="898"/>
      <c r="AE1129" s="898"/>
      <c r="AF1129" s="898"/>
      <c r="AG1129" s="898"/>
      <c r="AH1129" s="898"/>
      <c r="AI1129" s="898"/>
      <c r="AJ1129" s="898"/>
      <c r="AK1129" s="898"/>
      <c r="AL1129" s="898"/>
      <c r="AM1129" s="897"/>
      <c r="AN1129" s="897"/>
      <c r="AO1129" s="897"/>
      <c r="AP1129" s="897"/>
      <c r="AQ1129" s="897"/>
      <c r="AR1129" s="897"/>
      <c r="AS1129" s="897"/>
      <c r="AT1129" s="897"/>
    </row>
    <row r="1130" spans="1:46" s="930" customFormat="1">
      <c r="A1130" s="892"/>
      <c r="B1130" s="899"/>
      <c r="C1130" s="900"/>
      <c r="D1130" s="894"/>
      <c r="E1130" s="936"/>
      <c r="F1130" s="905"/>
      <c r="G1130" s="896"/>
      <c r="H1130" s="897"/>
      <c r="I1130" s="897"/>
      <c r="J1130" s="897"/>
      <c r="K1130" s="897"/>
      <c r="L1130" s="898"/>
      <c r="M1130" s="898"/>
      <c r="N1130" s="898"/>
      <c r="O1130" s="898"/>
      <c r="P1130" s="898"/>
      <c r="Q1130" s="898"/>
      <c r="R1130" s="898"/>
      <c r="S1130" s="898"/>
      <c r="T1130" s="898"/>
      <c r="U1130" s="898"/>
      <c r="V1130" s="898"/>
      <c r="W1130" s="898"/>
      <c r="X1130" s="898"/>
      <c r="Y1130" s="898"/>
      <c r="Z1130" s="898"/>
      <c r="AA1130" s="898"/>
      <c r="AB1130" s="898"/>
      <c r="AC1130" s="898"/>
      <c r="AD1130" s="898"/>
      <c r="AE1130" s="898"/>
      <c r="AF1130" s="898"/>
      <c r="AG1130" s="898"/>
      <c r="AH1130" s="898"/>
      <c r="AI1130" s="898"/>
      <c r="AJ1130" s="898"/>
      <c r="AK1130" s="898"/>
      <c r="AL1130" s="898"/>
      <c r="AM1130" s="897"/>
      <c r="AN1130" s="897"/>
      <c r="AO1130" s="897"/>
      <c r="AP1130" s="897"/>
      <c r="AQ1130" s="897"/>
      <c r="AR1130" s="897"/>
      <c r="AS1130" s="897"/>
      <c r="AT1130" s="897"/>
    </row>
    <row r="1131" spans="1:46" s="930" customFormat="1">
      <c r="A1131" s="892"/>
      <c r="B1131" s="899"/>
      <c r="C1131" s="900"/>
      <c r="D1131" s="894"/>
      <c r="E1131" s="936"/>
      <c r="F1131" s="905"/>
      <c r="G1131" s="896"/>
      <c r="H1131" s="897"/>
      <c r="I1131" s="897"/>
      <c r="J1131" s="897"/>
      <c r="K1131" s="897"/>
      <c r="L1131" s="898"/>
      <c r="M1131" s="898"/>
      <c r="N1131" s="898"/>
      <c r="O1131" s="898"/>
      <c r="P1131" s="898"/>
      <c r="Q1131" s="898"/>
      <c r="R1131" s="898"/>
      <c r="S1131" s="898"/>
      <c r="T1131" s="898"/>
      <c r="U1131" s="898"/>
      <c r="V1131" s="898"/>
      <c r="W1131" s="898"/>
      <c r="X1131" s="898"/>
      <c r="Y1131" s="898"/>
      <c r="Z1131" s="898"/>
      <c r="AA1131" s="898"/>
      <c r="AB1131" s="898"/>
      <c r="AC1131" s="898"/>
      <c r="AD1131" s="898"/>
      <c r="AE1131" s="898"/>
      <c r="AF1131" s="898"/>
      <c r="AG1131" s="898"/>
      <c r="AH1131" s="898"/>
      <c r="AI1131" s="898"/>
      <c r="AJ1131" s="898"/>
      <c r="AK1131" s="898"/>
      <c r="AL1131" s="898"/>
      <c r="AM1131" s="897"/>
      <c r="AN1131" s="897"/>
      <c r="AO1131" s="897"/>
      <c r="AP1131" s="897"/>
      <c r="AQ1131" s="897"/>
      <c r="AR1131" s="897"/>
      <c r="AS1131" s="897"/>
      <c r="AT1131" s="897"/>
    </row>
    <row r="1132" spans="1:46" s="930" customFormat="1">
      <c r="A1132" s="892"/>
      <c r="B1132" s="899"/>
      <c r="C1132" s="900"/>
      <c r="D1132" s="894"/>
      <c r="E1132" s="936"/>
      <c r="F1132" s="905"/>
      <c r="G1132" s="896"/>
      <c r="H1132" s="897"/>
      <c r="I1132" s="897"/>
      <c r="J1132" s="897"/>
      <c r="K1132" s="897"/>
      <c r="L1132" s="898"/>
      <c r="M1132" s="898"/>
      <c r="N1132" s="898"/>
      <c r="O1132" s="898"/>
      <c r="P1132" s="898"/>
      <c r="Q1132" s="898"/>
      <c r="R1132" s="898"/>
      <c r="S1132" s="898"/>
      <c r="T1132" s="898"/>
      <c r="U1132" s="898"/>
      <c r="V1132" s="898"/>
      <c r="W1132" s="898"/>
      <c r="X1132" s="898"/>
      <c r="Y1132" s="898"/>
      <c r="Z1132" s="898"/>
      <c r="AA1132" s="898"/>
      <c r="AB1132" s="898"/>
      <c r="AC1132" s="898"/>
      <c r="AD1132" s="898"/>
      <c r="AE1132" s="898"/>
      <c r="AF1132" s="898"/>
      <c r="AG1132" s="898"/>
      <c r="AH1132" s="898"/>
      <c r="AI1132" s="898"/>
      <c r="AJ1132" s="898"/>
      <c r="AK1132" s="898"/>
      <c r="AL1132" s="898"/>
      <c r="AM1132" s="897"/>
      <c r="AN1132" s="897"/>
      <c r="AO1132" s="897"/>
      <c r="AP1132" s="897"/>
      <c r="AQ1132" s="897"/>
      <c r="AR1132" s="897"/>
      <c r="AS1132" s="897"/>
      <c r="AT1132" s="897"/>
    </row>
    <row r="1133" spans="1:46" s="930" customFormat="1">
      <c r="A1133" s="892"/>
      <c r="B1133" s="899"/>
      <c r="C1133" s="900"/>
      <c r="D1133" s="894"/>
      <c r="E1133" s="936"/>
      <c r="F1133" s="905"/>
      <c r="G1133" s="896"/>
      <c r="H1133" s="897"/>
      <c r="I1133" s="897"/>
      <c r="J1133" s="897"/>
      <c r="K1133" s="897"/>
      <c r="L1133" s="898"/>
      <c r="M1133" s="898"/>
      <c r="N1133" s="898"/>
      <c r="O1133" s="898"/>
      <c r="P1133" s="898"/>
      <c r="Q1133" s="898"/>
      <c r="R1133" s="898"/>
      <c r="S1133" s="898"/>
      <c r="T1133" s="898"/>
      <c r="U1133" s="898"/>
      <c r="V1133" s="898"/>
      <c r="W1133" s="898"/>
      <c r="X1133" s="898"/>
      <c r="Y1133" s="898"/>
      <c r="Z1133" s="898"/>
      <c r="AA1133" s="898"/>
      <c r="AB1133" s="898"/>
      <c r="AC1133" s="898"/>
      <c r="AD1133" s="898"/>
      <c r="AE1133" s="898"/>
      <c r="AF1133" s="898"/>
      <c r="AG1133" s="898"/>
      <c r="AH1133" s="898"/>
      <c r="AI1133" s="898"/>
      <c r="AJ1133" s="898"/>
      <c r="AK1133" s="898"/>
      <c r="AL1133" s="898"/>
      <c r="AM1133" s="897"/>
      <c r="AN1133" s="897"/>
      <c r="AO1133" s="897"/>
      <c r="AP1133" s="897"/>
      <c r="AQ1133" s="897"/>
      <c r="AR1133" s="897"/>
      <c r="AS1133" s="897"/>
      <c r="AT1133" s="897"/>
    </row>
    <row r="1134" spans="1:46" s="930" customFormat="1">
      <c r="A1134" s="892"/>
      <c r="B1134" s="899"/>
      <c r="C1134" s="900"/>
      <c r="D1134" s="894"/>
      <c r="E1134" s="936"/>
      <c r="F1134" s="905"/>
      <c r="G1134" s="896"/>
      <c r="H1134" s="897"/>
      <c r="I1134" s="897"/>
      <c r="J1134" s="897"/>
      <c r="K1134" s="897"/>
      <c r="L1134" s="898"/>
      <c r="M1134" s="898"/>
      <c r="N1134" s="898"/>
      <c r="O1134" s="898"/>
      <c r="P1134" s="898"/>
      <c r="Q1134" s="898"/>
      <c r="R1134" s="898"/>
      <c r="S1134" s="898"/>
      <c r="T1134" s="898"/>
      <c r="U1134" s="898"/>
      <c r="V1134" s="898"/>
      <c r="W1134" s="898"/>
      <c r="X1134" s="898"/>
      <c r="Y1134" s="898"/>
      <c r="Z1134" s="898"/>
      <c r="AA1134" s="898"/>
      <c r="AB1134" s="898"/>
      <c r="AC1134" s="898"/>
      <c r="AD1134" s="898"/>
      <c r="AE1134" s="898"/>
      <c r="AF1134" s="898"/>
      <c r="AG1134" s="898"/>
      <c r="AH1134" s="898"/>
      <c r="AI1134" s="898"/>
      <c r="AJ1134" s="898"/>
      <c r="AK1134" s="898"/>
      <c r="AL1134" s="898"/>
      <c r="AM1134" s="897"/>
      <c r="AN1134" s="897"/>
      <c r="AO1134" s="897"/>
      <c r="AP1134" s="897"/>
      <c r="AQ1134" s="897"/>
      <c r="AR1134" s="897"/>
      <c r="AS1134" s="897"/>
      <c r="AT1134" s="897"/>
    </row>
    <row r="1135" spans="1:46" s="930" customFormat="1">
      <c r="A1135" s="892"/>
      <c r="B1135" s="899"/>
      <c r="C1135" s="900"/>
      <c r="D1135" s="894"/>
      <c r="E1135" s="936"/>
      <c r="F1135" s="905"/>
      <c r="G1135" s="896"/>
      <c r="H1135" s="897"/>
      <c r="I1135" s="897"/>
      <c r="J1135" s="897"/>
      <c r="K1135" s="897"/>
      <c r="L1135" s="898"/>
      <c r="M1135" s="898"/>
      <c r="N1135" s="898"/>
      <c r="O1135" s="898"/>
      <c r="P1135" s="898"/>
      <c r="Q1135" s="898"/>
      <c r="R1135" s="898"/>
      <c r="S1135" s="898"/>
      <c r="T1135" s="898"/>
      <c r="U1135" s="898"/>
      <c r="V1135" s="898"/>
      <c r="W1135" s="898"/>
      <c r="X1135" s="898"/>
      <c r="Y1135" s="898"/>
      <c r="Z1135" s="898"/>
      <c r="AA1135" s="898"/>
      <c r="AB1135" s="898"/>
      <c r="AC1135" s="898"/>
      <c r="AD1135" s="898"/>
      <c r="AE1135" s="898"/>
      <c r="AF1135" s="898"/>
      <c r="AG1135" s="898"/>
      <c r="AH1135" s="898"/>
      <c r="AI1135" s="898"/>
      <c r="AJ1135" s="898"/>
      <c r="AK1135" s="898"/>
      <c r="AL1135" s="898"/>
      <c r="AM1135" s="897"/>
      <c r="AN1135" s="897"/>
      <c r="AO1135" s="897"/>
      <c r="AP1135" s="897"/>
      <c r="AQ1135" s="897"/>
      <c r="AR1135" s="897"/>
      <c r="AS1135" s="897"/>
      <c r="AT1135" s="897"/>
    </row>
    <row r="1136" spans="1:46" s="930" customFormat="1">
      <c r="A1136" s="892"/>
      <c r="B1136" s="899"/>
      <c r="C1136" s="900"/>
      <c r="D1136" s="894"/>
      <c r="E1136" s="936"/>
      <c r="F1136" s="905"/>
      <c r="G1136" s="896"/>
      <c r="H1136" s="897"/>
      <c r="I1136" s="897"/>
      <c r="J1136" s="897"/>
      <c r="K1136" s="897"/>
      <c r="L1136" s="898"/>
      <c r="M1136" s="898"/>
      <c r="N1136" s="898"/>
      <c r="O1136" s="898"/>
      <c r="P1136" s="898"/>
      <c r="Q1136" s="898"/>
      <c r="R1136" s="898"/>
      <c r="S1136" s="898"/>
      <c r="T1136" s="898"/>
      <c r="U1136" s="898"/>
      <c r="V1136" s="898"/>
      <c r="W1136" s="898"/>
      <c r="X1136" s="898"/>
      <c r="Y1136" s="898"/>
      <c r="Z1136" s="898"/>
      <c r="AA1136" s="898"/>
      <c r="AB1136" s="898"/>
      <c r="AC1136" s="898"/>
      <c r="AD1136" s="898"/>
      <c r="AE1136" s="898"/>
      <c r="AF1136" s="898"/>
      <c r="AG1136" s="898"/>
      <c r="AH1136" s="898"/>
      <c r="AI1136" s="898"/>
      <c r="AJ1136" s="898"/>
      <c r="AK1136" s="898"/>
      <c r="AL1136" s="898"/>
      <c r="AM1136" s="897"/>
      <c r="AN1136" s="897"/>
      <c r="AO1136" s="897"/>
      <c r="AP1136" s="897"/>
      <c r="AQ1136" s="897"/>
      <c r="AR1136" s="897"/>
      <c r="AS1136" s="897"/>
      <c r="AT1136" s="897"/>
    </row>
    <row r="1137" spans="1:46" s="930" customFormat="1">
      <c r="A1137" s="892"/>
      <c r="B1137" s="899"/>
      <c r="C1137" s="900"/>
      <c r="D1137" s="894"/>
      <c r="E1137" s="936"/>
      <c r="F1137" s="905"/>
      <c r="G1137" s="896"/>
      <c r="H1137" s="897"/>
      <c r="I1137" s="897"/>
      <c r="J1137" s="897"/>
      <c r="K1137" s="897"/>
      <c r="L1137" s="898"/>
      <c r="M1137" s="898"/>
      <c r="N1137" s="898"/>
      <c r="O1137" s="898"/>
      <c r="P1137" s="898"/>
      <c r="Q1137" s="898"/>
      <c r="R1137" s="898"/>
      <c r="S1137" s="898"/>
      <c r="T1137" s="898"/>
      <c r="U1137" s="898"/>
      <c r="V1137" s="898"/>
      <c r="W1137" s="898"/>
      <c r="X1137" s="898"/>
      <c r="Y1137" s="898"/>
      <c r="Z1137" s="898"/>
      <c r="AA1137" s="898"/>
      <c r="AB1137" s="898"/>
      <c r="AC1137" s="898"/>
      <c r="AD1137" s="898"/>
      <c r="AE1137" s="898"/>
      <c r="AF1137" s="898"/>
      <c r="AG1137" s="898"/>
      <c r="AH1137" s="898"/>
      <c r="AI1137" s="898"/>
      <c r="AJ1137" s="898"/>
      <c r="AK1137" s="898"/>
      <c r="AL1137" s="898"/>
      <c r="AM1137" s="897"/>
      <c r="AN1137" s="897"/>
      <c r="AO1137" s="897"/>
      <c r="AP1137" s="897"/>
      <c r="AQ1137" s="897"/>
      <c r="AR1137" s="897"/>
      <c r="AS1137" s="897"/>
      <c r="AT1137" s="897"/>
    </row>
    <row r="1138" spans="1:46" s="930" customFormat="1">
      <c r="A1138" s="892"/>
      <c r="B1138" s="899"/>
      <c r="C1138" s="900"/>
      <c r="D1138" s="894"/>
      <c r="E1138" s="936"/>
      <c r="F1138" s="905"/>
      <c r="G1138" s="896"/>
      <c r="H1138" s="897"/>
      <c r="I1138" s="897"/>
      <c r="J1138" s="897"/>
      <c r="K1138" s="897"/>
      <c r="L1138" s="898"/>
      <c r="M1138" s="898"/>
      <c r="N1138" s="898"/>
      <c r="O1138" s="898"/>
      <c r="P1138" s="898"/>
      <c r="Q1138" s="898"/>
      <c r="R1138" s="898"/>
      <c r="S1138" s="898"/>
      <c r="T1138" s="898"/>
      <c r="U1138" s="898"/>
      <c r="V1138" s="898"/>
      <c r="W1138" s="898"/>
      <c r="X1138" s="898"/>
      <c r="Y1138" s="898"/>
      <c r="Z1138" s="898"/>
      <c r="AA1138" s="898"/>
      <c r="AB1138" s="898"/>
      <c r="AC1138" s="898"/>
      <c r="AD1138" s="898"/>
      <c r="AE1138" s="898"/>
      <c r="AF1138" s="898"/>
      <c r="AG1138" s="898"/>
      <c r="AH1138" s="898"/>
      <c r="AI1138" s="898"/>
      <c r="AJ1138" s="898"/>
      <c r="AK1138" s="898"/>
      <c r="AL1138" s="898"/>
      <c r="AM1138" s="897"/>
      <c r="AN1138" s="897"/>
      <c r="AO1138" s="897"/>
      <c r="AP1138" s="897"/>
      <c r="AQ1138" s="897"/>
      <c r="AR1138" s="897"/>
      <c r="AS1138" s="897"/>
      <c r="AT1138" s="897"/>
    </row>
    <row r="1139" spans="1:46" s="930" customFormat="1">
      <c r="A1139" s="892"/>
      <c r="B1139" s="899"/>
      <c r="C1139" s="900"/>
      <c r="D1139" s="894"/>
      <c r="E1139" s="936"/>
      <c r="F1139" s="905"/>
      <c r="G1139" s="896"/>
      <c r="H1139" s="897"/>
      <c r="I1139" s="897"/>
      <c r="J1139" s="897"/>
      <c r="K1139" s="897"/>
      <c r="L1139" s="898"/>
      <c r="M1139" s="898"/>
      <c r="N1139" s="898"/>
      <c r="O1139" s="898"/>
      <c r="P1139" s="898"/>
      <c r="Q1139" s="898"/>
      <c r="R1139" s="898"/>
      <c r="S1139" s="898"/>
      <c r="T1139" s="898"/>
      <c r="U1139" s="898"/>
      <c r="V1139" s="898"/>
      <c r="W1139" s="898"/>
      <c r="X1139" s="898"/>
      <c r="Y1139" s="898"/>
      <c r="Z1139" s="898"/>
      <c r="AA1139" s="898"/>
      <c r="AB1139" s="898"/>
      <c r="AC1139" s="898"/>
      <c r="AD1139" s="898"/>
      <c r="AE1139" s="898"/>
      <c r="AF1139" s="898"/>
      <c r="AG1139" s="898"/>
      <c r="AH1139" s="898"/>
      <c r="AI1139" s="898"/>
      <c r="AJ1139" s="898"/>
      <c r="AK1139" s="898"/>
      <c r="AL1139" s="898"/>
      <c r="AM1139" s="897"/>
      <c r="AN1139" s="897"/>
      <c r="AO1139" s="897"/>
      <c r="AP1139" s="897"/>
      <c r="AQ1139" s="897"/>
      <c r="AR1139" s="897"/>
      <c r="AS1139" s="897"/>
      <c r="AT1139" s="897"/>
    </row>
    <row r="1140" spans="1:46" s="930" customFormat="1">
      <c r="A1140" s="892"/>
      <c r="B1140" s="899"/>
      <c r="C1140" s="900"/>
      <c r="D1140" s="894"/>
      <c r="E1140" s="936"/>
      <c r="F1140" s="905"/>
      <c r="G1140" s="896"/>
      <c r="H1140" s="897"/>
      <c r="I1140" s="897"/>
      <c r="J1140" s="897"/>
      <c r="K1140" s="897"/>
      <c r="L1140" s="898"/>
      <c r="M1140" s="898"/>
      <c r="N1140" s="898"/>
      <c r="O1140" s="898"/>
      <c r="P1140" s="898"/>
      <c r="Q1140" s="898"/>
      <c r="R1140" s="898"/>
      <c r="S1140" s="898"/>
      <c r="T1140" s="898"/>
      <c r="U1140" s="898"/>
      <c r="V1140" s="898"/>
      <c r="W1140" s="898"/>
      <c r="X1140" s="898"/>
      <c r="Y1140" s="898"/>
      <c r="Z1140" s="898"/>
      <c r="AA1140" s="898"/>
      <c r="AB1140" s="898"/>
      <c r="AC1140" s="898"/>
      <c r="AD1140" s="898"/>
      <c r="AE1140" s="898"/>
      <c r="AF1140" s="898"/>
      <c r="AG1140" s="898"/>
      <c r="AH1140" s="898"/>
      <c r="AI1140" s="898"/>
      <c r="AJ1140" s="898"/>
      <c r="AK1140" s="898"/>
      <c r="AL1140" s="898"/>
      <c r="AM1140" s="897"/>
      <c r="AN1140" s="897"/>
      <c r="AO1140" s="897"/>
      <c r="AP1140" s="897"/>
      <c r="AQ1140" s="897"/>
      <c r="AR1140" s="897"/>
      <c r="AS1140" s="897"/>
      <c r="AT1140" s="897"/>
    </row>
    <row r="1141" spans="1:46" s="930" customFormat="1">
      <c r="A1141" s="892"/>
      <c r="B1141" s="899"/>
      <c r="C1141" s="900"/>
      <c r="D1141" s="894"/>
      <c r="E1141" s="936"/>
      <c r="F1141" s="905"/>
      <c r="G1141" s="896"/>
      <c r="H1141" s="897"/>
      <c r="I1141" s="897"/>
      <c r="J1141" s="897"/>
      <c r="K1141" s="897"/>
      <c r="L1141" s="898"/>
      <c r="M1141" s="898"/>
      <c r="N1141" s="898"/>
      <c r="O1141" s="898"/>
      <c r="P1141" s="898"/>
      <c r="Q1141" s="898"/>
      <c r="R1141" s="898"/>
      <c r="S1141" s="898"/>
      <c r="T1141" s="898"/>
      <c r="U1141" s="898"/>
      <c r="V1141" s="898"/>
      <c r="W1141" s="898"/>
      <c r="X1141" s="898"/>
      <c r="Y1141" s="898"/>
      <c r="Z1141" s="898"/>
      <c r="AA1141" s="898"/>
      <c r="AB1141" s="898"/>
      <c r="AC1141" s="898"/>
      <c r="AD1141" s="898"/>
      <c r="AE1141" s="898"/>
      <c r="AF1141" s="898"/>
      <c r="AG1141" s="898"/>
      <c r="AH1141" s="898"/>
      <c r="AI1141" s="898"/>
      <c r="AJ1141" s="898"/>
      <c r="AK1141" s="898"/>
      <c r="AL1141" s="898"/>
      <c r="AM1141" s="897"/>
      <c r="AN1141" s="897"/>
      <c r="AO1141" s="897"/>
      <c r="AP1141" s="897"/>
      <c r="AQ1141" s="897"/>
      <c r="AR1141" s="897"/>
      <c r="AS1141" s="897"/>
      <c r="AT1141" s="897"/>
    </row>
    <row r="1142" spans="1:46" s="930" customFormat="1">
      <c r="A1142" s="892"/>
      <c r="B1142" s="899"/>
      <c r="C1142" s="900"/>
      <c r="D1142" s="894"/>
      <c r="E1142" s="936"/>
      <c r="F1142" s="905"/>
      <c r="G1142" s="896"/>
      <c r="H1142" s="897"/>
      <c r="I1142" s="897"/>
      <c r="J1142" s="897"/>
      <c r="K1142" s="897"/>
      <c r="L1142" s="898"/>
      <c r="M1142" s="898"/>
      <c r="N1142" s="898"/>
      <c r="O1142" s="898"/>
      <c r="P1142" s="898"/>
      <c r="Q1142" s="898"/>
      <c r="R1142" s="898"/>
      <c r="S1142" s="898"/>
      <c r="T1142" s="898"/>
      <c r="U1142" s="898"/>
      <c r="V1142" s="898"/>
      <c r="W1142" s="898"/>
      <c r="X1142" s="898"/>
      <c r="Y1142" s="898"/>
      <c r="Z1142" s="898"/>
      <c r="AA1142" s="898"/>
      <c r="AB1142" s="898"/>
      <c r="AC1142" s="898"/>
      <c r="AD1142" s="898"/>
      <c r="AE1142" s="898"/>
      <c r="AF1142" s="898"/>
      <c r="AG1142" s="898"/>
      <c r="AH1142" s="898"/>
      <c r="AI1142" s="898"/>
      <c r="AJ1142" s="898"/>
      <c r="AK1142" s="898"/>
      <c r="AL1142" s="898"/>
      <c r="AM1142" s="897"/>
      <c r="AN1142" s="897"/>
      <c r="AO1142" s="897"/>
      <c r="AP1142" s="897"/>
      <c r="AQ1142" s="897"/>
      <c r="AR1142" s="897"/>
      <c r="AS1142" s="897"/>
      <c r="AT1142" s="897"/>
    </row>
    <row r="1143" spans="1:46" s="930" customFormat="1">
      <c r="A1143" s="892"/>
      <c r="B1143" s="899"/>
      <c r="C1143" s="900"/>
      <c r="D1143" s="894"/>
      <c r="E1143" s="936"/>
      <c r="F1143" s="905"/>
      <c r="G1143" s="896"/>
      <c r="H1143" s="897"/>
      <c r="I1143" s="897"/>
      <c r="J1143" s="897"/>
      <c r="K1143" s="897"/>
      <c r="L1143" s="898"/>
      <c r="M1143" s="898"/>
      <c r="N1143" s="898"/>
      <c r="O1143" s="898"/>
      <c r="P1143" s="898"/>
      <c r="Q1143" s="898"/>
      <c r="R1143" s="898"/>
      <c r="S1143" s="898"/>
      <c r="T1143" s="898"/>
      <c r="U1143" s="898"/>
      <c r="V1143" s="898"/>
      <c r="W1143" s="898"/>
      <c r="X1143" s="898"/>
      <c r="Y1143" s="898"/>
      <c r="Z1143" s="898"/>
      <c r="AA1143" s="898"/>
      <c r="AB1143" s="898"/>
      <c r="AC1143" s="898"/>
      <c r="AD1143" s="898"/>
      <c r="AE1143" s="898"/>
      <c r="AF1143" s="898"/>
      <c r="AG1143" s="898"/>
      <c r="AH1143" s="898"/>
      <c r="AI1143" s="898"/>
      <c r="AJ1143" s="898"/>
      <c r="AK1143" s="898"/>
      <c r="AL1143" s="898"/>
      <c r="AM1143" s="897"/>
      <c r="AN1143" s="897"/>
      <c r="AO1143" s="897"/>
      <c r="AP1143" s="897"/>
      <c r="AQ1143" s="897"/>
      <c r="AR1143" s="897"/>
      <c r="AS1143" s="897"/>
      <c r="AT1143" s="897"/>
    </row>
    <row r="1144" spans="1:46" s="930" customFormat="1">
      <c r="A1144" s="892"/>
      <c r="B1144" s="899"/>
      <c r="C1144" s="900"/>
      <c r="D1144" s="894"/>
      <c r="E1144" s="936"/>
      <c r="F1144" s="905"/>
      <c r="G1144" s="896"/>
      <c r="H1144" s="897"/>
      <c r="I1144" s="897"/>
      <c r="J1144" s="897"/>
      <c r="K1144" s="897"/>
      <c r="L1144" s="898"/>
      <c r="M1144" s="898"/>
      <c r="N1144" s="898"/>
      <c r="O1144" s="898"/>
      <c r="P1144" s="898"/>
      <c r="Q1144" s="898"/>
      <c r="R1144" s="898"/>
      <c r="S1144" s="898"/>
      <c r="T1144" s="898"/>
      <c r="U1144" s="898"/>
      <c r="V1144" s="898"/>
      <c r="W1144" s="898"/>
      <c r="X1144" s="898"/>
      <c r="Y1144" s="898"/>
      <c r="Z1144" s="898"/>
      <c r="AA1144" s="898"/>
      <c r="AB1144" s="898"/>
      <c r="AC1144" s="898"/>
      <c r="AD1144" s="898"/>
      <c r="AE1144" s="898"/>
      <c r="AF1144" s="898"/>
      <c r="AG1144" s="898"/>
      <c r="AH1144" s="898"/>
      <c r="AI1144" s="898"/>
      <c r="AJ1144" s="898"/>
      <c r="AK1144" s="898"/>
      <c r="AL1144" s="898"/>
      <c r="AM1144" s="897"/>
      <c r="AN1144" s="897"/>
      <c r="AO1144" s="897"/>
      <c r="AP1144" s="897"/>
      <c r="AQ1144" s="897"/>
      <c r="AR1144" s="897"/>
      <c r="AS1144" s="897"/>
      <c r="AT1144" s="897"/>
    </row>
    <row r="1145" spans="1:46" s="930" customFormat="1">
      <c r="A1145" s="892"/>
      <c r="B1145" s="899"/>
      <c r="C1145" s="900"/>
      <c r="D1145" s="894"/>
      <c r="E1145" s="936"/>
      <c r="F1145" s="905"/>
      <c r="G1145" s="896"/>
      <c r="H1145" s="897"/>
      <c r="I1145" s="897"/>
      <c r="J1145" s="897"/>
      <c r="K1145" s="897"/>
      <c r="L1145" s="898"/>
      <c r="M1145" s="898"/>
      <c r="N1145" s="898"/>
      <c r="O1145" s="898"/>
      <c r="P1145" s="898"/>
      <c r="Q1145" s="898"/>
      <c r="R1145" s="898"/>
      <c r="S1145" s="898"/>
      <c r="T1145" s="898"/>
      <c r="U1145" s="898"/>
      <c r="V1145" s="898"/>
      <c r="W1145" s="898"/>
      <c r="X1145" s="898"/>
      <c r="Y1145" s="898"/>
      <c r="Z1145" s="898"/>
      <c r="AA1145" s="898"/>
      <c r="AB1145" s="898"/>
      <c r="AC1145" s="898"/>
      <c r="AD1145" s="898"/>
      <c r="AE1145" s="898"/>
      <c r="AF1145" s="898"/>
      <c r="AG1145" s="898"/>
      <c r="AH1145" s="898"/>
      <c r="AI1145" s="898"/>
      <c r="AJ1145" s="898"/>
      <c r="AK1145" s="898"/>
      <c r="AL1145" s="898"/>
      <c r="AM1145" s="897"/>
      <c r="AN1145" s="897"/>
      <c r="AO1145" s="897"/>
      <c r="AP1145" s="897"/>
      <c r="AQ1145" s="897"/>
      <c r="AR1145" s="897"/>
      <c r="AS1145" s="897"/>
      <c r="AT1145" s="897"/>
    </row>
    <row r="1146" spans="1:46" s="930" customFormat="1">
      <c r="A1146" s="892"/>
      <c r="B1146" s="899"/>
      <c r="C1146" s="900"/>
      <c r="D1146" s="894"/>
      <c r="E1146" s="936"/>
      <c r="F1146" s="905"/>
      <c r="G1146" s="896"/>
      <c r="H1146" s="897"/>
      <c r="I1146" s="897"/>
      <c r="J1146" s="897"/>
      <c r="K1146" s="897"/>
      <c r="L1146" s="898"/>
      <c r="M1146" s="898"/>
      <c r="N1146" s="898"/>
      <c r="O1146" s="898"/>
      <c r="P1146" s="898"/>
      <c r="Q1146" s="898"/>
      <c r="R1146" s="898"/>
      <c r="S1146" s="898"/>
      <c r="T1146" s="898"/>
      <c r="U1146" s="898"/>
      <c r="V1146" s="898"/>
      <c r="W1146" s="898"/>
      <c r="X1146" s="898"/>
      <c r="Y1146" s="898"/>
      <c r="Z1146" s="898"/>
      <c r="AA1146" s="898"/>
      <c r="AB1146" s="898"/>
      <c r="AC1146" s="898"/>
      <c r="AD1146" s="898"/>
      <c r="AE1146" s="898"/>
      <c r="AF1146" s="898"/>
      <c r="AG1146" s="898"/>
      <c r="AH1146" s="898"/>
      <c r="AI1146" s="898"/>
      <c r="AJ1146" s="898"/>
      <c r="AK1146" s="898"/>
      <c r="AL1146" s="898"/>
      <c r="AM1146" s="897"/>
      <c r="AN1146" s="897"/>
      <c r="AO1146" s="897"/>
      <c r="AP1146" s="897"/>
      <c r="AQ1146" s="897"/>
      <c r="AR1146" s="897"/>
      <c r="AS1146" s="897"/>
      <c r="AT1146" s="897"/>
    </row>
    <row r="1147" spans="1:46" s="930" customFormat="1">
      <c r="A1147" s="892"/>
      <c r="B1147" s="899"/>
      <c r="C1147" s="900"/>
      <c r="D1147" s="894"/>
      <c r="E1147" s="936"/>
      <c r="F1147" s="905"/>
      <c r="G1147" s="896"/>
      <c r="H1147" s="897"/>
      <c r="I1147" s="897"/>
      <c r="J1147" s="897"/>
      <c r="K1147" s="897"/>
      <c r="L1147" s="898"/>
      <c r="M1147" s="898"/>
      <c r="N1147" s="898"/>
      <c r="O1147" s="898"/>
      <c r="P1147" s="898"/>
      <c r="Q1147" s="898"/>
      <c r="R1147" s="898"/>
      <c r="S1147" s="898"/>
      <c r="T1147" s="898"/>
      <c r="U1147" s="898"/>
      <c r="V1147" s="898"/>
      <c r="W1147" s="898"/>
      <c r="X1147" s="898"/>
      <c r="Y1147" s="898"/>
      <c r="Z1147" s="898"/>
      <c r="AA1147" s="898"/>
      <c r="AB1147" s="898"/>
      <c r="AC1147" s="898"/>
      <c r="AD1147" s="898"/>
      <c r="AE1147" s="898"/>
      <c r="AF1147" s="898"/>
      <c r="AG1147" s="898"/>
      <c r="AH1147" s="898"/>
      <c r="AI1147" s="898"/>
      <c r="AJ1147" s="898"/>
      <c r="AK1147" s="898"/>
      <c r="AL1147" s="898"/>
      <c r="AM1147" s="897"/>
      <c r="AN1147" s="897"/>
      <c r="AO1147" s="897"/>
      <c r="AP1147" s="897"/>
      <c r="AQ1147" s="897"/>
      <c r="AR1147" s="897"/>
      <c r="AS1147" s="897"/>
      <c r="AT1147" s="897"/>
    </row>
    <row r="1148" spans="1:46" s="930" customFormat="1">
      <c r="A1148" s="892"/>
      <c r="B1148" s="899"/>
      <c r="C1148" s="900"/>
      <c r="D1148" s="894"/>
      <c r="E1148" s="936"/>
      <c r="F1148" s="905"/>
      <c r="G1148" s="896"/>
      <c r="H1148" s="897"/>
      <c r="I1148" s="897"/>
      <c r="J1148" s="897"/>
      <c r="K1148" s="897"/>
      <c r="L1148" s="898"/>
      <c r="M1148" s="898"/>
      <c r="N1148" s="898"/>
      <c r="O1148" s="898"/>
      <c r="P1148" s="898"/>
      <c r="Q1148" s="898"/>
      <c r="R1148" s="898"/>
      <c r="S1148" s="898"/>
      <c r="T1148" s="898"/>
      <c r="U1148" s="898"/>
      <c r="V1148" s="898"/>
      <c r="W1148" s="898"/>
      <c r="X1148" s="898"/>
      <c r="Y1148" s="898"/>
      <c r="Z1148" s="898"/>
      <c r="AA1148" s="898"/>
      <c r="AB1148" s="898"/>
      <c r="AC1148" s="898"/>
      <c r="AD1148" s="898"/>
      <c r="AE1148" s="898"/>
      <c r="AF1148" s="898"/>
      <c r="AG1148" s="898"/>
      <c r="AH1148" s="898"/>
      <c r="AI1148" s="898"/>
      <c r="AJ1148" s="898"/>
      <c r="AK1148" s="898"/>
      <c r="AL1148" s="898"/>
      <c r="AM1148" s="897"/>
      <c r="AN1148" s="897"/>
      <c r="AO1148" s="897"/>
      <c r="AP1148" s="897"/>
      <c r="AQ1148" s="897"/>
      <c r="AR1148" s="897"/>
      <c r="AS1148" s="897"/>
      <c r="AT1148" s="897"/>
    </row>
    <row r="1149" spans="1:46" s="930" customFormat="1">
      <c r="A1149" s="892"/>
      <c r="B1149" s="899"/>
      <c r="C1149" s="900"/>
      <c r="D1149" s="894"/>
      <c r="E1149" s="936"/>
      <c r="F1149" s="905"/>
      <c r="G1149" s="896"/>
      <c r="H1149" s="897"/>
      <c r="I1149" s="897"/>
      <c r="J1149" s="897"/>
      <c r="K1149" s="897"/>
      <c r="L1149" s="898"/>
      <c r="M1149" s="898"/>
      <c r="N1149" s="898"/>
      <c r="O1149" s="898"/>
      <c r="P1149" s="898"/>
      <c r="Q1149" s="898"/>
      <c r="R1149" s="898"/>
      <c r="S1149" s="898"/>
      <c r="T1149" s="898"/>
      <c r="U1149" s="898"/>
      <c r="V1149" s="898"/>
      <c r="W1149" s="898"/>
      <c r="X1149" s="898"/>
      <c r="Y1149" s="898"/>
      <c r="Z1149" s="898"/>
      <c r="AA1149" s="898"/>
      <c r="AB1149" s="898"/>
      <c r="AC1149" s="898"/>
      <c r="AD1149" s="898"/>
      <c r="AE1149" s="898"/>
      <c r="AF1149" s="898"/>
      <c r="AG1149" s="898"/>
      <c r="AH1149" s="898"/>
      <c r="AI1149" s="898"/>
      <c r="AJ1149" s="898"/>
      <c r="AK1149" s="898"/>
      <c r="AL1149" s="898"/>
      <c r="AM1149" s="897"/>
      <c r="AN1149" s="897"/>
      <c r="AO1149" s="897"/>
      <c r="AP1149" s="897"/>
      <c r="AQ1149" s="897"/>
      <c r="AR1149" s="897"/>
      <c r="AS1149" s="897"/>
      <c r="AT1149" s="897"/>
    </row>
    <row r="1150" spans="1:46" s="930" customFormat="1">
      <c r="A1150" s="892"/>
      <c r="B1150" s="899"/>
      <c r="C1150" s="900"/>
      <c r="D1150" s="894"/>
      <c r="E1150" s="936"/>
      <c r="F1150" s="905"/>
      <c r="G1150" s="896"/>
      <c r="H1150" s="897"/>
      <c r="I1150" s="897"/>
      <c r="J1150" s="897"/>
      <c r="K1150" s="897"/>
      <c r="L1150" s="898"/>
      <c r="M1150" s="898"/>
      <c r="N1150" s="898"/>
      <c r="O1150" s="898"/>
      <c r="P1150" s="898"/>
      <c r="Q1150" s="898"/>
      <c r="R1150" s="898"/>
      <c r="S1150" s="898"/>
      <c r="T1150" s="898"/>
      <c r="U1150" s="898"/>
      <c r="V1150" s="898"/>
      <c r="W1150" s="898"/>
      <c r="X1150" s="898"/>
      <c r="Y1150" s="898"/>
      <c r="Z1150" s="898"/>
      <c r="AA1150" s="898"/>
      <c r="AB1150" s="898"/>
      <c r="AC1150" s="898"/>
      <c r="AD1150" s="898"/>
      <c r="AE1150" s="898"/>
      <c r="AF1150" s="898"/>
      <c r="AG1150" s="898"/>
      <c r="AH1150" s="898"/>
      <c r="AI1150" s="898"/>
      <c r="AJ1150" s="898"/>
      <c r="AK1150" s="898"/>
      <c r="AL1150" s="898"/>
      <c r="AM1150" s="897"/>
      <c r="AN1150" s="897"/>
      <c r="AO1150" s="897"/>
      <c r="AP1150" s="897"/>
      <c r="AQ1150" s="897"/>
      <c r="AR1150" s="897"/>
      <c r="AS1150" s="897"/>
      <c r="AT1150" s="897"/>
    </row>
    <row r="1151" spans="1:46" s="930" customFormat="1">
      <c r="A1151" s="892"/>
      <c r="B1151" s="899"/>
      <c r="C1151" s="900"/>
      <c r="D1151" s="894"/>
      <c r="E1151" s="936"/>
      <c r="F1151" s="905"/>
      <c r="G1151" s="896"/>
      <c r="H1151" s="897"/>
      <c r="I1151" s="897"/>
      <c r="J1151" s="897"/>
      <c r="K1151" s="897"/>
      <c r="L1151" s="898"/>
      <c r="M1151" s="898"/>
      <c r="N1151" s="898"/>
      <c r="O1151" s="898"/>
      <c r="P1151" s="898"/>
      <c r="Q1151" s="898"/>
      <c r="R1151" s="898"/>
      <c r="S1151" s="898"/>
      <c r="T1151" s="898"/>
      <c r="U1151" s="898"/>
      <c r="V1151" s="898"/>
      <c r="W1151" s="898"/>
      <c r="X1151" s="898"/>
      <c r="Y1151" s="898"/>
      <c r="Z1151" s="898"/>
      <c r="AA1151" s="898"/>
      <c r="AB1151" s="898"/>
      <c r="AC1151" s="898"/>
      <c r="AD1151" s="898"/>
      <c r="AE1151" s="898"/>
      <c r="AF1151" s="898"/>
      <c r="AG1151" s="898"/>
      <c r="AH1151" s="898"/>
      <c r="AI1151" s="898"/>
      <c r="AJ1151" s="898"/>
      <c r="AK1151" s="898"/>
      <c r="AL1151" s="898"/>
      <c r="AM1151" s="897"/>
      <c r="AN1151" s="897"/>
      <c r="AO1151" s="897"/>
      <c r="AP1151" s="897"/>
      <c r="AQ1151" s="897"/>
      <c r="AR1151" s="897"/>
      <c r="AS1151" s="897"/>
      <c r="AT1151" s="897"/>
    </row>
    <row r="1152" spans="1:46" s="930" customFormat="1">
      <c r="A1152" s="892"/>
      <c r="B1152" s="899"/>
      <c r="C1152" s="900"/>
      <c r="D1152" s="894"/>
      <c r="E1152" s="936"/>
      <c r="F1152" s="905"/>
      <c r="G1152" s="896"/>
      <c r="H1152" s="897"/>
      <c r="I1152" s="897"/>
      <c r="J1152" s="897"/>
      <c r="K1152" s="897"/>
      <c r="L1152" s="898"/>
      <c r="M1152" s="898"/>
      <c r="N1152" s="898"/>
      <c r="O1152" s="898"/>
      <c r="P1152" s="898"/>
      <c r="Q1152" s="898"/>
      <c r="R1152" s="898"/>
      <c r="S1152" s="898"/>
      <c r="T1152" s="898"/>
      <c r="U1152" s="898"/>
      <c r="V1152" s="898"/>
      <c r="W1152" s="898"/>
      <c r="X1152" s="898"/>
      <c r="Y1152" s="898"/>
      <c r="Z1152" s="898"/>
      <c r="AA1152" s="898"/>
      <c r="AB1152" s="898"/>
      <c r="AC1152" s="898"/>
      <c r="AD1152" s="898"/>
      <c r="AE1152" s="898"/>
      <c r="AF1152" s="898"/>
      <c r="AG1152" s="898"/>
      <c r="AH1152" s="898"/>
      <c r="AI1152" s="898"/>
      <c r="AJ1152" s="898"/>
      <c r="AK1152" s="898"/>
      <c r="AL1152" s="898"/>
      <c r="AM1152" s="897"/>
      <c r="AN1152" s="897"/>
      <c r="AO1152" s="897"/>
      <c r="AP1152" s="897"/>
      <c r="AQ1152" s="897"/>
      <c r="AR1152" s="897"/>
      <c r="AS1152" s="897"/>
      <c r="AT1152" s="897"/>
    </row>
    <row r="1153" spans="1:46" s="930" customFormat="1">
      <c r="A1153" s="892"/>
      <c r="B1153" s="899"/>
      <c r="C1153" s="900"/>
      <c r="D1153" s="894"/>
      <c r="E1153" s="936"/>
      <c r="F1153" s="905"/>
      <c r="G1153" s="896"/>
      <c r="H1153" s="897"/>
      <c r="I1153" s="897"/>
      <c r="J1153" s="897"/>
      <c r="K1153" s="897"/>
      <c r="L1153" s="898"/>
      <c r="M1153" s="898"/>
      <c r="N1153" s="898"/>
      <c r="O1153" s="898"/>
      <c r="P1153" s="898"/>
      <c r="Q1153" s="898"/>
      <c r="R1153" s="898"/>
      <c r="S1153" s="898"/>
      <c r="T1153" s="898"/>
      <c r="U1153" s="898"/>
      <c r="V1153" s="898"/>
      <c r="W1153" s="898"/>
      <c r="X1153" s="898"/>
      <c r="Y1153" s="898"/>
      <c r="Z1153" s="898"/>
      <c r="AA1153" s="898"/>
      <c r="AB1153" s="898"/>
      <c r="AC1153" s="898"/>
      <c r="AD1153" s="898"/>
      <c r="AE1153" s="898"/>
      <c r="AF1153" s="898"/>
      <c r="AG1153" s="898"/>
      <c r="AH1153" s="898"/>
      <c r="AI1153" s="898"/>
      <c r="AJ1153" s="898"/>
      <c r="AK1153" s="898"/>
      <c r="AL1153" s="898"/>
      <c r="AM1153" s="897"/>
      <c r="AN1153" s="897"/>
      <c r="AO1153" s="897"/>
      <c r="AP1153" s="897"/>
      <c r="AQ1153" s="897"/>
      <c r="AR1153" s="897"/>
      <c r="AS1153" s="897"/>
      <c r="AT1153" s="897"/>
    </row>
    <row r="1154" spans="1:46" s="930" customFormat="1">
      <c r="A1154" s="892"/>
      <c r="B1154" s="899"/>
      <c r="C1154" s="900"/>
      <c r="D1154" s="894"/>
      <c r="E1154" s="936"/>
      <c r="F1154" s="905"/>
      <c r="G1154" s="896"/>
      <c r="H1154" s="897"/>
      <c r="I1154" s="897"/>
      <c r="J1154" s="897"/>
      <c r="K1154" s="897"/>
      <c r="L1154" s="898"/>
      <c r="M1154" s="898"/>
      <c r="N1154" s="898"/>
      <c r="O1154" s="898"/>
      <c r="P1154" s="898"/>
      <c r="Q1154" s="898"/>
      <c r="R1154" s="898"/>
      <c r="S1154" s="898"/>
      <c r="T1154" s="898"/>
      <c r="U1154" s="898"/>
      <c r="V1154" s="898"/>
      <c r="W1154" s="898"/>
      <c r="X1154" s="898"/>
      <c r="Y1154" s="898"/>
      <c r="Z1154" s="898"/>
      <c r="AA1154" s="898"/>
      <c r="AB1154" s="898"/>
      <c r="AC1154" s="898"/>
      <c r="AD1154" s="898"/>
      <c r="AE1154" s="898"/>
      <c r="AF1154" s="898"/>
      <c r="AG1154" s="898"/>
      <c r="AH1154" s="898"/>
      <c r="AI1154" s="898"/>
      <c r="AJ1154" s="898"/>
      <c r="AK1154" s="898"/>
      <c r="AL1154" s="898"/>
      <c r="AM1154" s="897"/>
      <c r="AN1154" s="897"/>
      <c r="AO1154" s="897"/>
      <c r="AP1154" s="897"/>
      <c r="AQ1154" s="897"/>
      <c r="AR1154" s="897"/>
      <c r="AS1154" s="897"/>
      <c r="AT1154" s="897"/>
    </row>
    <row r="1155" spans="1:46" s="930" customFormat="1">
      <c r="A1155" s="892"/>
      <c r="B1155" s="899"/>
      <c r="C1155" s="900"/>
      <c r="D1155" s="894"/>
      <c r="E1155" s="936"/>
      <c r="F1155" s="905"/>
      <c r="G1155" s="896"/>
      <c r="H1155" s="897"/>
      <c r="I1155" s="897"/>
      <c r="J1155" s="897"/>
      <c r="K1155" s="897"/>
      <c r="L1155" s="898"/>
      <c r="M1155" s="898"/>
      <c r="N1155" s="898"/>
      <c r="O1155" s="898"/>
      <c r="P1155" s="898"/>
      <c r="Q1155" s="898"/>
      <c r="R1155" s="898"/>
      <c r="S1155" s="898"/>
      <c r="T1155" s="898"/>
      <c r="U1155" s="898"/>
      <c r="V1155" s="898"/>
      <c r="W1155" s="898"/>
      <c r="X1155" s="898"/>
      <c r="Y1155" s="898"/>
      <c r="Z1155" s="898"/>
      <c r="AA1155" s="898"/>
      <c r="AB1155" s="898"/>
      <c r="AC1155" s="898"/>
      <c r="AD1155" s="898"/>
      <c r="AE1155" s="898"/>
      <c r="AF1155" s="898"/>
      <c r="AG1155" s="898"/>
      <c r="AH1155" s="898"/>
      <c r="AI1155" s="898"/>
      <c r="AJ1155" s="898"/>
      <c r="AK1155" s="898"/>
      <c r="AL1155" s="898"/>
      <c r="AM1155" s="897"/>
      <c r="AN1155" s="897"/>
      <c r="AO1155" s="897"/>
      <c r="AP1155" s="897"/>
      <c r="AQ1155" s="897"/>
      <c r="AR1155" s="897"/>
      <c r="AS1155" s="897"/>
      <c r="AT1155" s="897"/>
    </row>
    <row r="1156" spans="1:46" s="930" customFormat="1">
      <c r="A1156" s="892"/>
      <c r="B1156" s="899"/>
      <c r="C1156" s="900"/>
      <c r="D1156" s="894"/>
      <c r="E1156" s="936"/>
      <c r="F1156" s="905"/>
      <c r="G1156" s="896"/>
      <c r="H1156" s="897"/>
      <c r="I1156" s="897"/>
      <c r="J1156" s="897"/>
      <c r="K1156" s="897"/>
      <c r="L1156" s="898"/>
      <c r="M1156" s="898"/>
      <c r="N1156" s="898"/>
      <c r="O1156" s="898"/>
      <c r="P1156" s="898"/>
      <c r="Q1156" s="898"/>
      <c r="R1156" s="898"/>
      <c r="S1156" s="898"/>
      <c r="T1156" s="898"/>
      <c r="U1156" s="898"/>
      <c r="V1156" s="898"/>
      <c r="W1156" s="898"/>
      <c r="X1156" s="898"/>
      <c r="Y1156" s="898"/>
      <c r="Z1156" s="898"/>
      <c r="AA1156" s="898"/>
      <c r="AB1156" s="898"/>
      <c r="AC1156" s="898"/>
      <c r="AD1156" s="898"/>
      <c r="AE1156" s="898"/>
      <c r="AF1156" s="898"/>
      <c r="AG1156" s="898"/>
      <c r="AH1156" s="898"/>
      <c r="AI1156" s="898"/>
      <c r="AJ1156" s="898"/>
      <c r="AK1156" s="898"/>
      <c r="AL1156" s="898"/>
      <c r="AM1156" s="897"/>
      <c r="AN1156" s="897"/>
      <c r="AO1156" s="897"/>
      <c r="AP1156" s="897"/>
      <c r="AQ1156" s="897"/>
      <c r="AR1156" s="897"/>
      <c r="AS1156" s="897"/>
      <c r="AT1156" s="897"/>
    </row>
    <row r="1157" spans="1:46" s="930" customFormat="1">
      <c r="A1157" s="892"/>
      <c r="B1157" s="899"/>
      <c r="C1157" s="900"/>
      <c r="D1157" s="894"/>
      <c r="E1157" s="936"/>
      <c r="F1157" s="905"/>
      <c r="G1157" s="896"/>
      <c r="H1157" s="897"/>
      <c r="I1157" s="897"/>
      <c r="J1157" s="897"/>
      <c r="K1157" s="897"/>
      <c r="L1157" s="898"/>
      <c r="M1157" s="898"/>
      <c r="N1157" s="898"/>
      <c r="O1157" s="898"/>
      <c r="P1157" s="898"/>
      <c r="Q1157" s="898"/>
      <c r="R1157" s="898"/>
      <c r="S1157" s="898"/>
      <c r="T1157" s="898"/>
      <c r="U1157" s="898"/>
      <c r="V1157" s="898"/>
      <c r="W1157" s="898"/>
      <c r="X1157" s="898"/>
      <c r="Y1157" s="898"/>
      <c r="Z1157" s="898"/>
      <c r="AA1157" s="898"/>
      <c r="AB1157" s="898"/>
      <c r="AC1157" s="898"/>
      <c r="AD1157" s="898"/>
      <c r="AE1157" s="898"/>
      <c r="AF1157" s="898"/>
      <c r="AG1157" s="898"/>
      <c r="AH1157" s="898"/>
      <c r="AI1157" s="898"/>
      <c r="AJ1157" s="898"/>
      <c r="AK1157" s="898"/>
      <c r="AL1157" s="898"/>
      <c r="AM1157" s="897"/>
      <c r="AN1157" s="897"/>
      <c r="AO1157" s="897"/>
      <c r="AP1157" s="897"/>
      <c r="AQ1157" s="897"/>
      <c r="AR1157" s="897"/>
      <c r="AS1157" s="897"/>
      <c r="AT1157" s="897"/>
    </row>
    <row r="1158" spans="1:46" s="930" customFormat="1">
      <c r="A1158" s="892"/>
      <c r="B1158" s="899"/>
      <c r="C1158" s="900"/>
      <c r="D1158" s="894"/>
      <c r="E1158" s="936"/>
      <c r="F1158" s="905"/>
      <c r="G1158" s="896"/>
      <c r="H1158" s="897"/>
      <c r="I1158" s="897"/>
      <c r="J1158" s="897"/>
      <c r="K1158" s="897"/>
      <c r="L1158" s="898"/>
      <c r="M1158" s="898"/>
      <c r="N1158" s="898"/>
      <c r="O1158" s="898"/>
      <c r="P1158" s="898"/>
      <c r="Q1158" s="898"/>
      <c r="R1158" s="898"/>
      <c r="S1158" s="898"/>
      <c r="T1158" s="898"/>
      <c r="U1158" s="898"/>
      <c r="V1158" s="898"/>
      <c r="W1158" s="898"/>
      <c r="X1158" s="898"/>
      <c r="Y1158" s="898"/>
      <c r="Z1158" s="898"/>
      <c r="AA1158" s="898"/>
      <c r="AB1158" s="898"/>
      <c r="AC1158" s="898"/>
      <c r="AD1158" s="898"/>
      <c r="AE1158" s="898"/>
      <c r="AF1158" s="898"/>
      <c r="AG1158" s="898"/>
      <c r="AH1158" s="898"/>
      <c r="AI1158" s="898"/>
      <c r="AJ1158" s="898"/>
      <c r="AK1158" s="898"/>
      <c r="AL1158" s="898"/>
      <c r="AM1158" s="897"/>
      <c r="AN1158" s="897"/>
      <c r="AO1158" s="897"/>
      <c r="AP1158" s="897"/>
      <c r="AQ1158" s="897"/>
      <c r="AR1158" s="897"/>
      <c r="AS1158" s="897"/>
      <c r="AT1158" s="897"/>
    </row>
    <row r="1159" spans="1:46" s="930" customFormat="1">
      <c r="A1159" s="892"/>
      <c r="B1159" s="899"/>
      <c r="C1159" s="900"/>
      <c r="D1159" s="894"/>
      <c r="E1159" s="936"/>
      <c r="F1159" s="905"/>
      <c r="G1159" s="896"/>
      <c r="H1159" s="897"/>
      <c r="I1159" s="897"/>
      <c r="J1159" s="897"/>
      <c r="K1159" s="897"/>
      <c r="L1159" s="898"/>
      <c r="M1159" s="898"/>
      <c r="N1159" s="898"/>
      <c r="O1159" s="898"/>
      <c r="P1159" s="898"/>
      <c r="Q1159" s="898"/>
      <c r="R1159" s="898"/>
      <c r="S1159" s="898"/>
      <c r="T1159" s="898"/>
      <c r="U1159" s="898"/>
      <c r="V1159" s="898"/>
      <c r="W1159" s="898"/>
      <c r="X1159" s="898"/>
      <c r="Y1159" s="898"/>
      <c r="Z1159" s="898"/>
      <c r="AA1159" s="898"/>
      <c r="AB1159" s="898"/>
      <c r="AC1159" s="898"/>
      <c r="AD1159" s="898"/>
      <c r="AE1159" s="898"/>
      <c r="AF1159" s="898"/>
      <c r="AG1159" s="898"/>
      <c r="AH1159" s="898"/>
      <c r="AI1159" s="898"/>
      <c r="AJ1159" s="898"/>
      <c r="AK1159" s="898"/>
      <c r="AL1159" s="898"/>
      <c r="AM1159" s="897"/>
      <c r="AN1159" s="897"/>
      <c r="AO1159" s="897"/>
      <c r="AP1159" s="897"/>
      <c r="AQ1159" s="897"/>
      <c r="AR1159" s="897"/>
      <c r="AS1159" s="897"/>
      <c r="AT1159" s="897"/>
    </row>
    <row r="1160" spans="1:46" s="930" customFormat="1">
      <c r="A1160" s="892"/>
      <c r="B1160" s="899"/>
      <c r="C1160" s="900"/>
      <c r="D1160" s="894"/>
      <c r="E1160" s="936"/>
      <c r="F1160" s="905"/>
      <c r="G1160" s="896"/>
      <c r="H1160" s="897"/>
      <c r="I1160" s="897"/>
      <c r="J1160" s="897"/>
      <c r="K1160" s="897"/>
      <c r="L1160" s="898"/>
      <c r="M1160" s="898"/>
      <c r="N1160" s="898"/>
      <c r="O1160" s="898"/>
      <c r="P1160" s="898"/>
      <c r="Q1160" s="898"/>
      <c r="R1160" s="898"/>
      <c r="S1160" s="898"/>
      <c r="T1160" s="898"/>
      <c r="U1160" s="898"/>
      <c r="V1160" s="898"/>
      <c r="W1160" s="898"/>
      <c r="X1160" s="898"/>
      <c r="Y1160" s="898"/>
      <c r="Z1160" s="898"/>
      <c r="AA1160" s="898"/>
      <c r="AB1160" s="898"/>
      <c r="AC1160" s="898"/>
      <c r="AD1160" s="898"/>
      <c r="AE1160" s="898"/>
      <c r="AF1160" s="898"/>
      <c r="AG1160" s="898"/>
      <c r="AH1160" s="898"/>
      <c r="AI1160" s="898"/>
      <c r="AJ1160" s="898"/>
      <c r="AK1160" s="898"/>
      <c r="AL1160" s="898"/>
      <c r="AM1160" s="897"/>
      <c r="AN1160" s="897"/>
      <c r="AO1160" s="897"/>
      <c r="AP1160" s="897"/>
      <c r="AQ1160" s="897"/>
      <c r="AR1160" s="897"/>
      <c r="AS1160" s="897"/>
      <c r="AT1160" s="897"/>
    </row>
    <row r="1161" spans="1:46" s="930" customFormat="1">
      <c r="A1161" s="892"/>
      <c r="B1161" s="899"/>
      <c r="C1161" s="900"/>
      <c r="D1161" s="894"/>
      <c r="E1161" s="936"/>
      <c r="F1161" s="905"/>
      <c r="G1161" s="896"/>
      <c r="H1161" s="897"/>
      <c r="I1161" s="897"/>
      <c r="J1161" s="897"/>
      <c r="K1161" s="897"/>
      <c r="L1161" s="898"/>
      <c r="M1161" s="898"/>
      <c r="N1161" s="898"/>
      <c r="O1161" s="898"/>
      <c r="P1161" s="898"/>
      <c r="Q1161" s="898"/>
      <c r="R1161" s="898"/>
      <c r="S1161" s="898"/>
      <c r="T1161" s="898"/>
      <c r="U1161" s="898"/>
      <c r="V1161" s="898"/>
      <c r="W1161" s="898"/>
      <c r="X1161" s="898"/>
      <c r="Y1161" s="898"/>
      <c r="Z1161" s="898"/>
      <c r="AA1161" s="898"/>
      <c r="AB1161" s="898"/>
      <c r="AC1161" s="898"/>
      <c r="AD1161" s="898"/>
      <c r="AE1161" s="898"/>
      <c r="AF1161" s="898"/>
      <c r="AG1161" s="898"/>
      <c r="AH1161" s="898"/>
      <c r="AI1161" s="898"/>
      <c r="AJ1161" s="898"/>
      <c r="AK1161" s="898"/>
      <c r="AL1161" s="898"/>
      <c r="AM1161" s="897"/>
      <c r="AN1161" s="897"/>
      <c r="AO1161" s="897"/>
      <c r="AP1161" s="897"/>
      <c r="AQ1161" s="897"/>
      <c r="AR1161" s="897"/>
      <c r="AS1161" s="897"/>
      <c r="AT1161" s="897"/>
    </row>
    <row r="1162" spans="1:46" s="930" customFormat="1">
      <c r="A1162" s="892"/>
      <c r="B1162" s="899"/>
      <c r="C1162" s="900"/>
      <c r="D1162" s="894"/>
      <c r="E1162" s="936"/>
      <c r="F1162" s="905"/>
      <c r="G1162" s="896"/>
      <c r="H1162" s="897"/>
      <c r="I1162" s="897"/>
      <c r="J1162" s="897"/>
      <c r="K1162" s="897"/>
      <c r="L1162" s="898"/>
      <c r="M1162" s="898"/>
      <c r="N1162" s="898"/>
      <c r="O1162" s="898"/>
      <c r="P1162" s="898"/>
      <c r="Q1162" s="898"/>
      <c r="R1162" s="898"/>
      <c r="S1162" s="898"/>
      <c r="T1162" s="898"/>
      <c r="U1162" s="898"/>
      <c r="V1162" s="898"/>
      <c r="W1162" s="898"/>
      <c r="X1162" s="898"/>
      <c r="Y1162" s="898"/>
      <c r="Z1162" s="898"/>
      <c r="AA1162" s="898"/>
      <c r="AB1162" s="898"/>
      <c r="AC1162" s="898"/>
      <c r="AD1162" s="898"/>
      <c r="AE1162" s="898"/>
      <c r="AF1162" s="898"/>
      <c r="AG1162" s="898"/>
      <c r="AH1162" s="898"/>
      <c r="AI1162" s="898"/>
      <c r="AJ1162" s="898"/>
      <c r="AK1162" s="898"/>
      <c r="AL1162" s="898"/>
      <c r="AM1162" s="897"/>
      <c r="AN1162" s="897"/>
      <c r="AO1162" s="897"/>
      <c r="AP1162" s="897"/>
      <c r="AQ1162" s="897"/>
      <c r="AR1162" s="897"/>
      <c r="AS1162" s="897"/>
      <c r="AT1162" s="897"/>
    </row>
    <row r="1163" spans="1:46" s="930" customFormat="1">
      <c r="A1163" s="892"/>
      <c r="B1163" s="899"/>
      <c r="C1163" s="900"/>
      <c r="D1163" s="894"/>
      <c r="E1163" s="936"/>
      <c r="F1163" s="905"/>
      <c r="G1163" s="896"/>
      <c r="H1163" s="897"/>
      <c r="I1163" s="897"/>
      <c r="J1163" s="897"/>
      <c r="K1163" s="897"/>
      <c r="L1163" s="898"/>
      <c r="M1163" s="898"/>
      <c r="N1163" s="898"/>
      <c r="O1163" s="898"/>
      <c r="P1163" s="898"/>
      <c r="Q1163" s="898"/>
      <c r="R1163" s="898"/>
      <c r="S1163" s="898"/>
      <c r="T1163" s="898"/>
      <c r="U1163" s="898"/>
      <c r="V1163" s="898"/>
      <c r="W1163" s="898"/>
      <c r="X1163" s="898"/>
      <c r="Y1163" s="898"/>
      <c r="Z1163" s="898"/>
      <c r="AA1163" s="898"/>
      <c r="AB1163" s="898"/>
      <c r="AC1163" s="898"/>
      <c r="AD1163" s="898"/>
      <c r="AE1163" s="898"/>
      <c r="AF1163" s="898"/>
      <c r="AG1163" s="898"/>
      <c r="AH1163" s="898"/>
      <c r="AI1163" s="898"/>
      <c r="AJ1163" s="898"/>
      <c r="AK1163" s="898"/>
      <c r="AL1163" s="898"/>
      <c r="AM1163" s="897"/>
      <c r="AN1163" s="897"/>
      <c r="AO1163" s="897"/>
      <c r="AP1163" s="897"/>
      <c r="AQ1163" s="897"/>
      <c r="AR1163" s="897"/>
      <c r="AS1163" s="897"/>
      <c r="AT1163" s="897"/>
    </row>
    <row r="1164" spans="1:46" s="930" customFormat="1">
      <c r="A1164" s="892"/>
      <c r="B1164" s="899"/>
      <c r="C1164" s="900"/>
      <c r="D1164" s="894"/>
      <c r="E1164" s="936"/>
      <c r="F1164" s="905"/>
      <c r="G1164" s="896"/>
      <c r="H1164" s="897"/>
      <c r="I1164" s="897"/>
      <c r="J1164" s="897"/>
      <c r="K1164" s="897"/>
      <c r="L1164" s="898"/>
      <c r="M1164" s="898"/>
      <c r="N1164" s="898"/>
      <c r="O1164" s="898"/>
      <c r="P1164" s="898"/>
      <c r="Q1164" s="898"/>
      <c r="R1164" s="898"/>
      <c r="S1164" s="898"/>
      <c r="T1164" s="898"/>
      <c r="U1164" s="898"/>
      <c r="V1164" s="898"/>
      <c r="W1164" s="898"/>
      <c r="X1164" s="898"/>
      <c r="Y1164" s="898"/>
      <c r="Z1164" s="898"/>
      <c r="AA1164" s="898"/>
      <c r="AB1164" s="898"/>
      <c r="AC1164" s="898"/>
      <c r="AD1164" s="898"/>
      <c r="AE1164" s="898"/>
      <c r="AF1164" s="898"/>
      <c r="AG1164" s="898"/>
      <c r="AH1164" s="898"/>
      <c r="AI1164" s="898"/>
      <c r="AJ1164" s="898"/>
      <c r="AK1164" s="898"/>
      <c r="AL1164" s="898"/>
      <c r="AM1164" s="897"/>
      <c r="AN1164" s="897"/>
      <c r="AO1164" s="897"/>
      <c r="AP1164" s="897"/>
      <c r="AQ1164" s="897"/>
      <c r="AR1164" s="897"/>
      <c r="AS1164" s="897"/>
      <c r="AT1164" s="897"/>
    </row>
    <row r="1165" spans="1:46" s="930" customFormat="1">
      <c r="A1165" s="892"/>
      <c r="B1165" s="899"/>
      <c r="C1165" s="900"/>
      <c r="D1165" s="894"/>
      <c r="E1165" s="936"/>
      <c r="F1165" s="905"/>
      <c r="G1165" s="896"/>
      <c r="H1165" s="897"/>
      <c r="I1165" s="897"/>
      <c r="J1165" s="897"/>
      <c r="K1165" s="897"/>
      <c r="L1165" s="898"/>
      <c r="M1165" s="898"/>
      <c r="N1165" s="898"/>
      <c r="O1165" s="898"/>
      <c r="P1165" s="898"/>
      <c r="Q1165" s="898"/>
      <c r="R1165" s="898"/>
      <c r="S1165" s="898"/>
      <c r="T1165" s="898"/>
      <c r="U1165" s="898"/>
      <c r="V1165" s="898"/>
      <c r="W1165" s="898"/>
      <c r="X1165" s="898"/>
      <c r="Y1165" s="898"/>
      <c r="Z1165" s="898"/>
      <c r="AA1165" s="898"/>
      <c r="AB1165" s="898"/>
      <c r="AC1165" s="898"/>
      <c r="AD1165" s="898"/>
      <c r="AE1165" s="898"/>
      <c r="AF1165" s="898"/>
      <c r="AG1165" s="898"/>
      <c r="AH1165" s="898"/>
      <c r="AI1165" s="898"/>
      <c r="AJ1165" s="898"/>
      <c r="AK1165" s="898"/>
      <c r="AL1165" s="898"/>
      <c r="AM1165" s="897"/>
      <c r="AN1165" s="897"/>
      <c r="AO1165" s="897"/>
      <c r="AP1165" s="897"/>
      <c r="AQ1165" s="897"/>
      <c r="AR1165" s="897"/>
      <c r="AS1165" s="897"/>
      <c r="AT1165" s="897"/>
    </row>
    <row r="1166" spans="1:46" s="930" customFormat="1">
      <c r="A1166" s="892"/>
      <c r="B1166" s="899"/>
      <c r="C1166" s="900"/>
      <c r="D1166" s="894"/>
      <c r="E1166" s="936"/>
      <c r="F1166" s="905"/>
      <c r="G1166" s="896"/>
      <c r="H1166" s="897"/>
      <c r="I1166" s="897"/>
      <c r="J1166" s="897"/>
      <c r="K1166" s="897"/>
      <c r="L1166" s="898"/>
      <c r="M1166" s="898"/>
      <c r="N1166" s="898"/>
      <c r="O1166" s="898"/>
      <c r="P1166" s="898"/>
      <c r="Q1166" s="898"/>
      <c r="R1166" s="898"/>
      <c r="S1166" s="898"/>
      <c r="T1166" s="898"/>
      <c r="U1166" s="898"/>
      <c r="V1166" s="898"/>
      <c r="W1166" s="898"/>
      <c r="X1166" s="898"/>
      <c r="Y1166" s="898"/>
      <c r="Z1166" s="898"/>
      <c r="AA1166" s="898"/>
      <c r="AB1166" s="898"/>
      <c r="AC1166" s="898"/>
      <c r="AD1166" s="898"/>
      <c r="AE1166" s="898"/>
      <c r="AF1166" s="898"/>
      <c r="AG1166" s="898"/>
      <c r="AH1166" s="898"/>
      <c r="AI1166" s="898"/>
      <c r="AJ1166" s="898"/>
      <c r="AK1166" s="898"/>
      <c r="AL1166" s="898"/>
      <c r="AM1166" s="897"/>
      <c r="AN1166" s="897"/>
      <c r="AO1166" s="897"/>
      <c r="AP1166" s="897"/>
      <c r="AQ1166" s="897"/>
      <c r="AR1166" s="897"/>
      <c r="AS1166" s="897"/>
      <c r="AT1166" s="897"/>
    </row>
    <row r="1167" spans="1:46" s="930" customFormat="1">
      <c r="A1167" s="892"/>
      <c r="B1167" s="899"/>
      <c r="C1167" s="900"/>
      <c r="D1167" s="894"/>
      <c r="E1167" s="936"/>
      <c r="F1167" s="905"/>
      <c r="G1167" s="896"/>
      <c r="H1167" s="897"/>
      <c r="I1167" s="897"/>
      <c r="J1167" s="897"/>
      <c r="K1167" s="897"/>
      <c r="L1167" s="898"/>
      <c r="M1167" s="898"/>
      <c r="N1167" s="898"/>
      <c r="O1167" s="898"/>
      <c r="P1167" s="898"/>
      <c r="Q1167" s="898"/>
      <c r="R1167" s="898"/>
      <c r="S1167" s="898"/>
      <c r="T1167" s="898"/>
      <c r="U1167" s="898"/>
      <c r="V1167" s="898"/>
      <c r="W1167" s="898"/>
      <c r="X1167" s="898"/>
      <c r="Y1167" s="898"/>
      <c r="Z1167" s="898"/>
      <c r="AA1167" s="898"/>
      <c r="AB1167" s="898"/>
      <c r="AC1167" s="898"/>
      <c r="AD1167" s="898"/>
      <c r="AE1167" s="898"/>
      <c r="AF1167" s="898"/>
      <c r="AG1167" s="898"/>
      <c r="AH1167" s="898"/>
      <c r="AI1167" s="898"/>
      <c r="AJ1167" s="898"/>
      <c r="AK1167" s="898"/>
      <c r="AL1167" s="898"/>
      <c r="AM1167" s="897"/>
      <c r="AN1167" s="897"/>
      <c r="AO1167" s="897"/>
      <c r="AP1167" s="897"/>
      <c r="AQ1167" s="897"/>
      <c r="AR1167" s="897"/>
      <c r="AS1167" s="897"/>
      <c r="AT1167" s="897"/>
    </row>
    <row r="1168" spans="1:46" s="930" customFormat="1">
      <c r="A1168" s="892"/>
      <c r="B1168" s="899"/>
      <c r="C1168" s="900"/>
      <c r="D1168" s="894"/>
      <c r="E1168" s="936"/>
      <c r="F1168" s="905"/>
      <c r="G1168" s="896"/>
      <c r="H1168" s="897"/>
      <c r="I1168" s="897"/>
      <c r="J1168" s="897"/>
      <c r="K1168" s="897"/>
      <c r="L1168" s="898"/>
      <c r="M1168" s="898"/>
      <c r="N1168" s="898"/>
      <c r="O1168" s="898"/>
      <c r="P1168" s="898"/>
      <c r="Q1168" s="898"/>
      <c r="R1168" s="898"/>
      <c r="S1168" s="898"/>
      <c r="T1168" s="898"/>
      <c r="U1168" s="898"/>
      <c r="V1168" s="898"/>
      <c r="W1168" s="898"/>
      <c r="X1168" s="898"/>
      <c r="Y1168" s="898"/>
      <c r="Z1168" s="898"/>
      <c r="AA1168" s="898"/>
      <c r="AB1168" s="898"/>
      <c r="AC1168" s="898"/>
      <c r="AD1168" s="898"/>
      <c r="AE1168" s="898"/>
      <c r="AF1168" s="898"/>
      <c r="AG1168" s="898"/>
      <c r="AH1168" s="898"/>
      <c r="AI1168" s="898"/>
      <c r="AJ1168" s="898"/>
      <c r="AK1168" s="898"/>
      <c r="AL1168" s="898"/>
      <c r="AM1168" s="897"/>
      <c r="AN1168" s="897"/>
      <c r="AO1168" s="897"/>
      <c r="AP1168" s="897"/>
      <c r="AQ1168" s="897"/>
      <c r="AR1168" s="897"/>
      <c r="AS1168" s="897"/>
      <c r="AT1168" s="897"/>
    </row>
    <row r="1169" spans="1:46" s="930" customFormat="1">
      <c r="A1169" s="892"/>
      <c r="B1169" s="899"/>
      <c r="C1169" s="900"/>
      <c r="D1169" s="894"/>
      <c r="E1169" s="936"/>
      <c r="F1169" s="905"/>
      <c r="G1169" s="896"/>
      <c r="H1169" s="897"/>
      <c r="I1169" s="897"/>
      <c r="J1169" s="897"/>
      <c r="K1169" s="897"/>
      <c r="L1169" s="898"/>
      <c r="M1169" s="898"/>
      <c r="N1169" s="898"/>
      <c r="O1169" s="898"/>
      <c r="P1169" s="898"/>
      <c r="Q1169" s="898"/>
      <c r="R1169" s="898"/>
      <c r="S1169" s="898"/>
      <c r="T1169" s="898"/>
      <c r="U1169" s="898"/>
      <c r="V1169" s="898"/>
      <c r="W1169" s="898"/>
      <c r="X1169" s="898"/>
      <c r="Y1169" s="898"/>
      <c r="Z1169" s="898"/>
      <c r="AA1169" s="898"/>
      <c r="AB1169" s="898"/>
      <c r="AC1169" s="898"/>
      <c r="AD1169" s="898"/>
      <c r="AE1169" s="898"/>
      <c r="AF1169" s="898"/>
      <c r="AG1169" s="898"/>
      <c r="AH1169" s="898"/>
      <c r="AI1169" s="898"/>
      <c r="AJ1169" s="898"/>
      <c r="AK1169" s="898"/>
      <c r="AL1169" s="898"/>
      <c r="AM1169" s="897"/>
      <c r="AN1169" s="897"/>
      <c r="AO1169" s="897"/>
      <c r="AP1169" s="897"/>
      <c r="AQ1169" s="897"/>
      <c r="AR1169" s="897"/>
      <c r="AS1169" s="897"/>
      <c r="AT1169" s="897"/>
    </row>
    <row r="1170" spans="1:46" s="930" customFormat="1">
      <c r="A1170" s="892"/>
      <c r="B1170" s="899"/>
      <c r="C1170" s="900"/>
      <c r="D1170" s="894"/>
      <c r="E1170" s="936"/>
      <c r="F1170" s="905"/>
      <c r="G1170" s="896"/>
      <c r="H1170" s="897"/>
      <c r="I1170" s="897"/>
      <c r="J1170" s="897"/>
      <c r="K1170" s="897"/>
      <c r="L1170" s="898"/>
      <c r="M1170" s="898"/>
      <c r="N1170" s="898"/>
      <c r="O1170" s="898"/>
      <c r="P1170" s="898"/>
      <c r="Q1170" s="898"/>
      <c r="R1170" s="898"/>
      <c r="S1170" s="898"/>
      <c r="T1170" s="898"/>
      <c r="U1170" s="898"/>
      <c r="V1170" s="898"/>
      <c r="W1170" s="898"/>
      <c r="X1170" s="898"/>
      <c r="Y1170" s="898"/>
      <c r="Z1170" s="898"/>
      <c r="AA1170" s="898"/>
      <c r="AB1170" s="898"/>
      <c r="AC1170" s="898"/>
      <c r="AD1170" s="898"/>
      <c r="AE1170" s="898"/>
      <c r="AF1170" s="898"/>
      <c r="AG1170" s="898"/>
      <c r="AH1170" s="898"/>
      <c r="AI1170" s="898"/>
      <c r="AJ1170" s="898"/>
      <c r="AK1170" s="898"/>
      <c r="AL1170" s="898"/>
      <c r="AM1170" s="897"/>
      <c r="AN1170" s="897"/>
      <c r="AO1170" s="897"/>
      <c r="AP1170" s="897"/>
      <c r="AQ1170" s="897"/>
      <c r="AR1170" s="897"/>
      <c r="AS1170" s="897"/>
      <c r="AT1170" s="897"/>
    </row>
    <row r="1171" spans="1:46" s="930" customFormat="1">
      <c r="A1171" s="892"/>
      <c r="B1171" s="899"/>
      <c r="C1171" s="900"/>
      <c r="D1171" s="894"/>
      <c r="E1171" s="936"/>
      <c r="F1171" s="905"/>
      <c r="G1171" s="896"/>
      <c r="H1171" s="897"/>
      <c r="I1171" s="897"/>
      <c r="J1171" s="897"/>
      <c r="K1171" s="897"/>
      <c r="L1171" s="898"/>
      <c r="M1171" s="898"/>
      <c r="N1171" s="898"/>
      <c r="O1171" s="898"/>
      <c r="P1171" s="898"/>
      <c r="Q1171" s="898"/>
      <c r="R1171" s="898"/>
      <c r="S1171" s="898"/>
      <c r="T1171" s="898"/>
      <c r="U1171" s="898"/>
      <c r="V1171" s="898"/>
      <c r="W1171" s="898"/>
      <c r="X1171" s="898"/>
      <c r="Y1171" s="898"/>
      <c r="Z1171" s="898"/>
      <c r="AA1171" s="898"/>
      <c r="AB1171" s="898"/>
      <c r="AC1171" s="898"/>
      <c r="AD1171" s="898"/>
      <c r="AE1171" s="898"/>
      <c r="AF1171" s="898"/>
      <c r="AG1171" s="898"/>
      <c r="AH1171" s="898"/>
      <c r="AI1171" s="898"/>
      <c r="AJ1171" s="898"/>
      <c r="AK1171" s="898"/>
      <c r="AL1171" s="898"/>
      <c r="AM1171" s="897"/>
      <c r="AN1171" s="897"/>
      <c r="AO1171" s="897"/>
      <c r="AP1171" s="897"/>
      <c r="AQ1171" s="897"/>
      <c r="AR1171" s="897"/>
      <c r="AS1171" s="897"/>
      <c r="AT1171" s="897"/>
    </row>
    <row r="1172" spans="1:46" s="930" customFormat="1">
      <c r="A1172" s="892"/>
      <c r="B1172" s="899"/>
      <c r="C1172" s="900"/>
      <c r="D1172" s="894"/>
      <c r="E1172" s="936"/>
      <c r="F1172" s="905"/>
      <c r="G1172" s="896"/>
      <c r="H1172" s="897"/>
      <c r="I1172" s="897"/>
      <c r="J1172" s="897"/>
      <c r="K1172" s="897"/>
      <c r="L1172" s="898"/>
      <c r="M1172" s="898"/>
      <c r="N1172" s="898"/>
      <c r="O1172" s="898"/>
      <c r="P1172" s="898"/>
      <c r="Q1172" s="898"/>
      <c r="R1172" s="898"/>
      <c r="S1172" s="898"/>
      <c r="T1172" s="898"/>
      <c r="U1172" s="898"/>
      <c r="V1172" s="898"/>
      <c r="W1172" s="898"/>
      <c r="X1172" s="898"/>
      <c r="Y1172" s="898"/>
      <c r="Z1172" s="898"/>
      <c r="AA1172" s="898"/>
      <c r="AB1172" s="898"/>
      <c r="AC1172" s="898"/>
      <c r="AD1172" s="898"/>
      <c r="AE1172" s="898"/>
      <c r="AF1172" s="898"/>
      <c r="AG1172" s="898"/>
      <c r="AH1172" s="898"/>
      <c r="AI1172" s="898"/>
      <c r="AJ1172" s="898"/>
      <c r="AK1172" s="898"/>
      <c r="AL1172" s="898"/>
      <c r="AM1172" s="897"/>
      <c r="AN1172" s="897"/>
      <c r="AO1172" s="897"/>
      <c r="AP1172" s="897"/>
      <c r="AQ1172" s="897"/>
      <c r="AR1172" s="897"/>
      <c r="AS1172" s="897"/>
      <c r="AT1172" s="897"/>
    </row>
    <row r="1173" spans="1:46" s="930" customFormat="1">
      <c r="A1173" s="892"/>
      <c r="B1173" s="899"/>
      <c r="C1173" s="900"/>
      <c r="D1173" s="894"/>
      <c r="E1173" s="936"/>
      <c r="F1173" s="905"/>
      <c r="G1173" s="896"/>
      <c r="H1173" s="897"/>
      <c r="I1173" s="897"/>
      <c r="J1173" s="897"/>
      <c r="K1173" s="897"/>
      <c r="L1173" s="898"/>
      <c r="M1173" s="898"/>
      <c r="N1173" s="898"/>
      <c r="O1173" s="898"/>
      <c r="P1173" s="898"/>
      <c r="Q1173" s="898"/>
      <c r="R1173" s="898"/>
      <c r="S1173" s="898"/>
      <c r="T1173" s="898"/>
      <c r="U1173" s="898"/>
      <c r="V1173" s="898"/>
      <c r="W1173" s="898"/>
      <c r="X1173" s="898"/>
      <c r="Y1173" s="898"/>
      <c r="Z1173" s="898"/>
      <c r="AA1173" s="898"/>
      <c r="AB1173" s="898"/>
      <c r="AC1173" s="898"/>
      <c r="AD1173" s="898"/>
      <c r="AE1173" s="898"/>
      <c r="AF1173" s="898"/>
      <c r="AG1173" s="898"/>
      <c r="AH1173" s="898"/>
      <c r="AI1173" s="898"/>
      <c r="AJ1173" s="898"/>
      <c r="AK1173" s="898"/>
      <c r="AL1173" s="898"/>
      <c r="AM1173" s="897"/>
      <c r="AN1173" s="897"/>
      <c r="AO1173" s="897"/>
      <c r="AP1173" s="897"/>
      <c r="AQ1173" s="897"/>
      <c r="AR1173" s="897"/>
      <c r="AS1173" s="897"/>
      <c r="AT1173" s="897"/>
    </row>
    <row r="1174" spans="1:46" s="930" customFormat="1">
      <c r="A1174" s="892"/>
      <c r="B1174" s="899"/>
      <c r="C1174" s="900"/>
      <c r="D1174" s="894"/>
      <c r="E1174" s="936"/>
      <c r="F1174" s="905"/>
      <c r="G1174" s="896"/>
      <c r="H1174" s="897"/>
      <c r="I1174" s="897"/>
      <c r="J1174" s="897"/>
      <c r="K1174" s="897"/>
      <c r="L1174" s="898"/>
      <c r="M1174" s="898"/>
      <c r="N1174" s="898"/>
      <c r="O1174" s="898"/>
      <c r="P1174" s="898"/>
      <c r="Q1174" s="898"/>
      <c r="R1174" s="898"/>
      <c r="S1174" s="898"/>
      <c r="T1174" s="898"/>
      <c r="U1174" s="898"/>
      <c r="V1174" s="898"/>
      <c r="W1174" s="898"/>
      <c r="X1174" s="898"/>
      <c r="Y1174" s="898"/>
      <c r="Z1174" s="898"/>
      <c r="AA1174" s="898"/>
      <c r="AB1174" s="898"/>
      <c r="AC1174" s="898"/>
      <c r="AD1174" s="898"/>
      <c r="AE1174" s="898"/>
      <c r="AF1174" s="898"/>
      <c r="AG1174" s="898"/>
      <c r="AH1174" s="898"/>
      <c r="AI1174" s="898"/>
      <c r="AJ1174" s="898"/>
      <c r="AK1174" s="898"/>
      <c r="AL1174" s="898"/>
      <c r="AM1174" s="897"/>
      <c r="AN1174" s="897"/>
      <c r="AO1174" s="897"/>
      <c r="AP1174" s="897"/>
      <c r="AQ1174" s="897"/>
      <c r="AR1174" s="897"/>
      <c r="AS1174" s="897"/>
      <c r="AT1174" s="897"/>
    </row>
    <row r="1175" spans="1:46" s="930" customFormat="1">
      <c r="A1175" s="892"/>
      <c r="B1175" s="899"/>
      <c r="C1175" s="900"/>
      <c r="D1175" s="894"/>
      <c r="E1175" s="936"/>
      <c r="F1175" s="905"/>
      <c r="G1175" s="896"/>
      <c r="H1175" s="897"/>
      <c r="I1175" s="897"/>
      <c r="J1175" s="897"/>
      <c r="K1175" s="897"/>
      <c r="L1175" s="898"/>
      <c r="M1175" s="898"/>
      <c r="N1175" s="898"/>
      <c r="O1175" s="898"/>
      <c r="P1175" s="898"/>
      <c r="Q1175" s="898"/>
      <c r="R1175" s="898"/>
      <c r="S1175" s="898"/>
      <c r="T1175" s="898"/>
      <c r="U1175" s="898"/>
      <c r="V1175" s="898"/>
      <c r="W1175" s="898"/>
      <c r="X1175" s="898"/>
      <c r="Y1175" s="898"/>
      <c r="Z1175" s="898"/>
      <c r="AA1175" s="898"/>
      <c r="AB1175" s="898"/>
      <c r="AC1175" s="898"/>
      <c r="AD1175" s="898"/>
      <c r="AE1175" s="898"/>
      <c r="AF1175" s="898"/>
      <c r="AG1175" s="898"/>
      <c r="AH1175" s="898"/>
      <c r="AI1175" s="898"/>
      <c r="AJ1175" s="898"/>
      <c r="AK1175" s="898"/>
      <c r="AL1175" s="898"/>
      <c r="AM1175" s="897"/>
      <c r="AN1175" s="897"/>
      <c r="AO1175" s="897"/>
      <c r="AP1175" s="897"/>
      <c r="AQ1175" s="897"/>
      <c r="AR1175" s="897"/>
      <c r="AS1175" s="897"/>
      <c r="AT1175" s="897"/>
    </row>
    <row r="1176" spans="1:46" s="930" customFormat="1">
      <c r="A1176" s="892"/>
      <c r="B1176" s="899"/>
      <c r="C1176" s="900"/>
      <c r="D1176" s="894"/>
      <c r="E1176" s="936"/>
      <c r="F1176" s="905"/>
      <c r="G1176" s="896"/>
      <c r="H1176" s="897"/>
      <c r="I1176" s="897"/>
      <c r="J1176" s="897"/>
      <c r="K1176" s="897"/>
      <c r="L1176" s="898"/>
      <c r="M1176" s="898"/>
      <c r="N1176" s="898"/>
      <c r="O1176" s="898"/>
      <c r="P1176" s="898"/>
      <c r="Q1176" s="898"/>
      <c r="R1176" s="898"/>
      <c r="S1176" s="898"/>
      <c r="T1176" s="898"/>
      <c r="U1176" s="898"/>
      <c r="V1176" s="898"/>
      <c r="W1176" s="898"/>
      <c r="X1176" s="898"/>
      <c r="Y1176" s="898"/>
      <c r="Z1176" s="898"/>
      <c r="AA1176" s="898"/>
      <c r="AB1176" s="898"/>
      <c r="AC1176" s="898"/>
      <c r="AD1176" s="898"/>
      <c r="AE1176" s="898"/>
      <c r="AF1176" s="898"/>
      <c r="AG1176" s="898"/>
      <c r="AH1176" s="898"/>
      <c r="AI1176" s="898"/>
      <c r="AJ1176" s="898"/>
      <c r="AK1176" s="898"/>
      <c r="AL1176" s="898"/>
      <c r="AM1176" s="897"/>
      <c r="AN1176" s="897"/>
      <c r="AO1176" s="897"/>
      <c r="AP1176" s="897"/>
      <c r="AQ1176" s="897"/>
      <c r="AR1176" s="897"/>
      <c r="AS1176" s="897"/>
      <c r="AT1176" s="897"/>
    </row>
    <row r="1177" spans="1:46" s="930" customFormat="1">
      <c r="A1177" s="892"/>
      <c r="B1177" s="899"/>
      <c r="C1177" s="900"/>
      <c r="D1177" s="894"/>
      <c r="E1177" s="936"/>
      <c r="F1177" s="905"/>
      <c r="G1177" s="896"/>
      <c r="H1177" s="897"/>
      <c r="I1177" s="897"/>
      <c r="J1177" s="897"/>
      <c r="K1177" s="897"/>
      <c r="L1177" s="898"/>
      <c r="M1177" s="898"/>
      <c r="N1177" s="898"/>
      <c r="O1177" s="898"/>
      <c r="P1177" s="898"/>
      <c r="Q1177" s="898"/>
      <c r="R1177" s="898"/>
      <c r="S1177" s="898"/>
      <c r="T1177" s="898"/>
      <c r="U1177" s="898"/>
      <c r="V1177" s="898"/>
      <c r="W1177" s="898"/>
      <c r="X1177" s="898"/>
      <c r="Y1177" s="898"/>
      <c r="Z1177" s="898"/>
      <c r="AA1177" s="898"/>
      <c r="AB1177" s="898"/>
      <c r="AC1177" s="898"/>
      <c r="AD1177" s="898"/>
      <c r="AE1177" s="898"/>
      <c r="AF1177" s="898"/>
      <c r="AG1177" s="898"/>
      <c r="AH1177" s="898"/>
      <c r="AI1177" s="898"/>
      <c r="AJ1177" s="898"/>
      <c r="AK1177" s="898"/>
      <c r="AL1177" s="898"/>
      <c r="AM1177" s="897"/>
      <c r="AN1177" s="897"/>
      <c r="AO1177" s="897"/>
      <c r="AP1177" s="897"/>
      <c r="AQ1177" s="897"/>
      <c r="AR1177" s="897"/>
      <c r="AS1177" s="897"/>
      <c r="AT1177" s="897"/>
    </row>
    <row r="1178" spans="1:46" s="930" customFormat="1">
      <c r="A1178" s="892"/>
      <c r="B1178" s="899"/>
      <c r="C1178" s="900"/>
      <c r="D1178" s="894"/>
      <c r="E1178" s="936"/>
      <c r="F1178" s="905"/>
      <c r="G1178" s="896"/>
      <c r="H1178" s="897"/>
      <c r="I1178" s="897"/>
      <c r="J1178" s="897"/>
      <c r="K1178" s="897"/>
      <c r="L1178" s="898"/>
      <c r="M1178" s="898"/>
      <c r="N1178" s="898"/>
      <c r="O1178" s="898"/>
      <c r="P1178" s="898"/>
      <c r="Q1178" s="898"/>
      <c r="R1178" s="898"/>
      <c r="S1178" s="898"/>
      <c r="T1178" s="898"/>
      <c r="U1178" s="898"/>
      <c r="V1178" s="898"/>
      <c r="W1178" s="898"/>
      <c r="X1178" s="898"/>
      <c r="Y1178" s="898"/>
      <c r="Z1178" s="898"/>
      <c r="AA1178" s="898"/>
      <c r="AB1178" s="898"/>
      <c r="AC1178" s="898"/>
      <c r="AD1178" s="898"/>
      <c r="AE1178" s="898"/>
      <c r="AF1178" s="898"/>
      <c r="AG1178" s="898"/>
      <c r="AH1178" s="898"/>
      <c r="AI1178" s="898"/>
      <c r="AJ1178" s="898"/>
      <c r="AK1178" s="898"/>
      <c r="AL1178" s="898"/>
      <c r="AM1178" s="897"/>
      <c r="AN1178" s="897"/>
      <c r="AO1178" s="897"/>
      <c r="AP1178" s="897"/>
      <c r="AQ1178" s="897"/>
      <c r="AR1178" s="897"/>
      <c r="AS1178" s="897"/>
      <c r="AT1178" s="897"/>
    </row>
    <row r="1179" spans="1:46" s="930" customFormat="1">
      <c r="A1179" s="892"/>
      <c r="B1179" s="899"/>
      <c r="C1179" s="900"/>
      <c r="D1179" s="894"/>
      <c r="E1179" s="936"/>
      <c r="F1179" s="905"/>
      <c r="G1179" s="896"/>
      <c r="H1179" s="897"/>
      <c r="I1179" s="897"/>
      <c r="J1179" s="897"/>
      <c r="K1179" s="897"/>
      <c r="L1179" s="898"/>
      <c r="M1179" s="898"/>
      <c r="N1179" s="898"/>
      <c r="O1179" s="898"/>
      <c r="P1179" s="898"/>
      <c r="Q1179" s="898"/>
      <c r="R1179" s="898"/>
      <c r="S1179" s="898"/>
      <c r="T1179" s="898"/>
      <c r="U1179" s="898"/>
      <c r="V1179" s="898"/>
      <c r="W1179" s="898"/>
      <c r="X1179" s="898"/>
      <c r="Y1179" s="898"/>
      <c r="Z1179" s="898"/>
      <c r="AA1179" s="898"/>
      <c r="AB1179" s="898"/>
      <c r="AC1179" s="898"/>
      <c r="AD1179" s="898"/>
      <c r="AE1179" s="898"/>
      <c r="AF1179" s="898"/>
      <c r="AG1179" s="898"/>
      <c r="AH1179" s="898"/>
      <c r="AI1179" s="898"/>
      <c r="AJ1179" s="898"/>
      <c r="AK1179" s="898"/>
      <c r="AL1179" s="898"/>
      <c r="AM1179" s="897"/>
      <c r="AN1179" s="897"/>
      <c r="AO1179" s="897"/>
      <c r="AP1179" s="897"/>
      <c r="AQ1179" s="897"/>
      <c r="AR1179" s="897"/>
      <c r="AS1179" s="897"/>
      <c r="AT1179" s="897"/>
    </row>
    <row r="1180" spans="1:46" s="930" customFormat="1">
      <c r="A1180" s="892"/>
      <c r="B1180" s="899"/>
      <c r="C1180" s="900"/>
      <c r="D1180" s="894"/>
      <c r="E1180" s="936"/>
      <c r="F1180" s="905"/>
      <c r="G1180" s="896"/>
      <c r="H1180" s="897"/>
      <c r="I1180" s="897"/>
      <c r="J1180" s="897"/>
      <c r="K1180" s="897"/>
      <c r="L1180" s="898"/>
      <c r="M1180" s="898"/>
      <c r="N1180" s="898"/>
      <c r="O1180" s="898"/>
      <c r="P1180" s="898"/>
      <c r="Q1180" s="898"/>
      <c r="R1180" s="898"/>
      <c r="S1180" s="898"/>
      <c r="T1180" s="898"/>
      <c r="U1180" s="898"/>
      <c r="V1180" s="898"/>
      <c r="W1180" s="898"/>
      <c r="X1180" s="898"/>
      <c r="Y1180" s="898"/>
      <c r="Z1180" s="898"/>
      <c r="AA1180" s="898"/>
      <c r="AB1180" s="898"/>
      <c r="AC1180" s="898"/>
      <c r="AD1180" s="898"/>
      <c r="AE1180" s="898"/>
      <c r="AF1180" s="898"/>
      <c r="AG1180" s="898"/>
      <c r="AH1180" s="898"/>
      <c r="AI1180" s="898"/>
      <c r="AJ1180" s="898"/>
      <c r="AK1180" s="898"/>
      <c r="AL1180" s="898"/>
      <c r="AM1180" s="897"/>
      <c r="AN1180" s="897"/>
      <c r="AO1180" s="897"/>
      <c r="AP1180" s="897"/>
      <c r="AQ1180" s="897"/>
      <c r="AR1180" s="897"/>
      <c r="AS1180" s="897"/>
      <c r="AT1180" s="897"/>
    </row>
    <row r="1181" spans="1:46" s="930" customFormat="1">
      <c r="A1181" s="892"/>
      <c r="B1181" s="899"/>
      <c r="C1181" s="900"/>
      <c r="D1181" s="894"/>
      <c r="E1181" s="936"/>
      <c r="F1181" s="905"/>
      <c r="G1181" s="896"/>
      <c r="H1181" s="897"/>
      <c r="I1181" s="897"/>
      <c r="J1181" s="897"/>
      <c r="K1181" s="897"/>
      <c r="L1181" s="898"/>
      <c r="M1181" s="898"/>
      <c r="N1181" s="898"/>
      <c r="O1181" s="898"/>
      <c r="P1181" s="898"/>
      <c r="Q1181" s="898"/>
      <c r="R1181" s="898"/>
      <c r="S1181" s="898"/>
      <c r="T1181" s="898"/>
      <c r="U1181" s="898"/>
      <c r="V1181" s="898"/>
      <c r="W1181" s="898"/>
      <c r="X1181" s="898"/>
      <c r="Y1181" s="898"/>
      <c r="Z1181" s="898"/>
      <c r="AA1181" s="898"/>
      <c r="AB1181" s="898"/>
      <c r="AC1181" s="898"/>
      <c r="AD1181" s="898"/>
      <c r="AE1181" s="898"/>
      <c r="AF1181" s="898"/>
      <c r="AG1181" s="898"/>
      <c r="AH1181" s="898"/>
      <c r="AI1181" s="898"/>
      <c r="AJ1181" s="898"/>
      <c r="AK1181" s="898"/>
      <c r="AL1181" s="898"/>
      <c r="AM1181" s="897"/>
      <c r="AN1181" s="897"/>
      <c r="AO1181" s="897"/>
      <c r="AP1181" s="897"/>
      <c r="AQ1181" s="897"/>
      <c r="AR1181" s="897"/>
      <c r="AS1181" s="897"/>
      <c r="AT1181" s="897"/>
    </row>
    <row r="1182" spans="1:46" s="930" customFormat="1">
      <c r="A1182" s="892"/>
      <c r="B1182" s="899"/>
      <c r="C1182" s="900"/>
      <c r="D1182" s="894"/>
      <c r="E1182" s="936"/>
      <c r="F1182" s="905"/>
      <c r="G1182" s="896"/>
      <c r="H1182" s="897"/>
      <c r="I1182" s="897"/>
      <c r="J1182" s="897"/>
      <c r="K1182" s="897"/>
      <c r="L1182" s="898"/>
      <c r="M1182" s="898"/>
      <c r="N1182" s="898"/>
      <c r="O1182" s="898"/>
      <c r="P1182" s="898"/>
      <c r="Q1182" s="898"/>
      <c r="R1182" s="898"/>
      <c r="S1182" s="898"/>
      <c r="T1182" s="898"/>
      <c r="U1182" s="898"/>
      <c r="V1182" s="898"/>
      <c r="W1182" s="898"/>
      <c r="X1182" s="898"/>
      <c r="Y1182" s="898"/>
      <c r="Z1182" s="898"/>
      <c r="AA1182" s="898"/>
      <c r="AB1182" s="898"/>
      <c r="AC1182" s="898"/>
      <c r="AD1182" s="898"/>
      <c r="AE1182" s="898"/>
      <c r="AF1182" s="898"/>
      <c r="AG1182" s="898"/>
      <c r="AH1182" s="898"/>
      <c r="AI1182" s="898"/>
      <c r="AJ1182" s="898"/>
      <c r="AK1182" s="898"/>
      <c r="AL1182" s="898"/>
      <c r="AM1182" s="897"/>
      <c r="AN1182" s="897"/>
      <c r="AO1182" s="897"/>
      <c r="AP1182" s="897"/>
      <c r="AQ1182" s="897"/>
      <c r="AR1182" s="897"/>
      <c r="AS1182" s="897"/>
      <c r="AT1182" s="897"/>
    </row>
    <row r="1183" spans="1:46" s="930" customFormat="1">
      <c r="A1183" s="892"/>
      <c r="B1183" s="899"/>
      <c r="C1183" s="900"/>
      <c r="D1183" s="894"/>
      <c r="E1183" s="936"/>
      <c r="F1183" s="905"/>
      <c r="G1183" s="896"/>
      <c r="H1183" s="897"/>
      <c r="I1183" s="897"/>
      <c r="J1183" s="897"/>
      <c r="K1183" s="897"/>
      <c r="L1183" s="898"/>
      <c r="M1183" s="898"/>
      <c r="N1183" s="898"/>
      <c r="O1183" s="898"/>
      <c r="P1183" s="898"/>
      <c r="Q1183" s="898"/>
      <c r="R1183" s="898"/>
      <c r="S1183" s="898"/>
      <c r="T1183" s="898"/>
      <c r="U1183" s="898"/>
      <c r="V1183" s="898"/>
      <c r="W1183" s="898"/>
      <c r="X1183" s="898"/>
      <c r="Y1183" s="898"/>
      <c r="Z1183" s="898"/>
      <c r="AA1183" s="898"/>
      <c r="AB1183" s="898"/>
      <c r="AC1183" s="898"/>
      <c r="AD1183" s="898"/>
      <c r="AE1183" s="898"/>
      <c r="AF1183" s="898"/>
      <c r="AG1183" s="898"/>
      <c r="AH1183" s="898"/>
      <c r="AI1183" s="898"/>
      <c r="AJ1183" s="898"/>
      <c r="AK1183" s="898"/>
      <c r="AL1183" s="898"/>
      <c r="AM1183" s="897"/>
      <c r="AN1183" s="897"/>
      <c r="AO1183" s="897"/>
      <c r="AP1183" s="897"/>
      <c r="AQ1183" s="897"/>
      <c r="AR1183" s="897"/>
      <c r="AS1183" s="897"/>
      <c r="AT1183" s="897"/>
    </row>
    <row r="1184" spans="1:46" s="930" customFormat="1">
      <c r="A1184" s="892"/>
      <c r="B1184" s="899"/>
      <c r="C1184" s="900"/>
      <c r="D1184" s="894"/>
      <c r="E1184" s="936"/>
      <c r="F1184" s="905"/>
      <c r="G1184" s="896"/>
      <c r="H1184" s="897"/>
      <c r="I1184" s="897"/>
      <c r="J1184" s="897"/>
      <c r="K1184" s="897"/>
      <c r="L1184" s="898"/>
      <c r="M1184" s="898"/>
      <c r="N1184" s="898"/>
      <c r="O1184" s="898"/>
      <c r="P1184" s="898"/>
      <c r="Q1184" s="898"/>
      <c r="R1184" s="898"/>
      <c r="S1184" s="898"/>
      <c r="T1184" s="898"/>
      <c r="U1184" s="898"/>
      <c r="V1184" s="898"/>
      <c r="W1184" s="898"/>
      <c r="X1184" s="898"/>
      <c r="Y1184" s="898"/>
      <c r="Z1184" s="898"/>
      <c r="AA1184" s="898"/>
      <c r="AB1184" s="898"/>
      <c r="AC1184" s="898"/>
      <c r="AD1184" s="898"/>
      <c r="AE1184" s="898"/>
      <c r="AF1184" s="898"/>
      <c r="AG1184" s="898"/>
      <c r="AH1184" s="898"/>
      <c r="AI1184" s="898"/>
      <c r="AJ1184" s="898"/>
      <c r="AK1184" s="898"/>
      <c r="AL1184" s="898"/>
      <c r="AM1184" s="897"/>
      <c r="AN1184" s="897"/>
      <c r="AO1184" s="897"/>
      <c r="AP1184" s="897"/>
      <c r="AQ1184" s="897"/>
      <c r="AR1184" s="897"/>
      <c r="AS1184" s="897"/>
      <c r="AT1184" s="897"/>
    </row>
    <row r="1185" spans="1:46" s="930" customFormat="1">
      <c r="A1185" s="892"/>
      <c r="B1185" s="899"/>
      <c r="C1185" s="900"/>
      <c r="D1185" s="894"/>
      <c r="E1185" s="936"/>
      <c r="F1185" s="905"/>
      <c r="G1185" s="896"/>
      <c r="H1185" s="897"/>
      <c r="I1185" s="897"/>
      <c r="J1185" s="897"/>
      <c r="K1185" s="897"/>
      <c r="L1185" s="898"/>
      <c r="M1185" s="898"/>
      <c r="N1185" s="898"/>
      <c r="O1185" s="898"/>
      <c r="P1185" s="898"/>
      <c r="Q1185" s="898"/>
      <c r="R1185" s="898"/>
      <c r="S1185" s="898"/>
      <c r="T1185" s="898"/>
      <c r="U1185" s="898"/>
      <c r="V1185" s="898"/>
      <c r="W1185" s="898"/>
      <c r="X1185" s="898"/>
      <c r="Y1185" s="898"/>
      <c r="Z1185" s="898"/>
      <c r="AA1185" s="898"/>
      <c r="AB1185" s="898"/>
      <c r="AC1185" s="898"/>
      <c r="AD1185" s="898"/>
      <c r="AE1185" s="898"/>
      <c r="AF1185" s="898"/>
      <c r="AG1185" s="898"/>
      <c r="AH1185" s="898"/>
      <c r="AI1185" s="898"/>
      <c r="AJ1185" s="898"/>
      <c r="AK1185" s="898"/>
      <c r="AL1185" s="898"/>
      <c r="AM1185" s="897"/>
      <c r="AN1185" s="897"/>
      <c r="AO1185" s="897"/>
      <c r="AP1185" s="897"/>
      <c r="AQ1185" s="897"/>
      <c r="AR1185" s="897"/>
      <c r="AS1185" s="897"/>
      <c r="AT1185" s="897"/>
    </row>
    <row r="1186" spans="1:46" s="930" customFormat="1">
      <c r="A1186" s="892"/>
      <c r="B1186" s="899"/>
      <c r="C1186" s="900"/>
      <c r="D1186" s="894"/>
      <c r="E1186" s="936"/>
      <c r="F1186" s="905"/>
      <c r="G1186" s="896"/>
      <c r="H1186" s="897"/>
      <c r="I1186" s="897"/>
      <c r="J1186" s="897"/>
      <c r="K1186" s="897"/>
      <c r="L1186" s="898"/>
      <c r="M1186" s="898"/>
      <c r="N1186" s="898"/>
      <c r="O1186" s="898"/>
      <c r="P1186" s="898"/>
      <c r="Q1186" s="898"/>
      <c r="R1186" s="898"/>
      <c r="S1186" s="898"/>
      <c r="T1186" s="898"/>
      <c r="U1186" s="898"/>
      <c r="V1186" s="898"/>
      <c r="W1186" s="898"/>
      <c r="X1186" s="898"/>
      <c r="Y1186" s="898"/>
      <c r="Z1186" s="898"/>
      <c r="AA1186" s="898"/>
      <c r="AB1186" s="898"/>
      <c r="AC1186" s="898"/>
      <c r="AD1186" s="898"/>
      <c r="AE1186" s="898"/>
      <c r="AF1186" s="898"/>
      <c r="AG1186" s="898"/>
      <c r="AH1186" s="898"/>
      <c r="AI1186" s="898"/>
      <c r="AJ1186" s="898"/>
      <c r="AK1186" s="898"/>
      <c r="AL1186" s="898"/>
      <c r="AM1186" s="897"/>
      <c r="AN1186" s="897"/>
      <c r="AO1186" s="897"/>
      <c r="AP1186" s="897"/>
      <c r="AQ1186" s="897"/>
      <c r="AR1186" s="897"/>
      <c r="AS1186" s="897"/>
      <c r="AT1186" s="897"/>
    </row>
    <row r="1187" spans="1:46" s="930" customFormat="1">
      <c r="A1187" s="892"/>
      <c r="B1187" s="899"/>
      <c r="C1187" s="900"/>
      <c r="D1187" s="894"/>
      <c r="E1187" s="936"/>
      <c r="F1187" s="905"/>
      <c r="G1187" s="896"/>
      <c r="H1187" s="897"/>
      <c r="I1187" s="897"/>
      <c r="J1187" s="897"/>
      <c r="K1187" s="897"/>
      <c r="L1187" s="898"/>
      <c r="M1187" s="898"/>
      <c r="N1187" s="898"/>
      <c r="O1187" s="898"/>
      <c r="P1187" s="898"/>
      <c r="Q1187" s="898"/>
      <c r="R1187" s="898"/>
      <c r="S1187" s="898"/>
      <c r="T1187" s="898"/>
      <c r="U1187" s="898"/>
      <c r="V1187" s="898"/>
      <c r="W1187" s="898"/>
      <c r="X1187" s="898"/>
      <c r="Y1187" s="898"/>
      <c r="Z1187" s="898"/>
      <c r="AA1187" s="898"/>
      <c r="AB1187" s="898"/>
      <c r="AC1187" s="898"/>
      <c r="AD1187" s="898"/>
      <c r="AE1187" s="898"/>
      <c r="AF1187" s="898"/>
      <c r="AG1187" s="898"/>
      <c r="AH1187" s="898"/>
      <c r="AI1187" s="898"/>
      <c r="AJ1187" s="898"/>
      <c r="AK1187" s="898"/>
      <c r="AL1187" s="898"/>
      <c r="AM1187" s="897"/>
      <c r="AN1187" s="897"/>
      <c r="AO1187" s="897"/>
      <c r="AP1187" s="897"/>
      <c r="AQ1187" s="897"/>
      <c r="AR1187" s="897"/>
      <c r="AS1187" s="897"/>
      <c r="AT1187" s="897"/>
    </row>
    <row r="1188" spans="1:46" s="930" customFormat="1">
      <c r="A1188" s="892"/>
      <c r="B1188" s="899"/>
      <c r="C1188" s="900"/>
      <c r="D1188" s="894"/>
      <c r="E1188" s="936"/>
      <c r="F1188" s="905"/>
      <c r="G1188" s="896"/>
      <c r="H1188" s="897"/>
      <c r="I1188" s="897"/>
      <c r="J1188" s="897"/>
      <c r="K1188" s="897"/>
      <c r="L1188" s="898"/>
      <c r="M1188" s="898"/>
      <c r="N1188" s="898"/>
      <c r="O1188" s="898"/>
      <c r="P1188" s="898"/>
      <c r="Q1188" s="898"/>
      <c r="R1188" s="898"/>
      <c r="S1188" s="898"/>
      <c r="T1188" s="898"/>
      <c r="U1188" s="898"/>
      <c r="V1188" s="898"/>
      <c r="W1188" s="898"/>
      <c r="X1188" s="898"/>
      <c r="Y1188" s="898"/>
      <c r="Z1188" s="898"/>
      <c r="AA1188" s="898"/>
      <c r="AB1188" s="898"/>
      <c r="AC1188" s="898"/>
      <c r="AD1188" s="898"/>
      <c r="AE1188" s="898"/>
      <c r="AF1188" s="898"/>
      <c r="AG1188" s="898"/>
      <c r="AH1188" s="898"/>
      <c r="AI1188" s="898"/>
      <c r="AJ1188" s="898"/>
      <c r="AK1188" s="898"/>
      <c r="AL1188" s="898"/>
      <c r="AM1188" s="897"/>
      <c r="AN1188" s="897"/>
      <c r="AO1188" s="897"/>
      <c r="AP1188" s="897"/>
      <c r="AQ1188" s="897"/>
      <c r="AR1188" s="897"/>
      <c r="AS1188" s="897"/>
      <c r="AT1188" s="897"/>
    </row>
    <row r="1189" spans="1:46" s="930" customFormat="1">
      <c r="A1189" s="892"/>
      <c r="B1189" s="899"/>
      <c r="C1189" s="900"/>
      <c r="D1189" s="894"/>
      <c r="E1189" s="936"/>
      <c r="F1189" s="905"/>
      <c r="G1189" s="896"/>
      <c r="H1189" s="897"/>
      <c r="I1189" s="897"/>
      <c r="J1189" s="897"/>
      <c r="K1189" s="897"/>
      <c r="L1189" s="898"/>
      <c r="M1189" s="898"/>
      <c r="N1189" s="898"/>
      <c r="O1189" s="898"/>
      <c r="P1189" s="898"/>
      <c r="Q1189" s="898"/>
      <c r="R1189" s="898"/>
      <c r="S1189" s="898"/>
      <c r="T1189" s="898"/>
      <c r="U1189" s="898"/>
      <c r="V1189" s="898"/>
      <c r="W1189" s="898"/>
      <c r="X1189" s="898"/>
      <c r="Y1189" s="898"/>
      <c r="Z1189" s="898"/>
      <c r="AA1189" s="898"/>
      <c r="AB1189" s="898"/>
      <c r="AC1189" s="898"/>
      <c r="AD1189" s="898"/>
      <c r="AE1189" s="898"/>
      <c r="AF1189" s="898"/>
      <c r="AG1189" s="898"/>
      <c r="AH1189" s="898"/>
      <c r="AI1189" s="898"/>
      <c r="AJ1189" s="898"/>
      <c r="AK1189" s="898"/>
      <c r="AL1189" s="898"/>
      <c r="AM1189" s="897"/>
      <c r="AN1189" s="897"/>
      <c r="AO1189" s="897"/>
      <c r="AP1189" s="897"/>
      <c r="AQ1189" s="897"/>
      <c r="AR1189" s="897"/>
      <c r="AS1189" s="897"/>
      <c r="AT1189" s="897"/>
    </row>
    <row r="1190" spans="1:46" s="930" customFormat="1">
      <c r="A1190" s="892"/>
      <c r="B1190" s="899"/>
      <c r="C1190" s="900"/>
      <c r="D1190" s="894"/>
      <c r="E1190" s="936"/>
      <c r="F1190" s="905"/>
      <c r="G1190" s="896"/>
      <c r="H1190" s="897"/>
      <c r="I1190" s="897"/>
      <c r="J1190" s="897"/>
      <c r="K1190" s="897"/>
      <c r="L1190" s="898"/>
      <c r="M1190" s="898"/>
      <c r="N1190" s="898"/>
      <c r="O1190" s="898"/>
      <c r="P1190" s="898"/>
      <c r="Q1190" s="898"/>
      <c r="R1190" s="898"/>
      <c r="S1190" s="898"/>
      <c r="T1190" s="898"/>
      <c r="U1190" s="898"/>
      <c r="V1190" s="898"/>
      <c r="W1190" s="898"/>
      <c r="X1190" s="898"/>
      <c r="Y1190" s="898"/>
      <c r="Z1190" s="898"/>
      <c r="AA1190" s="898"/>
      <c r="AB1190" s="898"/>
      <c r="AC1190" s="898"/>
      <c r="AD1190" s="898"/>
      <c r="AE1190" s="898"/>
      <c r="AF1190" s="898"/>
      <c r="AG1190" s="898"/>
      <c r="AH1190" s="898"/>
      <c r="AI1190" s="898"/>
      <c r="AJ1190" s="898"/>
      <c r="AK1190" s="898"/>
      <c r="AL1190" s="898"/>
      <c r="AM1190" s="897"/>
      <c r="AN1190" s="897"/>
      <c r="AO1190" s="897"/>
      <c r="AP1190" s="897"/>
      <c r="AQ1190" s="897"/>
      <c r="AR1190" s="897"/>
      <c r="AS1190" s="897"/>
      <c r="AT1190" s="897"/>
    </row>
    <row r="1191" spans="1:46" s="930" customFormat="1">
      <c r="A1191" s="892"/>
      <c r="B1191" s="899"/>
      <c r="C1191" s="900"/>
      <c r="D1191" s="894"/>
      <c r="E1191" s="936"/>
      <c r="F1191" s="905"/>
      <c r="G1191" s="896"/>
      <c r="H1191" s="897"/>
      <c r="I1191" s="897"/>
      <c r="J1191" s="897"/>
      <c r="K1191" s="897"/>
      <c r="L1191" s="898"/>
      <c r="M1191" s="898"/>
      <c r="N1191" s="898"/>
      <c r="O1191" s="898"/>
      <c r="P1191" s="898"/>
      <c r="Q1191" s="898"/>
      <c r="R1191" s="898"/>
      <c r="S1191" s="898"/>
      <c r="T1191" s="898"/>
      <c r="U1191" s="898"/>
      <c r="V1191" s="898"/>
      <c r="W1191" s="898"/>
      <c r="X1191" s="898"/>
      <c r="Y1191" s="898"/>
      <c r="Z1191" s="898"/>
      <c r="AA1191" s="898"/>
      <c r="AB1191" s="898"/>
      <c r="AC1191" s="898"/>
      <c r="AD1191" s="898"/>
      <c r="AE1191" s="898"/>
      <c r="AF1191" s="898"/>
      <c r="AG1191" s="898"/>
      <c r="AH1191" s="898"/>
      <c r="AI1191" s="898"/>
      <c r="AJ1191" s="898"/>
      <c r="AK1191" s="898"/>
      <c r="AL1191" s="898"/>
      <c r="AM1191" s="897"/>
      <c r="AN1191" s="897"/>
      <c r="AO1191" s="897"/>
      <c r="AP1191" s="897"/>
      <c r="AQ1191" s="897"/>
      <c r="AR1191" s="897"/>
      <c r="AS1191" s="897"/>
      <c r="AT1191" s="897"/>
    </row>
    <row r="1192" spans="1:46" s="930" customFormat="1">
      <c r="A1192" s="892"/>
      <c r="B1192" s="899"/>
      <c r="C1192" s="900"/>
      <c r="D1192" s="894"/>
      <c r="E1192" s="936"/>
      <c r="F1192" s="905"/>
      <c r="G1192" s="896"/>
      <c r="H1192" s="897"/>
      <c r="I1192" s="897"/>
      <c r="J1192" s="897"/>
      <c r="K1192" s="897"/>
      <c r="L1192" s="898"/>
      <c r="M1192" s="898"/>
      <c r="N1192" s="898"/>
      <c r="O1192" s="898"/>
      <c r="P1192" s="898"/>
      <c r="Q1192" s="898"/>
      <c r="R1192" s="898"/>
      <c r="S1192" s="898"/>
      <c r="T1192" s="898"/>
      <c r="U1192" s="898"/>
      <c r="V1192" s="898"/>
      <c r="W1192" s="898"/>
      <c r="X1192" s="898"/>
      <c r="Y1192" s="898"/>
      <c r="Z1192" s="898"/>
      <c r="AA1192" s="898"/>
      <c r="AB1192" s="898"/>
      <c r="AC1192" s="898"/>
      <c r="AD1192" s="898"/>
      <c r="AE1192" s="898"/>
      <c r="AF1192" s="898"/>
      <c r="AG1192" s="898"/>
      <c r="AH1192" s="898"/>
      <c r="AI1192" s="898"/>
      <c r="AJ1192" s="898"/>
      <c r="AK1192" s="898"/>
      <c r="AL1192" s="898"/>
      <c r="AM1192" s="897"/>
      <c r="AN1192" s="897"/>
      <c r="AO1192" s="897"/>
      <c r="AP1192" s="897"/>
      <c r="AQ1192" s="897"/>
      <c r="AR1192" s="897"/>
      <c r="AS1192" s="897"/>
      <c r="AT1192" s="897"/>
    </row>
    <row r="1193" spans="1:46" s="930" customFormat="1">
      <c r="A1193" s="892"/>
      <c r="B1193" s="899"/>
      <c r="C1193" s="900"/>
      <c r="D1193" s="894"/>
      <c r="E1193" s="936"/>
      <c r="F1193" s="905"/>
      <c r="G1193" s="896"/>
      <c r="H1193" s="897"/>
      <c r="I1193" s="897"/>
      <c r="J1193" s="897"/>
      <c r="K1193" s="897"/>
      <c r="L1193" s="898"/>
      <c r="M1193" s="898"/>
      <c r="N1193" s="898"/>
      <c r="O1193" s="898"/>
      <c r="P1193" s="898"/>
      <c r="Q1193" s="898"/>
      <c r="R1193" s="898"/>
      <c r="S1193" s="898"/>
      <c r="T1193" s="898"/>
      <c r="U1193" s="898"/>
      <c r="V1193" s="898"/>
      <c r="W1193" s="898"/>
      <c r="X1193" s="898"/>
      <c r="Y1193" s="898"/>
      <c r="Z1193" s="898"/>
      <c r="AA1193" s="898"/>
      <c r="AB1193" s="898"/>
      <c r="AC1193" s="898"/>
      <c r="AD1193" s="898"/>
      <c r="AE1193" s="898"/>
      <c r="AF1193" s="898"/>
      <c r="AG1193" s="898"/>
      <c r="AH1193" s="898"/>
      <c r="AI1193" s="898"/>
      <c r="AJ1193" s="898"/>
      <c r="AK1193" s="898"/>
      <c r="AL1193" s="898"/>
      <c r="AM1193" s="897"/>
      <c r="AN1193" s="897"/>
      <c r="AO1193" s="897"/>
      <c r="AP1193" s="897"/>
      <c r="AQ1193" s="897"/>
      <c r="AR1193" s="897"/>
      <c r="AS1193" s="897"/>
      <c r="AT1193" s="897"/>
    </row>
    <row r="1194" spans="1:46" s="930" customFormat="1">
      <c r="A1194" s="892"/>
      <c r="B1194" s="899"/>
      <c r="C1194" s="900"/>
      <c r="D1194" s="894"/>
      <c r="E1194" s="936"/>
      <c r="F1194" s="905"/>
      <c r="G1194" s="896"/>
      <c r="H1194" s="897"/>
      <c r="I1194" s="897"/>
      <c r="J1194" s="897"/>
      <c r="K1194" s="897"/>
      <c r="L1194" s="898"/>
      <c r="M1194" s="898"/>
      <c r="N1194" s="898"/>
      <c r="O1194" s="898"/>
      <c r="P1194" s="898"/>
      <c r="Q1194" s="898"/>
      <c r="R1194" s="898"/>
      <c r="S1194" s="898"/>
      <c r="T1194" s="898"/>
      <c r="U1194" s="898"/>
      <c r="V1194" s="898"/>
      <c r="W1194" s="898"/>
      <c r="X1194" s="898"/>
      <c r="Y1194" s="898"/>
      <c r="Z1194" s="898"/>
      <c r="AA1194" s="898"/>
      <c r="AB1194" s="898"/>
      <c r="AC1194" s="898"/>
      <c r="AD1194" s="898"/>
      <c r="AE1194" s="898"/>
      <c r="AF1194" s="898"/>
      <c r="AG1194" s="898"/>
      <c r="AH1194" s="898"/>
      <c r="AI1194" s="898"/>
      <c r="AJ1194" s="898"/>
      <c r="AK1194" s="898"/>
      <c r="AL1194" s="898"/>
      <c r="AM1194" s="897"/>
      <c r="AN1194" s="897"/>
      <c r="AO1194" s="897"/>
      <c r="AP1194" s="897"/>
      <c r="AQ1194" s="897"/>
      <c r="AR1194" s="897"/>
      <c r="AS1194" s="897"/>
      <c r="AT1194" s="897"/>
    </row>
    <row r="1195" spans="1:46" s="930" customFormat="1">
      <c r="A1195" s="892"/>
      <c r="B1195" s="899"/>
      <c r="C1195" s="900"/>
      <c r="D1195" s="894"/>
      <c r="E1195" s="936"/>
      <c r="F1195" s="905"/>
      <c r="G1195" s="896"/>
      <c r="H1195" s="897"/>
      <c r="I1195" s="897"/>
      <c r="J1195" s="897"/>
      <c r="K1195" s="897"/>
      <c r="L1195" s="898"/>
      <c r="M1195" s="898"/>
      <c r="N1195" s="898"/>
      <c r="O1195" s="898"/>
      <c r="P1195" s="898"/>
      <c r="Q1195" s="898"/>
      <c r="R1195" s="898"/>
      <c r="S1195" s="898"/>
      <c r="T1195" s="898"/>
      <c r="U1195" s="898"/>
      <c r="V1195" s="898"/>
      <c r="W1195" s="898"/>
      <c r="X1195" s="898"/>
      <c r="Y1195" s="898"/>
      <c r="Z1195" s="898"/>
      <c r="AA1195" s="898"/>
      <c r="AB1195" s="898"/>
      <c r="AC1195" s="898"/>
      <c r="AD1195" s="898"/>
      <c r="AE1195" s="898"/>
      <c r="AF1195" s="898"/>
      <c r="AG1195" s="898"/>
      <c r="AH1195" s="898"/>
      <c r="AI1195" s="898"/>
      <c r="AJ1195" s="898"/>
      <c r="AK1195" s="898"/>
      <c r="AL1195" s="898"/>
      <c r="AM1195" s="897"/>
      <c r="AN1195" s="897"/>
      <c r="AO1195" s="897"/>
      <c r="AP1195" s="897"/>
      <c r="AQ1195" s="897"/>
      <c r="AR1195" s="897"/>
      <c r="AS1195" s="897"/>
      <c r="AT1195" s="897"/>
    </row>
    <row r="1196" spans="1:46" s="930" customFormat="1">
      <c r="A1196" s="892"/>
      <c r="B1196" s="899"/>
      <c r="C1196" s="900"/>
      <c r="D1196" s="894"/>
      <c r="E1196" s="936"/>
      <c r="F1196" s="905"/>
      <c r="G1196" s="896"/>
      <c r="H1196" s="897"/>
      <c r="I1196" s="897"/>
      <c r="J1196" s="897"/>
      <c r="K1196" s="897"/>
      <c r="L1196" s="898"/>
      <c r="M1196" s="898"/>
      <c r="N1196" s="898"/>
      <c r="O1196" s="898"/>
      <c r="P1196" s="898"/>
      <c r="Q1196" s="898"/>
      <c r="R1196" s="898"/>
      <c r="S1196" s="898"/>
      <c r="T1196" s="898"/>
      <c r="U1196" s="898"/>
      <c r="V1196" s="898"/>
      <c r="W1196" s="898"/>
      <c r="X1196" s="898"/>
      <c r="Y1196" s="898"/>
      <c r="Z1196" s="898"/>
      <c r="AA1196" s="898"/>
      <c r="AB1196" s="898"/>
      <c r="AC1196" s="898"/>
      <c r="AD1196" s="898"/>
      <c r="AE1196" s="898"/>
      <c r="AF1196" s="898"/>
      <c r="AG1196" s="898"/>
      <c r="AH1196" s="898"/>
      <c r="AI1196" s="898"/>
      <c r="AJ1196" s="898"/>
      <c r="AK1196" s="898"/>
      <c r="AL1196" s="898"/>
      <c r="AM1196" s="897"/>
      <c r="AN1196" s="897"/>
      <c r="AO1196" s="897"/>
      <c r="AP1196" s="897"/>
      <c r="AQ1196" s="897"/>
      <c r="AR1196" s="897"/>
      <c r="AS1196" s="897"/>
      <c r="AT1196" s="897"/>
    </row>
    <row r="1197" spans="1:46" s="930" customFormat="1">
      <c r="A1197" s="892"/>
      <c r="B1197" s="899"/>
      <c r="C1197" s="900"/>
      <c r="D1197" s="894"/>
      <c r="E1197" s="936"/>
      <c r="F1197" s="905"/>
      <c r="G1197" s="896"/>
      <c r="H1197" s="897"/>
      <c r="I1197" s="897"/>
      <c r="J1197" s="897"/>
      <c r="K1197" s="897"/>
      <c r="L1197" s="898"/>
      <c r="M1197" s="898"/>
      <c r="N1197" s="898"/>
      <c r="O1197" s="898"/>
      <c r="P1197" s="898"/>
      <c r="Q1197" s="898"/>
      <c r="R1197" s="898"/>
      <c r="S1197" s="898"/>
      <c r="T1197" s="898"/>
      <c r="U1197" s="898"/>
      <c r="V1197" s="898"/>
      <c r="W1197" s="898"/>
      <c r="X1197" s="898"/>
      <c r="Y1197" s="898"/>
      <c r="Z1197" s="898"/>
      <c r="AA1197" s="898"/>
      <c r="AB1197" s="898"/>
      <c r="AC1197" s="898"/>
      <c r="AD1197" s="898"/>
      <c r="AE1197" s="898"/>
      <c r="AF1197" s="898"/>
      <c r="AG1197" s="898"/>
      <c r="AH1197" s="898"/>
      <c r="AI1197" s="898"/>
      <c r="AJ1197" s="898"/>
      <c r="AK1197" s="898"/>
      <c r="AL1197" s="898"/>
      <c r="AM1197" s="897"/>
      <c r="AN1197" s="897"/>
      <c r="AO1197" s="897"/>
      <c r="AP1197" s="897"/>
      <c r="AQ1197" s="897"/>
      <c r="AR1197" s="897"/>
      <c r="AS1197" s="897"/>
      <c r="AT1197" s="897"/>
    </row>
    <row r="1198" spans="1:46" s="930" customFormat="1">
      <c r="A1198" s="892"/>
      <c r="B1198" s="899"/>
      <c r="C1198" s="900"/>
      <c r="D1198" s="894"/>
      <c r="E1198" s="936"/>
      <c r="F1198" s="905"/>
      <c r="G1198" s="896"/>
      <c r="H1198" s="897"/>
      <c r="I1198" s="897"/>
      <c r="J1198" s="897"/>
      <c r="K1198" s="897"/>
      <c r="L1198" s="898"/>
      <c r="M1198" s="898"/>
      <c r="N1198" s="898"/>
      <c r="O1198" s="898"/>
      <c r="P1198" s="898"/>
      <c r="Q1198" s="898"/>
      <c r="R1198" s="898"/>
      <c r="S1198" s="898"/>
      <c r="T1198" s="898"/>
      <c r="U1198" s="898"/>
      <c r="V1198" s="898"/>
      <c r="W1198" s="898"/>
      <c r="X1198" s="898"/>
      <c r="Y1198" s="898"/>
      <c r="Z1198" s="898"/>
      <c r="AA1198" s="898"/>
      <c r="AB1198" s="898"/>
      <c r="AC1198" s="898"/>
      <c r="AD1198" s="898"/>
      <c r="AE1198" s="898"/>
      <c r="AF1198" s="898"/>
      <c r="AG1198" s="898"/>
      <c r="AH1198" s="898"/>
      <c r="AI1198" s="898"/>
      <c r="AJ1198" s="898"/>
      <c r="AK1198" s="898"/>
      <c r="AL1198" s="898"/>
      <c r="AM1198" s="897"/>
      <c r="AN1198" s="897"/>
      <c r="AO1198" s="897"/>
      <c r="AP1198" s="897"/>
      <c r="AQ1198" s="897"/>
      <c r="AR1198" s="897"/>
      <c r="AS1198" s="897"/>
      <c r="AT1198" s="897"/>
    </row>
    <row r="1199" spans="1:46" s="930" customFormat="1">
      <c r="A1199" s="892"/>
      <c r="B1199" s="899"/>
      <c r="C1199" s="900"/>
      <c r="D1199" s="894"/>
      <c r="E1199" s="936"/>
      <c r="F1199" s="905"/>
      <c r="G1199" s="896"/>
      <c r="H1199" s="897"/>
      <c r="I1199" s="897"/>
      <c r="J1199" s="897"/>
      <c r="K1199" s="897"/>
      <c r="L1199" s="898"/>
      <c r="M1199" s="898"/>
      <c r="N1199" s="898"/>
      <c r="O1199" s="898"/>
      <c r="P1199" s="898"/>
      <c r="Q1199" s="898"/>
      <c r="R1199" s="898"/>
      <c r="S1199" s="898"/>
      <c r="T1199" s="898"/>
      <c r="U1199" s="898"/>
      <c r="V1199" s="898"/>
      <c r="W1199" s="898"/>
      <c r="X1199" s="898"/>
      <c r="Y1199" s="898"/>
      <c r="Z1199" s="898"/>
      <c r="AA1199" s="898"/>
      <c r="AB1199" s="898"/>
      <c r="AC1199" s="898"/>
      <c r="AD1199" s="898"/>
      <c r="AE1199" s="898"/>
      <c r="AF1199" s="898"/>
      <c r="AG1199" s="898"/>
      <c r="AH1199" s="898"/>
      <c r="AI1199" s="898"/>
      <c r="AJ1199" s="898"/>
      <c r="AK1199" s="898"/>
      <c r="AL1199" s="898"/>
      <c r="AM1199" s="897"/>
      <c r="AN1199" s="897"/>
      <c r="AO1199" s="897"/>
      <c r="AP1199" s="897"/>
      <c r="AQ1199" s="897"/>
      <c r="AR1199" s="897"/>
      <c r="AS1199" s="897"/>
      <c r="AT1199" s="897"/>
    </row>
    <row r="1200" spans="1:46" s="930" customFormat="1">
      <c r="A1200" s="892"/>
      <c r="B1200" s="899"/>
      <c r="C1200" s="900"/>
      <c r="D1200" s="894"/>
      <c r="E1200" s="936"/>
      <c r="F1200" s="905"/>
      <c r="G1200" s="896"/>
      <c r="H1200" s="897"/>
      <c r="I1200" s="897"/>
      <c r="J1200" s="897"/>
      <c r="K1200" s="897"/>
      <c r="L1200" s="898"/>
      <c r="M1200" s="898"/>
      <c r="N1200" s="898"/>
      <c r="O1200" s="898"/>
      <c r="P1200" s="898"/>
      <c r="Q1200" s="898"/>
      <c r="R1200" s="898"/>
      <c r="S1200" s="898"/>
      <c r="T1200" s="898"/>
      <c r="U1200" s="898"/>
      <c r="V1200" s="898"/>
      <c r="W1200" s="898"/>
      <c r="X1200" s="898"/>
      <c r="Y1200" s="898"/>
      <c r="Z1200" s="898"/>
      <c r="AA1200" s="898"/>
      <c r="AB1200" s="898"/>
      <c r="AC1200" s="898"/>
      <c r="AD1200" s="898"/>
      <c r="AE1200" s="898"/>
      <c r="AF1200" s="898"/>
      <c r="AG1200" s="898"/>
      <c r="AH1200" s="898"/>
      <c r="AI1200" s="898"/>
      <c r="AJ1200" s="898"/>
      <c r="AK1200" s="898"/>
      <c r="AL1200" s="898"/>
      <c r="AM1200" s="897"/>
      <c r="AN1200" s="897"/>
      <c r="AO1200" s="897"/>
      <c r="AP1200" s="897"/>
      <c r="AQ1200" s="897"/>
      <c r="AR1200" s="897"/>
      <c r="AS1200" s="897"/>
      <c r="AT1200" s="897"/>
    </row>
    <row r="1201" spans="1:46" s="930" customFormat="1">
      <c r="A1201" s="892"/>
      <c r="B1201" s="899"/>
      <c r="C1201" s="900"/>
      <c r="D1201" s="894"/>
      <c r="E1201" s="936"/>
      <c r="F1201" s="905"/>
      <c r="G1201" s="896"/>
      <c r="H1201" s="897"/>
      <c r="I1201" s="897"/>
      <c r="J1201" s="897"/>
      <c r="K1201" s="897"/>
      <c r="L1201" s="898"/>
      <c r="M1201" s="898"/>
      <c r="N1201" s="898"/>
      <c r="O1201" s="898"/>
      <c r="P1201" s="898"/>
      <c r="Q1201" s="898"/>
      <c r="R1201" s="898"/>
      <c r="S1201" s="898"/>
      <c r="T1201" s="898"/>
      <c r="U1201" s="898"/>
      <c r="V1201" s="898"/>
      <c r="W1201" s="898"/>
      <c r="X1201" s="898"/>
      <c r="Y1201" s="898"/>
      <c r="Z1201" s="898"/>
      <c r="AA1201" s="898"/>
      <c r="AB1201" s="898"/>
      <c r="AC1201" s="898"/>
      <c r="AD1201" s="898"/>
      <c r="AE1201" s="898"/>
      <c r="AF1201" s="898"/>
      <c r="AG1201" s="898"/>
      <c r="AH1201" s="898"/>
      <c r="AI1201" s="898"/>
      <c r="AJ1201" s="898"/>
      <c r="AK1201" s="898"/>
      <c r="AL1201" s="898"/>
      <c r="AM1201" s="897"/>
      <c r="AN1201" s="897"/>
      <c r="AO1201" s="897"/>
      <c r="AP1201" s="897"/>
      <c r="AQ1201" s="897"/>
      <c r="AR1201" s="897"/>
      <c r="AS1201" s="897"/>
      <c r="AT1201" s="897"/>
    </row>
    <row r="1202" spans="1:46" s="930" customFormat="1">
      <c r="A1202" s="892"/>
      <c r="B1202" s="899"/>
      <c r="C1202" s="900"/>
      <c r="D1202" s="894"/>
      <c r="E1202" s="936"/>
      <c r="F1202" s="905"/>
      <c r="G1202" s="896"/>
      <c r="H1202" s="897"/>
      <c r="I1202" s="897"/>
      <c r="J1202" s="897"/>
      <c r="K1202" s="897"/>
      <c r="L1202" s="898"/>
      <c r="M1202" s="898"/>
      <c r="N1202" s="898"/>
      <c r="O1202" s="898"/>
      <c r="P1202" s="898"/>
      <c r="Q1202" s="898"/>
      <c r="R1202" s="898"/>
      <c r="S1202" s="898"/>
      <c r="T1202" s="898"/>
      <c r="U1202" s="898"/>
      <c r="V1202" s="898"/>
      <c r="W1202" s="898"/>
      <c r="X1202" s="898"/>
      <c r="Y1202" s="898"/>
      <c r="Z1202" s="898"/>
      <c r="AA1202" s="898"/>
      <c r="AB1202" s="898"/>
      <c r="AC1202" s="898"/>
      <c r="AD1202" s="898"/>
      <c r="AE1202" s="898"/>
      <c r="AF1202" s="898"/>
      <c r="AG1202" s="898"/>
      <c r="AH1202" s="898"/>
      <c r="AI1202" s="898"/>
      <c r="AJ1202" s="898"/>
      <c r="AK1202" s="898"/>
      <c r="AL1202" s="898"/>
      <c r="AM1202" s="897"/>
      <c r="AN1202" s="897"/>
      <c r="AO1202" s="897"/>
      <c r="AP1202" s="897"/>
      <c r="AQ1202" s="897"/>
      <c r="AR1202" s="897"/>
      <c r="AS1202" s="897"/>
      <c r="AT1202" s="897"/>
    </row>
    <row r="1203" spans="1:46" s="930" customFormat="1">
      <c r="A1203" s="892"/>
      <c r="B1203" s="899"/>
      <c r="C1203" s="900"/>
      <c r="D1203" s="894"/>
      <c r="E1203" s="936"/>
      <c r="F1203" s="905"/>
      <c r="G1203" s="896"/>
      <c r="H1203" s="897"/>
      <c r="I1203" s="897"/>
      <c r="J1203" s="897"/>
      <c r="K1203" s="897"/>
      <c r="L1203" s="898"/>
      <c r="M1203" s="898"/>
      <c r="N1203" s="898"/>
      <c r="O1203" s="898"/>
      <c r="P1203" s="898"/>
      <c r="Q1203" s="898"/>
      <c r="R1203" s="898"/>
      <c r="S1203" s="898"/>
      <c r="T1203" s="898"/>
      <c r="U1203" s="898"/>
      <c r="V1203" s="898"/>
      <c r="W1203" s="898"/>
      <c r="X1203" s="898"/>
      <c r="Y1203" s="898"/>
      <c r="Z1203" s="898"/>
      <c r="AA1203" s="898"/>
      <c r="AB1203" s="898"/>
      <c r="AC1203" s="898"/>
      <c r="AD1203" s="898"/>
      <c r="AE1203" s="898"/>
      <c r="AF1203" s="898"/>
      <c r="AG1203" s="898"/>
      <c r="AH1203" s="898"/>
      <c r="AI1203" s="898"/>
      <c r="AJ1203" s="898"/>
      <c r="AK1203" s="898"/>
      <c r="AL1203" s="898"/>
      <c r="AM1203" s="897"/>
      <c r="AN1203" s="897"/>
      <c r="AO1203" s="897"/>
      <c r="AP1203" s="897"/>
      <c r="AQ1203" s="897"/>
      <c r="AR1203" s="897"/>
      <c r="AS1203" s="897"/>
      <c r="AT1203" s="897"/>
    </row>
    <row r="1204" spans="1:46" s="930" customFormat="1">
      <c r="A1204" s="892"/>
      <c r="B1204" s="899"/>
      <c r="C1204" s="900"/>
      <c r="D1204" s="894"/>
      <c r="E1204" s="936"/>
      <c r="F1204" s="905"/>
      <c r="G1204" s="896"/>
      <c r="H1204" s="897"/>
      <c r="I1204" s="897"/>
      <c r="J1204" s="897"/>
      <c r="K1204" s="897"/>
      <c r="L1204" s="898"/>
      <c r="M1204" s="898"/>
      <c r="N1204" s="898"/>
      <c r="O1204" s="898"/>
      <c r="P1204" s="898"/>
      <c r="Q1204" s="898"/>
      <c r="R1204" s="898"/>
      <c r="S1204" s="898"/>
      <c r="T1204" s="898"/>
      <c r="U1204" s="898"/>
      <c r="V1204" s="898"/>
      <c r="W1204" s="898"/>
      <c r="X1204" s="898"/>
      <c r="Y1204" s="898"/>
      <c r="Z1204" s="898"/>
      <c r="AA1204" s="898"/>
      <c r="AB1204" s="898"/>
      <c r="AC1204" s="898"/>
      <c r="AD1204" s="898"/>
      <c r="AE1204" s="898"/>
      <c r="AF1204" s="898"/>
      <c r="AG1204" s="898"/>
      <c r="AH1204" s="898"/>
      <c r="AI1204" s="898"/>
      <c r="AJ1204" s="898"/>
      <c r="AK1204" s="898"/>
      <c r="AL1204" s="898"/>
      <c r="AM1204" s="897"/>
      <c r="AN1204" s="897"/>
      <c r="AO1204" s="897"/>
      <c r="AP1204" s="897"/>
      <c r="AQ1204" s="897"/>
      <c r="AR1204" s="897"/>
      <c r="AS1204" s="897"/>
      <c r="AT1204" s="897"/>
    </row>
    <row r="1205" spans="1:46" s="930" customFormat="1">
      <c r="A1205" s="892"/>
      <c r="B1205" s="899"/>
      <c r="C1205" s="900"/>
      <c r="D1205" s="894"/>
      <c r="E1205" s="936"/>
      <c r="F1205" s="905"/>
      <c r="G1205" s="896"/>
      <c r="H1205" s="897"/>
      <c r="I1205" s="897"/>
      <c r="J1205" s="897"/>
      <c r="K1205" s="897"/>
      <c r="L1205" s="898"/>
      <c r="M1205" s="898"/>
      <c r="N1205" s="898"/>
      <c r="O1205" s="898"/>
      <c r="P1205" s="898"/>
      <c r="Q1205" s="898"/>
      <c r="R1205" s="898"/>
      <c r="S1205" s="898"/>
      <c r="T1205" s="898"/>
      <c r="U1205" s="898"/>
      <c r="V1205" s="898"/>
      <c r="W1205" s="898"/>
      <c r="X1205" s="898"/>
      <c r="Y1205" s="898"/>
      <c r="Z1205" s="898"/>
      <c r="AA1205" s="898"/>
      <c r="AB1205" s="898"/>
      <c r="AC1205" s="898"/>
      <c r="AD1205" s="898"/>
      <c r="AE1205" s="898"/>
      <c r="AF1205" s="898"/>
      <c r="AG1205" s="898"/>
      <c r="AH1205" s="898"/>
      <c r="AI1205" s="898"/>
      <c r="AJ1205" s="898"/>
      <c r="AK1205" s="898"/>
      <c r="AL1205" s="898"/>
      <c r="AM1205" s="897"/>
      <c r="AN1205" s="897"/>
      <c r="AO1205" s="897"/>
      <c r="AP1205" s="897"/>
      <c r="AQ1205" s="897"/>
      <c r="AR1205" s="897"/>
      <c r="AS1205" s="897"/>
      <c r="AT1205" s="897"/>
    </row>
    <row r="1206" spans="1:46" s="930" customFormat="1">
      <c r="A1206" s="892"/>
      <c r="B1206" s="899"/>
      <c r="C1206" s="900"/>
      <c r="D1206" s="894"/>
      <c r="E1206" s="936"/>
      <c r="F1206" s="905"/>
      <c r="G1206" s="896"/>
      <c r="H1206" s="897"/>
      <c r="I1206" s="897"/>
      <c r="J1206" s="897"/>
      <c r="K1206" s="897"/>
      <c r="L1206" s="898"/>
      <c r="M1206" s="898"/>
      <c r="N1206" s="898"/>
      <c r="O1206" s="898"/>
      <c r="P1206" s="898"/>
      <c r="Q1206" s="898"/>
      <c r="R1206" s="898"/>
      <c r="S1206" s="898"/>
      <c r="T1206" s="898"/>
      <c r="U1206" s="898"/>
      <c r="V1206" s="898"/>
      <c r="W1206" s="898"/>
      <c r="X1206" s="898"/>
      <c r="Y1206" s="898"/>
      <c r="Z1206" s="898"/>
      <c r="AA1206" s="898"/>
      <c r="AB1206" s="898"/>
      <c r="AC1206" s="898"/>
      <c r="AD1206" s="898"/>
      <c r="AE1206" s="898"/>
      <c r="AF1206" s="898"/>
      <c r="AG1206" s="898"/>
      <c r="AH1206" s="898"/>
      <c r="AI1206" s="898"/>
      <c r="AJ1206" s="898"/>
      <c r="AK1206" s="898"/>
      <c r="AL1206" s="898"/>
      <c r="AM1206" s="897"/>
      <c r="AN1206" s="897"/>
      <c r="AO1206" s="897"/>
      <c r="AP1206" s="897"/>
      <c r="AQ1206" s="897"/>
      <c r="AR1206" s="897"/>
      <c r="AS1206" s="897"/>
      <c r="AT1206" s="897"/>
    </row>
    <row r="1207" spans="1:46" s="930" customFormat="1">
      <c r="A1207" s="892"/>
      <c r="B1207" s="899"/>
      <c r="C1207" s="900"/>
      <c r="D1207" s="894"/>
      <c r="E1207" s="936"/>
      <c r="F1207" s="905"/>
      <c r="G1207" s="896"/>
      <c r="H1207" s="897"/>
      <c r="I1207" s="897"/>
      <c r="J1207" s="897"/>
      <c r="K1207" s="897"/>
      <c r="L1207" s="898"/>
      <c r="M1207" s="898"/>
      <c r="N1207" s="898"/>
      <c r="O1207" s="898"/>
      <c r="P1207" s="898"/>
      <c r="Q1207" s="898"/>
      <c r="R1207" s="898"/>
      <c r="S1207" s="898"/>
      <c r="T1207" s="898"/>
      <c r="U1207" s="898"/>
      <c r="V1207" s="898"/>
      <c r="W1207" s="898"/>
      <c r="X1207" s="898"/>
      <c r="Y1207" s="898"/>
      <c r="Z1207" s="898"/>
      <c r="AA1207" s="898"/>
      <c r="AB1207" s="898"/>
      <c r="AC1207" s="898"/>
      <c r="AD1207" s="898"/>
      <c r="AE1207" s="898"/>
      <c r="AF1207" s="898"/>
      <c r="AG1207" s="898"/>
      <c r="AH1207" s="898"/>
      <c r="AI1207" s="898"/>
      <c r="AJ1207" s="898"/>
      <c r="AK1207" s="898"/>
      <c r="AL1207" s="898"/>
      <c r="AM1207" s="897"/>
      <c r="AN1207" s="897"/>
      <c r="AO1207" s="897"/>
      <c r="AP1207" s="897"/>
      <c r="AQ1207" s="897"/>
      <c r="AR1207" s="897"/>
      <c r="AS1207" s="897"/>
      <c r="AT1207" s="897"/>
    </row>
    <row r="1208" spans="1:46" s="930" customFormat="1">
      <c r="A1208" s="892"/>
      <c r="B1208" s="899"/>
      <c r="C1208" s="900"/>
      <c r="D1208" s="894"/>
      <c r="E1208" s="936"/>
      <c r="F1208" s="905"/>
      <c r="G1208" s="896"/>
      <c r="H1208" s="897"/>
      <c r="I1208" s="897"/>
      <c r="J1208" s="897"/>
      <c r="K1208" s="897"/>
      <c r="L1208" s="898"/>
      <c r="M1208" s="898"/>
      <c r="N1208" s="898"/>
      <c r="O1208" s="898"/>
      <c r="P1208" s="898"/>
      <c r="Q1208" s="898"/>
      <c r="R1208" s="898"/>
      <c r="S1208" s="898"/>
      <c r="T1208" s="898"/>
      <c r="U1208" s="898"/>
      <c r="V1208" s="898"/>
      <c r="W1208" s="898"/>
      <c r="X1208" s="898"/>
      <c r="Y1208" s="898"/>
      <c r="Z1208" s="898"/>
      <c r="AA1208" s="898"/>
      <c r="AB1208" s="898"/>
      <c r="AC1208" s="898"/>
      <c r="AD1208" s="898"/>
      <c r="AE1208" s="898"/>
      <c r="AF1208" s="898"/>
      <c r="AG1208" s="898"/>
      <c r="AH1208" s="898"/>
      <c r="AI1208" s="898"/>
      <c r="AJ1208" s="898"/>
      <c r="AK1208" s="898"/>
      <c r="AL1208" s="898"/>
      <c r="AM1208" s="897"/>
      <c r="AN1208" s="897"/>
      <c r="AO1208" s="897"/>
      <c r="AP1208" s="897"/>
      <c r="AQ1208" s="897"/>
      <c r="AR1208" s="897"/>
      <c r="AS1208" s="897"/>
      <c r="AT1208" s="897"/>
    </row>
    <row r="1209" spans="1:46" s="930" customFormat="1">
      <c r="A1209" s="892"/>
      <c r="B1209" s="899"/>
      <c r="C1209" s="900"/>
      <c r="D1209" s="894"/>
      <c r="E1209" s="936"/>
      <c r="F1209" s="905"/>
      <c r="G1209" s="896"/>
      <c r="H1209" s="897"/>
      <c r="I1209" s="897"/>
      <c r="J1209" s="897"/>
      <c r="K1209" s="897"/>
      <c r="L1209" s="898"/>
      <c r="M1209" s="898"/>
      <c r="N1209" s="898"/>
      <c r="O1209" s="898"/>
      <c r="P1209" s="898"/>
      <c r="Q1209" s="898"/>
      <c r="R1209" s="898"/>
      <c r="S1209" s="898"/>
      <c r="T1209" s="898"/>
      <c r="U1209" s="898"/>
      <c r="V1209" s="898"/>
      <c r="W1209" s="898"/>
      <c r="X1209" s="898"/>
      <c r="Y1209" s="898"/>
      <c r="Z1209" s="898"/>
      <c r="AA1209" s="898"/>
      <c r="AB1209" s="898"/>
      <c r="AC1209" s="898"/>
      <c r="AD1209" s="898"/>
      <c r="AE1209" s="898"/>
      <c r="AF1209" s="898"/>
      <c r="AG1209" s="898"/>
      <c r="AH1209" s="898"/>
      <c r="AI1209" s="898"/>
      <c r="AJ1209" s="898"/>
      <c r="AK1209" s="898"/>
      <c r="AL1209" s="898"/>
      <c r="AM1209" s="897"/>
      <c r="AN1209" s="897"/>
      <c r="AO1209" s="897"/>
      <c r="AP1209" s="897"/>
      <c r="AQ1209" s="897"/>
      <c r="AR1209" s="897"/>
      <c r="AS1209" s="897"/>
      <c r="AT1209" s="897"/>
    </row>
    <row r="1210" spans="1:46" s="930" customFormat="1">
      <c r="A1210" s="892"/>
      <c r="B1210" s="899"/>
      <c r="C1210" s="900"/>
      <c r="D1210" s="894"/>
      <c r="E1210" s="936"/>
      <c r="F1210" s="905"/>
      <c r="G1210" s="896"/>
      <c r="H1210" s="897"/>
      <c r="I1210" s="897"/>
      <c r="J1210" s="897"/>
      <c r="K1210" s="897"/>
      <c r="L1210" s="898"/>
      <c r="M1210" s="898"/>
      <c r="N1210" s="898"/>
      <c r="O1210" s="898"/>
      <c r="P1210" s="898"/>
      <c r="Q1210" s="898"/>
      <c r="R1210" s="898"/>
      <c r="S1210" s="898"/>
      <c r="T1210" s="898"/>
      <c r="U1210" s="898"/>
      <c r="V1210" s="898"/>
      <c r="W1210" s="898"/>
      <c r="X1210" s="898"/>
      <c r="Y1210" s="898"/>
      <c r="Z1210" s="898"/>
      <c r="AA1210" s="898"/>
      <c r="AB1210" s="898"/>
      <c r="AC1210" s="898"/>
      <c r="AD1210" s="898"/>
      <c r="AE1210" s="898"/>
      <c r="AF1210" s="898"/>
      <c r="AG1210" s="898"/>
      <c r="AH1210" s="898"/>
      <c r="AI1210" s="898"/>
      <c r="AJ1210" s="898"/>
      <c r="AK1210" s="898"/>
      <c r="AL1210" s="898"/>
      <c r="AM1210" s="897"/>
      <c r="AN1210" s="897"/>
      <c r="AO1210" s="897"/>
      <c r="AP1210" s="897"/>
      <c r="AQ1210" s="897"/>
      <c r="AR1210" s="897"/>
      <c r="AS1210" s="897"/>
      <c r="AT1210" s="897"/>
    </row>
    <row r="1211" spans="1:46" s="930" customFormat="1">
      <c r="A1211" s="892"/>
      <c r="B1211" s="899"/>
      <c r="C1211" s="900"/>
      <c r="D1211" s="894"/>
      <c r="E1211" s="936"/>
      <c r="F1211" s="905"/>
      <c r="G1211" s="896"/>
      <c r="H1211" s="897"/>
      <c r="I1211" s="897"/>
      <c r="J1211" s="897"/>
      <c r="K1211" s="897"/>
      <c r="L1211" s="898"/>
      <c r="M1211" s="898"/>
      <c r="N1211" s="898"/>
      <c r="O1211" s="898"/>
      <c r="P1211" s="898"/>
      <c r="Q1211" s="898"/>
      <c r="R1211" s="898"/>
      <c r="S1211" s="898"/>
      <c r="T1211" s="898"/>
      <c r="U1211" s="898"/>
      <c r="V1211" s="898"/>
      <c r="W1211" s="898"/>
      <c r="X1211" s="898"/>
      <c r="Y1211" s="898"/>
      <c r="Z1211" s="898"/>
      <c r="AA1211" s="898"/>
      <c r="AB1211" s="898"/>
      <c r="AC1211" s="898"/>
      <c r="AD1211" s="898"/>
      <c r="AE1211" s="898"/>
      <c r="AF1211" s="898"/>
      <c r="AG1211" s="898"/>
      <c r="AH1211" s="898"/>
      <c r="AI1211" s="898"/>
      <c r="AJ1211" s="898"/>
      <c r="AK1211" s="898"/>
      <c r="AL1211" s="898"/>
      <c r="AM1211" s="897"/>
      <c r="AN1211" s="897"/>
      <c r="AO1211" s="897"/>
      <c r="AP1211" s="897"/>
      <c r="AQ1211" s="897"/>
      <c r="AR1211" s="897"/>
      <c r="AS1211" s="897"/>
      <c r="AT1211" s="897"/>
    </row>
    <row r="1212" spans="1:46" s="930" customFormat="1">
      <c r="A1212" s="892"/>
      <c r="B1212" s="899"/>
      <c r="C1212" s="900"/>
      <c r="D1212" s="894"/>
      <c r="E1212" s="936"/>
      <c r="F1212" s="905"/>
      <c r="G1212" s="896"/>
      <c r="H1212" s="897"/>
      <c r="I1212" s="897"/>
      <c r="J1212" s="897"/>
      <c r="K1212" s="897"/>
      <c r="L1212" s="898"/>
      <c r="M1212" s="898"/>
      <c r="N1212" s="898"/>
      <c r="O1212" s="898"/>
      <c r="P1212" s="898"/>
      <c r="Q1212" s="898"/>
      <c r="R1212" s="898"/>
      <c r="S1212" s="898"/>
      <c r="T1212" s="898"/>
      <c r="U1212" s="898"/>
      <c r="V1212" s="898"/>
      <c r="W1212" s="898"/>
      <c r="X1212" s="898"/>
      <c r="Y1212" s="898"/>
      <c r="Z1212" s="898"/>
      <c r="AA1212" s="898"/>
      <c r="AB1212" s="898"/>
      <c r="AC1212" s="898"/>
      <c r="AD1212" s="898"/>
      <c r="AE1212" s="898"/>
      <c r="AF1212" s="898"/>
      <c r="AG1212" s="898"/>
      <c r="AH1212" s="898"/>
      <c r="AI1212" s="898"/>
      <c r="AJ1212" s="898"/>
      <c r="AK1212" s="898"/>
      <c r="AL1212" s="898"/>
      <c r="AM1212" s="897"/>
      <c r="AN1212" s="897"/>
      <c r="AO1212" s="897"/>
      <c r="AP1212" s="897"/>
      <c r="AQ1212" s="897"/>
      <c r="AR1212" s="897"/>
      <c r="AS1212" s="897"/>
      <c r="AT1212" s="897"/>
    </row>
    <row r="1213" spans="1:46" s="930" customFormat="1">
      <c r="A1213" s="892"/>
      <c r="B1213" s="899"/>
      <c r="C1213" s="900"/>
      <c r="D1213" s="894"/>
      <c r="E1213" s="936"/>
      <c r="F1213" s="905"/>
      <c r="G1213" s="896"/>
      <c r="H1213" s="897"/>
      <c r="I1213" s="897"/>
      <c r="J1213" s="897"/>
      <c r="K1213" s="897"/>
      <c r="L1213" s="898"/>
      <c r="M1213" s="898"/>
      <c r="N1213" s="898"/>
      <c r="O1213" s="898"/>
      <c r="P1213" s="898"/>
      <c r="Q1213" s="898"/>
      <c r="R1213" s="898"/>
      <c r="S1213" s="898"/>
      <c r="T1213" s="898"/>
      <c r="U1213" s="898"/>
      <c r="V1213" s="898"/>
      <c r="W1213" s="898"/>
      <c r="X1213" s="898"/>
      <c r="Y1213" s="898"/>
      <c r="Z1213" s="898"/>
      <c r="AA1213" s="898"/>
      <c r="AB1213" s="898"/>
      <c r="AC1213" s="898"/>
      <c r="AD1213" s="898"/>
      <c r="AE1213" s="898"/>
      <c r="AF1213" s="898"/>
      <c r="AG1213" s="898"/>
      <c r="AH1213" s="898"/>
      <c r="AI1213" s="898"/>
      <c r="AJ1213" s="898"/>
      <c r="AK1213" s="898"/>
      <c r="AL1213" s="898"/>
      <c r="AM1213" s="897"/>
      <c r="AN1213" s="897"/>
      <c r="AO1213" s="897"/>
      <c r="AP1213" s="897"/>
      <c r="AQ1213" s="897"/>
      <c r="AR1213" s="897"/>
      <c r="AS1213" s="897"/>
      <c r="AT1213" s="897"/>
    </row>
    <row r="1214" spans="1:46" s="930" customFormat="1">
      <c r="A1214" s="892"/>
      <c r="B1214" s="899"/>
      <c r="C1214" s="900"/>
      <c r="D1214" s="894"/>
      <c r="E1214" s="936"/>
      <c r="F1214" s="905"/>
      <c r="G1214" s="896"/>
      <c r="H1214" s="897"/>
      <c r="I1214" s="897"/>
      <c r="J1214" s="897"/>
      <c r="K1214" s="897"/>
      <c r="L1214" s="898"/>
      <c r="M1214" s="898"/>
      <c r="N1214" s="898"/>
      <c r="O1214" s="898"/>
      <c r="P1214" s="898"/>
      <c r="Q1214" s="898"/>
      <c r="R1214" s="898"/>
      <c r="S1214" s="898"/>
      <c r="T1214" s="898"/>
      <c r="U1214" s="898"/>
      <c r="V1214" s="898"/>
      <c r="W1214" s="898"/>
      <c r="X1214" s="898"/>
      <c r="Y1214" s="898"/>
      <c r="Z1214" s="898"/>
      <c r="AA1214" s="898"/>
      <c r="AB1214" s="898"/>
      <c r="AC1214" s="898"/>
      <c r="AD1214" s="898"/>
      <c r="AE1214" s="898"/>
      <c r="AF1214" s="898"/>
      <c r="AG1214" s="898"/>
      <c r="AH1214" s="898"/>
      <c r="AI1214" s="898"/>
      <c r="AJ1214" s="898"/>
      <c r="AK1214" s="898"/>
      <c r="AL1214" s="898"/>
      <c r="AM1214" s="897"/>
      <c r="AN1214" s="897"/>
      <c r="AO1214" s="897"/>
      <c r="AP1214" s="897"/>
      <c r="AQ1214" s="897"/>
      <c r="AR1214" s="897"/>
      <c r="AS1214" s="897"/>
      <c r="AT1214" s="897"/>
    </row>
    <row r="1215" spans="1:46" s="930" customFormat="1">
      <c r="A1215" s="892"/>
      <c r="B1215" s="899"/>
      <c r="C1215" s="900"/>
      <c r="D1215" s="894"/>
      <c r="E1215" s="936"/>
      <c r="F1215" s="905"/>
      <c r="G1215" s="896"/>
      <c r="H1215" s="897"/>
      <c r="I1215" s="897"/>
      <c r="J1215" s="897"/>
      <c r="K1215" s="897"/>
      <c r="L1215" s="898"/>
      <c r="M1215" s="898"/>
      <c r="N1215" s="898"/>
      <c r="O1215" s="898"/>
      <c r="P1215" s="898"/>
      <c r="Q1215" s="898"/>
      <c r="R1215" s="898"/>
      <c r="S1215" s="898"/>
      <c r="T1215" s="898"/>
      <c r="U1215" s="898"/>
      <c r="V1215" s="898"/>
      <c r="W1215" s="898"/>
      <c r="X1215" s="898"/>
      <c r="Y1215" s="898"/>
      <c r="Z1215" s="898"/>
      <c r="AA1215" s="898"/>
      <c r="AB1215" s="898"/>
      <c r="AC1215" s="898"/>
      <c r="AD1215" s="898"/>
      <c r="AE1215" s="898"/>
      <c r="AF1215" s="898"/>
      <c r="AG1215" s="898"/>
      <c r="AH1215" s="898"/>
      <c r="AI1215" s="898"/>
      <c r="AJ1215" s="898"/>
      <c r="AK1215" s="898"/>
      <c r="AL1215" s="898"/>
      <c r="AM1215" s="897"/>
      <c r="AN1215" s="897"/>
      <c r="AO1215" s="897"/>
      <c r="AP1215" s="897"/>
      <c r="AQ1215" s="897"/>
      <c r="AR1215" s="897"/>
      <c r="AS1215" s="897"/>
      <c r="AT1215" s="897"/>
    </row>
    <row r="1216" spans="1:46" s="930" customFormat="1">
      <c r="A1216" s="892"/>
      <c r="B1216" s="899"/>
      <c r="C1216" s="900"/>
      <c r="D1216" s="894"/>
      <c r="E1216" s="936"/>
      <c r="F1216" s="905"/>
      <c r="G1216" s="896"/>
      <c r="H1216" s="897"/>
      <c r="I1216" s="897"/>
      <c r="J1216" s="897"/>
      <c r="K1216" s="897"/>
      <c r="L1216" s="898"/>
      <c r="M1216" s="898"/>
      <c r="N1216" s="898"/>
      <c r="O1216" s="898"/>
      <c r="P1216" s="898"/>
      <c r="Q1216" s="898"/>
      <c r="R1216" s="898"/>
      <c r="S1216" s="898"/>
      <c r="T1216" s="898"/>
      <c r="U1216" s="898"/>
      <c r="V1216" s="898"/>
      <c r="W1216" s="898"/>
      <c r="X1216" s="898"/>
      <c r="Y1216" s="898"/>
      <c r="Z1216" s="898"/>
      <c r="AA1216" s="898"/>
      <c r="AB1216" s="898"/>
      <c r="AC1216" s="898"/>
      <c r="AD1216" s="898"/>
      <c r="AE1216" s="898"/>
      <c r="AF1216" s="898"/>
      <c r="AG1216" s="898"/>
      <c r="AH1216" s="898"/>
      <c r="AI1216" s="898"/>
      <c r="AJ1216" s="898"/>
      <c r="AK1216" s="898"/>
      <c r="AL1216" s="898"/>
      <c r="AM1216" s="897"/>
      <c r="AN1216" s="897"/>
      <c r="AO1216" s="897"/>
      <c r="AP1216" s="897"/>
      <c r="AQ1216" s="897"/>
      <c r="AR1216" s="897"/>
      <c r="AS1216" s="897"/>
      <c r="AT1216" s="897"/>
    </row>
    <row r="1217" spans="1:46" s="930" customFormat="1">
      <c r="A1217" s="892"/>
      <c r="B1217" s="899"/>
      <c r="C1217" s="900"/>
      <c r="D1217" s="894"/>
      <c r="E1217" s="936"/>
      <c r="F1217" s="905"/>
      <c r="G1217" s="896"/>
      <c r="H1217" s="897"/>
      <c r="I1217" s="897"/>
      <c r="J1217" s="897"/>
      <c r="K1217" s="897"/>
      <c r="L1217" s="898"/>
      <c r="M1217" s="898"/>
      <c r="N1217" s="898"/>
      <c r="O1217" s="898"/>
      <c r="P1217" s="898"/>
      <c r="Q1217" s="898"/>
      <c r="R1217" s="898"/>
      <c r="S1217" s="898"/>
      <c r="T1217" s="898"/>
      <c r="U1217" s="898"/>
      <c r="V1217" s="898"/>
      <c r="W1217" s="898"/>
      <c r="X1217" s="898"/>
      <c r="Y1217" s="898"/>
      <c r="Z1217" s="898"/>
      <c r="AA1217" s="898"/>
      <c r="AB1217" s="898"/>
      <c r="AC1217" s="898"/>
      <c r="AD1217" s="898"/>
      <c r="AE1217" s="898"/>
      <c r="AF1217" s="898"/>
      <c r="AG1217" s="898"/>
      <c r="AH1217" s="898"/>
      <c r="AI1217" s="898"/>
      <c r="AJ1217" s="898"/>
      <c r="AK1217" s="898"/>
      <c r="AL1217" s="898"/>
      <c r="AM1217" s="897"/>
      <c r="AN1217" s="897"/>
      <c r="AO1217" s="897"/>
      <c r="AP1217" s="897"/>
      <c r="AQ1217" s="897"/>
      <c r="AR1217" s="897"/>
      <c r="AS1217" s="897"/>
      <c r="AT1217" s="897"/>
    </row>
    <row r="1218" spans="1:46" s="930" customFormat="1">
      <c r="A1218" s="892"/>
      <c r="B1218" s="899"/>
      <c r="C1218" s="900"/>
      <c r="D1218" s="894"/>
      <c r="E1218" s="936"/>
      <c r="F1218" s="905"/>
      <c r="G1218" s="896"/>
      <c r="H1218" s="897"/>
      <c r="I1218" s="897"/>
      <c r="J1218" s="897"/>
      <c r="K1218" s="897"/>
      <c r="L1218" s="898"/>
      <c r="M1218" s="898"/>
      <c r="N1218" s="898"/>
      <c r="O1218" s="898"/>
      <c r="P1218" s="898"/>
      <c r="Q1218" s="898"/>
      <c r="R1218" s="898"/>
      <c r="S1218" s="898"/>
      <c r="T1218" s="898"/>
      <c r="U1218" s="898"/>
      <c r="V1218" s="898"/>
      <c r="W1218" s="898"/>
      <c r="X1218" s="898"/>
      <c r="Y1218" s="898"/>
      <c r="Z1218" s="898"/>
      <c r="AA1218" s="898"/>
      <c r="AB1218" s="898"/>
      <c r="AC1218" s="898"/>
      <c r="AD1218" s="898"/>
      <c r="AE1218" s="898"/>
      <c r="AF1218" s="898"/>
      <c r="AG1218" s="898"/>
      <c r="AH1218" s="898"/>
      <c r="AI1218" s="898"/>
      <c r="AJ1218" s="898"/>
      <c r="AK1218" s="898"/>
      <c r="AL1218" s="898"/>
      <c r="AM1218" s="897"/>
      <c r="AN1218" s="897"/>
      <c r="AO1218" s="897"/>
      <c r="AP1218" s="897"/>
      <c r="AQ1218" s="897"/>
      <c r="AR1218" s="897"/>
      <c r="AS1218" s="897"/>
      <c r="AT1218" s="897"/>
    </row>
    <row r="1219" spans="1:46" s="930" customFormat="1">
      <c r="A1219" s="892"/>
      <c r="B1219" s="899"/>
      <c r="C1219" s="900"/>
      <c r="D1219" s="894"/>
      <c r="E1219" s="936"/>
      <c r="F1219" s="905"/>
      <c r="G1219" s="896"/>
      <c r="H1219" s="897"/>
      <c r="I1219" s="897"/>
      <c r="J1219" s="897"/>
      <c r="K1219" s="897"/>
      <c r="L1219" s="898"/>
      <c r="M1219" s="898"/>
      <c r="N1219" s="898"/>
      <c r="O1219" s="898"/>
      <c r="P1219" s="898"/>
      <c r="Q1219" s="898"/>
      <c r="R1219" s="898"/>
      <c r="S1219" s="898"/>
      <c r="T1219" s="898"/>
      <c r="U1219" s="898"/>
      <c r="V1219" s="898"/>
      <c r="W1219" s="898"/>
      <c r="X1219" s="898"/>
      <c r="Y1219" s="898"/>
      <c r="Z1219" s="898"/>
      <c r="AA1219" s="898"/>
      <c r="AB1219" s="898"/>
      <c r="AC1219" s="898"/>
      <c r="AD1219" s="898"/>
      <c r="AE1219" s="898"/>
      <c r="AF1219" s="898"/>
      <c r="AG1219" s="898"/>
      <c r="AH1219" s="898"/>
      <c r="AI1219" s="898"/>
      <c r="AJ1219" s="898"/>
      <c r="AK1219" s="898"/>
      <c r="AL1219" s="898"/>
      <c r="AM1219" s="897"/>
      <c r="AN1219" s="897"/>
      <c r="AO1219" s="897"/>
      <c r="AP1219" s="897"/>
      <c r="AQ1219" s="897"/>
      <c r="AR1219" s="897"/>
      <c r="AS1219" s="897"/>
      <c r="AT1219" s="897"/>
    </row>
    <row r="1220" spans="1:46" s="930" customFormat="1">
      <c r="A1220" s="892"/>
      <c r="B1220" s="899"/>
      <c r="C1220" s="900"/>
      <c r="D1220" s="894"/>
      <c r="E1220" s="936"/>
      <c r="F1220" s="905"/>
      <c r="G1220" s="896"/>
      <c r="H1220" s="897"/>
      <c r="I1220" s="897"/>
      <c r="J1220" s="897"/>
      <c r="K1220" s="897"/>
      <c r="L1220" s="898"/>
      <c r="M1220" s="898"/>
      <c r="N1220" s="898"/>
      <c r="O1220" s="898"/>
      <c r="P1220" s="898"/>
      <c r="Q1220" s="898"/>
      <c r="R1220" s="898"/>
      <c r="S1220" s="898"/>
      <c r="T1220" s="898"/>
      <c r="U1220" s="898"/>
      <c r="V1220" s="898"/>
      <c r="W1220" s="898"/>
      <c r="X1220" s="898"/>
      <c r="Y1220" s="898"/>
      <c r="Z1220" s="898"/>
      <c r="AA1220" s="898"/>
      <c r="AB1220" s="898"/>
      <c r="AC1220" s="898"/>
      <c r="AD1220" s="898"/>
      <c r="AE1220" s="898"/>
      <c r="AF1220" s="898"/>
      <c r="AG1220" s="898"/>
      <c r="AH1220" s="898"/>
      <c r="AI1220" s="898"/>
      <c r="AJ1220" s="898"/>
      <c r="AK1220" s="898"/>
      <c r="AL1220" s="898"/>
      <c r="AM1220" s="897"/>
      <c r="AN1220" s="897"/>
      <c r="AO1220" s="897"/>
      <c r="AP1220" s="897"/>
      <c r="AQ1220" s="897"/>
      <c r="AR1220" s="897"/>
      <c r="AS1220" s="897"/>
      <c r="AT1220" s="897"/>
    </row>
    <row r="1221" spans="1:46" s="930" customFormat="1">
      <c r="A1221" s="892"/>
      <c r="B1221" s="899"/>
      <c r="C1221" s="900"/>
      <c r="D1221" s="894"/>
      <c r="E1221" s="936"/>
      <c r="F1221" s="905"/>
      <c r="G1221" s="896"/>
      <c r="H1221" s="897"/>
      <c r="I1221" s="897"/>
      <c r="J1221" s="897"/>
      <c r="K1221" s="897"/>
      <c r="L1221" s="898"/>
      <c r="M1221" s="898"/>
      <c r="N1221" s="898"/>
      <c r="O1221" s="898"/>
      <c r="P1221" s="898"/>
      <c r="Q1221" s="898"/>
      <c r="R1221" s="898"/>
      <c r="S1221" s="898"/>
      <c r="T1221" s="898"/>
      <c r="U1221" s="898"/>
      <c r="V1221" s="898"/>
      <c r="W1221" s="898"/>
      <c r="X1221" s="898"/>
      <c r="Y1221" s="898"/>
      <c r="Z1221" s="898"/>
      <c r="AA1221" s="898"/>
      <c r="AB1221" s="898"/>
      <c r="AC1221" s="898"/>
      <c r="AD1221" s="898"/>
      <c r="AE1221" s="898"/>
      <c r="AF1221" s="898"/>
      <c r="AG1221" s="898"/>
      <c r="AH1221" s="898"/>
      <c r="AI1221" s="898"/>
      <c r="AJ1221" s="898"/>
      <c r="AK1221" s="898"/>
      <c r="AL1221" s="898"/>
      <c r="AM1221" s="897"/>
      <c r="AN1221" s="897"/>
      <c r="AO1221" s="897"/>
      <c r="AP1221" s="897"/>
      <c r="AQ1221" s="897"/>
      <c r="AR1221" s="897"/>
      <c r="AS1221" s="897"/>
      <c r="AT1221" s="897"/>
    </row>
    <row r="1222" spans="1:46" s="930" customFormat="1">
      <c r="A1222" s="892"/>
      <c r="B1222" s="899"/>
      <c r="C1222" s="900"/>
      <c r="D1222" s="894"/>
      <c r="E1222" s="936"/>
      <c r="F1222" s="905"/>
      <c r="G1222" s="896"/>
      <c r="H1222" s="897"/>
      <c r="I1222" s="897"/>
      <c r="J1222" s="897"/>
      <c r="K1222" s="897"/>
      <c r="L1222" s="898"/>
      <c r="M1222" s="898"/>
      <c r="N1222" s="898"/>
      <c r="O1222" s="898"/>
      <c r="P1222" s="898"/>
      <c r="Q1222" s="898"/>
      <c r="R1222" s="898"/>
      <c r="S1222" s="898"/>
      <c r="T1222" s="898"/>
      <c r="U1222" s="898"/>
      <c r="V1222" s="898"/>
      <c r="W1222" s="898"/>
      <c r="X1222" s="898"/>
      <c r="Y1222" s="898"/>
      <c r="Z1222" s="898"/>
      <c r="AA1222" s="898"/>
      <c r="AB1222" s="898"/>
      <c r="AC1222" s="898"/>
      <c r="AD1222" s="898"/>
      <c r="AE1222" s="898"/>
      <c r="AF1222" s="898"/>
      <c r="AG1222" s="898"/>
      <c r="AH1222" s="898"/>
      <c r="AI1222" s="898"/>
      <c r="AJ1222" s="898"/>
      <c r="AK1222" s="898"/>
      <c r="AL1222" s="898"/>
      <c r="AM1222" s="897"/>
      <c r="AN1222" s="897"/>
      <c r="AO1222" s="897"/>
      <c r="AP1222" s="897"/>
      <c r="AQ1222" s="897"/>
      <c r="AR1222" s="897"/>
      <c r="AS1222" s="897"/>
      <c r="AT1222" s="897"/>
    </row>
    <row r="1223" spans="1:46" s="930" customFormat="1">
      <c r="A1223" s="892"/>
      <c r="B1223" s="899"/>
      <c r="C1223" s="900"/>
      <c r="D1223" s="894"/>
      <c r="E1223" s="936"/>
      <c r="F1223" s="905"/>
      <c r="G1223" s="896"/>
      <c r="H1223" s="897"/>
      <c r="I1223" s="897"/>
      <c r="J1223" s="897"/>
      <c r="K1223" s="897"/>
      <c r="L1223" s="898"/>
      <c r="M1223" s="898"/>
      <c r="N1223" s="898"/>
      <c r="O1223" s="898"/>
      <c r="P1223" s="898"/>
      <c r="Q1223" s="898"/>
      <c r="R1223" s="898"/>
      <c r="S1223" s="898"/>
      <c r="T1223" s="898"/>
      <c r="U1223" s="898"/>
      <c r="V1223" s="898"/>
      <c r="W1223" s="898"/>
      <c r="X1223" s="898"/>
      <c r="Y1223" s="898"/>
      <c r="Z1223" s="898"/>
      <c r="AA1223" s="898"/>
      <c r="AB1223" s="898"/>
      <c r="AC1223" s="898"/>
      <c r="AD1223" s="898"/>
      <c r="AE1223" s="898"/>
      <c r="AF1223" s="898"/>
      <c r="AG1223" s="898"/>
      <c r="AH1223" s="898"/>
      <c r="AI1223" s="898"/>
      <c r="AJ1223" s="898"/>
      <c r="AK1223" s="898"/>
      <c r="AL1223" s="898"/>
      <c r="AM1223" s="897"/>
      <c r="AN1223" s="897"/>
      <c r="AO1223" s="897"/>
      <c r="AP1223" s="897"/>
      <c r="AQ1223" s="897"/>
      <c r="AR1223" s="897"/>
      <c r="AS1223" s="897"/>
      <c r="AT1223" s="897"/>
    </row>
    <row r="1224" spans="1:46" s="930" customFormat="1">
      <c r="A1224" s="892"/>
      <c r="B1224" s="899"/>
      <c r="C1224" s="900"/>
      <c r="D1224" s="894"/>
      <c r="E1224" s="936"/>
      <c r="F1224" s="905"/>
      <c r="G1224" s="896"/>
      <c r="H1224" s="897"/>
      <c r="I1224" s="897"/>
      <c r="J1224" s="897"/>
      <c r="K1224" s="897"/>
      <c r="L1224" s="898"/>
      <c r="M1224" s="898"/>
      <c r="N1224" s="898"/>
      <c r="O1224" s="898"/>
      <c r="P1224" s="898"/>
      <c r="Q1224" s="898"/>
      <c r="R1224" s="898"/>
      <c r="S1224" s="898"/>
      <c r="T1224" s="898"/>
      <c r="U1224" s="898"/>
      <c r="V1224" s="898"/>
      <c r="W1224" s="898"/>
      <c r="X1224" s="898"/>
      <c r="Y1224" s="898"/>
      <c r="Z1224" s="898"/>
      <c r="AA1224" s="898"/>
      <c r="AB1224" s="898"/>
      <c r="AC1224" s="898"/>
      <c r="AD1224" s="898"/>
      <c r="AE1224" s="898"/>
      <c r="AF1224" s="898"/>
      <c r="AG1224" s="898"/>
      <c r="AH1224" s="898"/>
      <c r="AI1224" s="898"/>
      <c r="AJ1224" s="898"/>
      <c r="AK1224" s="898"/>
      <c r="AL1224" s="898"/>
      <c r="AM1224" s="897"/>
      <c r="AN1224" s="897"/>
      <c r="AO1224" s="897"/>
      <c r="AP1224" s="897"/>
      <c r="AQ1224" s="897"/>
      <c r="AR1224" s="897"/>
      <c r="AS1224" s="897"/>
      <c r="AT1224" s="897"/>
    </row>
    <row r="1225" spans="1:46" s="930" customFormat="1">
      <c r="A1225" s="892"/>
      <c r="B1225" s="899"/>
      <c r="C1225" s="900"/>
      <c r="D1225" s="894"/>
      <c r="E1225" s="936"/>
      <c r="F1225" s="905"/>
      <c r="G1225" s="896"/>
      <c r="H1225" s="897"/>
      <c r="I1225" s="897"/>
      <c r="J1225" s="897"/>
      <c r="K1225" s="897"/>
      <c r="L1225" s="898"/>
      <c r="M1225" s="898"/>
      <c r="N1225" s="898"/>
      <c r="O1225" s="898"/>
      <c r="P1225" s="898"/>
      <c r="Q1225" s="898"/>
      <c r="R1225" s="898"/>
      <c r="S1225" s="898"/>
      <c r="T1225" s="898"/>
      <c r="U1225" s="898"/>
      <c r="V1225" s="898"/>
      <c r="W1225" s="898"/>
      <c r="X1225" s="898"/>
      <c r="Y1225" s="898"/>
      <c r="Z1225" s="898"/>
      <c r="AA1225" s="898"/>
      <c r="AB1225" s="898"/>
      <c r="AC1225" s="898"/>
      <c r="AD1225" s="898"/>
      <c r="AE1225" s="898"/>
      <c r="AF1225" s="898"/>
      <c r="AG1225" s="898"/>
      <c r="AH1225" s="898"/>
      <c r="AI1225" s="898"/>
      <c r="AJ1225" s="898"/>
      <c r="AK1225" s="898"/>
      <c r="AL1225" s="898"/>
      <c r="AM1225" s="897"/>
      <c r="AN1225" s="897"/>
      <c r="AO1225" s="897"/>
      <c r="AP1225" s="897"/>
      <c r="AQ1225" s="897"/>
      <c r="AR1225" s="897"/>
      <c r="AS1225" s="897"/>
      <c r="AT1225" s="897"/>
    </row>
    <row r="1226" spans="1:46" s="930" customFormat="1">
      <c r="A1226" s="892"/>
      <c r="B1226" s="899"/>
      <c r="C1226" s="900"/>
      <c r="D1226" s="894"/>
      <c r="E1226" s="936"/>
      <c r="F1226" s="905"/>
      <c r="G1226" s="896"/>
      <c r="H1226" s="897"/>
      <c r="I1226" s="897"/>
      <c r="J1226" s="897"/>
      <c r="K1226" s="897"/>
      <c r="L1226" s="898"/>
      <c r="M1226" s="898"/>
      <c r="N1226" s="898"/>
      <c r="O1226" s="898"/>
      <c r="P1226" s="898"/>
      <c r="Q1226" s="898"/>
      <c r="R1226" s="898"/>
      <c r="S1226" s="898"/>
      <c r="T1226" s="898"/>
      <c r="U1226" s="898"/>
      <c r="V1226" s="898"/>
      <c r="W1226" s="898"/>
      <c r="X1226" s="898"/>
      <c r="Y1226" s="898"/>
      <c r="Z1226" s="898"/>
      <c r="AA1226" s="898"/>
      <c r="AB1226" s="898"/>
      <c r="AC1226" s="898"/>
      <c r="AD1226" s="898"/>
      <c r="AE1226" s="898"/>
      <c r="AF1226" s="898"/>
      <c r="AG1226" s="898"/>
      <c r="AH1226" s="898"/>
      <c r="AI1226" s="898"/>
      <c r="AJ1226" s="898"/>
      <c r="AK1226" s="898"/>
      <c r="AL1226" s="898"/>
      <c r="AM1226" s="897"/>
      <c r="AN1226" s="897"/>
      <c r="AO1226" s="897"/>
      <c r="AP1226" s="897"/>
      <c r="AQ1226" s="897"/>
      <c r="AR1226" s="897"/>
      <c r="AS1226" s="897"/>
      <c r="AT1226" s="897"/>
    </row>
    <row r="1227" spans="1:46" s="930" customFormat="1">
      <c r="A1227" s="892"/>
      <c r="B1227" s="899"/>
      <c r="C1227" s="900"/>
      <c r="D1227" s="894"/>
      <c r="E1227" s="936"/>
      <c r="F1227" s="905"/>
      <c r="G1227" s="896"/>
      <c r="H1227" s="897"/>
      <c r="I1227" s="897"/>
      <c r="J1227" s="897"/>
      <c r="K1227" s="897"/>
      <c r="L1227" s="898"/>
      <c r="M1227" s="898"/>
      <c r="N1227" s="898"/>
      <c r="O1227" s="898"/>
      <c r="P1227" s="898"/>
      <c r="Q1227" s="898"/>
      <c r="R1227" s="898"/>
      <c r="S1227" s="898"/>
      <c r="T1227" s="898"/>
      <c r="U1227" s="898"/>
      <c r="V1227" s="898"/>
      <c r="W1227" s="898"/>
      <c r="X1227" s="898"/>
      <c r="Y1227" s="898"/>
      <c r="Z1227" s="898"/>
      <c r="AA1227" s="898"/>
      <c r="AB1227" s="898"/>
      <c r="AC1227" s="898"/>
      <c r="AD1227" s="898"/>
      <c r="AE1227" s="898"/>
      <c r="AF1227" s="898"/>
      <c r="AG1227" s="898"/>
      <c r="AH1227" s="898"/>
      <c r="AI1227" s="898"/>
      <c r="AJ1227" s="898"/>
      <c r="AK1227" s="898"/>
      <c r="AL1227" s="898"/>
      <c r="AM1227" s="897"/>
      <c r="AN1227" s="897"/>
      <c r="AO1227" s="897"/>
      <c r="AP1227" s="897"/>
      <c r="AQ1227" s="897"/>
      <c r="AR1227" s="897"/>
      <c r="AS1227" s="897"/>
      <c r="AT1227" s="897"/>
    </row>
    <row r="1228" spans="1:46" s="930" customFormat="1">
      <c r="A1228" s="892"/>
      <c r="B1228" s="899"/>
      <c r="C1228" s="900"/>
      <c r="D1228" s="894"/>
      <c r="E1228" s="936"/>
      <c r="F1228" s="905"/>
      <c r="G1228" s="896"/>
      <c r="H1228" s="897"/>
      <c r="I1228" s="897"/>
      <c r="J1228" s="897"/>
      <c r="K1228" s="897"/>
      <c r="L1228" s="898"/>
      <c r="M1228" s="898"/>
      <c r="N1228" s="898"/>
      <c r="O1228" s="898"/>
      <c r="P1228" s="898"/>
      <c r="Q1228" s="898"/>
      <c r="R1228" s="898"/>
      <c r="S1228" s="898"/>
      <c r="T1228" s="898"/>
      <c r="U1228" s="898"/>
      <c r="V1228" s="898"/>
      <c r="W1228" s="898"/>
      <c r="X1228" s="898"/>
      <c r="Y1228" s="898"/>
      <c r="Z1228" s="898"/>
      <c r="AA1228" s="898"/>
      <c r="AB1228" s="898"/>
      <c r="AC1228" s="898"/>
      <c r="AD1228" s="898"/>
      <c r="AE1228" s="898"/>
      <c r="AF1228" s="898"/>
      <c r="AG1228" s="898"/>
      <c r="AH1228" s="898"/>
      <c r="AI1228" s="898"/>
      <c r="AJ1228" s="898"/>
      <c r="AK1228" s="898"/>
      <c r="AL1228" s="898"/>
      <c r="AM1228" s="897"/>
      <c r="AN1228" s="897"/>
      <c r="AO1228" s="897"/>
      <c r="AP1228" s="897"/>
      <c r="AQ1228" s="897"/>
      <c r="AR1228" s="897"/>
      <c r="AS1228" s="897"/>
      <c r="AT1228" s="897"/>
    </row>
    <row r="1229" spans="1:46" s="930" customFormat="1">
      <c r="A1229" s="892"/>
      <c r="B1229" s="899"/>
      <c r="C1229" s="900"/>
      <c r="D1229" s="894"/>
      <c r="E1229" s="936"/>
      <c r="F1229" s="905"/>
      <c r="G1229" s="896"/>
      <c r="H1229" s="897"/>
      <c r="I1229" s="897"/>
      <c r="J1229" s="897"/>
      <c r="K1229" s="897"/>
      <c r="L1229" s="898"/>
      <c r="M1229" s="898"/>
      <c r="N1229" s="898"/>
      <c r="O1229" s="898"/>
      <c r="P1229" s="898"/>
      <c r="Q1229" s="898"/>
      <c r="R1229" s="898"/>
      <c r="S1229" s="898"/>
      <c r="T1229" s="898"/>
      <c r="U1229" s="898"/>
      <c r="V1229" s="898"/>
      <c r="W1229" s="898"/>
      <c r="X1229" s="898"/>
      <c r="Y1229" s="898"/>
      <c r="Z1229" s="898"/>
      <c r="AA1229" s="898"/>
      <c r="AB1229" s="898"/>
      <c r="AC1229" s="898"/>
      <c r="AD1229" s="898"/>
      <c r="AE1229" s="898"/>
      <c r="AF1229" s="898"/>
      <c r="AG1229" s="898"/>
      <c r="AH1229" s="898"/>
      <c r="AI1229" s="898"/>
      <c r="AJ1229" s="898"/>
      <c r="AK1229" s="898"/>
      <c r="AL1229" s="898"/>
      <c r="AM1229" s="897"/>
      <c r="AN1229" s="897"/>
      <c r="AO1229" s="897"/>
      <c r="AP1229" s="897"/>
      <c r="AQ1229" s="897"/>
      <c r="AR1229" s="897"/>
      <c r="AS1229" s="897"/>
      <c r="AT1229" s="897"/>
    </row>
    <row r="1230" spans="1:46" s="930" customFormat="1">
      <c r="A1230" s="892"/>
      <c r="B1230" s="899"/>
      <c r="C1230" s="900"/>
      <c r="D1230" s="894"/>
      <c r="E1230" s="936"/>
      <c r="F1230" s="905"/>
      <c r="G1230" s="896"/>
      <c r="H1230" s="897"/>
      <c r="I1230" s="897"/>
      <c r="J1230" s="897"/>
      <c r="K1230" s="897"/>
      <c r="L1230" s="898"/>
      <c r="M1230" s="898"/>
      <c r="N1230" s="898"/>
      <c r="O1230" s="898"/>
      <c r="P1230" s="898"/>
      <c r="Q1230" s="898"/>
      <c r="R1230" s="898"/>
      <c r="S1230" s="898"/>
      <c r="T1230" s="898"/>
      <c r="U1230" s="898"/>
      <c r="V1230" s="898"/>
      <c r="W1230" s="898"/>
      <c r="X1230" s="898"/>
      <c r="Y1230" s="898"/>
      <c r="Z1230" s="898"/>
      <c r="AA1230" s="898"/>
      <c r="AB1230" s="898"/>
      <c r="AC1230" s="898"/>
      <c r="AD1230" s="898"/>
      <c r="AE1230" s="898"/>
      <c r="AF1230" s="898"/>
      <c r="AG1230" s="898"/>
      <c r="AH1230" s="898"/>
      <c r="AI1230" s="898"/>
      <c r="AJ1230" s="898"/>
      <c r="AK1230" s="898"/>
      <c r="AL1230" s="898"/>
      <c r="AM1230" s="897"/>
      <c r="AN1230" s="897"/>
      <c r="AO1230" s="897"/>
      <c r="AP1230" s="897"/>
      <c r="AQ1230" s="897"/>
      <c r="AR1230" s="897"/>
      <c r="AS1230" s="897"/>
      <c r="AT1230" s="897"/>
    </row>
    <row r="1231" spans="1:46" s="930" customFormat="1">
      <c r="A1231" s="892"/>
      <c r="B1231" s="899"/>
      <c r="C1231" s="900"/>
      <c r="D1231" s="894"/>
      <c r="E1231" s="936"/>
      <c r="F1231" s="905"/>
      <c r="G1231" s="896"/>
      <c r="H1231" s="897"/>
      <c r="I1231" s="897"/>
      <c r="J1231" s="897"/>
      <c r="K1231" s="897"/>
      <c r="L1231" s="898"/>
      <c r="M1231" s="898"/>
      <c r="N1231" s="898"/>
      <c r="O1231" s="898"/>
      <c r="P1231" s="898"/>
      <c r="Q1231" s="898"/>
      <c r="R1231" s="898"/>
      <c r="S1231" s="898"/>
      <c r="T1231" s="898"/>
      <c r="U1231" s="898"/>
      <c r="V1231" s="898"/>
      <c r="W1231" s="898"/>
      <c r="X1231" s="898"/>
      <c r="Y1231" s="898"/>
      <c r="Z1231" s="898"/>
      <c r="AA1231" s="898"/>
      <c r="AB1231" s="898"/>
      <c r="AC1231" s="898"/>
      <c r="AD1231" s="898"/>
      <c r="AE1231" s="898"/>
      <c r="AF1231" s="898"/>
      <c r="AG1231" s="898"/>
      <c r="AH1231" s="898"/>
      <c r="AI1231" s="898"/>
      <c r="AJ1231" s="898"/>
      <c r="AK1231" s="898"/>
      <c r="AL1231" s="898"/>
      <c r="AM1231" s="897"/>
      <c r="AN1231" s="897"/>
      <c r="AO1231" s="897"/>
      <c r="AP1231" s="897"/>
      <c r="AQ1231" s="897"/>
      <c r="AR1231" s="897"/>
      <c r="AS1231" s="897"/>
      <c r="AT1231" s="897"/>
    </row>
    <row r="1232" spans="1:46" s="930" customFormat="1">
      <c r="A1232" s="892"/>
      <c r="B1232" s="899"/>
      <c r="C1232" s="900"/>
      <c r="D1232" s="894"/>
      <c r="E1232" s="936"/>
      <c r="F1232" s="905"/>
      <c r="G1232" s="896"/>
      <c r="H1232" s="897"/>
      <c r="I1232" s="897"/>
      <c r="J1232" s="897"/>
      <c r="K1232" s="897"/>
      <c r="L1232" s="898"/>
      <c r="M1232" s="898"/>
      <c r="N1232" s="898"/>
      <c r="O1232" s="898"/>
      <c r="P1232" s="898"/>
      <c r="Q1232" s="898"/>
      <c r="R1232" s="898"/>
      <c r="S1232" s="898"/>
      <c r="T1232" s="898"/>
      <c r="U1232" s="898"/>
      <c r="V1232" s="898"/>
      <c r="W1232" s="898"/>
      <c r="X1232" s="898"/>
      <c r="Y1232" s="898"/>
      <c r="Z1232" s="898"/>
      <c r="AA1232" s="898"/>
      <c r="AB1232" s="898"/>
      <c r="AC1232" s="898"/>
      <c r="AD1232" s="898"/>
      <c r="AE1232" s="898"/>
      <c r="AF1232" s="898"/>
      <c r="AG1232" s="898"/>
      <c r="AH1232" s="898"/>
      <c r="AI1232" s="898"/>
      <c r="AJ1232" s="898"/>
      <c r="AK1232" s="898"/>
      <c r="AL1232" s="898"/>
      <c r="AM1232" s="897"/>
      <c r="AN1232" s="897"/>
      <c r="AO1232" s="897"/>
      <c r="AP1232" s="897"/>
      <c r="AQ1232" s="897"/>
      <c r="AR1232" s="897"/>
      <c r="AS1232" s="897"/>
      <c r="AT1232" s="897"/>
    </row>
    <row r="1233" spans="1:46" s="930" customFormat="1">
      <c r="A1233" s="892"/>
      <c r="B1233" s="899"/>
      <c r="C1233" s="900"/>
      <c r="D1233" s="894"/>
      <c r="E1233" s="936"/>
      <c r="F1233" s="905"/>
      <c r="G1233" s="896"/>
      <c r="H1233" s="897"/>
      <c r="I1233" s="897"/>
      <c r="J1233" s="897"/>
      <c r="K1233" s="897"/>
      <c r="L1233" s="898"/>
      <c r="M1233" s="898"/>
      <c r="N1233" s="898"/>
      <c r="O1233" s="898"/>
      <c r="P1233" s="898"/>
      <c r="Q1233" s="898"/>
      <c r="R1233" s="898"/>
      <c r="S1233" s="898"/>
      <c r="T1233" s="898"/>
      <c r="U1233" s="898"/>
      <c r="V1233" s="898"/>
      <c r="W1233" s="898"/>
      <c r="X1233" s="898"/>
      <c r="Y1233" s="898"/>
      <c r="Z1233" s="898"/>
      <c r="AA1233" s="898"/>
      <c r="AB1233" s="898"/>
      <c r="AC1233" s="898"/>
      <c r="AD1233" s="898"/>
      <c r="AE1233" s="898"/>
      <c r="AF1233" s="898"/>
      <c r="AG1233" s="898"/>
      <c r="AH1233" s="898"/>
      <c r="AI1233" s="898"/>
      <c r="AJ1233" s="898"/>
      <c r="AK1233" s="898"/>
      <c r="AL1233" s="898"/>
      <c r="AM1233" s="897"/>
      <c r="AN1233" s="897"/>
      <c r="AO1233" s="897"/>
      <c r="AP1233" s="897"/>
      <c r="AQ1233" s="897"/>
      <c r="AR1233" s="897"/>
      <c r="AS1233" s="897"/>
      <c r="AT1233" s="897"/>
    </row>
    <row r="1234" spans="1:46" s="930" customFormat="1">
      <c r="A1234" s="892"/>
      <c r="B1234" s="899"/>
      <c r="C1234" s="900"/>
      <c r="D1234" s="894"/>
      <c r="E1234" s="936"/>
      <c r="F1234" s="905"/>
      <c r="G1234" s="896"/>
      <c r="H1234" s="897"/>
      <c r="I1234" s="897"/>
      <c r="J1234" s="897"/>
      <c r="K1234" s="897"/>
      <c r="L1234" s="898"/>
      <c r="M1234" s="898"/>
      <c r="N1234" s="898"/>
      <c r="O1234" s="898"/>
      <c r="P1234" s="898"/>
      <c r="Q1234" s="898"/>
      <c r="R1234" s="898"/>
      <c r="S1234" s="898"/>
      <c r="T1234" s="898"/>
      <c r="U1234" s="898"/>
      <c r="V1234" s="898"/>
      <c r="W1234" s="898"/>
      <c r="X1234" s="898"/>
      <c r="Y1234" s="898"/>
      <c r="Z1234" s="898"/>
      <c r="AA1234" s="898"/>
      <c r="AB1234" s="898"/>
      <c r="AC1234" s="898"/>
      <c r="AD1234" s="898"/>
      <c r="AE1234" s="898"/>
      <c r="AF1234" s="898"/>
      <c r="AG1234" s="898"/>
      <c r="AH1234" s="898"/>
      <c r="AI1234" s="898"/>
      <c r="AJ1234" s="898"/>
      <c r="AK1234" s="898"/>
      <c r="AL1234" s="898"/>
      <c r="AM1234" s="897"/>
      <c r="AN1234" s="897"/>
      <c r="AO1234" s="897"/>
      <c r="AP1234" s="897"/>
      <c r="AQ1234" s="897"/>
      <c r="AR1234" s="897"/>
      <c r="AS1234" s="897"/>
      <c r="AT1234" s="897"/>
    </row>
    <row r="1235" spans="1:46" s="930" customFormat="1">
      <c r="A1235" s="892"/>
      <c r="B1235" s="899"/>
      <c r="C1235" s="900"/>
      <c r="D1235" s="894"/>
      <c r="E1235" s="936"/>
      <c r="F1235" s="905"/>
      <c r="G1235" s="896"/>
      <c r="H1235" s="897"/>
      <c r="I1235" s="897"/>
      <c r="J1235" s="897"/>
      <c r="K1235" s="897"/>
      <c r="L1235" s="898"/>
      <c r="M1235" s="898"/>
      <c r="N1235" s="898"/>
      <c r="O1235" s="898"/>
      <c r="P1235" s="898"/>
      <c r="Q1235" s="898"/>
      <c r="R1235" s="898"/>
      <c r="S1235" s="898"/>
      <c r="T1235" s="898"/>
      <c r="U1235" s="898"/>
      <c r="V1235" s="898"/>
      <c r="W1235" s="898"/>
      <c r="X1235" s="898"/>
      <c r="Y1235" s="898"/>
      <c r="Z1235" s="898"/>
      <c r="AA1235" s="898"/>
      <c r="AB1235" s="898"/>
      <c r="AC1235" s="898"/>
      <c r="AD1235" s="898"/>
      <c r="AE1235" s="898"/>
      <c r="AF1235" s="898"/>
      <c r="AG1235" s="898"/>
      <c r="AH1235" s="898"/>
      <c r="AI1235" s="898"/>
      <c r="AJ1235" s="898"/>
      <c r="AK1235" s="898"/>
      <c r="AL1235" s="898"/>
      <c r="AM1235" s="897"/>
      <c r="AN1235" s="897"/>
      <c r="AO1235" s="897"/>
      <c r="AP1235" s="897"/>
      <c r="AQ1235" s="897"/>
      <c r="AR1235" s="897"/>
      <c r="AS1235" s="897"/>
      <c r="AT1235" s="897"/>
    </row>
    <row r="1236" spans="1:46" s="930" customFormat="1">
      <c r="A1236" s="892"/>
      <c r="B1236" s="899"/>
      <c r="C1236" s="900"/>
      <c r="D1236" s="894"/>
      <c r="E1236" s="936"/>
      <c r="F1236" s="905"/>
      <c r="G1236" s="896"/>
      <c r="H1236" s="897"/>
      <c r="I1236" s="897"/>
      <c r="J1236" s="897"/>
      <c r="K1236" s="897"/>
      <c r="L1236" s="898"/>
      <c r="M1236" s="898"/>
      <c r="N1236" s="898"/>
      <c r="O1236" s="898"/>
      <c r="P1236" s="898"/>
      <c r="Q1236" s="898"/>
      <c r="R1236" s="898"/>
      <c r="S1236" s="898"/>
      <c r="T1236" s="898"/>
      <c r="U1236" s="898"/>
      <c r="V1236" s="898"/>
      <c r="W1236" s="898"/>
      <c r="X1236" s="898"/>
      <c r="Y1236" s="898"/>
      <c r="Z1236" s="898"/>
      <c r="AA1236" s="898"/>
      <c r="AB1236" s="898"/>
      <c r="AC1236" s="898"/>
      <c r="AD1236" s="898"/>
      <c r="AE1236" s="898"/>
      <c r="AF1236" s="898"/>
      <c r="AG1236" s="898"/>
      <c r="AH1236" s="898"/>
      <c r="AI1236" s="898"/>
      <c r="AJ1236" s="898"/>
      <c r="AK1236" s="898"/>
      <c r="AL1236" s="898"/>
      <c r="AM1236" s="897"/>
      <c r="AN1236" s="897"/>
      <c r="AO1236" s="897"/>
      <c r="AP1236" s="897"/>
      <c r="AQ1236" s="897"/>
      <c r="AR1236" s="897"/>
      <c r="AS1236" s="897"/>
      <c r="AT1236" s="897"/>
    </row>
    <row r="1237" spans="1:46" s="930" customFormat="1">
      <c r="A1237" s="892"/>
      <c r="B1237" s="899"/>
      <c r="C1237" s="900"/>
      <c r="D1237" s="894"/>
      <c r="E1237" s="936"/>
      <c r="F1237" s="905"/>
      <c r="G1237" s="896"/>
      <c r="H1237" s="897"/>
      <c r="I1237" s="897"/>
      <c r="J1237" s="897"/>
      <c r="K1237" s="897"/>
      <c r="L1237" s="898"/>
      <c r="M1237" s="898"/>
      <c r="N1237" s="898"/>
      <c r="O1237" s="898"/>
      <c r="P1237" s="898"/>
      <c r="Q1237" s="898"/>
      <c r="R1237" s="898"/>
      <c r="S1237" s="898"/>
      <c r="T1237" s="898"/>
      <c r="U1237" s="898"/>
      <c r="V1237" s="898"/>
      <c r="W1237" s="898"/>
      <c r="X1237" s="898"/>
      <c r="Y1237" s="898"/>
      <c r="Z1237" s="898"/>
      <c r="AA1237" s="898"/>
      <c r="AB1237" s="898"/>
      <c r="AC1237" s="898"/>
      <c r="AD1237" s="898"/>
      <c r="AE1237" s="898"/>
      <c r="AF1237" s="898"/>
      <c r="AG1237" s="898"/>
      <c r="AH1237" s="898"/>
      <c r="AI1237" s="898"/>
      <c r="AJ1237" s="898"/>
      <c r="AK1237" s="898"/>
      <c r="AL1237" s="898"/>
      <c r="AM1237" s="897"/>
      <c r="AN1237" s="897"/>
      <c r="AO1237" s="897"/>
      <c r="AP1237" s="897"/>
      <c r="AQ1237" s="897"/>
      <c r="AR1237" s="897"/>
      <c r="AS1237" s="897"/>
      <c r="AT1237" s="897"/>
    </row>
    <row r="1238" spans="1:46" s="930" customFormat="1">
      <c r="A1238" s="892"/>
      <c r="B1238" s="899"/>
      <c r="C1238" s="900"/>
      <c r="D1238" s="894"/>
      <c r="E1238" s="936"/>
      <c r="F1238" s="905"/>
      <c r="G1238" s="896"/>
      <c r="H1238" s="897"/>
      <c r="I1238" s="897"/>
      <c r="J1238" s="897"/>
      <c r="K1238" s="897"/>
      <c r="L1238" s="898"/>
      <c r="M1238" s="898"/>
      <c r="N1238" s="898"/>
      <c r="O1238" s="898"/>
      <c r="P1238" s="898"/>
      <c r="Q1238" s="898"/>
      <c r="R1238" s="898"/>
      <c r="S1238" s="898"/>
      <c r="T1238" s="898"/>
      <c r="U1238" s="898"/>
      <c r="V1238" s="898"/>
      <c r="W1238" s="898"/>
      <c r="X1238" s="898"/>
      <c r="Y1238" s="898"/>
      <c r="Z1238" s="898"/>
      <c r="AA1238" s="898"/>
      <c r="AB1238" s="898"/>
      <c r="AC1238" s="898"/>
      <c r="AD1238" s="898"/>
      <c r="AE1238" s="898"/>
      <c r="AF1238" s="898"/>
      <c r="AG1238" s="898"/>
      <c r="AH1238" s="898"/>
      <c r="AI1238" s="898"/>
      <c r="AJ1238" s="898"/>
      <c r="AK1238" s="898"/>
      <c r="AL1238" s="898"/>
      <c r="AM1238" s="897"/>
      <c r="AN1238" s="897"/>
      <c r="AO1238" s="897"/>
      <c r="AP1238" s="897"/>
      <c r="AQ1238" s="897"/>
      <c r="AR1238" s="897"/>
      <c r="AS1238" s="897"/>
      <c r="AT1238" s="897"/>
    </row>
    <row r="1239" spans="1:46" s="930" customFormat="1">
      <c r="A1239" s="892"/>
      <c r="B1239" s="899"/>
      <c r="C1239" s="900"/>
      <c r="D1239" s="894"/>
      <c r="E1239" s="936"/>
      <c r="F1239" s="905"/>
      <c r="G1239" s="896"/>
      <c r="H1239" s="897"/>
      <c r="I1239" s="897"/>
      <c r="J1239" s="897"/>
      <c r="K1239" s="897"/>
      <c r="L1239" s="898"/>
      <c r="M1239" s="898"/>
      <c r="N1239" s="898"/>
      <c r="O1239" s="898"/>
      <c r="P1239" s="898"/>
      <c r="Q1239" s="898"/>
      <c r="R1239" s="898"/>
      <c r="S1239" s="898"/>
      <c r="T1239" s="898"/>
      <c r="U1239" s="898"/>
      <c r="V1239" s="898"/>
      <c r="W1239" s="898"/>
      <c r="X1239" s="898"/>
      <c r="Y1239" s="898"/>
      <c r="Z1239" s="898"/>
      <c r="AA1239" s="898"/>
      <c r="AB1239" s="898"/>
      <c r="AC1239" s="898"/>
      <c r="AD1239" s="898"/>
      <c r="AE1239" s="898"/>
      <c r="AF1239" s="898"/>
      <c r="AG1239" s="898"/>
      <c r="AH1239" s="898"/>
      <c r="AI1239" s="898"/>
      <c r="AJ1239" s="898"/>
      <c r="AK1239" s="898"/>
      <c r="AL1239" s="898"/>
      <c r="AM1239" s="897"/>
      <c r="AN1239" s="897"/>
      <c r="AO1239" s="897"/>
      <c r="AP1239" s="897"/>
      <c r="AQ1239" s="897"/>
      <c r="AR1239" s="897"/>
      <c r="AS1239" s="897"/>
      <c r="AT1239" s="897"/>
    </row>
    <row r="1240" spans="1:46" s="930" customFormat="1">
      <c r="A1240" s="892"/>
      <c r="B1240" s="899"/>
      <c r="C1240" s="900"/>
      <c r="D1240" s="894"/>
      <c r="E1240" s="936"/>
      <c r="F1240" s="905"/>
      <c r="G1240" s="896"/>
      <c r="H1240" s="897"/>
      <c r="I1240" s="897"/>
      <c r="J1240" s="897"/>
      <c r="K1240" s="897"/>
      <c r="L1240" s="898"/>
      <c r="M1240" s="898"/>
      <c r="N1240" s="898"/>
      <c r="O1240" s="898"/>
      <c r="P1240" s="898"/>
      <c r="Q1240" s="898"/>
      <c r="R1240" s="898"/>
      <c r="S1240" s="898"/>
      <c r="T1240" s="898"/>
      <c r="U1240" s="898"/>
      <c r="V1240" s="898"/>
      <c r="W1240" s="898"/>
      <c r="X1240" s="898"/>
      <c r="Y1240" s="898"/>
      <c r="Z1240" s="898"/>
      <c r="AA1240" s="898"/>
      <c r="AB1240" s="898"/>
      <c r="AC1240" s="898"/>
      <c r="AD1240" s="898"/>
      <c r="AE1240" s="898"/>
      <c r="AF1240" s="898"/>
      <c r="AG1240" s="898"/>
      <c r="AH1240" s="898"/>
      <c r="AI1240" s="898"/>
      <c r="AJ1240" s="898"/>
      <c r="AK1240" s="898"/>
      <c r="AL1240" s="898"/>
      <c r="AM1240" s="897"/>
      <c r="AN1240" s="897"/>
      <c r="AO1240" s="897"/>
      <c r="AP1240" s="897"/>
      <c r="AQ1240" s="897"/>
      <c r="AR1240" s="897"/>
      <c r="AS1240" s="897"/>
      <c r="AT1240" s="897"/>
    </row>
    <row r="1241" spans="1:46" s="930" customFormat="1">
      <c r="A1241" s="892"/>
      <c r="B1241" s="899"/>
      <c r="C1241" s="900"/>
      <c r="D1241" s="894"/>
      <c r="E1241" s="936"/>
      <c r="F1241" s="905"/>
      <c r="G1241" s="896"/>
      <c r="H1241" s="897"/>
      <c r="I1241" s="897"/>
      <c r="J1241" s="897"/>
      <c r="K1241" s="897"/>
      <c r="L1241" s="898"/>
      <c r="M1241" s="898"/>
      <c r="N1241" s="898"/>
      <c r="O1241" s="898"/>
      <c r="P1241" s="898"/>
      <c r="Q1241" s="898"/>
      <c r="R1241" s="898"/>
      <c r="S1241" s="898"/>
      <c r="T1241" s="898"/>
      <c r="U1241" s="898"/>
      <c r="V1241" s="898"/>
      <c r="W1241" s="898"/>
      <c r="X1241" s="898"/>
      <c r="Y1241" s="898"/>
      <c r="Z1241" s="898"/>
      <c r="AA1241" s="898"/>
      <c r="AB1241" s="898"/>
      <c r="AC1241" s="898"/>
      <c r="AD1241" s="898"/>
      <c r="AE1241" s="898"/>
      <c r="AF1241" s="898"/>
      <c r="AG1241" s="898"/>
      <c r="AH1241" s="898"/>
      <c r="AI1241" s="898"/>
      <c r="AJ1241" s="898"/>
      <c r="AK1241" s="898"/>
      <c r="AL1241" s="898"/>
      <c r="AM1241" s="897"/>
      <c r="AN1241" s="897"/>
      <c r="AO1241" s="897"/>
      <c r="AP1241" s="897"/>
      <c r="AQ1241" s="897"/>
      <c r="AR1241" s="897"/>
      <c r="AS1241" s="897"/>
      <c r="AT1241" s="897"/>
    </row>
    <row r="1242" spans="1:46" s="930" customFormat="1">
      <c r="A1242" s="892"/>
      <c r="B1242" s="899"/>
      <c r="C1242" s="900"/>
      <c r="D1242" s="894"/>
      <c r="E1242" s="936"/>
      <c r="F1242" s="905"/>
      <c r="G1242" s="896"/>
      <c r="H1242" s="897"/>
      <c r="I1242" s="897"/>
      <c r="J1242" s="897"/>
      <c r="K1242" s="897"/>
      <c r="L1242" s="898"/>
      <c r="M1242" s="898"/>
      <c r="N1242" s="898"/>
      <c r="O1242" s="898"/>
      <c r="P1242" s="898"/>
      <c r="Q1242" s="898"/>
      <c r="R1242" s="898"/>
      <c r="S1242" s="898"/>
      <c r="T1242" s="898"/>
      <c r="U1242" s="898"/>
      <c r="V1242" s="898"/>
      <c r="W1242" s="898"/>
      <c r="X1242" s="898"/>
      <c r="Y1242" s="898"/>
      <c r="Z1242" s="898"/>
      <c r="AA1242" s="898"/>
      <c r="AB1242" s="898"/>
      <c r="AC1242" s="898"/>
      <c r="AD1242" s="898"/>
      <c r="AE1242" s="898"/>
      <c r="AF1242" s="898"/>
      <c r="AG1242" s="898"/>
      <c r="AH1242" s="898"/>
      <c r="AI1242" s="898"/>
      <c r="AJ1242" s="898"/>
      <c r="AK1242" s="898"/>
      <c r="AL1242" s="898"/>
      <c r="AM1242" s="897"/>
      <c r="AN1242" s="897"/>
      <c r="AO1242" s="897"/>
      <c r="AP1242" s="897"/>
      <c r="AQ1242" s="897"/>
      <c r="AR1242" s="897"/>
      <c r="AS1242" s="897"/>
      <c r="AT1242" s="897"/>
    </row>
    <row r="1243" spans="1:46" s="930" customFormat="1">
      <c r="A1243" s="892"/>
      <c r="B1243" s="899"/>
      <c r="C1243" s="900"/>
      <c r="D1243" s="894"/>
      <c r="E1243" s="936"/>
      <c r="F1243" s="905"/>
      <c r="G1243" s="896"/>
      <c r="H1243" s="897"/>
      <c r="I1243" s="897"/>
      <c r="J1243" s="897"/>
      <c r="K1243" s="897"/>
      <c r="L1243" s="898"/>
      <c r="M1243" s="898"/>
      <c r="N1243" s="898"/>
      <c r="O1243" s="898"/>
      <c r="P1243" s="898"/>
      <c r="Q1243" s="898"/>
      <c r="R1243" s="898"/>
      <c r="S1243" s="898"/>
      <c r="T1243" s="898"/>
      <c r="U1243" s="898"/>
      <c r="V1243" s="898"/>
      <c r="W1243" s="898"/>
      <c r="X1243" s="898"/>
      <c r="Y1243" s="898"/>
      <c r="Z1243" s="898"/>
      <c r="AA1243" s="898"/>
      <c r="AB1243" s="898"/>
      <c r="AC1243" s="898"/>
      <c r="AD1243" s="898"/>
      <c r="AE1243" s="898"/>
      <c r="AF1243" s="898"/>
      <c r="AG1243" s="898"/>
      <c r="AH1243" s="898"/>
      <c r="AI1243" s="898"/>
      <c r="AJ1243" s="898"/>
      <c r="AK1243" s="898"/>
      <c r="AL1243" s="898"/>
      <c r="AM1243" s="897"/>
      <c r="AN1243" s="897"/>
      <c r="AO1243" s="897"/>
      <c r="AP1243" s="897"/>
      <c r="AQ1243" s="897"/>
      <c r="AR1243" s="897"/>
      <c r="AS1243" s="897"/>
      <c r="AT1243" s="897"/>
    </row>
    <row r="1244" spans="1:46" s="930" customFormat="1">
      <c r="A1244" s="892"/>
      <c r="B1244" s="899"/>
      <c r="C1244" s="900"/>
      <c r="D1244" s="894"/>
      <c r="E1244" s="936"/>
      <c r="F1244" s="905"/>
      <c r="G1244" s="896"/>
      <c r="H1244" s="897"/>
      <c r="I1244" s="897"/>
      <c r="J1244" s="897"/>
      <c r="K1244" s="897"/>
      <c r="L1244" s="898"/>
      <c r="M1244" s="898"/>
      <c r="N1244" s="898"/>
      <c r="O1244" s="898"/>
      <c r="P1244" s="898"/>
      <c r="Q1244" s="898"/>
      <c r="R1244" s="898"/>
      <c r="S1244" s="898"/>
      <c r="T1244" s="898"/>
      <c r="U1244" s="898"/>
      <c r="V1244" s="898"/>
      <c r="W1244" s="898"/>
      <c r="X1244" s="898"/>
      <c r="Y1244" s="898"/>
      <c r="Z1244" s="898"/>
      <c r="AA1244" s="898"/>
      <c r="AB1244" s="898"/>
      <c r="AC1244" s="898"/>
      <c r="AD1244" s="898"/>
      <c r="AE1244" s="898"/>
      <c r="AF1244" s="898"/>
      <c r="AG1244" s="898"/>
      <c r="AH1244" s="898"/>
      <c r="AI1244" s="898"/>
      <c r="AJ1244" s="898"/>
      <c r="AK1244" s="898"/>
      <c r="AL1244" s="898"/>
      <c r="AM1244" s="897"/>
      <c r="AN1244" s="897"/>
      <c r="AO1244" s="897"/>
      <c r="AP1244" s="897"/>
      <c r="AQ1244" s="897"/>
      <c r="AR1244" s="897"/>
      <c r="AS1244" s="897"/>
      <c r="AT1244" s="897"/>
    </row>
    <row r="1245" spans="1:46" s="930" customFormat="1">
      <c r="A1245" s="892"/>
      <c r="B1245" s="899"/>
      <c r="C1245" s="900"/>
      <c r="D1245" s="894"/>
      <c r="E1245" s="936"/>
      <c r="F1245" s="905"/>
      <c r="G1245" s="896"/>
      <c r="H1245" s="897"/>
      <c r="I1245" s="897"/>
      <c r="J1245" s="897"/>
      <c r="K1245" s="897"/>
      <c r="L1245" s="898"/>
      <c r="M1245" s="898"/>
      <c r="N1245" s="898"/>
      <c r="O1245" s="898"/>
      <c r="P1245" s="898"/>
      <c r="Q1245" s="898"/>
      <c r="R1245" s="898"/>
      <c r="S1245" s="898"/>
      <c r="T1245" s="898"/>
      <c r="U1245" s="898"/>
      <c r="V1245" s="898"/>
      <c r="W1245" s="898"/>
      <c r="X1245" s="898"/>
      <c r="Y1245" s="898"/>
      <c r="Z1245" s="898"/>
      <c r="AA1245" s="898"/>
      <c r="AB1245" s="898"/>
      <c r="AC1245" s="898"/>
      <c r="AD1245" s="898"/>
      <c r="AE1245" s="898"/>
      <c r="AF1245" s="898"/>
      <c r="AG1245" s="898"/>
      <c r="AH1245" s="898"/>
      <c r="AI1245" s="898"/>
      <c r="AJ1245" s="898"/>
      <c r="AK1245" s="898"/>
      <c r="AL1245" s="898"/>
      <c r="AM1245" s="897"/>
      <c r="AN1245" s="897"/>
      <c r="AO1245" s="897"/>
      <c r="AP1245" s="897"/>
      <c r="AQ1245" s="897"/>
      <c r="AR1245" s="897"/>
      <c r="AS1245" s="897"/>
      <c r="AT1245" s="897"/>
    </row>
    <row r="1246" spans="1:46" s="930" customFormat="1">
      <c r="A1246" s="892"/>
      <c r="B1246" s="899"/>
      <c r="C1246" s="900"/>
      <c r="D1246" s="894"/>
      <c r="E1246" s="936"/>
      <c r="F1246" s="905"/>
      <c r="G1246" s="896"/>
      <c r="H1246" s="897"/>
      <c r="I1246" s="897"/>
      <c r="J1246" s="897"/>
      <c r="K1246" s="897"/>
      <c r="L1246" s="898"/>
      <c r="M1246" s="898"/>
      <c r="N1246" s="898"/>
      <c r="O1246" s="898"/>
      <c r="P1246" s="898"/>
      <c r="Q1246" s="898"/>
      <c r="R1246" s="898"/>
      <c r="S1246" s="898"/>
      <c r="T1246" s="898"/>
      <c r="U1246" s="898"/>
      <c r="V1246" s="898"/>
      <c r="W1246" s="898"/>
      <c r="X1246" s="898"/>
      <c r="Y1246" s="898"/>
      <c r="Z1246" s="898"/>
      <c r="AA1246" s="898"/>
      <c r="AB1246" s="898"/>
      <c r="AC1246" s="898"/>
      <c r="AD1246" s="898"/>
      <c r="AE1246" s="898"/>
      <c r="AF1246" s="898"/>
      <c r="AG1246" s="898"/>
      <c r="AH1246" s="898"/>
      <c r="AI1246" s="898"/>
      <c r="AJ1246" s="898"/>
      <c r="AK1246" s="898"/>
      <c r="AL1246" s="898"/>
      <c r="AM1246" s="897"/>
      <c r="AN1246" s="897"/>
      <c r="AO1246" s="897"/>
      <c r="AP1246" s="897"/>
      <c r="AQ1246" s="897"/>
      <c r="AR1246" s="897"/>
      <c r="AS1246" s="897"/>
      <c r="AT1246" s="897"/>
    </row>
    <row r="1247" spans="1:46" s="930" customFormat="1">
      <c r="A1247" s="892"/>
      <c r="B1247" s="899"/>
      <c r="C1247" s="900"/>
      <c r="D1247" s="894"/>
      <c r="E1247" s="936"/>
      <c r="F1247" s="905"/>
      <c r="G1247" s="896"/>
      <c r="H1247" s="897"/>
      <c r="I1247" s="897"/>
      <c r="J1247" s="897"/>
      <c r="K1247" s="897"/>
      <c r="L1247" s="898"/>
      <c r="M1247" s="898"/>
      <c r="N1247" s="898"/>
      <c r="O1247" s="898"/>
      <c r="P1247" s="898"/>
      <c r="Q1247" s="898"/>
      <c r="R1247" s="898"/>
      <c r="S1247" s="898"/>
      <c r="T1247" s="898"/>
      <c r="U1247" s="898"/>
      <c r="V1247" s="898"/>
      <c r="W1247" s="898"/>
      <c r="X1247" s="898"/>
      <c r="Y1247" s="898"/>
      <c r="Z1247" s="898"/>
      <c r="AA1247" s="898"/>
      <c r="AB1247" s="898"/>
      <c r="AC1247" s="898"/>
      <c r="AD1247" s="898"/>
      <c r="AE1247" s="898"/>
      <c r="AF1247" s="898"/>
      <c r="AG1247" s="898"/>
      <c r="AH1247" s="898"/>
      <c r="AI1247" s="898"/>
      <c r="AJ1247" s="898"/>
      <c r="AK1247" s="898"/>
      <c r="AL1247" s="898"/>
      <c r="AM1247" s="897"/>
      <c r="AN1247" s="897"/>
      <c r="AO1247" s="897"/>
      <c r="AP1247" s="897"/>
      <c r="AQ1247" s="897"/>
      <c r="AR1247" s="897"/>
      <c r="AS1247" s="897"/>
      <c r="AT1247" s="897"/>
    </row>
    <row r="1248" spans="1:46" s="930" customFormat="1">
      <c r="A1248" s="892"/>
      <c r="B1248" s="899"/>
      <c r="C1248" s="900"/>
      <c r="D1248" s="894"/>
      <c r="E1248" s="936"/>
      <c r="F1248" s="905"/>
      <c r="G1248" s="896"/>
      <c r="H1248" s="897"/>
      <c r="I1248" s="897"/>
      <c r="J1248" s="897"/>
      <c r="K1248" s="897"/>
      <c r="L1248" s="898"/>
      <c r="M1248" s="898"/>
      <c r="N1248" s="898"/>
      <c r="O1248" s="898"/>
      <c r="P1248" s="898"/>
      <c r="Q1248" s="898"/>
      <c r="R1248" s="898"/>
      <c r="S1248" s="898"/>
      <c r="T1248" s="898"/>
      <c r="U1248" s="898"/>
      <c r="V1248" s="898"/>
      <c r="W1248" s="898"/>
      <c r="X1248" s="898"/>
      <c r="Y1248" s="898"/>
      <c r="Z1248" s="898"/>
      <c r="AA1248" s="898"/>
      <c r="AB1248" s="898"/>
      <c r="AC1248" s="898"/>
      <c r="AD1248" s="898"/>
      <c r="AE1248" s="898"/>
      <c r="AF1248" s="898"/>
      <c r="AG1248" s="898"/>
      <c r="AH1248" s="898"/>
      <c r="AI1248" s="898"/>
      <c r="AJ1248" s="898"/>
      <c r="AK1248" s="898"/>
      <c r="AL1248" s="898"/>
      <c r="AM1248" s="897"/>
      <c r="AN1248" s="897"/>
      <c r="AO1248" s="897"/>
      <c r="AP1248" s="897"/>
      <c r="AQ1248" s="897"/>
      <c r="AR1248" s="897"/>
      <c r="AS1248" s="897"/>
      <c r="AT1248" s="897"/>
    </row>
    <row r="1249" spans="1:46" s="930" customFormat="1">
      <c r="A1249" s="892"/>
      <c r="B1249" s="899"/>
      <c r="C1249" s="900"/>
      <c r="D1249" s="894"/>
      <c r="E1249" s="936"/>
      <c r="F1249" s="905"/>
      <c r="G1249" s="896"/>
      <c r="H1249" s="897"/>
      <c r="I1249" s="897"/>
      <c r="J1249" s="897"/>
      <c r="K1249" s="897"/>
      <c r="L1249" s="898"/>
      <c r="M1249" s="898"/>
      <c r="N1249" s="898"/>
      <c r="O1249" s="898"/>
      <c r="P1249" s="898"/>
      <c r="Q1249" s="898"/>
      <c r="R1249" s="898"/>
      <c r="S1249" s="898"/>
      <c r="T1249" s="898"/>
      <c r="U1249" s="898"/>
      <c r="V1249" s="898"/>
      <c r="W1249" s="898"/>
      <c r="X1249" s="898"/>
      <c r="Y1249" s="898"/>
      <c r="Z1249" s="898"/>
      <c r="AA1249" s="898"/>
      <c r="AB1249" s="898"/>
      <c r="AC1249" s="898"/>
      <c r="AD1249" s="898"/>
      <c r="AE1249" s="898"/>
      <c r="AF1249" s="898"/>
      <c r="AG1249" s="898"/>
      <c r="AH1249" s="898"/>
      <c r="AI1249" s="898"/>
      <c r="AJ1249" s="898"/>
      <c r="AK1249" s="898"/>
      <c r="AL1249" s="898"/>
      <c r="AM1249" s="897"/>
      <c r="AN1249" s="897"/>
      <c r="AO1249" s="897"/>
      <c r="AP1249" s="897"/>
      <c r="AQ1249" s="897"/>
      <c r="AR1249" s="897"/>
      <c r="AS1249" s="897"/>
      <c r="AT1249" s="897"/>
    </row>
    <row r="1250" spans="1:46" s="930" customFormat="1">
      <c r="A1250" s="892"/>
      <c r="B1250" s="899"/>
      <c r="C1250" s="900"/>
      <c r="D1250" s="894"/>
      <c r="E1250" s="936"/>
      <c r="F1250" s="905"/>
      <c r="G1250" s="896"/>
      <c r="H1250" s="897"/>
      <c r="I1250" s="897"/>
      <c r="J1250" s="897"/>
      <c r="K1250" s="897"/>
      <c r="L1250" s="898"/>
      <c r="M1250" s="898"/>
      <c r="N1250" s="898"/>
      <c r="O1250" s="898"/>
      <c r="P1250" s="898"/>
      <c r="Q1250" s="898"/>
      <c r="R1250" s="898"/>
      <c r="S1250" s="898"/>
      <c r="T1250" s="898"/>
      <c r="U1250" s="898"/>
      <c r="V1250" s="898"/>
      <c r="W1250" s="898"/>
      <c r="X1250" s="898"/>
      <c r="Y1250" s="898"/>
      <c r="Z1250" s="898"/>
      <c r="AA1250" s="898"/>
      <c r="AB1250" s="898"/>
      <c r="AC1250" s="898"/>
      <c r="AD1250" s="898"/>
      <c r="AE1250" s="898"/>
      <c r="AF1250" s="898"/>
      <c r="AG1250" s="898"/>
      <c r="AH1250" s="898"/>
      <c r="AI1250" s="898"/>
      <c r="AJ1250" s="898"/>
      <c r="AK1250" s="898"/>
      <c r="AL1250" s="898"/>
      <c r="AM1250" s="897"/>
      <c r="AN1250" s="897"/>
      <c r="AO1250" s="897"/>
      <c r="AP1250" s="897"/>
      <c r="AQ1250" s="897"/>
      <c r="AR1250" s="897"/>
      <c r="AS1250" s="897"/>
      <c r="AT1250" s="897"/>
    </row>
    <row r="1251" spans="1:46" s="930" customFormat="1">
      <c r="A1251" s="892"/>
      <c r="B1251" s="899"/>
      <c r="C1251" s="900"/>
      <c r="D1251" s="894"/>
      <c r="E1251" s="936"/>
      <c r="F1251" s="905"/>
      <c r="G1251" s="896"/>
      <c r="H1251" s="897"/>
      <c r="I1251" s="897"/>
      <c r="J1251" s="897"/>
      <c r="K1251" s="897"/>
      <c r="L1251" s="898"/>
      <c r="M1251" s="898"/>
      <c r="N1251" s="898"/>
      <c r="O1251" s="898"/>
      <c r="P1251" s="898"/>
      <c r="Q1251" s="898"/>
      <c r="R1251" s="898"/>
      <c r="S1251" s="898"/>
      <c r="T1251" s="898"/>
      <c r="U1251" s="898"/>
      <c r="V1251" s="898"/>
      <c r="W1251" s="898"/>
      <c r="X1251" s="898"/>
      <c r="Y1251" s="898"/>
      <c r="Z1251" s="898"/>
      <c r="AA1251" s="898"/>
      <c r="AB1251" s="898"/>
      <c r="AC1251" s="898"/>
      <c r="AD1251" s="898"/>
      <c r="AE1251" s="898"/>
      <c r="AF1251" s="898"/>
      <c r="AG1251" s="898"/>
      <c r="AH1251" s="898"/>
      <c r="AI1251" s="898"/>
      <c r="AJ1251" s="898"/>
      <c r="AK1251" s="898"/>
      <c r="AL1251" s="898"/>
      <c r="AM1251" s="897"/>
      <c r="AN1251" s="897"/>
      <c r="AO1251" s="897"/>
      <c r="AP1251" s="897"/>
      <c r="AQ1251" s="897"/>
      <c r="AR1251" s="897"/>
      <c r="AS1251" s="897"/>
      <c r="AT1251" s="897"/>
    </row>
    <row r="1252" spans="1:46" s="930" customFormat="1">
      <c r="A1252" s="892"/>
      <c r="B1252" s="899"/>
      <c r="C1252" s="900"/>
      <c r="D1252" s="894"/>
      <c r="E1252" s="936"/>
      <c r="F1252" s="905"/>
      <c r="G1252" s="896"/>
      <c r="H1252" s="897"/>
      <c r="I1252" s="897"/>
      <c r="J1252" s="897"/>
      <c r="K1252" s="897"/>
      <c r="L1252" s="898"/>
      <c r="M1252" s="898"/>
      <c r="N1252" s="898"/>
      <c r="O1252" s="898"/>
      <c r="P1252" s="898"/>
      <c r="Q1252" s="898"/>
      <c r="R1252" s="898"/>
      <c r="S1252" s="898"/>
      <c r="T1252" s="898"/>
      <c r="U1252" s="898"/>
      <c r="V1252" s="898"/>
      <c r="W1252" s="898"/>
      <c r="X1252" s="898"/>
      <c r="Y1252" s="898"/>
      <c r="Z1252" s="898"/>
      <c r="AA1252" s="898"/>
      <c r="AB1252" s="898"/>
      <c r="AC1252" s="898"/>
      <c r="AD1252" s="898"/>
      <c r="AE1252" s="898"/>
      <c r="AF1252" s="898"/>
      <c r="AG1252" s="898"/>
      <c r="AH1252" s="898"/>
      <c r="AI1252" s="898"/>
      <c r="AJ1252" s="898"/>
      <c r="AK1252" s="898"/>
      <c r="AL1252" s="898"/>
      <c r="AM1252" s="897"/>
      <c r="AN1252" s="897"/>
      <c r="AO1252" s="897"/>
      <c r="AP1252" s="897"/>
      <c r="AQ1252" s="897"/>
      <c r="AR1252" s="897"/>
      <c r="AS1252" s="897"/>
      <c r="AT1252" s="897"/>
    </row>
    <row r="1253" spans="1:46" s="930" customFormat="1">
      <c r="A1253" s="892"/>
      <c r="B1253" s="899"/>
      <c r="C1253" s="900"/>
      <c r="D1253" s="894"/>
      <c r="E1253" s="936"/>
      <c r="F1253" s="905"/>
      <c r="G1253" s="896"/>
      <c r="H1253" s="897"/>
      <c r="I1253" s="897"/>
      <c r="J1253" s="897"/>
      <c r="K1253" s="897"/>
      <c r="L1253" s="898"/>
      <c r="M1253" s="898"/>
      <c r="N1253" s="898"/>
      <c r="O1253" s="898"/>
      <c r="P1253" s="898"/>
      <c r="Q1253" s="898"/>
      <c r="R1253" s="898"/>
      <c r="S1253" s="898"/>
      <c r="T1253" s="898"/>
      <c r="U1253" s="898"/>
      <c r="V1253" s="898"/>
      <c r="W1253" s="898"/>
      <c r="X1253" s="898"/>
      <c r="Y1253" s="898"/>
      <c r="Z1253" s="898"/>
      <c r="AA1253" s="898"/>
      <c r="AB1253" s="898"/>
      <c r="AC1253" s="898"/>
      <c r="AD1253" s="898"/>
      <c r="AE1253" s="898"/>
      <c r="AF1253" s="898"/>
      <c r="AG1253" s="898"/>
      <c r="AH1253" s="898"/>
      <c r="AI1253" s="898"/>
      <c r="AJ1253" s="898"/>
      <c r="AK1253" s="898"/>
      <c r="AL1253" s="898"/>
      <c r="AM1253" s="897"/>
      <c r="AN1253" s="897"/>
      <c r="AO1253" s="897"/>
      <c r="AP1253" s="897"/>
      <c r="AQ1253" s="897"/>
      <c r="AR1253" s="897"/>
      <c r="AS1253" s="897"/>
      <c r="AT1253" s="897"/>
    </row>
    <row r="1254" spans="1:46" s="930" customFormat="1">
      <c r="A1254" s="892"/>
      <c r="B1254" s="899"/>
      <c r="C1254" s="900"/>
      <c r="D1254" s="894"/>
      <c r="E1254" s="936"/>
      <c r="F1254" s="905"/>
      <c r="G1254" s="896"/>
      <c r="H1254" s="897"/>
      <c r="I1254" s="897"/>
      <c r="J1254" s="897"/>
      <c r="K1254" s="897"/>
      <c r="L1254" s="898"/>
      <c r="M1254" s="898"/>
      <c r="N1254" s="898"/>
      <c r="O1254" s="898"/>
      <c r="P1254" s="898"/>
      <c r="Q1254" s="898"/>
      <c r="R1254" s="898"/>
      <c r="S1254" s="898"/>
      <c r="T1254" s="898"/>
      <c r="U1254" s="898"/>
      <c r="V1254" s="898"/>
      <c r="W1254" s="898"/>
      <c r="X1254" s="898"/>
      <c r="Y1254" s="898"/>
      <c r="Z1254" s="898"/>
      <c r="AA1254" s="898"/>
      <c r="AB1254" s="898"/>
      <c r="AC1254" s="898"/>
      <c r="AD1254" s="898"/>
      <c r="AE1254" s="898"/>
      <c r="AF1254" s="898"/>
      <c r="AG1254" s="898"/>
      <c r="AH1254" s="898"/>
      <c r="AI1254" s="898"/>
      <c r="AJ1254" s="898"/>
      <c r="AK1254" s="898"/>
      <c r="AL1254" s="898"/>
      <c r="AM1254" s="897"/>
      <c r="AN1254" s="897"/>
      <c r="AO1254" s="897"/>
      <c r="AP1254" s="897"/>
      <c r="AQ1254" s="897"/>
      <c r="AR1254" s="897"/>
      <c r="AS1254" s="897"/>
      <c r="AT1254" s="897"/>
    </row>
    <row r="1255" spans="1:46" s="930" customFormat="1">
      <c r="A1255" s="892"/>
      <c r="B1255" s="899"/>
      <c r="C1255" s="900"/>
      <c r="D1255" s="894"/>
      <c r="E1255" s="936"/>
      <c r="F1255" s="905"/>
      <c r="G1255" s="896"/>
      <c r="H1255" s="897"/>
      <c r="I1255" s="897"/>
      <c r="J1255" s="897"/>
      <c r="K1255" s="897"/>
      <c r="L1255" s="898"/>
      <c r="M1255" s="898"/>
      <c r="N1255" s="898"/>
      <c r="O1255" s="898"/>
      <c r="P1255" s="898"/>
      <c r="Q1255" s="898"/>
      <c r="R1255" s="898"/>
      <c r="S1255" s="898"/>
      <c r="T1255" s="898"/>
      <c r="U1255" s="898"/>
      <c r="V1255" s="898"/>
      <c r="W1255" s="898"/>
      <c r="X1255" s="898"/>
      <c r="Y1255" s="898"/>
      <c r="Z1255" s="898"/>
      <c r="AA1255" s="898"/>
      <c r="AB1255" s="898"/>
      <c r="AC1255" s="898"/>
      <c r="AD1255" s="898"/>
      <c r="AE1255" s="898"/>
      <c r="AF1255" s="898"/>
      <c r="AG1255" s="898"/>
      <c r="AH1255" s="898"/>
      <c r="AI1255" s="898"/>
      <c r="AJ1255" s="898"/>
      <c r="AK1255" s="898"/>
      <c r="AL1255" s="898"/>
      <c r="AM1255" s="897"/>
      <c r="AN1255" s="897"/>
      <c r="AO1255" s="897"/>
      <c r="AP1255" s="897"/>
      <c r="AQ1255" s="897"/>
      <c r="AR1255" s="897"/>
      <c r="AS1255" s="897"/>
      <c r="AT1255" s="897"/>
    </row>
    <row r="1256" spans="1:46" s="930" customFormat="1">
      <c r="A1256" s="892"/>
      <c r="B1256" s="899"/>
      <c r="C1256" s="900"/>
      <c r="D1256" s="894"/>
      <c r="E1256" s="936"/>
      <c r="F1256" s="905"/>
      <c r="G1256" s="896"/>
      <c r="H1256" s="897"/>
      <c r="I1256" s="897"/>
      <c r="J1256" s="897"/>
      <c r="K1256" s="897"/>
      <c r="L1256" s="898"/>
      <c r="M1256" s="898"/>
      <c r="N1256" s="898"/>
      <c r="O1256" s="898"/>
      <c r="P1256" s="898"/>
      <c r="Q1256" s="898"/>
      <c r="R1256" s="898"/>
      <c r="S1256" s="898"/>
      <c r="T1256" s="898"/>
      <c r="U1256" s="898"/>
      <c r="V1256" s="898"/>
      <c r="W1256" s="898"/>
      <c r="X1256" s="898"/>
      <c r="Y1256" s="898"/>
      <c r="Z1256" s="898"/>
      <c r="AA1256" s="898"/>
      <c r="AB1256" s="898"/>
      <c r="AC1256" s="898"/>
      <c r="AD1256" s="898"/>
      <c r="AE1256" s="898"/>
      <c r="AF1256" s="898"/>
      <c r="AG1256" s="898"/>
      <c r="AH1256" s="898"/>
      <c r="AI1256" s="898"/>
      <c r="AJ1256" s="898"/>
      <c r="AK1256" s="898"/>
      <c r="AL1256" s="898"/>
      <c r="AM1256" s="897"/>
      <c r="AN1256" s="897"/>
      <c r="AO1256" s="897"/>
      <c r="AP1256" s="897"/>
      <c r="AQ1256" s="897"/>
      <c r="AR1256" s="897"/>
      <c r="AS1256" s="897"/>
      <c r="AT1256" s="897"/>
    </row>
    <row r="1257" spans="1:46" s="930" customFormat="1">
      <c r="A1257" s="892"/>
      <c r="B1257" s="899"/>
      <c r="C1257" s="900"/>
      <c r="D1257" s="894"/>
      <c r="E1257" s="936"/>
      <c r="F1257" s="905"/>
      <c r="G1257" s="896"/>
      <c r="H1257" s="897"/>
      <c r="I1257" s="897"/>
      <c r="J1257" s="897"/>
      <c r="K1257" s="897"/>
      <c r="L1257" s="898"/>
      <c r="M1257" s="898"/>
      <c r="N1257" s="898"/>
      <c r="O1257" s="898"/>
      <c r="P1257" s="898"/>
      <c r="Q1257" s="898"/>
      <c r="R1257" s="898"/>
      <c r="S1257" s="898"/>
      <c r="T1257" s="898"/>
      <c r="U1257" s="898"/>
      <c r="V1257" s="898"/>
      <c r="W1257" s="898"/>
      <c r="X1257" s="898"/>
      <c r="Y1257" s="898"/>
      <c r="Z1257" s="898"/>
      <c r="AA1257" s="898"/>
      <c r="AB1257" s="898"/>
      <c r="AC1257" s="898"/>
      <c r="AD1257" s="898"/>
      <c r="AE1257" s="898"/>
      <c r="AF1257" s="898"/>
      <c r="AG1257" s="898"/>
      <c r="AH1257" s="898"/>
      <c r="AI1257" s="898"/>
      <c r="AJ1257" s="898"/>
      <c r="AK1257" s="898"/>
      <c r="AL1257" s="898"/>
      <c r="AM1257" s="897"/>
      <c r="AN1257" s="897"/>
      <c r="AO1257" s="897"/>
      <c r="AP1257" s="897"/>
      <c r="AQ1257" s="897"/>
      <c r="AR1257" s="897"/>
      <c r="AS1257" s="897"/>
      <c r="AT1257" s="897"/>
    </row>
    <row r="1258" spans="1:46" s="930" customFormat="1">
      <c r="A1258" s="892"/>
      <c r="B1258" s="899"/>
      <c r="C1258" s="900"/>
      <c r="D1258" s="894"/>
      <c r="E1258" s="936"/>
      <c r="F1258" s="905"/>
      <c r="G1258" s="896"/>
      <c r="H1258" s="897"/>
      <c r="I1258" s="897"/>
      <c r="J1258" s="897"/>
      <c r="K1258" s="897"/>
      <c r="L1258" s="898"/>
      <c r="M1258" s="898"/>
      <c r="N1258" s="898"/>
      <c r="O1258" s="898"/>
      <c r="P1258" s="898"/>
      <c r="Q1258" s="898"/>
      <c r="R1258" s="898"/>
      <c r="S1258" s="898"/>
      <c r="T1258" s="898"/>
      <c r="U1258" s="898"/>
      <c r="V1258" s="898"/>
      <c r="W1258" s="898"/>
      <c r="X1258" s="898"/>
      <c r="Y1258" s="898"/>
      <c r="Z1258" s="898"/>
      <c r="AA1258" s="898"/>
      <c r="AB1258" s="898"/>
      <c r="AC1258" s="898"/>
      <c r="AD1258" s="898"/>
      <c r="AE1258" s="898"/>
      <c r="AF1258" s="898"/>
      <c r="AG1258" s="898"/>
      <c r="AH1258" s="898"/>
      <c r="AI1258" s="898"/>
      <c r="AJ1258" s="898"/>
      <c r="AK1258" s="898"/>
      <c r="AL1258" s="898"/>
      <c r="AM1258" s="897"/>
      <c r="AN1258" s="897"/>
      <c r="AO1258" s="897"/>
      <c r="AP1258" s="897"/>
      <c r="AQ1258" s="897"/>
      <c r="AR1258" s="897"/>
      <c r="AS1258" s="897"/>
      <c r="AT1258" s="897"/>
    </row>
    <row r="1259" spans="1:46" s="930" customFormat="1">
      <c r="A1259" s="892"/>
      <c r="B1259" s="899"/>
      <c r="C1259" s="900"/>
      <c r="D1259" s="894"/>
      <c r="E1259" s="936"/>
      <c r="F1259" s="905"/>
      <c r="G1259" s="896"/>
      <c r="H1259" s="897"/>
      <c r="I1259" s="897"/>
      <c r="J1259" s="897"/>
      <c r="K1259" s="897"/>
      <c r="L1259" s="898"/>
      <c r="M1259" s="898"/>
      <c r="N1259" s="898"/>
      <c r="O1259" s="898"/>
      <c r="P1259" s="898"/>
      <c r="Q1259" s="898"/>
      <c r="R1259" s="898"/>
      <c r="S1259" s="898"/>
      <c r="T1259" s="898"/>
      <c r="U1259" s="898"/>
      <c r="V1259" s="898"/>
      <c r="W1259" s="898"/>
      <c r="X1259" s="898"/>
      <c r="Y1259" s="898"/>
      <c r="Z1259" s="898"/>
      <c r="AA1259" s="898"/>
      <c r="AB1259" s="898"/>
      <c r="AC1259" s="898"/>
      <c r="AD1259" s="898"/>
      <c r="AE1259" s="898"/>
      <c r="AF1259" s="898"/>
      <c r="AG1259" s="898"/>
      <c r="AH1259" s="898"/>
      <c r="AI1259" s="898"/>
      <c r="AJ1259" s="898"/>
      <c r="AK1259" s="898"/>
      <c r="AL1259" s="898"/>
      <c r="AM1259" s="897"/>
      <c r="AN1259" s="897"/>
      <c r="AO1259" s="897"/>
      <c r="AP1259" s="897"/>
      <c r="AQ1259" s="897"/>
      <c r="AR1259" s="897"/>
      <c r="AS1259" s="897"/>
      <c r="AT1259" s="897"/>
    </row>
    <row r="1260" spans="1:46" s="930" customFormat="1">
      <c r="A1260" s="892"/>
      <c r="B1260" s="899"/>
      <c r="C1260" s="900"/>
      <c r="D1260" s="894"/>
      <c r="E1260" s="936"/>
      <c r="F1260" s="905"/>
      <c r="G1260" s="896"/>
      <c r="H1260" s="897"/>
      <c r="I1260" s="897"/>
      <c r="J1260" s="897"/>
      <c r="K1260" s="897"/>
      <c r="L1260" s="898"/>
      <c r="M1260" s="898"/>
      <c r="N1260" s="898"/>
      <c r="O1260" s="898"/>
      <c r="P1260" s="898"/>
      <c r="Q1260" s="898"/>
      <c r="R1260" s="898"/>
      <c r="S1260" s="898"/>
      <c r="T1260" s="898"/>
      <c r="U1260" s="898"/>
      <c r="V1260" s="898"/>
      <c r="W1260" s="898"/>
      <c r="X1260" s="898"/>
      <c r="Y1260" s="898"/>
      <c r="Z1260" s="898"/>
      <c r="AA1260" s="898"/>
      <c r="AB1260" s="898"/>
      <c r="AC1260" s="898"/>
      <c r="AD1260" s="898"/>
      <c r="AE1260" s="898"/>
      <c r="AF1260" s="898"/>
      <c r="AG1260" s="898"/>
      <c r="AH1260" s="898"/>
      <c r="AI1260" s="898"/>
      <c r="AJ1260" s="898"/>
      <c r="AK1260" s="898"/>
      <c r="AL1260" s="898"/>
      <c r="AM1260" s="897"/>
      <c r="AN1260" s="897"/>
      <c r="AO1260" s="897"/>
      <c r="AP1260" s="897"/>
      <c r="AQ1260" s="897"/>
      <c r="AR1260" s="897"/>
      <c r="AS1260" s="897"/>
      <c r="AT1260" s="897"/>
    </row>
    <row r="1261" spans="1:46" s="930" customFormat="1">
      <c r="A1261" s="892"/>
      <c r="B1261" s="899"/>
      <c r="C1261" s="900"/>
      <c r="D1261" s="894"/>
      <c r="E1261" s="936"/>
      <c r="F1261" s="905"/>
      <c r="G1261" s="896"/>
      <c r="H1261" s="897"/>
      <c r="I1261" s="897"/>
      <c r="J1261" s="897"/>
      <c r="K1261" s="897"/>
      <c r="L1261" s="898"/>
      <c r="M1261" s="898"/>
      <c r="N1261" s="898"/>
      <c r="O1261" s="898"/>
      <c r="P1261" s="898"/>
      <c r="Q1261" s="898"/>
      <c r="R1261" s="898"/>
      <c r="S1261" s="898"/>
      <c r="T1261" s="898"/>
      <c r="U1261" s="898"/>
      <c r="V1261" s="898"/>
      <c r="W1261" s="898"/>
      <c r="X1261" s="898"/>
      <c r="Y1261" s="898"/>
      <c r="Z1261" s="898"/>
      <c r="AA1261" s="898"/>
      <c r="AB1261" s="898"/>
      <c r="AC1261" s="898"/>
      <c r="AD1261" s="898"/>
      <c r="AE1261" s="898"/>
      <c r="AF1261" s="898"/>
      <c r="AG1261" s="898"/>
      <c r="AH1261" s="898"/>
      <c r="AI1261" s="898"/>
      <c r="AJ1261" s="898"/>
      <c r="AK1261" s="898"/>
      <c r="AL1261" s="898"/>
      <c r="AM1261" s="897"/>
      <c r="AN1261" s="897"/>
      <c r="AO1261" s="897"/>
      <c r="AP1261" s="897"/>
      <c r="AQ1261" s="897"/>
      <c r="AR1261" s="897"/>
      <c r="AS1261" s="897"/>
      <c r="AT1261" s="897"/>
    </row>
    <row r="1262" spans="1:46" s="930" customFormat="1">
      <c r="A1262" s="892"/>
      <c r="B1262" s="899"/>
      <c r="C1262" s="900"/>
      <c r="D1262" s="894"/>
      <c r="E1262" s="936"/>
      <c r="F1262" s="905"/>
      <c r="G1262" s="896"/>
      <c r="H1262" s="897"/>
      <c r="I1262" s="897"/>
      <c r="J1262" s="897"/>
      <c r="K1262" s="897"/>
      <c r="L1262" s="898"/>
      <c r="M1262" s="898"/>
      <c r="N1262" s="898"/>
      <c r="O1262" s="898"/>
      <c r="P1262" s="898"/>
      <c r="Q1262" s="898"/>
      <c r="R1262" s="898"/>
      <c r="S1262" s="898"/>
      <c r="T1262" s="898"/>
      <c r="U1262" s="898"/>
      <c r="V1262" s="898"/>
      <c r="W1262" s="898"/>
      <c r="X1262" s="898"/>
      <c r="Y1262" s="898"/>
      <c r="Z1262" s="898"/>
      <c r="AA1262" s="898"/>
      <c r="AB1262" s="898"/>
      <c r="AC1262" s="898"/>
      <c r="AD1262" s="898"/>
      <c r="AE1262" s="898"/>
      <c r="AF1262" s="898"/>
      <c r="AG1262" s="898"/>
      <c r="AH1262" s="898"/>
      <c r="AI1262" s="898"/>
      <c r="AJ1262" s="898"/>
      <c r="AK1262" s="898"/>
      <c r="AL1262" s="898"/>
      <c r="AM1262" s="897"/>
      <c r="AN1262" s="897"/>
      <c r="AO1262" s="897"/>
      <c r="AP1262" s="897"/>
      <c r="AQ1262" s="897"/>
      <c r="AR1262" s="897"/>
      <c r="AS1262" s="897"/>
      <c r="AT1262" s="897"/>
    </row>
    <row r="1263" spans="1:46" s="930" customFormat="1">
      <c r="A1263" s="892"/>
      <c r="B1263" s="899"/>
      <c r="C1263" s="900"/>
      <c r="D1263" s="894"/>
      <c r="E1263" s="936"/>
      <c r="F1263" s="905"/>
      <c r="G1263" s="896"/>
      <c r="H1263" s="897"/>
      <c r="I1263" s="897"/>
      <c r="J1263" s="897"/>
      <c r="K1263" s="897"/>
      <c r="L1263" s="898"/>
      <c r="M1263" s="898"/>
      <c r="N1263" s="898"/>
      <c r="O1263" s="898"/>
      <c r="P1263" s="898"/>
      <c r="Q1263" s="898"/>
      <c r="R1263" s="898"/>
      <c r="S1263" s="898"/>
      <c r="T1263" s="898"/>
      <c r="U1263" s="898"/>
      <c r="V1263" s="898"/>
      <c r="W1263" s="898"/>
      <c r="X1263" s="898"/>
      <c r="Y1263" s="898"/>
      <c r="Z1263" s="898"/>
      <c r="AA1263" s="898"/>
      <c r="AB1263" s="898"/>
      <c r="AC1263" s="898"/>
      <c r="AD1263" s="898"/>
      <c r="AE1263" s="898"/>
      <c r="AF1263" s="898"/>
      <c r="AG1263" s="898"/>
      <c r="AH1263" s="898"/>
      <c r="AI1263" s="898"/>
      <c r="AJ1263" s="898"/>
      <c r="AK1263" s="898"/>
      <c r="AL1263" s="898"/>
      <c r="AM1263" s="897"/>
      <c r="AN1263" s="897"/>
      <c r="AO1263" s="897"/>
      <c r="AP1263" s="897"/>
      <c r="AQ1263" s="897"/>
      <c r="AR1263" s="897"/>
      <c r="AS1263" s="897"/>
      <c r="AT1263" s="897"/>
    </row>
    <row r="1264" spans="1:46" s="930" customFormat="1">
      <c r="A1264" s="892"/>
      <c r="B1264" s="899"/>
      <c r="C1264" s="900"/>
      <c r="D1264" s="894"/>
      <c r="E1264" s="936"/>
      <c r="F1264" s="905"/>
      <c r="G1264" s="896"/>
      <c r="H1264" s="897"/>
      <c r="I1264" s="897"/>
      <c r="J1264" s="897"/>
      <c r="K1264" s="897"/>
      <c r="L1264" s="898"/>
      <c r="M1264" s="898"/>
      <c r="N1264" s="898"/>
      <c r="O1264" s="898"/>
      <c r="P1264" s="898"/>
      <c r="Q1264" s="898"/>
      <c r="R1264" s="898"/>
      <c r="S1264" s="898"/>
      <c r="T1264" s="898"/>
      <c r="U1264" s="898"/>
      <c r="V1264" s="898"/>
      <c r="W1264" s="898"/>
      <c r="X1264" s="898"/>
      <c r="Y1264" s="898"/>
      <c r="Z1264" s="898"/>
      <c r="AA1264" s="898"/>
      <c r="AB1264" s="898"/>
      <c r="AC1264" s="898"/>
      <c r="AD1264" s="898"/>
      <c r="AE1264" s="898"/>
      <c r="AF1264" s="898"/>
      <c r="AG1264" s="898"/>
      <c r="AH1264" s="898"/>
      <c r="AI1264" s="898"/>
      <c r="AJ1264" s="898"/>
      <c r="AK1264" s="898"/>
      <c r="AL1264" s="898"/>
      <c r="AM1264" s="897"/>
      <c r="AN1264" s="897"/>
      <c r="AO1264" s="897"/>
      <c r="AP1264" s="897"/>
      <c r="AQ1264" s="897"/>
      <c r="AR1264" s="897"/>
      <c r="AS1264" s="897"/>
      <c r="AT1264" s="897"/>
    </row>
    <row r="1265" spans="1:46" s="930" customFormat="1">
      <c r="A1265" s="892"/>
      <c r="B1265" s="899"/>
      <c r="C1265" s="900"/>
      <c r="D1265" s="894"/>
      <c r="E1265" s="936"/>
      <c r="F1265" s="905"/>
      <c r="G1265" s="896"/>
      <c r="H1265" s="897"/>
      <c r="I1265" s="897"/>
      <c r="J1265" s="897"/>
      <c r="K1265" s="897"/>
      <c r="L1265" s="898"/>
      <c r="M1265" s="898"/>
      <c r="N1265" s="898"/>
      <c r="O1265" s="898"/>
      <c r="P1265" s="898"/>
      <c r="Q1265" s="898"/>
      <c r="R1265" s="898"/>
      <c r="S1265" s="898"/>
      <c r="T1265" s="898"/>
      <c r="U1265" s="898"/>
      <c r="V1265" s="898"/>
      <c r="W1265" s="898"/>
      <c r="X1265" s="898"/>
      <c r="Y1265" s="898"/>
      <c r="Z1265" s="898"/>
      <c r="AA1265" s="898"/>
      <c r="AB1265" s="898"/>
      <c r="AC1265" s="898"/>
      <c r="AD1265" s="898"/>
      <c r="AE1265" s="898"/>
      <c r="AF1265" s="898"/>
      <c r="AG1265" s="898"/>
      <c r="AH1265" s="898"/>
      <c r="AI1265" s="898"/>
      <c r="AJ1265" s="898"/>
      <c r="AK1265" s="898"/>
      <c r="AL1265" s="898"/>
      <c r="AM1265" s="897"/>
      <c r="AN1265" s="897"/>
      <c r="AO1265" s="897"/>
      <c r="AP1265" s="897"/>
      <c r="AQ1265" s="897"/>
      <c r="AR1265" s="897"/>
      <c r="AS1265" s="897"/>
      <c r="AT1265" s="897"/>
    </row>
    <row r="1266" spans="1:46" s="930" customFormat="1">
      <c r="A1266" s="892"/>
      <c r="B1266" s="899"/>
      <c r="C1266" s="900"/>
      <c r="D1266" s="894"/>
      <c r="E1266" s="936"/>
      <c r="F1266" s="905"/>
      <c r="G1266" s="896"/>
      <c r="H1266" s="897"/>
      <c r="I1266" s="897"/>
      <c r="J1266" s="897"/>
      <c r="K1266" s="897"/>
      <c r="L1266" s="898"/>
      <c r="M1266" s="898"/>
      <c r="N1266" s="898"/>
      <c r="O1266" s="898"/>
      <c r="P1266" s="898"/>
      <c r="Q1266" s="898"/>
      <c r="R1266" s="898"/>
      <c r="S1266" s="898"/>
      <c r="T1266" s="898"/>
      <c r="U1266" s="898"/>
      <c r="V1266" s="898"/>
      <c r="W1266" s="898"/>
      <c r="X1266" s="898"/>
      <c r="Y1266" s="898"/>
      <c r="Z1266" s="898"/>
      <c r="AA1266" s="898"/>
      <c r="AB1266" s="898"/>
      <c r="AC1266" s="898"/>
      <c r="AD1266" s="898"/>
      <c r="AE1266" s="898"/>
      <c r="AF1266" s="898"/>
      <c r="AG1266" s="898"/>
      <c r="AH1266" s="898"/>
      <c r="AI1266" s="898"/>
      <c r="AJ1266" s="898"/>
      <c r="AK1266" s="898"/>
      <c r="AL1266" s="898"/>
      <c r="AM1266" s="897"/>
      <c r="AN1266" s="897"/>
      <c r="AO1266" s="897"/>
      <c r="AP1266" s="897"/>
      <c r="AQ1266" s="897"/>
      <c r="AR1266" s="897"/>
      <c r="AS1266" s="897"/>
      <c r="AT1266" s="897"/>
    </row>
    <row r="1267" spans="1:46" s="930" customFormat="1">
      <c r="A1267" s="892"/>
      <c r="B1267" s="899"/>
      <c r="C1267" s="900"/>
      <c r="D1267" s="894"/>
      <c r="E1267" s="936"/>
      <c r="F1267" s="905"/>
      <c r="G1267" s="896"/>
      <c r="H1267" s="897"/>
      <c r="I1267" s="897"/>
      <c r="J1267" s="897"/>
      <c r="K1267" s="897"/>
      <c r="L1267" s="898"/>
      <c r="M1267" s="898"/>
      <c r="N1267" s="898"/>
      <c r="O1267" s="898"/>
      <c r="P1267" s="898"/>
      <c r="Q1267" s="898"/>
      <c r="R1267" s="898"/>
      <c r="S1267" s="898"/>
      <c r="T1267" s="898"/>
      <c r="U1267" s="898"/>
      <c r="V1267" s="898"/>
      <c r="W1267" s="898"/>
      <c r="X1267" s="898"/>
      <c r="Y1267" s="898"/>
      <c r="Z1267" s="898"/>
      <c r="AA1267" s="898"/>
      <c r="AB1267" s="898"/>
      <c r="AC1267" s="898"/>
      <c r="AD1267" s="898"/>
      <c r="AE1267" s="898"/>
      <c r="AF1267" s="898"/>
      <c r="AG1267" s="898"/>
      <c r="AH1267" s="898"/>
      <c r="AI1267" s="898"/>
      <c r="AJ1267" s="898"/>
      <c r="AK1267" s="898"/>
      <c r="AL1267" s="898"/>
      <c r="AM1267" s="897"/>
      <c r="AN1267" s="897"/>
      <c r="AO1267" s="897"/>
      <c r="AP1267" s="897"/>
      <c r="AQ1267" s="897"/>
      <c r="AR1267" s="897"/>
      <c r="AS1267" s="897"/>
      <c r="AT1267" s="897"/>
    </row>
    <row r="1268" spans="1:46" s="930" customFormat="1">
      <c r="A1268" s="892"/>
      <c r="B1268" s="899"/>
      <c r="C1268" s="900"/>
      <c r="D1268" s="894"/>
      <c r="E1268" s="936"/>
      <c r="F1268" s="905"/>
      <c r="G1268" s="896"/>
      <c r="H1268" s="897"/>
      <c r="I1268" s="897"/>
      <c r="J1268" s="897"/>
      <c r="K1268" s="897"/>
      <c r="L1268" s="898"/>
      <c r="M1268" s="898"/>
      <c r="N1268" s="898"/>
      <c r="O1268" s="898"/>
      <c r="P1268" s="898"/>
      <c r="Q1268" s="898"/>
      <c r="R1268" s="898"/>
      <c r="S1268" s="898"/>
      <c r="T1268" s="898"/>
      <c r="U1268" s="898"/>
      <c r="V1268" s="898"/>
      <c r="W1268" s="898"/>
      <c r="X1268" s="898"/>
      <c r="Y1268" s="898"/>
      <c r="Z1268" s="898"/>
      <c r="AA1268" s="898"/>
      <c r="AB1268" s="898"/>
      <c r="AC1268" s="898"/>
      <c r="AD1268" s="898"/>
      <c r="AE1268" s="898"/>
      <c r="AF1268" s="898"/>
      <c r="AG1268" s="898"/>
      <c r="AH1268" s="898"/>
      <c r="AI1268" s="898"/>
      <c r="AJ1268" s="898"/>
      <c r="AK1268" s="898"/>
      <c r="AL1268" s="898"/>
      <c r="AM1268" s="897"/>
      <c r="AN1268" s="897"/>
      <c r="AO1268" s="897"/>
      <c r="AP1268" s="897"/>
      <c r="AQ1268" s="897"/>
      <c r="AR1268" s="897"/>
      <c r="AS1268" s="897"/>
      <c r="AT1268" s="897"/>
    </row>
    <row r="1269" spans="1:46" s="930" customFormat="1">
      <c r="A1269" s="892"/>
      <c r="B1269" s="899"/>
      <c r="C1269" s="900"/>
      <c r="D1269" s="894"/>
      <c r="E1269" s="936"/>
      <c r="F1269" s="905"/>
      <c r="G1269" s="896"/>
      <c r="H1269" s="897"/>
      <c r="I1269" s="897"/>
      <c r="J1269" s="897"/>
      <c r="K1269" s="897"/>
      <c r="L1269" s="898"/>
      <c r="M1269" s="898"/>
      <c r="N1269" s="898"/>
      <c r="O1269" s="898"/>
      <c r="P1269" s="898"/>
      <c r="Q1269" s="898"/>
      <c r="R1269" s="898"/>
      <c r="S1269" s="898"/>
      <c r="T1269" s="898"/>
      <c r="U1269" s="898"/>
      <c r="V1269" s="898"/>
      <c r="W1269" s="898"/>
      <c r="X1269" s="898"/>
      <c r="Y1269" s="898"/>
      <c r="Z1269" s="898"/>
      <c r="AA1269" s="898"/>
      <c r="AB1269" s="898"/>
      <c r="AC1269" s="898"/>
      <c r="AD1269" s="898"/>
      <c r="AE1269" s="898"/>
      <c r="AF1269" s="898"/>
      <c r="AG1269" s="898"/>
      <c r="AH1269" s="898"/>
      <c r="AI1269" s="898"/>
      <c r="AJ1269" s="898"/>
      <c r="AK1269" s="898"/>
      <c r="AL1269" s="898"/>
      <c r="AM1269" s="897"/>
      <c r="AN1269" s="897"/>
      <c r="AO1269" s="897"/>
      <c r="AP1269" s="897"/>
      <c r="AQ1269" s="897"/>
      <c r="AR1269" s="897"/>
      <c r="AS1269" s="897"/>
      <c r="AT1269" s="897"/>
    </row>
    <row r="1270" spans="1:46" s="930" customFormat="1">
      <c r="A1270" s="892"/>
      <c r="B1270" s="899"/>
      <c r="C1270" s="900"/>
      <c r="D1270" s="894"/>
      <c r="E1270" s="936"/>
      <c r="F1270" s="905"/>
      <c r="G1270" s="896"/>
      <c r="H1270" s="897"/>
      <c r="I1270" s="897"/>
      <c r="J1270" s="897"/>
      <c r="K1270" s="897"/>
      <c r="L1270" s="898"/>
      <c r="M1270" s="898"/>
      <c r="N1270" s="898"/>
      <c r="O1270" s="898"/>
      <c r="P1270" s="898"/>
      <c r="Q1270" s="898"/>
      <c r="R1270" s="898"/>
      <c r="S1270" s="898"/>
      <c r="T1270" s="898"/>
      <c r="U1270" s="898"/>
      <c r="V1270" s="898"/>
      <c r="W1270" s="898"/>
      <c r="X1270" s="898"/>
      <c r="Y1270" s="898"/>
      <c r="Z1270" s="898"/>
      <c r="AA1270" s="898"/>
      <c r="AB1270" s="898"/>
      <c r="AC1270" s="898"/>
      <c r="AD1270" s="898"/>
      <c r="AE1270" s="898"/>
      <c r="AF1270" s="898"/>
      <c r="AG1270" s="898"/>
      <c r="AH1270" s="898"/>
      <c r="AI1270" s="898"/>
      <c r="AJ1270" s="898"/>
      <c r="AK1270" s="898"/>
      <c r="AL1270" s="898"/>
      <c r="AM1270" s="897"/>
      <c r="AN1270" s="897"/>
      <c r="AO1270" s="897"/>
      <c r="AP1270" s="897"/>
      <c r="AQ1270" s="897"/>
      <c r="AR1270" s="897"/>
      <c r="AS1270" s="897"/>
      <c r="AT1270" s="897"/>
    </row>
    <row r="1271" spans="1:46" s="930" customFormat="1">
      <c r="A1271" s="892"/>
      <c r="B1271" s="899"/>
      <c r="C1271" s="900"/>
      <c r="D1271" s="894"/>
      <c r="E1271" s="936"/>
      <c r="F1271" s="905"/>
      <c r="G1271" s="896"/>
      <c r="H1271" s="897"/>
      <c r="I1271" s="897"/>
      <c r="J1271" s="897"/>
      <c r="K1271" s="897"/>
      <c r="L1271" s="898"/>
      <c r="M1271" s="898"/>
      <c r="N1271" s="898"/>
      <c r="O1271" s="898"/>
      <c r="P1271" s="898"/>
      <c r="Q1271" s="898"/>
      <c r="R1271" s="898"/>
      <c r="S1271" s="898"/>
      <c r="T1271" s="898"/>
      <c r="U1271" s="898"/>
      <c r="V1271" s="898"/>
      <c r="W1271" s="898"/>
      <c r="X1271" s="898"/>
      <c r="Y1271" s="898"/>
      <c r="Z1271" s="898"/>
      <c r="AA1271" s="898"/>
      <c r="AB1271" s="898"/>
      <c r="AC1271" s="898"/>
      <c r="AD1271" s="898"/>
      <c r="AE1271" s="898"/>
      <c r="AF1271" s="898"/>
      <c r="AG1271" s="898"/>
      <c r="AH1271" s="898"/>
      <c r="AI1271" s="898"/>
      <c r="AJ1271" s="898"/>
      <c r="AK1271" s="898"/>
      <c r="AL1271" s="898"/>
      <c r="AM1271" s="897"/>
      <c r="AN1271" s="897"/>
      <c r="AO1271" s="897"/>
      <c r="AP1271" s="897"/>
      <c r="AQ1271" s="897"/>
      <c r="AR1271" s="897"/>
      <c r="AS1271" s="897"/>
      <c r="AT1271" s="897"/>
    </row>
    <row r="1272" spans="1:46" s="930" customFormat="1">
      <c r="A1272" s="892"/>
      <c r="B1272" s="899"/>
      <c r="C1272" s="900"/>
      <c r="D1272" s="894"/>
      <c r="E1272" s="936"/>
      <c r="F1272" s="905"/>
      <c r="G1272" s="896"/>
      <c r="H1272" s="897"/>
      <c r="I1272" s="897"/>
      <c r="J1272" s="897"/>
      <c r="K1272" s="897"/>
      <c r="L1272" s="898"/>
      <c r="M1272" s="898"/>
      <c r="N1272" s="898"/>
      <c r="O1272" s="898"/>
      <c r="P1272" s="898"/>
      <c r="Q1272" s="898"/>
      <c r="R1272" s="898"/>
      <c r="S1272" s="898"/>
      <c r="T1272" s="898"/>
      <c r="U1272" s="898"/>
      <c r="V1272" s="898"/>
      <c r="W1272" s="898"/>
      <c r="X1272" s="898"/>
      <c r="Y1272" s="898"/>
      <c r="Z1272" s="898"/>
      <c r="AA1272" s="898"/>
      <c r="AB1272" s="898"/>
      <c r="AC1272" s="898"/>
      <c r="AD1272" s="898"/>
      <c r="AE1272" s="898"/>
      <c r="AF1272" s="898"/>
      <c r="AG1272" s="898"/>
      <c r="AH1272" s="898"/>
      <c r="AI1272" s="898"/>
      <c r="AJ1272" s="898"/>
      <c r="AK1272" s="898"/>
      <c r="AL1272" s="898"/>
      <c r="AM1272" s="897"/>
      <c r="AN1272" s="897"/>
      <c r="AO1272" s="897"/>
      <c r="AP1272" s="897"/>
      <c r="AQ1272" s="897"/>
      <c r="AR1272" s="897"/>
      <c r="AS1272" s="897"/>
      <c r="AT1272" s="897"/>
    </row>
    <row r="1273" spans="1:46" s="930" customFormat="1">
      <c r="A1273" s="892"/>
      <c r="B1273" s="899"/>
      <c r="C1273" s="900"/>
      <c r="D1273" s="894"/>
      <c r="E1273" s="936"/>
      <c r="F1273" s="905"/>
      <c r="G1273" s="896"/>
      <c r="H1273" s="897"/>
      <c r="I1273" s="897"/>
      <c r="J1273" s="897"/>
      <c r="K1273" s="897"/>
      <c r="L1273" s="898"/>
      <c r="M1273" s="898"/>
      <c r="N1273" s="898"/>
      <c r="O1273" s="898"/>
      <c r="P1273" s="898"/>
      <c r="Q1273" s="898"/>
      <c r="R1273" s="898"/>
      <c r="S1273" s="898"/>
      <c r="T1273" s="898"/>
      <c r="U1273" s="898"/>
      <c r="V1273" s="898"/>
      <c r="W1273" s="898"/>
      <c r="X1273" s="898"/>
      <c r="Y1273" s="898"/>
      <c r="Z1273" s="898"/>
      <c r="AA1273" s="898"/>
      <c r="AB1273" s="898"/>
      <c r="AC1273" s="898"/>
      <c r="AD1273" s="898"/>
      <c r="AE1273" s="898"/>
      <c r="AF1273" s="898"/>
      <c r="AG1273" s="898"/>
      <c r="AH1273" s="898"/>
      <c r="AI1273" s="898"/>
      <c r="AJ1273" s="898"/>
      <c r="AK1273" s="898"/>
      <c r="AL1273" s="898"/>
      <c r="AM1273" s="897"/>
      <c r="AN1273" s="897"/>
      <c r="AO1273" s="897"/>
      <c r="AP1273" s="897"/>
      <c r="AQ1273" s="897"/>
      <c r="AR1273" s="897"/>
      <c r="AS1273" s="897"/>
      <c r="AT1273" s="897"/>
    </row>
    <row r="1274" spans="1:46" s="930" customFormat="1">
      <c r="A1274" s="892"/>
      <c r="B1274" s="899"/>
      <c r="C1274" s="900"/>
      <c r="D1274" s="894"/>
      <c r="E1274" s="936"/>
      <c r="F1274" s="905"/>
      <c r="G1274" s="896"/>
      <c r="H1274" s="897"/>
      <c r="I1274" s="897"/>
      <c r="J1274" s="897"/>
      <c r="K1274" s="897"/>
      <c r="L1274" s="898"/>
      <c r="M1274" s="898"/>
      <c r="N1274" s="898"/>
      <c r="O1274" s="898"/>
      <c r="P1274" s="898"/>
      <c r="Q1274" s="898"/>
      <c r="R1274" s="898"/>
      <c r="S1274" s="898"/>
      <c r="T1274" s="898"/>
      <c r="U1274" s="898"/>
      <c r="V1274" s="898"/>
      <c r="W1274" s="898"/>
      <c r="X1274" s="898"/>
      <c r="Y1274" s="898"/>
      <c r="Z1274" s="898"/>
      <c r="AA1274" s="898"/>
      <c r="AB1274" s="898"/>
      <c r="AC1274" s="898"/>
      <c r="AD1274" s="898"/>
      <c r="AE1274" s="898"/>
      <c r="AF1274" s="898"/>
      <c r="AG1274" s="898"/>
      <c r="AH1274" s="898"/>
      <c r="AI1274" s="898"/>
      <c r="AJ1274" s="898"/>
      <c r="AK1274" s="898"/>
      <c r="AL1274" s="898"/>
      <c r="AM1274" s="897"/>
      <c r="AN1274" s="897"/>
      <c r="AO1274" s="897"/>
      <c r="AP1274" s="897"/>
      <c r="AQ1274" s="897"/>
      <c r="AR1274" s="897"/>
      <c r="AS1274" s="897"/>
      <c r="AT1274" s="897"/>
    </row>
    <row r="1275" spans="1:46" s="930" customFormat="1">
      <c r="A1275" s="892"/>
      <c r="B1275" s="899"/>
      <c r="C1275" s="900"/>
      <c r="D1275" s="894"/>
      <c r="E1275" s="936"/>
      <c r="F1275" s="905"/>
      <c r="G1275" s="896"/>
      <c r="H1275" s="897"/>
      <c r="I1275" s="897"/>
      <c r="J1275" s="897"/>
      <c r="K1275" s="897"/>
      <c r="L1275" s="898"/>
      <c r="M1275" s="898"/>
      <c r="N1275" s="898"/>
      <c r="O1275" s="898"/>
      <c r="P1275" s="898"/>
      <c r="Q1275" s="898"/>
      <c r="R1275" s="898"/>
      <c r="S1275" s="898"/>
      <c r="T1275" s="898"/>
      <c r="U1275" s="898"/>
      <c r="V1275" s="898"/>
      <c r="W1275" s="898"/>
      <c r="X1275" s="898"/>
      <c r="Y1275" s="898"/>
      <c r="Z1275" s="898"/>
      <c r="AA1275" s="898"/>
      <c r="AB1275" s="898"/>
      <c r="AC1275" s="898"/>
      <c r="AD1275" s="898"/>
      <c r="AE1275" s="898"/>
      <c r="AF1275" s="898"/>
      <c r="AG1275" s="898"/>
      <c r="AH1275" s="898"/>
      <c r="AI1275" s="898"/>
      <c r="AJ1275" s="898"/>
      <c r="AK1275" s="898"/>
      <c r="AL1275" s="898"/>
      <c r="AM1275" s="897"/>
      <c r="AN1275" s="897"/>
      <c r="AO1275" s="897"/>
      <c r="AP1275" s="897"/>
      <c r="AQ1275" s="897"/>
      <c r="AR1275" s="897"/>
      <c r="AS1275" s="897"/>
      <c r="AT1275" s="897"/>
    </row>
    <row r="1276" spans="1:46" s="930" customFormat="1">
      <c r="A1276" s="892"/>
      <c r="B1276" s="899"/>
      <c r="C1276" s="900"/>
      <c r="D1276" s="894"/>
      <c r="E1276" s="936"/>
      <c r="F1276" s="905"/>
      <c r="G1276" s="896"/>
      <c r="H1276" s="897"/>
      <c r="I1276" s="897"/>
      <c r="J1276" s="897"/>
      <c r="K1276" s="897"/>
      <c r="L1276" s="898"/>
      <c r="M1276" s="898"/>
      <c r="N1276" s="898"/>
      <c r="O1276" s="898"/>
      <c r="P1276" s="898"/>
      <c r="Q1276" s="898"/>
      <c r="R1276" s="898"/>
      <c r="S1276" s="898"/>
      <c r="T1276" s="898"/>
      <c r="U1276" s="898"/>
      <c r="V1276" s="898"/>
      <c r="W1276" s="898"/>
      <c r="X1276" s="898"/>
      <c r="Y1276" s="898"/>
      <c r="Z1276" s="898"/>
      <c r="AA1276" s="898"/>
      <c r="AB1276" s="898"/>
      <c r="AC1276" s="898"/>
      <c r="AD1276" s="898"/>
      <c r="AE1276" s="898"/>
      <c r="AF1276" s="898"/>
      <c r="AG1276" s="898"/>
      <c r="AH1276" s="898"/>
      <c r="AI1276" s="898"/>
      <c r="AJ1276" s="898"/>
      <c r="AK1276" s="898"/>
      <c r="AL1276" s="898"/>
      <c r="AM1276" s="897"/>
      <c r="AN1276" s="897"/>
      <c r="AO1276" s="897"/>
      <c r="AP1276" s="897"/>
      <c r="AQ1276" s="897"/>
      <c r="AR1276" s="897"/>
      <c r="AS1276" s="897"/>
      <c r="AT1276" s="897"/>
    </row>
    <row r="1277" spans="1:46" s="930" customFormat="1">
      <c r="A1277" s="892"/>
      <c r="B1277" s="899"/>
      <c r="C1277" s="900"/>
      <c r="D1277" s="894"/>
      <c r="E1277" s="936"/>
      <c r="F1277" s="905"/>
      <c r="G1277" s="896"/>
      <c r="H1277" s="897"/>
      <c r="I1277" s="897"/>
      <c r="J1277" s="897"/>
      <c r="K1277" s="897"/>
      <c r="L1277" s="898"/>
      <c r="M1277" s="898"/>
      <c r="N1277" s="898"/>
      <c r="O1277" s="898"/>
      <c r="P1277" s="898"/>
      <c r="Q1277" s="898"/>
      <c r="R1277" s="898"/>
      <c r="S1277" s="898"/>
      <c r="T1277" s="898"/>
      <c r="U1277" s="898"/>
      <c r="V1277" s="898"/>
      <c r="W1277" s="898"/>
      <c r="X1277" s="898"/>
      <c r="Y1277" s="898"/>
      <c r="Z1277" s="898"/>
      <c r="AA1277" s="898"/>
      <c r="AB1277" s="898"/>
      <c r="AC1277" s="898"/>
      <c r="AD1277" s="898"/>
      <c r="AE1277" s="898"/>
      <c r="AF1277" s="898"/>
      <c r="AG1277" s="898"/>
      <c r="AH1277" s="898"/>
      <c r="AI1277" s="898"/>
      <c r="AJ1277" s="898"/>
      <c r="AK1277" s="898"/>
      <c r="AL1277" s="898"/>
      <c r="AM1277" s="897"/>
      <c r="AN1277" s="897"/>
      <c r="AO1277" s="897"/>
      <c r="AP1277" s="897"/>
      <c r="AQ1277" s="897"/>
      <c r="AR1277" s="897"/>
      <c r="AS1277" s="897"/>
      <c r="AT1277" s="897"/>
    </row>
    <row r="1278" spans="1:46" s="930" customFormat="1">
      <c r="A1278" s="892"/>
      <c r="B1278" s="899"/>
      <c r="C1278" s="900"/>
      <c r="D1278" s="894"/>
      <c r="E1278" s="936"/>
      <c r="F1278" s="905"/>
      <c r="G1278" s="896"/>
      <c r="H1278" s="897"/>
      <c r="I1278" s="897"/>
      <c r="J1278" s="897"/>
      <c r="K1278" s="897"/>
      <c r="L1278" s="898"/>
      <c r="M1278" s="898"/>
      <c r="N1278" s="898"/>
      <c r="O1278" s="898"/>
      <c r="P1278" s="898"/>
      <c r="Q1278" s="898"/>
      <c r="R1278" s="898"/>
      <c r="S1278" s="898"/>
      <c r="T1278" s="898"/>
      <c r="U1278" s="898"/>
      <c r="V1278" s="898"/>
      <c r="W1278" s="898"/>
      <c r="X1278" s="898"/>
      <c r="Y1278" s="898"/>
      <c r="Z1278" s="898"/>
      <c r="AA1278" s="898"/>
      <c r="AB1278" s="898"/>
      <c r="AC1278" s="898"/>
      <c r="AD1278" s="898"/>
      <c r="AE1278" s="898"/>
      <c r="AF1278" s="898"/>
      <c r="AG1278" s="898"/>
      <c r="AH1278" s="898"/>
      <c r="AI1278" s="898"/>
      <c r="AJ1278" s="898"/>
      <c r="AK1278" s="898"/>
      <c r="AL1278" s="898"/>
      <c r="AM1278" s="897"/>
      <c r="AN1278" s="897"/>
      <c r="AO1278" s="897"/>
      <c r="AP1278" s="897"/>
      <c r="AQ1278" s="897"/>
      <c r="AR1278" s="897"/>
      <c r="AS1278" s="897"/>
      <c r="AT1278" s="897"/>
    </row>
    <row r="1279" spans="1:46" s="930" customFormat="1">
      <c r="A1279" s="892"/>
      <c r="B1279" s="899"/>
      <c r="C1279" s="900"/>
      <c r="D1279" s="894"/>
      <c r="E1279" s="936"/>
      <c r="F1279" s="905"/>
      <c r="G1279" s="896"/>
      <c r="H1279" s="897"/>
      <c r="I1279" s="897"/>
      <c r="J1279" s="897"/>
      <c r="K1279" s="897"/>
      <c r="L1279" s="898"/>
      <c r="M1279" s="898"/>
      <c r="N1279" s="898"/>
      <c r="O1279" s="898"/>
      <c r="P1279" s="898"/>
      <c r="Q1279" s="898"/>
      <c r="R1279" s="898"/>
      <c r="S1279" s="898"/>
      <c r="T1279" s="898"/>
      <c r="U1279" s="898"/>
      <c r="V1279" s="898"/>
      <c r="W1279" s="898"/>
      <c r="X1279" s="898"/>
      <c r="Y1279" s="898"/>
      <c r="Z1279" s="898"/>
      <c r="AA1279" s="898"/>
      <c r="AB1279" s="898"/>
      <c r="AC1279" s="898"/>
      <c r="AD1279" s="898"/>
      <c r="AE1279" s="898"/>
      <c r="AF1279" s="898"/>
      <c r="AG1279" s="898"/>
      <c r="AH1279" s="898"/>
      <c r="AI1279" s="898"/>
      <c r="AJ1279" s="898"/>
      <c r="AK1279" s="898"/>
      <c r="AL1279" s="898"/>
      <c r="AM1279" s="897"/>
      <c r="AN1279" s="897"/>
      <c r="AO1279" s="897"/>
      <c r="AP1279" s="897"/>
      <c r="AQ1279" s="897"/>
      <c r="AR1279" s="897"/>
      <c r="AS1279" s="897"/>
      <c r="AT1279" s="897"/>
    </row>
    <row r="1280" spans="1:46" s="930" customFormat="1">
      <c r="A1280" s="892"/>
      <c r="B1280" s="899"/>
      <c r="C1280" s="900"/>
      <c r="D1280" s="894"/>
      <c r="E1280" s="936"/>
      <c r="F1280" s="905"/>
      <c r="G1280" s="896"/>
      <c r="H1280" s="897"/>
      <c r="I1280" s="897"/>
      <c r="J1280" s="897"/>
      <c r="K1280" s="897"/>
      <c r="L1280" s="898"/>
      <c r="M1280" s="898"/>
      <c r="N1280" s="898"/>
      <c r="O1280" s="898"/>
      <c r="P1280" s="898"/>
      <c r="Q1280" s="898"/>
      <c r="R1280" s="898"/>
      <c r="S1280" s="898"/>
      <c r="T1280" s="898"/>
      <c r="U1280" s="898"/>
      <c r="V1280" s="898"/>
      <c r="W1280" s="898"/>
      <c r="X1280" s="898"/>
      <c r="Y1280" s="898"/>
      <c r="Z1280" s="898"/>
      <c r="AA1280" s="898"/>
      <c r="AB1280" s="898"/>
      <c r="AC1280" s="898"/>
      <c r="AD1280" s="898"/>
      <c r="AE1280" s="898"/>
      <c r="AF1280" s="898"/>
      <c r="AG1280" s="898"/>
      <c r="AH1280" s="898"/>
      <c r="AI1280" s="898"/>
      <c r="AJ1280" s="898"/>
      <c r="AK1280" s="898"/>
      <c r="AL1280" s="898"/>
      <c r="AM1280" s="897"/>
      <c r="AN1280" s="897"/>
      <c r="AO1280" s="897"/>
      <c r="AP1280" s="897"/>
      <c r="AQ1280" s="897"/>
      <c r="AR1280" s="897"/>
      <c r="AS1280" s="897"/>
      <c r="AT1280" s="897"/>
    </row>
    <row r="1281" spans="1:46" s="930" customFormat="1">
      <c r="A1281" s="892"/>
      <c r="B1281" s="899"/>
      <c r="C1281" s="900"/>
      <c r="D1281" s="894"/>
      <c r="E1281" s="936"/>
      <c r="F1281" s="905"/>
      <c r="G1281" s="896"/>
      <c r="H1281" s="897"/>
      <c r="I1281" s="897"/>
      <c r="J1281" s="897"/>
      <c r="K1281" s="897"/>
      <c r="L1281" s="898"/>
      <c r="M1281" s="898"/>
      <c r="N1281" s="898"/>
      <c r="O1281" s="898"/>
      <c r="P1281" s="898"/>
      <c r="Q1281" s="898"/>
      <c r="R1281" s="898"/>
      <c r="S1281" s="898"/>
      <c r="T1281" s="898"/>
      <c r="U1281" s="898"/>
      <c r="V1281" s="898"/>
      <c r="W1281" s="898"/>
      <c r="X1281" s="898"/>
      <c r="Y1281" s="898"/>
      <c r="Z1281" s="898"/>
      <c r="AA1281" s="898"/>
      <c r="AB1281" s="898"/>
      <c r="AC1281" s="898"/>
      <c r="AD1281" s="898"/>
      <c r="AE1281" s="898"/>
      <c r="AF1281" s="898"/>
      <c r="AG1281" s="898"/>
      <c r="AH1281" s="898"/>
      <c r="AI1281" s="898"/>
      <c r="AJ1281" s="898"/>
      <c r="AK1281" s="898"/>
      <c r="AL1281" s="898"/>
      <c r="AM1281" s="897"/>
      <c r="AN1281" s="897"/>
      <c r="AO1281" s="897"/>
      <c r="AP1281" s="897"/>
      <c r="AQ1281" s="897"/>
      <c r="AR1281" s="897"/>
      <c r="AS1281" s="897"/>
      <c r="AT1281" s="897"/>
    </row>
    <row r="1282" spans="1:46" s="930" customFormat="1">
      <c r="A1282" s="892"/>
      <c r="B1282" s="899"/>
      <c r="C1282" s="900"/>
      <c r="D1282" s="894"/>
      <c r="E1282" s="936"/>
      <c r="F1282" s="905"/>
      <c r="G1282" s="896"/>
      <c r="H1282" s="897"/>
      <c r="I1282" s="897"/>
      <c r="J1282" s="897"/>
      <c r="K1282" s="897"/>
      <c r="L1282" s="898"/>
      <c r="M1282" s="898"/>
      <c r="N1282" s="898"/>
      <c r="O1282" s="898"/>
      <c r="P1282" s="898"/>
      <c r="Q1282" s="898"/>
      <c r="R1282" s="898"/>
      <c r="S1282" s="898"/>
      <c r="T1282" s="898"/>
      <c r="U1282" s="898"/>
      <c r="V1282" s="898"/>
      <c r="W1282" s="898"/>
      <c r="X1282" s="898"/>
      <c r="Y1282" s="898"/>
      <c r="Z1282" s="898"/>
      <c r="AA1282" s="898"/>
      <c r="AB1282" s="898"/>
      <c r="AC1282" s="898"/>
      <c r="AD1282" s="898"/>
      <c r="AE1282" s="898"/>
      <c r="AF1282" s="898"/>
      <c r="AG1282" s="898"/>
      <c r="AH1282" s="898"/>
      <c r="AI1282" s="898"/>
      <c r="AJ1282" s="898"/>
      <c r="AK1282" s="898"/>
      <c r="AL1282" s="898"/>
      <c r="AM1282" s="897"/>
      <c r="AN1282" s="897"/>
      <c r="AO1282" s="897"/>
      <c r="AP1282" s="897"/>
      <c r="AQ1282" s="897"/>
      <c r="AR1282" s="897"/>
      <c r="AS1282" s="897"/>
      <c r="AT1282" s="897"/>
    </row>
    <row r="1283" spans="1:46" s="930" customFormat="1">
      <c r="A1283" s="892"/>
      <c r="B1283" s="899"/>
      <c r="C1283" s="900"/>
      <c r="D1283" s="894"/>
      <c r="E1283" s="936"/>
      <c r="F1283" s="905"/>
      <c r="G1283" s="896"/>
      <c r="H1283" s="897"/>
      <c r="I1283" s="897"/>
      <c r="J1283" s="897"/>
      <c r="K1283" s="897"/>
      <c r="L1283" s="898"/>
      <c r="M1283" s="898"/>
      <c r="N1283" s="898"/>
      <c r="O1283" s="898"/>
      <c r="P1283" s="898"/>
      <c r="Q1283" s="898"/>
      <c r="R1283" s="898"/>
      <c r="S1283" s="898"/>
      <c r="T1283" s="898"/>
      <c r="U1283" s="898"/>
      <c r="V1283" s="898"/>
      <c r="W1283" s="898"/>
      <c r="X1283" s="898"/>
      <c r="Y1283" s="898"/>
      <c r="Z1283" s="898"/>
      <c r="AA1283" s="898"/>
      <c r="AB1283" s="898"/>
      <c r="AC1283" s="898"/>
      <c r="AD1283" s="898"/>
      <c r="AE1283" s="898"/>
      <c r="AF1283" s="898"/>
      <c r="AG1283" s="898"/>
      <c r="AH1283" s="898"/>
      <c r="AI1283" s="898"/>
      <c r="AJ1283" s="898"/>
      <c r="AK1283" s="898"/>
      <c r="AL1283" s="898"/>
      <c r="AM1283" s="897"/>
      <c r="AN1283" s="897"/>
      <c r="AO1283" s="897"/>
      <c r="AP1283" s="897"/>
      <c r="AQ1283" s="897"/>
      <c r="AR1283" s="897"/>
      <c r="AS1283" s="897"/>
      <c r="AT1283" s="897"/>
    </row>
    <row r="1284" spans="1:46" s="930" customFormat="1">
      <c r="A1284" s="892"/>
      <c r="B1284" s="899"/>
      <c r="C1284" s="900"/>
      <c r="D1284" s="894"/>
      <c r="E1284" s="936"/>
      <c r="F1284" s="905"/>
      <c r="G1284" s="896"/>
      <c r="H1284" s="897"/>
      <c r="I1284" s="897"/>
      <c r="J1284" s="897"/>
      <c r="K1284" s="897"/>
      <c r="L1284" s="898"/>
      <c r="M1284" s="898"/>
      <c r="N1284" s="898"/>
      <c r="O1284" s="898"/>
      <c r="P1284" s="898"/>
      <c r="Q1284" s="898"/>
      <c r="R1284" s="898"/>
      <c r="S1284" s="898"/>
      <c r="T1284" s="898"/>
      <c r="U1284" s="898"/>
      <c r="V1284" s="898"/>
      <c r="W1284" s="898"/>
      <c r="X1284" s="898"/>
      <c r="Y1284" s="898"/>
      <c r="Z1284" s="898"/>
      <c r="AA1284" s="898"/>
      <c r="AB1284" s="898"/>
      <c r="AC1284" s="898"/>
      <c r="AD1284" s="898"/>
      <c r="AE1284" s="898"/>
      <c r="AF1284" s="898"/>
      <c r="AG1284" s="898"/>
      <c r="AH1284" s="898"/>
      <c r="AI1284" s="898"/>
      <c r="AJ1284" s="898"/>
      <c r="AK1284" s="898"/>
      <c r="AL1284" s="898"/>
      <c r="AM1284" s="897"/>
      <c r="AN1284" s="897"/>
      <c r="AO1284" s="897"/>
      <c r="AP1284" s="897"/>
      <c r="AQ1284" s="897"/>
      <c r="AR1284" s="897"/>
      <c r="AS1284" s="897"/>
      <c r="AT1284" s="897"/>
    </row>
    <row r="1285" spans="1:46" s="930" customFormat="1">
      <c r="A1285" s="892"/>
      <c r="B1285" s="899"/>
      <c r="C1285" s="900"/>
      <c r="D1285" s="894"/>
      <c r="E1285" s="936"/>
      <c r="F1285" s="905"/>
      <c r="G1285" s="896"/>
      <c r="H1285" s="897"/>
      <c r="I1285" s="897"/>
      <c r="J1285" s="897"/>
      <c r="K1285" s="897"/>
      <c r="L1285" s="898"/>
      <c r="M1285" s="898"/>
      <c r="N1285" s="898"/>
      <c r="O1285" s="898"/>
      <c r="P1285" s="898"/>
      <c r="Q1285" s="898"/>
      <c r="R1285" s="898"/>
      <c r="S1285" s="898"/>
      <c r="T1285" s="898"/>
      <c r="U1285" s="898"/>
      <c r="V1285" s="898"/>
      <c r="W1285" s="898"/>
      <c r="X1285" s="898"/>
      <c r="Y1285" s="898"/>
      <c r="Z1285" s="898"/>
      <c r="AA1285" s="898"/>
      <c r="AB1285" s="898"/>
      <c r="AC1285" s="898"/>
      <c r="AD1285" s="898"/>
      <c r="AE1285" s="898"/>
      <c r="AF1285" s="898"/>
      <c r="AG1285" s="898"/>
      <c r="AH1285" s="898"/>
      <c r="AI1285" s="898"/>
      <c r="AJ1285" s="898"/>
      <c r="AK1285" s="898"/>
      <c r="AL1285" s="898"/>
      <c r="AM1285" s="897"/>
      <c r="AN1285" s="897"/>
      <c r="AO1285" s="897"/>
      <c r="AP1285" s="897"/>
      <c r="AQ1285" s="897"/>
      <c r="AR1285" s="897"/>
      <c r="AS1285" s="897"/>
      <c r="AT1285" s="897"/>
    </row>
    <row r="1286" spans="1:46" s="930" customFormat="1">
      <c r="A1286" s="892"/>
      <c r="B1286" s="899"/>
      <c r="C1286" s="900"/>
      <c r="D1286" s="894"/>
      <c r="E1286" s="936"/>
      <c r="F1286" s="905"/>
      <c r="G1286" s="896"/>
      <c r="H1286" s="897"/>
      <c r="I1286" s="897"/>
      <c r="J1286" s="897"/>
      <c r="K1286" s="897"/>
      <c r="L1286" s="898"/>
      <c r="M1286" s="898"/>
      <c r="N1286" s="898"/>
      <c r="O1286" s="898"/>
      <c r="P1286" s="898"/>
      <c r="Q1286" s="898"/>
      <c r="R1286" s="898"/>
      <c r="S1286" s="898"/>
      <c r="T1286" s="898"/>
      <c r="U1286" s="898"/>
      <c r="V1286" s="898"/>
      <c r="W1286" s="898"/>
      <c r="X1286" s="898"/>
      <c r="Y1286" s="898"/>
      <c r="Z1286" s="898"/>
      <c r="AA1286" s="898"/>
      <c r="AB1286" s="898"/>
      <c r="AC1286" s="898"/>
      <c r="AD1286" s="898"/>
      <c r="AE1286" s="898"/>
      <c r="AF1286" s="898"/>
      <c r="AG1286" s="898"/>
      <c r="AH1286" s="898"/>
      <c r="AI1286" s="898"/>
      <c r="AJ1286" s="898"/>
      <c r="AK1286" s="898"/>
      <c r="AL1286" s="898"/>
      <c r="AM1286" s="897"/>
      <c r="AN1286" s="897"/>
      <c r="AO1286" s="897"/>
      <c r="AP1286" s="897"/>
      <c r="AQ1286" s="897"/>
      <c r="AR1286" s="897"/>
      <c r="AS1286" s="897"/>
      <c r="AT1286" s="897"/>
    </row>
    <row r="1287" spans="1:46" s="930" customFormat="1">
      <c r="A1287" s="892"/>
      <c r="B1287" s="899"/>
      <c r="C1287" s="900"/>
      <c r="D1287" s="894"/>
      <c r="E1287" s="936"/>
      <c r="F1287" s="905"/>
      <c r="G1287" s="896"/>
      <c r="H1287" s="897"/>
      <c r="I1287" s="897"/>
      <c r="J1287" s="897"/>
      <c r="K1287" s="897"/>
      <c r="L1287" s="898"/>
      <c r="M1287" s="898"/>
      <c r="N1287" s="898"/>
      <c r="O1287" s="898"/>
      <c r="P1287" s="898"/>
      <c r="Q1287" s="898"/>
      <c r="R1287" s="898"/>
      <c r="S1287" s="898"/>
      <c r="T1287" s="898"/>
      <c r="U1287" s="898"/>
      <c r="V1287" s="898"/>
      <c r="W1287" s="898"/>
      <c r="X1287" s="898"/>
      <c r="Y1287" s="898"/>
      <c r="Z1287" s="898"/>
      <c r="AA1287" s="898"/>
      <c r="AB1287" s="898"/>
      <c r="AC1287" s="898"/>
      <c r="AD1287" s="898"/>
      <c r="AE1287" s="898"/>
      <c r="AF1287" s="898"/>
      <c r="AG1287" s="898"/>
      <c r="AH1287" s="898"/>
      <c r="AI1287" s="898"/>
      <c r="AJ1287" s="898"/>
      <c r="AK1287" s="898"/>
      <c r="AL1287" s="898"/>
      <c r="AM1287" s="897"/>
      <c r="AN1287" s="897"/>
      <c r="AO1287" s="897"/>
      <c r="AP1287" s="897"/>
      <c r="AQ1287" s="897"/>
      <c r="AR1287" s="897"/>
      <c r="AS1287" s="897"/>
      <c r="AT1287" s="897"/>
    </row>
    <row r="1288" spans="1:46" s="930" customFormat="1">
      <c r="A1288" s="892"/>
      <c r="B1288" s="899"/>
      <c r="C1288" s="900"/>
      <c r="D1288" s="894"/>
      <c r="E1288" s="936"/>
      <c r="F1288" s="905"/>
      <c r="G1288" s="896"/>
      <c r="H1288" s="897"/>
      <c r="I1288" s="897"/>
      <c r="J1288" s="897"/>
      <c r="K1288" s="897"/>
      <c r="L1288" s="898"/>
      <c r="M1288" s="898"/>
      <c r="N1288" s="898"/>
      <c r="O1288" s="898"/>
      <c r="P1288" s="898"/>
      <c r="Q1288" s="898"/>
      <c r="R1288" s="898"/>
      <c r="S1288" s="898"/>
      <c r="T1288" s="898"/>
      <c r="U1288" s="898"/>
      <c r="V1288" s="898"/>
      <c r="W1288" s="898"/>
      <c r="X1288" s="898"/>
      <c r="Y1288" s="898"/>
      <c r="Z1288" s="898"/>
      <c r="AA1288" s="898"/>
      <c r="AB1288" s="898"/>
      <c r="AC1288" s="898"/>
      <c r="AD1288" s="898"/>
      <c r="AE1288" s="898"/>
      <c r="AF1288" s="898"/>
      <c r="AG1288" s="898"/>
      <c r="AH1288" s="898"/>
      <c r="AI1288" s="898"/>
      <c r="AJ1288" s="898"/>
      <c r="AK1288" s="898"/>
      <c r="AL1288" s="898"/>
      <c r="AM1288" s="897"/>
      <c r="AN1288" s="897"/>
      <c r="AO1288" s="897"/>
      <c r="AP1288" s="897"/>
      <c r="AQ1288" s="897"/>
      <c r="AR1288" s="897"/>
      <c r="AS1288" s="897"/>
      <c r="AT1288" s="897"/>
    </row>
    <row r="1289" spans="1:46" s="930" customFormat="1">
      <c r="A1289" s="892"/>
      <c r="B1289" s="899"/>
      <c r="C1289" s="900"/>
      <c r="D1289" s="894"/>
      <c r="E1289" s="936"/>
      <c r="F1289" s="905"/>
      <c r="G1289" s="896"/>
      <c r="H1289" s="897"/>
      <c r="I1289" s="897"/>
      <c r="J1289" s="897"/>
      <c r="K1289" s="897"/>
      <c r="L1289" s="898"/>
      <c r="M1289" s="898"/>
      <c r="N1289" s="898"/>
      <c r="O1289" s="898"/>
      <c r="P1289" s="898"/>
      <c r="Q1289" s="898"/>
      <c r="R1289" s="898"/>
      <c r="S1289" s="898"/>
      <c r="T1289" s="898"/>
      <c r="U1289" s="898"/>
      <c r="V1289" s="898"/>
      <c r="W1289" s="898"/>
      <c r="X1289" s="898"/>
      <c r="Y1289" s="898"/>
      <c r="Z1289" s="898"/>
      <c r="AA1289" s="898"/>
      <c r="AB1289" s="898"/>
      <c r="AC1289" s="898"/>
      <c r="AD1289" s="898"/>
      <c r="AE1289" s="898"/>
      <c r="AF1289" s="898"/>
      <c r="AG1289" s="898"/>
      <c r="AH1289" s="898"/>
      <c r="AI1289" s="898"/>
      <c r="AJ1289" s="898"/>
      <c r="AK1289" s="898"/>
      <c r="AL1289" s="898"/>
      <c r="AM1289" s="897"/>
      <c r="AN1289" s="897"/>
      <c r="AO1289" s="897"/>
      <c r="AP1289" s="897"/>
      <c r="AQ1289" s="897"/>
      <c r="AR1289" s="897"/>
      <c r="AS1289" s="897"/>
      <c r="AT1289" s="897"/>
    </row>
    <row r="1290" spans="1:46" s="930" customFormat="1">
      <c r="A1290" s="892"/>
      <c r="B1290" s="899"/>
      <c r="C1290" s="900"/>
      <c r="D1290" s="894"/>
      <c r="E1290" s="936"/>
      <c r="F1290" s="905"/>
      <c r="G1290" s="896"/>
      <c r="H1290" s="897"/>
      <c r="I1290" s="897"/>
      <c r="J1290" s="897"/>
      <c r="K1290" s="897"/>
      <c r="L1290" s="898"/>
      <c r="M1290" s="898"/>
      <c r="N1290" s="898"/>
      <c r="O1290" s="898"/>
      <c r="P1290" s="898"/>
      <c r="Q1290" s="898"/>
      <c r="R1290" s="898"/>
      <c r="S1290" s="898"/>
      <c r="T1290" s="898"/>
      <c r="U1290" s="898"/>
      <c r="V1290" s="898"/>
      <c r="W1290" s="898"/>
      <c r="X1290" s="898"/>
      <c r="Y1290" s="898"/>
      <c r="Z1290" s="898"/>
      <c r="AA1290" s="898"/>
      <c r="AB1290" s="898"/>
      <c r="AC1290" s="898"/>
      <c r="AD1290" s="898"/>
      <c r="AE1290" s="898"/>
      <c r="AF1290" s="898"/>
      <c r="AG1290" s="898"/>
      <c r="AH1290" s="898"/>
      <c r="AI1290" s="898"/>
      <c r="AJ1290" s="898"/>
      <c r="AK1290" s="898"/>
      <c r="AL1290" s="898"/>
      <c r="AM1290" s="897"/>
      <c r="AN1290" s="897"/>
      <c r="AO1290" s="897"/>
      <c r="AP1290" s="897"/>
      <c r="AQ1290" s="897"/>
      <c r="AR1290" s="897"/>
      <c r="AS1290" s="897"/>
      <c r="AT1290" s="897"/>
    </row>
    <row r="1291" spans="1:46" s="930" customFormat="1">
      <c r="A1291" s="892"/>
      <c r="B1291" s="899"/>
      <c r="C1291" s="900"/>
      <c r="D1291" s="894"/>
      <c r="E1291" s="936"/>
      <c r="F1291" s="905"/>
      <c r="G1291" s="896"/>
      <c r="H1291" s="897"/>
      <c r="I1291" s="897"/>
      <c r="J1291" s="897"/>
      <c r="K1291" s="897"/>
      <c r="L1291" s="898"/>
      <c r="M1291" s="898"/>
      <c r="N1291" s="898"/>
      <c r="O1291" s="898"/>
      <c r="P1291" s="898"/>
      <c r="Q1291" s="898"/>
      <c r="R1291" s="898"/>
      <c r="S1291" s="898"/>
      <c r="T1291" s="898"/>
      <c r="U1291" s="898"/>
      <c r="V1291" s="898"/>
      <c r="W1291" s="898"/>
      <c r="X1291" s="898"/>
      <c r="Y1291" s="898"/>
      <c r="Z1291" s="898"/>
      <c r="AA1291" s="898"/>
      <c r="AB1291" s="898"/>
      <c r="AC1291" s="898"/>
      <c r="AD1291" s="898"/>
      <c r="AE1291" s="898"/>
      <c r="AF1291" s="898"/>
      <c r="AG1291" s="898"/>
      <c r="AH1291" s="898"/>
      <c r="AI1291" s="898"/>
      <c r="AJ1291" s="898"/>
      <c r="AK1291" s="898"/>
      <c r="AL1291" s="898"/>
      <c r="AM1291" s="897"/>
      <c r="AN1291" s="897"/>
      <c r="AO1291" s="897"/>
      <c r="AP1291" s="897"/>
      <c r="AQ1291" s="897"/>
      <c r="AR1291" s="897"/>
      <c r="AS1291" s="897"/>
      <c r="AT1291" s="897"/>
    </row>
    <row r="1292" spans="1:46" s="930" customFormat="1">
      <c r="A1292" s="892"/>
      <c r="B1292" s="899"/>
      <c r="C1292" s="900"/>
      <c r="D1292" s="894"/>
      <c r="E1292" s="936"/>
      <c r="F1292" s="905"/>
      <c r="G1292" s="896"/>
      <c r="H1292" s="897"/>
      <c r="I1292" s="897"/>
      <c r="J1292" s="897"/>
      <c r="K1292" s="897"/>
      <c r="L1292" s="898"/>
      <c r="M1292" s="898"/>
      <c r="N1292" s="898"/>
      <c r="O1292" s="898"/>
      <c r="P1292" s="898"/>
      <c r="Q1292" s="898"/>
      <c r="R1292" s="898"/>
      <c r="S1292" s="898"/>
      <c r="T1292" s="898"/>
      <c r="U1292" s="898"/>
      <c r="V1292" s="898"/>
      <c r="W1292" s="898"/>
      <c r="X1292" s="898"/>
      <c r="Y1292" s="898"/>
      <c r="Z1292" s="898"/>
      <c r="AA1292" s="898"/>
      <c r="AB1292" s="898"/>
      <c r="AC1292" s="898"/>
      <c r="AD1292" s="898"/>
      <c r="AE1292" s="898"/>
      <c r="AF1292" s="898"/>
      <c r="AG1292" s="898"/>
      <c r="AH1292" s="898"/>
      <c r="AI1292" s="898"/>
      <c r="AJ1292" s="898"/>
      <c r="AK1292" s="898"/>
      <c r="AL1292" s="898"/>
      <c r="AM1292" s="897"/>
      <c r="AN1292" s="897"/>
      <c r="AO1292" s="897"/>
      <c r="AP1292" s="897"/>
      <c r="AQ1292" s="897"/>
      <c r="AR1292" s="897"/>
      <c r="AS1292" s="897"/>
      <c r="AT1292" s="897"/>
    </row>
    <row r="1293" spans="1:46" s="930" customFormat="1">
      <c r="A1293" s="892"/>
      <c r="B1293" s="899"/>
      <c r="C1293" s="900"/>
      <c r="D1293" s="894"/>
      <c r="E1293" s="936"/>
      <c r="F1293" s="905"/>
      <c r="G1293" s="896"/>
      <c r="H1293" s="897"/>
      <c r="I1293" s="897"/>
      <c r="J1293" s="897"/>
      <c r="K1293" s="897"/>
      <c r="L1293" s="898"/>
      <c r="M1293" s="898"/>
      <c r="N1293" s="898"/>
      <c r="O1293" s="898"/>
      <c r="P1293" s="898"/>
      <c r="Q1293" s="898"/>
      <c r="R1293" s="898"/>
      <c r="S1293" s="898"/>
      <c r="T1293" s="898"/>
      <c r="U1293" s="898"/>
      <c r="V1293" s="898"/>
      <c r="W1293" s="898"/>
      <c r="X1293" s="898"/>
      <c r="Y1293" s="898"/>
      <c r="Z1293" s="898"/>
      <c r="AA1293" s="898"/>
      <c r="AB1293" s="898"/>
      <c r="AC1293" s="898"/>
      <c r="AD1293" s="898"/>
      <c r="AE1293" s="898"/>
      <c r="AF1293" s="898"/>
      <c r="AG1293" s="898"/>
      <c r="AH1293" s="898"/>
      <c r="AI1293" s="898"/>
      <c r="AJ1293" s="898"/>
      <c r="AK1293" s="898"/>
      <c r="AL1293" s="898"/>
      <c r="AM1293" s="897"/>
      <c r="AN1293" s="897"/>
      <c r="AO1293" s="897"/>
      <c r="AP1293" s="897"/>
      <c r="AQ1293" s="897"/>
      <c r="AR1293" s="897"/>
      <c r="AS1293" s="897"/>
      <c r="AT1293" s="897"/>
    </row>
    <row r="1294" spans="1:46" s="930" customFormat="1">
      <c r="A1294" s="892"/>
      <c r="B1294" s="899"/>
      <c r="C1294" s="900"/>
      <c r="D1294" s="894"/>
      <c r="E1294" s="936"/>
      <c r="F1294" s="905"/>
      <c r="G1294" s="896"/>
      <c r="H1294" s="897"/>
      <c r="I1294" s="897"/>
      <c r="J1294" s="897"/>
      <c r="K1294" s="897"/>
      <c r="L1294" s="898"/>
      <c r="M1294" s="898"/>
      <c r="N1294" s="898"/>
      <c r="O1294" s="898"/>
      <c r="P1294" s="898"/>
      <c r="Q1294" s="898"/>
      <c r="R1294" s="898"/>
      <c r="S1294" s="898"/>
      <c r="T1294" s="898"/>
      <c r="U1294" s="898"/>
      <c r="V1294" s="898"/>
      <c r="W1294" s="898"/>
      <c r="X1294" s="898"/>
      <c r="Y1294" s="898"/>
      <c r="Z1294" s="898"/>
      <c r="AA1294" s="898"/>
      <c r="AB1294" s="898"/>
      <c r="AC1294" s="898"/>
      <c r="AD1294" s="898"/>
      <c r="AE1294" s="898"/>
      <c r="AF1294" s="898"/>
      <c r="AG1294" s="898"/>
      <c r="AH1294" s="898"/>
      <c r="AI1294" s="898"/>
      <c r="AJ1294" s="898"/>
      <c r="AK1294" s="898"/>
      <c r="AL1294" s="898"/>
      <c r="AM1294" s="897"/>
      <c r="AN1294" s="897"/>
      <c r="AO1294" s="897"/>
      <c r="AP1294" s="897"/>
      <c r="AQ1294" s="897"/>
      <c r="AR1294" s="897"/>
      <c r="AS1294" s="897"/>
      <c r="AT1294" s="897"/>
    </row>
    <row r="1295" spans="1:46" s="930" customFormat="1">
      <c r="A1295" s="892"/>
      <c r="B1295" s="899"/>
      <c r="C1295" s="900"/>
      <c r="D1295" s="894"/>
      <c r="E1295" s="936"/>
      <c r="F1295" s="905"/>
      <c r="G1295" s="896"/>
      <c r="H1295" s="897"/>
      <c r="I1295" s="897"/>
      <c r="J1295" s="897"/>
      <c r="K1295" s="897"/>
      <c r="L1295" s="898"/>
      <c r="M1295" s="898"/>
      <c r="N1295" s="898"/>
      <c r="O1295" s="898"/>
      <c r="P1295" s="898"/>
      <c r="Q1295" s="898"/>
      <c r="R1295" s="898"/>
      <c r="S1295" s="898"/>
      <c r="T1295" s="898"/>
      <c r="U1295" s="898"/>
      <c r="V1295" s="898"/>
      <c r="W1295" s="898"/>
      <c r="X1295" s="898"/>
      <c r="Y1295" s="898"/>
      <c r="Z1295" s="898"/>
      <c r="AA1295" s="898"/>
      <c r="AB1295" s="898"/>
      <c r="AC1295" s="898"/>
      <c r="AD1295" s="898"/>
      <c r="AE1295" s="898"/>
      <c r="AF1295" s="898"/>
      <c r="AG1295" s="898"/>
      <c r="AH1295" s="898"/>
      <c r="AI1295" s="898"/>
      <c r="AJ1295" s="898"/>
      <c r="AK1295" s="898"/>
      <c r="AL1295" s="898"/>
      <c r="AM1295" s="897"/>
      <c r="AN1295" s="897"/>
      <c r="AO1295" s="897"/>
      <c r="AP1295" s="897"/>
      <c r="AQ1295" s="897"/>
      <c r="AR1295" s="897"/>
      <c r="AS1295" s="897"/>
      <c r="AT1295" s="897"/>
    </row>
    <row r="1296" spans="1:46" s="930" customFormat="1">
      <c r="A1296" s="892"/>
      <c r="B1296" s="899"/>
      <c r="C1296" s="900"/>
      <c r="D1296" s="894"/>
      <c r="E1296" s="936"/>
      <c r="F1296" s="905"/>
      <c r="G1296" s="896"/>
      <c r="H1296" s="897"/>
      <c r="I1296" s="897"/>
      <c r="J1296" s="897"/>
      <c r="K1296" s="897"/>
      <c r="L1296" s="898"/>
      <c r="M1296" s="898"/>
      <c r="N1296" s="898"/>
      <c r="O1296" s="898"/>
      <c r="P1296" s="898"/>
      <c r="Q1296" s="898"/>
      <c r="R1296" s="898"/>
      <c r="S1296" s="898"/>
      <c r="T1296" s="898"/>
      <c r="U1296" s="898"/>
      <c r="V1296" s="898"/>
      <c r="W1296" s="898"/>
      <c r="X1296" s="898"/>
      <c r="Y1296" s="898"/>
      <c r="Z1296" s="898"/>
      <c r="AA1296" s="898"/>
      <c r="AB1296" s="898"/>
      <c r="AC1296" s="898"/>
      <c r="AD1296" s="898"/>
      <c r="AE1296" s="898"/>
      <c r="AF1296" s="898"/>
      <c r="AG1296" s="898"/>
      <c r="AH1296" s="898"/>
      <c r="AI1296" s="898"/>
      <c r="AJ1296" s="898"/>
      <c r="AK1296" s="898"/>
      <c r="AL1296" s="898"/>
      <c r="AM1296" s="897"/>
      <c r="AN1296" s="897"/>
      <c r="AO1296" s="897"/>
      <c r="AP1296" s="897"/>
      <c r="AQ1296" s="897"/>
      <c r="AR1296" s="897"/>
      <c r="AS1296" s="897"/>
      <c r="AT1296" s="897"/>
    </row>
    <row r="1297" spans="1:46" s="930" customFormat="1">
      <c r="A1297" s="892"/>
      <c r="B1297" s="899"/>
      <c r="C1297" s="900"/>
      <c r="D1297" s="894"/>
      <c r="E1297" s="936"/>
      <c r="F1297" s="905"/>
      <c r="G1297" s="896"/>
      <c r="H1297" s="897"/>
      <c r="I1297" s="897"/>
      <c r="J1297" s="897"/>
      <c r="K1297" s="897"/>
      <c r="L1297" s="898"/>
      <c r="M1297" s="898"/>
      <c r="N1297" s="898"/>
      <c r="O1297" s="898"/>
      <c r="P1297" s="898"/>
      <c r="Q1297" s="898"/>
      <c r="R1297" s="898"/>
      <c r="S1297" s="898"/>
      <c r="T1297" s="898"/>
      <c r="U1297" s="898"/>
      <c r="V1297" s="898"/>
      <c r="W1297" s="898"/>
      <c r="X1297" s="898"/>
      <c r="Y1297" s="898"/>
      <c r="Z1297" s="898"/>
      <c r="AA1297" s="898"/>
      <c r="AB1297" s="898"/>
      <c r="AC1297" s="898"/>
      <c r="AD1297" s="898"/>
      <c r="AE1297" s="898"/>
      <c r="AF1297" s="898"/>
      <c r="AG1297" s="898"/>
      <c r="AH1297" s="898"/>
      <c r="AI1297" s="898"/>
      <c r="AJ1297" s="898"/>
      <c r="AK1297" s="898"/>
      <c r="AL1297" s="898"/>
      <c r="AM1297" s="897"/>
      <c r="AN1297" s="897"/>
      <c r="AO1297" s="897"/>
      <c r="AP1297" s="897"/>
      <c r="AQ1297" s="897"/>
      <c r="AR1297" s="897"/>
      <c r="AS1297" s="897"/>
      <c r="AT1297" s="897"/>
    </row>
    <row r="1298" spans="1:46" s="930" customFormat="1">
      <c r="A1298" s="892"/>
      <c r="B1298" s="899"/>
      <c r="C1298" s="900"/>
      <c r="D1298" s="894"/>
      <c r="E1298" s="936"/>
      <c r="F1298" s="905"/>
      <c r="G1298" s="896"/>
      <c r="H1298" s="897"/>
      <c r="I1298" s="897"/>
      <c r="J1298" s="897"/>
      <c r="K1298" s="897"/>
      <c r="L1298" s="898"/>
      <c r="M1298" s="898"/>
      <c r="N1298" s="898"/>
      <c r="O1298" s="898"/>
      <c r="P1298" s="898"/>
      <c r="Q1298" s="898"/>
      <c r="R1298" s="898"/>
      <c r="S1298" s="898"/>
      <c r="T1298" s="898"/>
      <c r="U1298" s="898"/>
      <c r="V1298" s="898"/>
      <c r="W1298" s="898"/>
      <c r="X1298" s="898"/>
      <c r="Y1298" s="898"/>
      <c r="Z1298" s="898"/>
      <c r="AA1298" s="898"/>
      <c r="AB1298" s="898"/>
      <c r="AC1298" s="898"/>
      <c r="AD1298" s="898"/>
      <c r="AE1298" s="898"/>
      <c r="AF1298" s="898"/>
      <c r="AG1298" s="898"/>
      <c r="AH1298" s="898"/>
      <c r="AI1298" s="898"/>
      <c r="AJ1298" s="898"/>
      <c r="AK1298" s="898"/>
      <c r="AL1298" s="898"/>
      <c r="AM1298" s="897"/>
      <c r="AN1298" s="897"/>
      <c r="AO1298" s="897"/>
      <c r="AP1298" s="897"/>
      <c r="AQ1298" s="897"/>
      <c r="AR1298" s="897"/>
      <c r="AS1298" s="897"/>
      <c r="AT1298" s="897"/>
    </row>
    <row r="1299" spans="1:46" s="930" customFormat="1">
      <c r="A1299" s="892"/>
      <c r="B1299" s="899"/>
      <c r="C1299" s="900"/>
      <c r="D1299" s="894"/>
      <c r="E1299" s="936"/>
      <c r="F1299" s="905"/>
      <c r="G1299" s="896"/>
      <c r="H1299" s="897"/>
      <c r="I1299" s="897"/>
      <c r="J1299" s="897"/>
      <c r="K1299" s="897"/>
      <c r="L1299" s="898"/>
      <c r="M1299" s="898"/>
      <c r="N1299" s="898"/>
      <c r="O1299" s="898"/>
      <c r="P1299" s="898"/>
      <c r="Q1299" s="898"/>
      <c r="R1299" s="898"/>
      <c r="S1299" s="898"/>
      <c r="T1299" s="898"/>
      <c r="U1299" s="898"/>
      <c r="V1299" s="898"/>
      <c r="W1299" s="898"/>
      <c r="X1299" s="898"/>
      <c r="Y1299" s="898"/>
      <c r="Z1299" s="898"/>
      <c r="AA1299" s="898"/>
      <c r="AB1299" s="898"/>
      <c r="AC1299" s="898"/>
      <c r="AD1299" s="898"/>
      <c r="AE1299" s="898"/>
      <c r="AF1299" s="898"/>
      <c r="AG1299" s="898"/>
      <c r="AH1299" s="898"/>
      <c r="AI1299" s="898"/>
      <c r="AJ1299" s="898"/>
      <c r="AK1299" s="898"/>
      <c r="AL1299" s="898"/>
      <c r="AM1299" s="897"/>
      <c r="AN1299" s="897"/>
      <c r="AO1299" s="897"/>
      <c r="AP1299" s="897"/>
      <c r="AQ1299" s="897"/>
      <c r="AR1299" s="897"/>
      <c r="AS1299" s="897"/>
      <c r="AT1299" s="897"/>
    </row>
    <row r="1300" spans="1:46" s="930" customFormat="1">
      <c r="A1300" s="892"/>
      <c r="B1300" s="899"/>
      <c r="C1300" s="900"/>
      <c r="D1300" s="894"/>
      <c r="E1300" s="936"/>
      <c r="F1300" s="905"/>
      <c r="G1300" s="896"/>
      <c r="H1300" s="897"/>
      <c r="I1300" s="897"/>
      <c r="J1300" s="897"/>
      <c r="K1300" s="897"/>
      <c r="L1300" s="898"/>
      <c r="M1300" s="898"/>
      <c r="N1300" s="898"/>
      <c r="O1300" s="898"/>
      <c r="P1300" s="898"/>
      <c r="Q1300" s="898"/>
      <c r="R1300" s="898"/>
      <c r="S1300" s="898"/>
      <c r="T1300" s="898"/>
      <c r="U1300" s="898"/>
      <c r="V1300" s="898"/>
      <c r="W1300" s="898"/>
      <c r="X1300" s="898"/>
      <c r="Y1300" s="898"/>
      <c r="Z1300" s="898"/>
      <c r="AA1300" s="898"/>
      <c r="AB1300" s="898"/>
      <c r="AC1300" s="898"/>
      <c r="AD1300" s="898"/>
      <c r="AE1300" s="898"/>
      <c r="AF1300" s="898"/>
      <c r="AG1300" s="898"/>
      <c r="AH1300" s="898"/>
      <c r="AI1300" s="898"/>
      <c r="AJ1300" s="898"/>
      <c r="AK1300" s="898"/>
      <c r="AL1300" s="898"/>
      <c r="AM1300" s="897"/>
      <c r="AN1300" s="897"/>
      <c r="AO1300" s="897"/>
      <c r="AP1300" s="897"/>
      <c r="AQ1300" s="897"/>
      <c r="AR1300" s="897"/>
      <c r="AS1300" s="897"/>
      <c r="AT1300" s="897"/>
    </row>
    <row r="1301" spans="1:46" s="930" customFormat="1">
      <c r="A1301" s="892"/>
      <c r="B1301" s="899"/>
      <c r="C1301" s="900"/>
      <c r="D1301" s="894"/>
      <c r="E1301" s="936"/>
      <c r="F1301" s="905"/>
      <c r="G1301" s="896"/>
      <c r="H1301" s="897"/>
      <c r="I1301" s="897"/>
      <c r="J1301" s="897"/>
      <c r="K1301" s="897"/>
      <c r="L1301" s="898"/>
      <c r="M1301" s="898"/>
      <c r="N1301" s="898"/>
      <c r="O1301" s="898"/>
      <c r="P1301" s="898"/>
      <c r="Q1301" s="898"/>
      <c r="R1301" s="898"/>
      <c r="S1301" s="898"/>
      <c r="T1301" s="898"/>
      <c r="U1301" s="898"/>
      <c r="V1301" s="898"/>
      <c r="W1301" s="898"/>
      <c r="X1301" s="898"/>
      <c r="Y1301" s="898"/>
      <c r="Z1301" s="898"/>
      <c r="AA1301" s="898"/>
      <c r="AB1301" s="898"/>
      <c r="AC1301" s="898"/>
      <c r="AD1301" s="898"/>
      <c r="AE1301" s="898"/>
      <c r="AF1301" s="898"/>
      <c r="AG1301" s="898"/>
      <c r="AH1301" s="898"/>
      <c r="AI1301" s="898"/>
      <c r="AJ1301" s="898"/>
      <c r="AK1301" s="898"/>
      <c r="AL1301" s="898"/>
      <c r="AM1301" s="897"/>
      <c r="AN1301" s="897"/>
      <c r="AO1301" s="897"/>
      <c r="AP1301" s="897"/>
      <c r="AQ1301" s="897"/>
      <c r="AR1301" s="897"/>
      <c r="AS1301" s="897"/>
      <c r="AT1301" s="897"/>
    </row>
    <row r="1302" spans="1:46" s="930" customFormat="1">
      <c r="A1302" s="892"/>
      <c r="B1302" s="899"/>
      <c r="C1302" s="900"/>
      <c r="D1302" s="894"/>
      <c r="E1302" s="936"/>
      <c r="F1302" s="905"/>
      <c r="G1302" s="896"/>
      <c r="H1302" s="897"/>
      <c r="I1302" s="897"/>
      <c r="J1302" s="897"/>
      <c r="K1302" s="897"/>
      <c r="L1302" s="898"/>
      <c r="M1302" s="898"/>
      <c r="N1302" s="898"/>
      <c r="O1302" s="898"/>
      <c r="P1302" s="898"/>
      <c r="Q1302" s="898"/>
      <c r="R1302" s="898"/>
      <c r="S1302" s="898"/>
      <c r="T1302" s="898"/>
      <c r="U1302" s="898"/>
      <c r="V1302" s="898"/>
      <c r="W1302" s="898"/>
      <c r="X1302" s="898"/>
      <c r="Y1302" s="898"/>
      <c r="Z1302" s="898"/>
      <c r="AA1302" s="898"/>
      <c r="AB1302" s="898"/>
      <c r="AC1302" s="898"/>
      <c r="AD1302" s="898"/>
      <c r="AE1302" s="898"/>
      <c r="AF1302" s="898"/>
      <c r="AG1302" s="898"/>
      <c r="AH1302" s="898"/>
      <c r="AI1302" s="898"/>
      <c r="AJ1302" s="898"/>
      <c r="AK1302" s="898"/>
      <c r="AL1302" s="898"/>
      <c r="AM1302" s="897"/>
      <c r="AN1302" s="897"/>
      <c r="AO1302" s="897"/>
      <c r="AP1302" s="897"/>
      <c r="AQ1302" s="897"/>
      <c r="AR1302" s="897"/>
      <c r="AS1302" s="897"/>
      <c r="AT1302" s="897"/>
    </row>
    <row r="1303" spans="1:46" s="930" customFormat="1">
      <c r="A1303" s="892"/>
      <c r="B1303" s="899"/>
      <c r="C1303" s="900"/>
      <c r="D1303" s="894"/>
      <c r="E1303" s="936"/>
      <c r="F1303" s="905"/>
      <c r="G1303" s="896"/>
      <c r="H1303" s="897"/>
      <c r="I1303" s="897"/>
      <c r="J1303" s="897"/>
      <c r="K1303" s="897"/>
      <c r="L1303" s="898"/>
      <c r="M1303" s="898"/>
      <c r="N1303" s="898"/>
      <c r="O1303" s="898"/>
      <c r="P1303" s="898"/>
      <c r="Q1303" s="898"/>
      <c r="R1303" s="898"/>
      <c r="S1303" s="898"/>
      <c r="T1303" s="898"/>
      <c r="U1303" s="898"/>
      <c r="V1303" s="898"/>
      <c r="W1303" s="898"/>
      <c r="X1303" s="898"/>
      <c r="Y1303" s="898"/>
      <c r="Z1303" s="898"/>
      <c r="AA1303" s="898"/>
      <c r="AB1303" s="898"/>
      <c r="AC1303" s="898"/>
      <c r="AD1303" s="898"/>
      <c r="AE1303" s="898"/>
      <c r="AF1303" s="898"/>
      <c r="AG1303" s="898"/>
      <c r="AH1303" s="898"/>
      <c r="AI1303" s="898"/>
      <c r="AJ1303" s="898"/>
      <c r="AK1303" s="898"/>
      <c r="AL1303" s="898"/>
      <c r="AM1303" s="897"/>
      <c r="AN1303" s="897"/>
      <c r="AO1303" s="897"/>
      <c r="AP1303" s="897"/>
      <c r="AQ1303" s="897"/>
      <c r="AR1303" s="897"/>
      <c r="AS1303" s="897"/>
      <c r="AT1303" s="897"/>
    </row>
    <row r="1304" spans="1:46" s="930" customFormat="1">
      <c r="A1304" s="892"/>
      <c r="B1304" s="899"/>
      <c r="C1304" s="900"/>
      <c r="D1304" s="894"/>
      <c r="E1304" s="936"/>
      <c r="F1304" s="905"/>
      <c r="G1304" s="896"/>
      <c r="H1304" s="897"/>
      <c r="I1304" s="897"/>
      <c r="J1304" s="897"/>
      <c r="K1304" s="897"/>
      <c r="L1304" s="898"/>
      <c r="M1304" s="898"/>
      <c r="N1304" s="898"/>
      <c r="O1304" s="898"/>
      <c r="P1304" s="898"/>
      <c r="Q1304" s="898"/>
      <c r="R1304" s="898"/>
      <c r="S1304" s="898"/>
      <c r="T1304" s="898"/>
      <c r="U1304" s="898"/>
      <c r="V1304" s="898"/>
      <c r="W1304" s="898"/>
      <c r="X1304" s="898"/>
      <c r="Y1304" s="898"/>
      <c r="Z1304" s="898"/>
      <c r="AA1304" s="898"/>
      <c r="AB1304" s="898"/>
      <c r="AC1304" s="898"/>
      <c r="AD1304" s="898"/>
      <c r="AE1304" s="898"/>
      <c r="AF1304" s="898"/>
      <c r="AG1304" s="898"/>
      <c r="AH1304" s="898"/>
      <c r="AI1304" s="898"/>
      <c r="AJ1304" s="898"/>
      <c r="AK1304" s="898"/>
      <c r="AL1304" s="898"/>
      <c r="AM1304" s="897"/>
      <c r="AN1304" s="897"/>
      <c r="AO1304" s="897"/>
      <c r="AP1304" s="897"/>
      <c r="AQ1304" s="897"/>
      <c r="AR1304" s="897"/>
      <c r="AS1304" s="897"/>
      <c r="AT1304" s="897"/>
    </row>
    <row r="1305" spans="1:46" s="930" customFormat="1">
      <c r="A1305" s="892"/>
      <c r="B1305" s="899"/>
      <c r="C1305" s="900"/>
      <c r="D1305" s="894"/>
      <c r="E1305" s="936"/>
      <c r="F1305" s="905"/>
      <c r="G1305" s="896"/>
      <c r="H1305" s="897"/>
      <c r="I1305" s="897"/>
      <c r="J1305" s="897"/>
      <c r="K1305" s="897"/>
      <c r="L1305" s="898"/>
      <c r="M1305" s="898"/>
      <c r="N1305" s="898"/>
      <c r="O1305" s="898"/>
      <c r="P1305" s="898"/>
      <c r="Q1305" s="898"/>
      <c r="R1305" s="898"/>
      <c r="S1305" s="898"/>
      <c r="T1305" s="898"/>
      <c r="U1305" s="898"/>
      <c r="V1305" s="898"/>
      <c r="W1305" s="898"/>
      <c r="X1305" s="898"/>
      <c r="Y1305" s="898"/>
      <c r="Z1305" s="898"/>
      <c r="AA1305" s="898"/>
      <c r="AB1305" s="898"/>
      <c r="AC1305" s="898"/>
      <c r="AD1305" s="898"/>
      <c r="AE1305" s="898"/>
      <c r="AF1305" s="898"/>
      <c r="AG1305" s="898"/>
      <c r="AH1305" s="898"/>
      <c r="AI1305" s="898"/>
      <c r="AJ1305" s="898"/>
      <c r="AK1305" s="898"/>
      <c r="AL1305" s="898"/>
      <c r="AM1305" s="897"/>
      <c r="AN1305" s="897"/>
      <c r="AO1305" s="897"/>
      <c r="AP1305" s="897"/>
      <c r="AQ1305" s="897"/>
      <c r="AR1305" s="897"/>
      <c r="AS1305" s="897"/>
      <c r="AT1305" s="897"/>
    </row>
    <row r="1306" spans="1:46" s="930" customFormat="1">
      <c r="A1306" s="892"/>
      <c r="B1306" s="899"/>
      <c r="C1306" s="900"/>
      <c r="D1306" s="894"/>
      <c r="E1306" s="936"/>
      <c r="F1306" s="905"/>
      <c r="G1306" s="896"/>
      <c r="H1306" s="897"/>
      <c r="I1306" s="897"/>
      <c r="J1306" s="897"/>
      <c r="K1306" s="897"/>
      <c r="L1306" s="898"/>
      <c r="M1306" s="898"/>
      <c r="N1306" s="898"/>
      <c r="O1306" s="898"/>
      <c r="P1306" s="898"/>
      <c r="Q1306" s="898"/>
      <c r="R1306" s="898"/>
      <c r="S1306" s="898"/>
      <c r="T1306" s="898"/>
      <c r="U1306" s="898"/>
      <c r="V1306" s="898"/>
      <c r="W1306" s="898"/>
      <c r="X1306" s="898"/>
      <c r="Y1306" s="898"/>
      <c r="Z1306" s="898"/>
      <c r="AA1306" s="898"/>
      <c r="AB1306" s="898"/>
      <c r="AC1306" s="898"/>
      <c r="AD1306" s="898"/>
      <c r="AE1306" s="898"/>
      <c r="AF1306" s="898"/>
      <c r="AG1306" s="898"/>
      <c r="AH1306" s="898"/>
      <c r="AI1306" s="898"/>
      <c r="AJ1306" s="898"/>
      <c r="AK1306" s="898"/>
      <c r="AL1306" s="898"/>
      <c r="AM1306" s="897"/>
      <c r="AN1306" s="897"/>
      <c r="AO1306" s="897"/>
      <c r="AP1306" s="897"/>
      <c r="AQ1306" s="897"/>
      <c r="AR1306" s="897"/>
      <c r="AS1306" s="897"/>
      <c r="AT1306" s="897"/>
    </row>
    <row r="1307" spans="1:46" s="930" customFormat="1">
      <c r="A1307" s="892"/>
      <c r="B1307" s="899"/>
      <c r="C1307" s="900"/>
      <c r="D1307" s="894"/>
      <c r="E1307" s="936"/>
      <c r="F1307" s="905"/>
      <c r="G1307" s="896"/>
      <c r="H1307" s="897"/>
      <c r="I1307" s="897"/>
      <c r="J1307" s="897"/>
      <c r="K1307" s="897"/>
      <c r="L1307" s="898"/>
      <c r="M1307" s="898"/>
      <c r="N1307" s="898"/>
      <c r="O1307" s="898"/>
      <c r="P1307" s="898"/>
      <c r="Q1307" s="898"/>
      <c r="R1307" s="898"/>
      <c r="S1307" s="898"/>
      <c r="T1307" s="898"/>
      <c r="U1307" s="898"/>
      <c r="V1307" s="898"/>
      <c r="W1307" s="898"/>
      <c r="X1307" s="898"/>
      <c r="Y1307" s="898"/>
      <c r="Z1307" s="898"/>
      <c r="AA1307" s="898"/>
      <c r="AB1307" s="898"/>
      <c r="AC1307" s="898"/>
      <c r="AD1307" s="898"/>
      <c r="AE1307" s="898"/>
      <c r="AF1307" s="898"/>
      <c r="AG1307" s="898"/>
      <c r="AH1307" s="898"/>
      <c r="AI1307" s="898"/>
      <c r="AJ1307" s="898"/>
      <c r="AK1307" s="898"/>
      <c r="AL1307" s="898"/>
      <c r="AM1307" s="897"/>
      <c r="AN1307" s="897"/>
      <c r="AO1307" s="897"/>
      <c r="AP1307" s="897"/>
      <c r="AQ1307" s="897"/>
      <c r="AR1307" s="897"/>
      <c r="AS1307" s="897"/>
      <c r="AT1307" s="897"/>
    </row>
    <row r="1308" spans="1:46" s="930" customFormat="1">
      <c r="A1308" s="892"/>
      <c r="B1308" s="899"/>
      <c r="C1308" s="900"/>
      <c r="D1308" s="894"/>
      <c r="E1308" s="936"/>
      <c r="F1308" s="905"/>
      <c r="G1308" s="896"/>
      <c r="H1308" s="897"/>
      <c r="I1308" s="897"/>
      <c r="J1308" s="897"/>
      <c r="K1308" s="897"/>
      <c r="L1308" s="898"/>
      <c r="M1308" s="898"/>
      <c r="N1308" s="898"/>
      <c r="O1308" s="898"/>
      <c r="P1308" s="898"/>
      <c r="Q1308" s="898"/>
      <c r="R1308" s="898"/>
      <c r="S1308" s="898"/>
      <c r="T1308" s="898"/>
      <c r="U1308" s="898"/>
      <c r="V1308" s="898"/>
      <c r="W1308" s="898"/>
      <c r="X1308" s="898"/>
      <c r="Y1308" s="898"/>
      <c r="Z1308" s="898"/>
      <c r="AA1308" s="898"/>
      <c r="AB1308" s="898"/>
      <c r="AC1308" s="898"/>
      <c r="AD1308" s="898"/>
      <c r="AE1308" s="898"/>
      <c r="AF1308" s="898"/>
      <c r="AG1308" s="898"/>
      <c r="AH1308" s="898"/>
      <c r="AI1308" s="898"/>
      <c r="AJ1308" s="898"/>
      <c r="AK1308" s="898"/>
      <c r="AL1308" s="898"/>
      <c r="AM1308" s="897"/>
      <c r="AN1308" s="897"/>
      <c r="AO1308" s="897"/>
      <c r="AP1308" s="897"/>
      <c r="AQ1308" s="897"/>
      <c r="AR1308" s="897"/>
      <c r="AS1308" s="897"/>
      <c r="AT1308" s="897"/>
    </row>
    <row r="1309" spans="1:46" s="930" customFormat="1">
      <c r="A1309" s="892"/>
      <c r="B1309" s="899"/>
      <c r="C1309" s="900"/>
      <c r="D1309" s="894"/>
      <c r="E1309" s="936"/>
      <c r="F1309" s="905"/>
      <c r="G1309" s="896"/>
      <c r="H1309" s="897"/>
      <c r="I1309" s="897"/>
      <c r="J1309" s="897"/>
      <c r="K1309" s="897"/>
      <c r="L1309" s="898"/>
      <c r="M1309" s="898"/>
      <c r="N1309" s="898"/>
      <c r="O1309" s="898"/>
      <c r="P1309" s="898"/>
      <c r="Q1309" s="898"/>
      <c r="R1309" s="898"/>
      <c r="S1309" s="898"/>
      <c r="T1309" s="898"/>
      <c r="U1309" s="898"/>
      <c r="V1309" s="898"/>
      <c r="W1309" s="898"/>
      <c r="X1309" s="898"/>
      <c r="Y1309" s="898"/>
      <c r="Z1309" s="898"/>
      <c r="AA1309" s="898"/>
      <c r="AB1309" s="898"/>
      <c r="AC1309" s="898"/>
      <c r="AD1309" s="898"/>
      <c r="AE1309" s="898"/>
      <c r="AF1309" s="898"/>
      <c r="AG1309" s="898"/>
      <c r="AH1309" s="898"/>
      <c r="AI1309" s="898"/>
      <c r="AJ1309" s="898"/>
      <c r="AK1309" s="898"/>
      <c r="AL1309" s="898"/>
      <c r="AM1309" s="897"/>
      <c r="AN1309" s="897"/>
      <c r="AO1309" s="897"/>
      <c r="AP1309" s="897"/>
      <c r="AQ1309" s="897"/>
      <c r="AR1309" s="897"/>
      <c r="AS1309" s="897"/>
      <c r="AT1309" s="897"/>
    </row>
    <row r="1310" spans="1:46" s="930" customFormat="1">
      <c r="A1310" s="892"/>
      <c r="B1310" s="899"/>
      <c r="C1310" s="900"/>
      <c r="D1310" s="894"/>
      <c r="E1310" s="936"/>
      <c r="F1310" s="905"/>
      <c r="G1310" s="896"/>
      <c r="H1310" s="897"/>
      <c r="I1310" s="897"/>
      <c r="J1310" s="897"/>
      <c r="K1310" s="897"/>
      <c r="L1310" s="898"/>
      <c r="M1310" s="898"/>
      <c r="N1310" s="898"/>
      <c r="O1310" s="898"/>
      <c r="P1310" s="898"/>
      <c r="Q1310" s="898"/>
      <c r="R1310" s="898"/>
      <c r="S1310" s="898"/>
      <c r="T1310" s="898"/>
      <c r="U1310" s="898"/>
      <c r="V1310" s="898"/>
      <c r="W1310" s="898"/>
      <c r="X1310" s="898"/>
      <c r="Y1310" s="898"/>
      <c r="Z1310" s="898"/>
      <c r="AA1310" s="898"/>
      <c r="AB1310" s="898"/>
      <c r="AC1310" s="898"/>
      <c r="AD1310" s="898"/>
      <c r="AE1310" s="898"/>
      <c r="AF1310" s="898"/>
      <c r="AG1310" s="898"/>
      <c r="AH1310" s="898"/>
      <c r="AI1310" s="898"/>
      <c r="AJ1310" s="898"/>
      <c r="AK1310" s="898"/>
      <c r="AL1310" s="898"/>
      <c r="AM1310" s="897"/>
      <c r="AN1310" s="897"/>
      <c r="AO1310" s="897"/>
      <c r="AP1310" s="897"/>
      <c r="AQ1310" s="897"/>
      <c r="AR1310" s="897"/>
      <c r="AS1310" s="897"/>
      <c r="AT1310" s="897"/>
    </row>
    <row r="1311" spans="1:46" s="930" customFormat="1">
      <c r="A1311" s="892"/>
      <c r="B1311" s="899"/>
      <c r="C1311" s="900"/>
      <c r="D1311" s="894"/>
      <c r="E1311" s="936"/>
      <c r="F1311" s="905"/>
      <c r="G1311" s="896"/>
      <c r="H1311" s="897"/>
      <c r="I1311" s="897"/>
      <c r="J1311" s="897"/>
      <c r="K1311" s="897"/>
      <c r="L1311" s="898"/>
      <c r="M1311" s="898"/>
      <c r="N1311" s="898"/>
      <c r="O1311" s="898"/>
      <c r="P1311" s="898"/>
      <c r="Q1311" s="898"/>
      <c r="R1311" s="898"/>
      <c r="S1311" s="898"/>
      <c r="T1311" s="898"/>
      <c r="U1311" s="898"/>
      <c r="V1311" s="898"/>
      <c r="W1311" s="898"/>
      <c r="X1311" s="898"/>
      <c r="Y1311" s="898"/>
      <c r="Z1311" s="898"/>
      <c r="AA1311" s="898"/>
      <c r="AB1311" s="898"/>
      <c r="AC1311" s="898"/>
      <c r="AD1311" s="898"/>
      <c r="AE1311" s="898"/>
      <c r="AF1311" s="898"/>
      <c r="AG1311" s="898"/>
      <c r="AH1311" s="898"/>
      <c r="AI1311" s="898"/>
      <c r="AJ1311" s="898"/>
      <c r="AK1311" s="898"/>
      <c r="AL1311" s="898"/>
      <c r="AM1311" s="897"/>
      <c r="AN1311" s="897"/>
      <c r="AO1311" s="897"/>
      <c r="AP1311" s="897"/>
      <c r="AQ1311" s="897"/>
      <c r="AR1311" s="897"/>
      <c r="AS1311" s="897"/>
      <c r="AT1311" s="897"/>
    </row>
    <row r="1312" spans="1:46" s="930" customFormat="1">
      <c r="A1312" s="892"/>
      <c r="B1312" s="899"/>
      <c r="C1312" s="900"/>
      <c r="D1312" s="894"/>
      <c r="E1312" s="936"/>
      <c r="F1312" s="905"/>
      <c r="G1312" s="896"/>
      <c r="H1312" s="897"/>
      <c r="I1312" s="897"/>
      <c r="J1312" s="897"/>
      <c r="K1312" s="897"/>
      <c r="L1312" s="898"/>
      <c r="M1312" s="898"/>
      <c r="N1312" s="898"/>
      <c r="O1312" s="898"/>
      <c r="P1312" s="898"/>
      <c r="Q1312" s="898"/>
      <c r="R1312" s="898"/>
      <c r="S1312" s="898"/>
      <c r="T1312" s="898"/>
      <c r="U1312" s="898"/>
      <c r="V1312" s="898"/>
      <c r="W1312" s="898"/>
      <c r="X1312" s="898"/>
      <c r="Y1312" s="898"/>
      <c r="Z1312" s="898"/>
      <c r="AA1312" s="898"/>
      <c r="AB1312" s="898"/>
      <c r="AC1312" s="898"/>
      <c r="AD1312" s="898"/>
      <c r="AE1312" s="898"/>
      <c r="AF1312" s="898"/>
      <c r="AG1312" s="898"/>
      <c r="AH1312" s="898"/>
      <c r="AI1312" s="898"/>
      <c r="AJ1312" s="898"/>
      <c r="AK1312" s="898"/>
      <c r="AL1312" s="898"/>
      <c r="AM1312" s="897"/>
      <c r="AN1312" s="897"/>
      <c r="AO1312" s="897"/>
      <c r="AP1312" s="897"/>
      <c r="AQ1312" s="897"/>
      <c r="AR1312" s="897"/>
      <c r="AS1312" s="897"/>
      <c r="AT1312" s="897"/>
    </row>
    <row r="1313" spans="1:46" s="930" customFormat="1">
      <c r="A1313" s="892"/>
      <c r="B1313" s="899"/>
      <c r="C1313" s="900"/>
      <c r="D1313" s="894"/>
      <c r="E1313" s="936"/>
      <c r="F1313" s="905"/>
      <c r="G1313" s="896"/>
      <c r="H1313" s="897"/>
      <c r="I1313" s="897"/>
      <c r="J1313" s="897"/>
      <c r="K1313" s="897"/>
      <c r="L1313" s="898"/>
      <c r="M1313" s="898"/>
      <c r="N1313" s="898"/>
      <c r="O1313" s="898"/>
      <c r="P1313" s="898"/>
      <c r="Q1313" s="898"/>
      <c r="R1313" s="898"/>
      <c r="S1313" s="898"/>
      <c r="T1313" s="898"/>
      <c r="U1313" s="898"/>
      <c r="V1313" s="898"/>
      <c r="W1313" s="898"/>
      <c r="X1313" s="898"/>
      <c r="Y1313" s="898"/>
      <c r="Z1313" s="898"/>
      <c r="AA1313" s="898"/>
      <c r="AB1313" s="898"/>
      <c r="AC1313" s="898"/>
      <c r="AD1313" s="898"/>
      <c r="AE1313" s="898"/>
      <c r="AF1313" s="898"/>
      <c r="AG1313" s="898"/>
      <c r="AH1313" s="898"/>
      <c r="AI1313" s="898"/>
      <c r="AJ1313" s="898"/>
      <c r="AK1313" s="898"/>
      <c r="AL1313" s="898"/>
      <c r="AM1313" s="897"/>
      <c r="AN1313" s="897"/>
      <c r="AO1313" s="897"/>
      <c r="AP1313" s="897"/>
      <c r="AQ1313" s="897"/>
      <c r="AR1313" s="897"/>
      <c r="AS1313" s="897"/>
      <c r="AT1313" s="897"/>
    </row>
    <row r="1314" spans="1:46" s="930" customFormat="1">
      <c r="A1314" s="892"/>
      <c r="B1314" s="899"/>
      <c r="C1314" s="900"/>
      <c r="D1314" s="894"/>
      <c r="E1314" s="936"/>
      <c r="F1314" s="905"/>
      <c r="G1314" s="896"/>
      <c r="H1314" s="897"/>
      <c r="I1314" s="897"/>
      <c r="J1314" s="897"/>
      <c r="K1314" s="897"/>
      <c r="L1314" s="898"/>
      <c r="M1314" s="898"/>
      <c r="N1314" s="898"/>
      <c r="O1314" s="898"/>
      <c r="P1314" s="898"/>
      <c r="Q1314" s="898"/>
      <c r="R1314" s="898"/>
      <c r="S1314" s="898"/>
      <c r="T1314" s="898"/>
      <c r="U1314" s="898"/>
      <c r="V1314" s="898"/>
      <c r="W1314" s="898"/>
      <c r="X1314" s="898"/>
      <c r="Y1314" s="898"/>
      <c r="Z1314" s="898"/>
      <c r="AA1314" s="898"/>
      <c r="AB1314" s="898"/>
      <c r="AC1314" s="898"/>
      <c r="AD1314" s="898"/>
      <c r="AE1314" s="898"/>
      <c r="AF1314" s="898"/>
      <c r="AG1314" s="898"/>
      <c r="AH1314" s="898"/>
      <c r="AI1314" s="898"/>
      <c r="AJ1314" s="898"/>
      <c r="AK1314" s="898"/>
      <c r="AL1314" s="898"/>
      <c r="AM1314" s="897"/>
      <c r="AN1314" s="897"/>
      <c r="AO1314" s="897"/>
      <c r="AP1314" s="897"/>
      <c r="AQ1314" s="897"/>
      <c r="AR1314" s="897"/>
      <c r="AS1314" s="897"/>
      <c r="AT1314" s="897"/>
    </row>
    <row r="1315" spans="1:46" s="930" customFormat="1">
      <c r="A1315" s="892"/>
      <c r="B1315" s="899"/>
      <c r="C1315" s="900"/>
      <c r="D1315" s="894"/>
      <c r="E1315" s="936"/>
      <c r="F1315" s="905"/>
      <c r="G1315" s="896"/>
      <c r="H1315" s="897"/>
      <c r="I1315" s="897"/>
      <c r="J1315" s="897"/>
      <c r="K1315" s="897"/>
      <c r="L1315" s="898"/>
      <c r="M1315" s="898"/>
      <c r="N1315" s="898"/>
      <c r="O1315" s="898"/>
      <c r="P1315" s="898"/>
      <c r="Q1315" s="898"/>
      <c r="R1315" s="898"/>
      <c r="S1315" s="898"/>
      <c r="T1315" s="898"/>
      <c r="U1315" s="898"/>
      <c r="V1315" s="898"/>
      <c r="W1315" s="898"/>
      <c r="X1315" s="898"/>
      <c r="Y1315" s="898"/>
      <c r="Z1315" s="898"/>
      <c r="AA1315" s="898"/>
      <c r="AB1315" s="898"/>
      <c r="AC1315" s="898"/>
      <c r="AD1315" s="898"/>
      <c r="AE1315" s="898"/>
      <c r="AF1315" s="898"/>
      <c r="AG1315" s="898"/>
      <c r="AH1315" s="898"/>
      <c r="AI1315" s="898"/>
      <c r="AJ1315" s="898"/>
      <c r="AK1315" s="898"/>
      <c r="AL1315" s="898"/>
      <c r="AM1315" s="897"/>
      <c r="AN1315" s="897"/>
      <c r="AO1315" s="897"/>
      <c r="AP1315" s="897"/>
      <c r="AQ1315" s="897"/>
      <c r="AR1315" s="897"/>
      <c r="AS1315" s="897"/>
      <c r="AT1315" s="897"/>
    </row>
    <row r="1316" spans="1:46" s="930" customFormat="1">
      <c r="A1316" s="892"/>
      <c r="B1316" s="899"/>
      <c r="C1316" s="900"/>
      <c r="D1316" s="894"/>
      <c r="E1316" s="936"/>
      <c r="F1316" s="905"/>
      <c r="G1316" s="896"/>
      <c r="H1316" s="897"/>
      <c r="I1316" s="897"/>
      <c r="J1316" s="897"/>
      <c r="K1316" s="897"/>
      <c r="L1316" s="898"/>
      <c r="M1316" s="898"/>
      <c r="N1316" s="898"/>
      <c r="O1316" s="898"/>
      <c r="P1316" s="898"/>
      <c r="Q1316" s="898"/>
      <c r="R1316" s="898"/>
      <c r="S1316" s="898"/>
      <c r="T1316" s="898"/>
      <c r="U1316" s="898"/>
      <c r="V1316" s="898"/>
      <c r="W1316" s="898"/>
      <c r="X1316" s="898"/>
      <c r="Y1316" s="898"/>
      <c r="Z1316" s="898"/>
      <c r="AA1316" s="898"/>
      <c r="AB1316" s="898"/>
      <c r="AC1316" s="898"/>
      <c r="AD1316" s="898"/>
      <c r="AE1316" s="898"/>
      <c r="AF1316" s="898"/>
      <c r="AG1316" s="898"/>
      <c r="AH1316" s="898"/>
      <c r="AI1316" s="898"/>
      <c r="AJ1316" s="898"/>
      <c r="AK1316" s="898"/>
      <c r="AL1316" s="898"/>
      <c r="AM1316" s="897"/>
      <c r="AN1316" s="897"/>
      <c r="AO1316" s="897"/>
      <c r="AP1316" s="897"/>
      <c r="AQ1316" s="897"/>
      <c r="AR1316" s="897"/>
      <c r="AS1316" s="897"/>
      <c r="AT1316" s="897"/>
    </row>
    <row r="1317" spans="1:46" s="930" customFormat="1">
      <c r="A1317" s="892"/>
      <c r="B1317" s="899"/>
      <c r="C1317" s="900"/>
      <c r="D1317" s="894"/>
      <c r="E1317" s="936"/>
      <c r="F1317" s="905"/>
      <c r="G1317" s="896"/>
      <c r="H1317" s="897"/>
      <c r="I1317" s="897"/>
      <c r="J1317" s="897"/>
      <c r="K1317" s="897"/>
      <c r="L1317" s="898"/>
      <c r="M1317" s="898"/>
      <c r="N1317" s="898"/>
      <c r="O1317" s="898"/>
      <c r="P1317" s="898"/>
      <c r="Q1317" s="898"/>
      <c r="R1317" s="898"/>
      <c r="S1317" s="898"/>
      <c r="T1317" s="898"/>
      <c r="U1317" s="898"/>
      <c r="V1317" s="898"/>
      <c r="W1317" s="898"/>
      <c r="X1317" s="898"/>
      <c r="Y1317" s="898"/>
      <c r="Z1317" s="898"/>
      <c r="AA1317" s="898"/>
      <c r="AB1317" s="898"/>
      <c r="AC1317" s="898"/>
      <c r="AD1317" s="898"/>
      <c r="AE1317" s="898"/>
      <c r="AF1317" s="898"/>
      <c r="AG1317" s="898"/>
      <c r="AH1317" s="898"/>
      <c r="AI1317" s="898"/>
      <c r="AJ1317" s="898"/>
      <c r="AK1317" s="898"/>
      <c r="AL1317" s="898"/>
      <c r="AM1317" s="897"/>
      <c r="AN1317" s="897"/>
      <c r="AO1317" s="897"/>
      <c r="AP1317" s="897"/>
      <c r="AQ1317" s="897"/>
      <c r="AR1317" s="897"/>
      <c r="AS1317" s="897"/>
      <c r="AT1317" s="897"/>
    </row>
    <row r="1318" spans="1:46" s="930" customFormat="1">
      <c r="A1318" s="892"/>
      <c r="B1318" s="899"/>
      <c r="C1318" s="900"/>
      <c r="D1318" s="894"/>
      <c r="E1318" s="936"/>
      <c r="F1318" s="905"/>
      <c r="G1318" s="896"/>
      <c r="H1318" s="897"/>
      <c r="I1318" s="897"/>
      <c r="J1318" s="897"/>
      <c r="K1318" s="897"/>
      <c r="L1318" s="898"/>
      <c r="M1318" s="898"/>
      <c r="N1318" s="898"/>
      <c r="O1318" s="898"/>
      <c r="P1318" s="898"/>
      <c r="Q1318" s="898"/>
      <c r="R1318" s="898"/>
      <c r="S1318" s="898"/>
      <c r="T1318" s="898"/>
      <c r="U1318" s="898"/>
      <c r="V1318" s="898"/>
      <c r="W1318" s="898"/>
      <c r="X1318" s="898"/>
      <c r="Y1318" s="898"/>
      <c r="Z1318" s="898"/>
      <c r="AA1318" s="898"/>
      <c r="AB1318" s="898"/>
      <c r="AC1318" s="898"/>
      <c r="AD1318" s="898"/>
      <c r="AE1318" s="898"/>
      <c r="AF1318" s="898"/>
      <c r="AG1318" s="898"/>
      <c r="AH1318" s="898"/>
      <c r="AI1318" s="898"/>
      <c r="AJ1318" s="898"/>
      <c r="AK1318" s="898"/>
      <c r="AL1318" s="898"/>
      <c r="AM1318" s="897"/>
      <c r="AN1318" s="897"/>
      <c r="AO1318" s="897"/>
      <c r="AP1318" s="897"/>
      <c r="AQ1318" s="897"/>
      <c r="AR1318" s="897"/>
      <c r="AS1318" s="897"/>
      <c r="AT1318" s="897"/>
    </row>
    <row r="1319" spans="1:46" s="930" customFormat="1">
      <c r="A1319" s="892"/>
      <c r="B1319" s="899"/>
      <c r="C1319" s="900"/>
      <c r="D1319" s="894"/>
      <c r="E1319" s="936"/>
      <c r="F1319" s="905"/>
      <c r="G1319" s="896"/>
      <c r="H1319" s="897"/>
      <c r="I1319" s="897"/>
      <c r="J1319" s="897"/>
      <c r="K1319" s="897"/>
      <c r="L1319" s="898"/>
      <c r="M1319" s="898"/>
      <c r="N1319" s="898"/>
      <c r="O1319" s="898"/>
      <c r="P1319" s="898"/>
      <c r="Q1319" s="898"/>
      <c r="R1319" s="898"/>
      <c r="S1319" s="898"/>
      <c r="T1319" s="898"/>
      <c r="U1319" s="898"/>
      <c r="V1319" s="898"/>
      <c r="W1319" s="898"/>
      <c r="X1319" s="898"/>
      <c r="Y1319" s="898"/>
      <c r="Z1319" s="898"/>
      <c r="AA1319" s="898"/>
      <c r="AB1319" s="898"/>
      <c r="AC1319" s="898"/>
      <c r="AD1319" s="898"/>
      <c r="AE1319" s="898"/>
      <c r="AF1319" s="898"/>
      <c r="AG1319" s="898"/>
      <c r="AH1319" s="898"/>
      <c r="AI1319" s="898"/>
      <c r="AJ1319" s="898"/>
      <c r="AK1319" s="898"/>
      <c r="AL1319" s="898"/>
      <c r="AM1319" s="897"/>
      <c r="AN1319" s="897"/>
      <c r="AO1319" s="897"/>
      <c r="AP1319" s="897"/>
      <c r="AQ1319" s="897"/>
      <c r="AR1319" s="897"/>
      <c r="AS1319" s="897"/>
      <c r="AT1319" s="897"/>
    </row>
    <row r="1320" spans="1:46" s="930" customFormat="1">
      <c r="A1320" s="892"/>
      <c r="B1320" s="899"/>
      <c r="C1320" s="900"/>
      <c r="D1320" s="894"/>
      <c r="E1320" s="936"/>
      <c r="F1320" s="905"/>
      <c r="G1320" s="896"/>
      <c r="H1320" s="897"/>
      <c r="I1320" s="897"/>
      <c r="J1320" s="897"/>
      <c r="K1320" s="897"/>
      <c r="L1320" s="898"/>
      <c r="M1320" s="898"/>
      <c r="N1320" s="898"/>
      <c r="O1320" s="898"/>
      <c r="P1320" s="898"/>
      <c r="Q1320" s="898"/>
      <c r="R1320" s="898"/>
      <c r="S1320" s="898"/>
      <c r="T1320" s="898"/>
      <c r="U1320" s="898"/>
      <c r="V1320" s="898"/>
      <c r="W1320" s="898"/>
      <c r="X1320" s="898"/>
      <c r="Y1320" s="898"/>
      <c r="Z1320" s="898"/>
      <c r="AA1320" s="898"/>
      <c r="AB1320" s="898"/>
      <c r="AC1320" s="898"/>
      <c r="AD1320" s="898"/>
      <c r="AE1320" s="898"/>
      <c r="AF1320" s="898"/>
      <c r="AG1320" s="898"/>
      <c r="AH1320" s="898"/>
      <c r="AI1320" s="898"/>
      <c r="AJ1320" s="898"/>
      <c r="AK1320" s="898"/>
      <c r="AL1320" s="898"/>
      <c r="AM1320" s="897"/>
      <c r="AN1320" s="897"/>
      <c r="AO1320" s="897"/>
      <c r="AP1320" s="897"/>
      <c r="AQ1320" s="897"/>
      <c r="AR1320" s="897"/>
      <c r="AS1320" s="897"/>
      <c r="AT1320" s="897"/>
    </row>
    <row r="1321" spans="1:46" s="930" customFormat="1">
      <c r="A1321" s="892"/>
      <c r="B1321" s="899"/>
      <c r="C1321" s="900"/>
      <c r="D1321" s="894"/>
      <c r="E1321" s="936"/>
      <c r="F1321" s="905"/>
      <c r="G1321" s="896"/>
      <c r="H1321" s="897"/>
      <c r="I1321" s="897"/>
      <c r="J1321" s="897"/>
      <c r="K1321" s="897"/>
      <c r="L1321" s="898"/>
      <c r="M1321" s="898"/>
      <c r="N1321" s="898"/>
      <c r="O1321" s="898"/>
      <c r="P1321" s="898"/>
      <c r="Q1321" s="898"/>
      <c r="R1321" s="898"/>
      <c r="S1321" s="898"/>
      <c r="T1321" s="898"/>
      <c r="U1321" s="898"/>
      <c r="V1321" s="898"/>
      <c r="W1321" s="898"/>
      <c r="X1321" s="898"/>
      <c r="Y1321" s="898"/>
      <c r="Z1321" s="898"/>
      <c r="AA1321" s="898"/>
      <c r="AB1321" s="898"/>
      <c r="AC1321" s="898"/>
      <c r="AD1321" s="898"/>
      <c r="AE1321" s="898"/>
      <c r="AF1321" s="898"/>
      <c r="AG1321" s="898"/>
      <c r="AH1321" s="898"/>
      <c r="AI1321" s="898"/>
      <c r="AJ1321" s="898"/>
      <c r="AK1321" s="898"/>
      <c r="AL1321" s="898"/>
      <c r="AM1321" s="897"/>
      <c r="AN1321" s="897"/>
      <c r="AO1321" s="897"/>
      <c r="AP1321" s="897"/>
      <c r="AQ1321" s="897"/>
      <c r="AR1321" s="897"/>
      <c r="AS1321" s="897"/>
      <c r="AT1321" s="897"/>
    </row>
    <row r="1322" spans="1:46" s="930" customFormat="1">
      <c r="A1322" s="892"/>
      <c r="B1322" s="899"/>
      <c r="C1322" s="900"/>
      <c r="D1322" s="894"/>
      <c r="E1322" s="936"/>
      <c r="F1322" s="905"/>
      <c r="G1322" s="896"/>
      <c r="H1322" s="897"/>
      <c r="I1322" s="897"/>
      <c r="J1322" s="897"/>
      <c r="K1322" s="897"/>
      <c r="L1322" s="898"/>
      <c r="M1322" s="898"/>
      <c r="N1322" s="898"/>
      <c r="O1322" s="898"/>
      <c r="P1322" s="898"/>
      <c r="Q1322" s="898"/>
      <c r="R1322" s="898"/>
      <c r="S1322" s="898"/>
      <c r="T1322" s="898"/>
      <c r="U1322" s="898"/>
      <c r="V1322" s="898"/>
      <c r="W1322" s="898"/>
      <c r="X1322" s="898"/>
      <c r="Y1322" s="898"/>
      <c r="Z1322" s="898"/>
      <c r="AA1322" s="898"/>
      <c r="AB1322" s="898"/>
      <c r="AC1322" s="898"/>
      <c r="AD1322" s="898"/>
      <c r="AE1322" s="898"/>
      <c r="AF1322" s="898"/>
      <c r="AG1322" s="898"/>
      <c r="AH1322" s="898"/>
      <c r="AI1322" s="898"/>
      <c r="AJ1322" s="898"/>
      <c r="AK1322" s="898"/>
      <c r="AL1322" s="898"/>
      <c r="AM1322" s="897"/>
      <c r="AN1322" s="897"/>
      <c r="AO1322" s="897"/>
      <c r="AP1322" s="897"/>
      <c r="AQ1322" s="897"/>
      <c r="AR1322" s="897"/>
      <c r="AS1322" s="897"/>
      <c r="AT1322" s="897"/>
    </row>
    <row r="1323" spans="1:46" s="930" customFormat="1">
      <c r="A1323" s="892"/>
      <c r="B1323" s="899"/>
      <c r="C1323" s="900"/>
      <c r="D1323" s="894"/>
      <c r="E1323" s="936"/>
      <c r="F1323" s="905"/>
      <c r="G1323" s="896"/>
      <c r="H1323" s="897"/>
      <c r="I1323" s="897"/>
      <c r="J1323" s="897"/>
      <c r="K1323" s="897"/>
      <c r="L1323" s="898"/>
      <c r="M1323" s="898"/>
      <c r="N1323" s="898"/>
      <c r="O1323" s="898"/>
      <c r="P1323" s="898"/>
      <c r="Q1323" s="898"/>
      <c r="R1323" s="898"/>
      <c r="S1323" s="898"/>
      <c r="T1323" s="898"/>
      <c r="U1323" s="898"/>
      <c r="V1323" s="898"/>
      <c r="W1323" s="898"/>
      <c r="X1323" s="898"/>
      <c r="Y1323" s="898"/>
      <c r="Z1323" s="898"/>
      <c r="AA1323" s="898"/>
      <c r="AB1323" s="898"/>
      <c r="AC1323" s="898"/>
      <c r="AD1323" s="898"/>
      <c r="AE1323" s="898"/>
      <c r="AF1323" s="898"/>
      <c r="AG1323" s="898"/>
      <c r="AH1323" s="898"/>
      <c r="AI1323" s="898"/>
      <c r="AJ1323" s="898"/>
      <c r="AK1323" s="898"/>
      <c r="AL1323" s="898"/>
      <c r="AM1323" s="897"/>
      <c r="AN1323" s="897"/>
      <c r="AO1323" s="897"/>
      <c r="AP1323" s="897"/>
      <c r="AQ1323" s="897"/>
      <c r="AR1323" s="897"/>
      <c r="AS1323" s="897"/>
      <c r="AT1323" s="897"/>
    </row>
    <row r="1324" spans="1:46" s="930" customFormat="1">
      <c r="A1324" s="892"/>
      <c r="B1324" s="899"/>
      <c r="C1324" s="900"/>
      <c r="D1324" s="894"/>
      <c r="E1324" s="936"/>
      <c r="F1324" s="905"/>
      <c r="G1324" s="896"/>
      <c r="H1324" s="897"/>
      <c r="I1324" s="897"/>
      <c r="J1324" s="897"/>
      <c r="K1324" s="897"/>
      <c r="L1324" s="898"/>
      <c r="M1324" s="898"/>
      <c r="N1324" s="898"/>
      <c r="O1324" s="898"/>
      <c r="P1324" s="898"/>
      <c r="Q1324" s="898"/>
      <c r="R1324" s="898"/>
      <c r="S1324" s="898"/>
      <c r="T1324" s="898"/>
      <c r="U1324" s="898"/>
      <c r="V1324" s="898"/>
      <c r="W1324" s="898"/>
      <c r="X1324" s="898"/>
      <c r="Y1324" s="898"/>
      <c r="Z1324" s="898"/>
      <c r="AA1324" s="898"/>
      <c r="AB1324" s="898"/>
      <c r="AC1324" s="898"/>
      <c r="AD1324" s="898"/>
      <c r="AE1324" s="898"/>
      <c r="AF1324" s="898"/>
      <c r="AG1324" s="898"/>
      <c r="AH1324" s="898"/>
      <c r="AI1324" s="898"/>
      <c r="AJ1324" s="898"/>
      <c r="AK1324" s="898"/>
      <c r="AL1324" s="898"/>
      <c r="AM1324" s="897"/>
      <c r="AN1324" s="897"/>
      <c r="AO1324" s="897"/>
      <c r="AP1324" s="897"/>
      <c r="AQ1324" s="897"/>
      <c r="AR1324" s="897"/>
      <c r="AS1324" s="897"/>
      <c r="AT1324" s="897"/>
    </row>
    <row r="1325" spans="1:46" s="930" customFormat="1">
      <c r="A1325" s="892"/>
      <c r="B1325" s="899"/>
      <c r="C1325" s="900"/>
      <c r="D1325" s="894"/>
      <c r="E1325" s="936"/>
      <c r="F1325" s="905"/>
      <c r="G1325" s="896"/>
      <c r="H1325" s="897"/>
      <c r="I1325" s="897"/>
      <c r="J1325" s="897"/>
      <c r="K1325" s="897"/>
      <c r="L1325" s="898"/>
      <c r="M1325" s="898"/>
      <c r="N1325" s="898"/>
      <c r="O1325" s="898"/>
      <c r="P1325" s="898"/>
      <c r="Q1325" s="898"/>
      <c r="R1325" s="898"/>
      <c r="S1325" s="898"/>
      <c r="T1325" s="898"/>
      <c r="U1325" s="898"/>
      <c r="V1325" s="898"/>
      <c r="W1325" s="898"/>
      <c r="X1325" s="898"/>
      <c r="Y1325" s="898"/>
      <c r="Z1325" s="898"/>
      <c r="AA1325" s="898"/>
      <c r="AB1325" s="898"/>
      <c r="AC1325" s="898"/>
      <c r="AD1325" s="898"/>
      <c r="AE1325" s="898"/>
      <c r="AF1325" s="898"/>
      <c r="AG1325" s="898"/>
      <c r="AH1325" s="898"/>
      <c r="AI1325" s="898"/>
      <c r="AJ1325" s="898"/>
      <c r="AK1325" s="898"/>
      <c r="AL1325" s="898"/>
      <c r="AM1325" s="897"/>
      <c r="AN1325" s="897"/>
      <c r="AO1325" s="897"/>
      <c r="AP1325" s="897"/>
      <c r="AQ1325" s="897"/>
      <c r="AR1325" s="897"/>
      <c r="AS1325" s="897"/>
      <c r="AT1325" s="897"/>
    </row>
    <row r="1326" spans="1:46" s="930" customFormat="1">
      <c r="A1326" s="892"/>
      <c r="B1326" s="899"/>
      <c r="C1326" s="900"/>
      <c r="D1326" s="894"/>
      <c r="E1326" s="936"/>
      <c r="F1326" s="905"/>
      <c r="G1326" s="896"/>
      <c r="H1326" s="897"/>
      <c r="I1326" s="897"/>
      <c r="J1326" s="897"/>
      <c r="K1326" s="897"/>
      <c r="L1326" s="898"/>
      <c r="M1326" s="898"/>
      <c r="N1326" s="898"/>
      <c r="O1326" s="898"/>
      <c r="P1326" s="898"/>
      <c r="Q1326" s="898"/>
      <c r="R1326" s="898"/>
      <c r="S1326" s="898"/>
      <c r="T1326" s="898"/>
      <c r="U1326" s="898"/>
      <c r="V1326" s="898"/>
      <c r="W1326" s="898"/>
      <c r="X1326" s="898"/>
      <c r="Y1326" s="898"/>
      <c r="Z1326" s="898"/>
      <c r="AA1326" s="898"/>
      <c r="AB1326" s="898"/>
      <c r="AC1326" s="898"/>
      <c r="AD1326" s="898"/>
      <c r="AE1326" s="898"/>
      <c r="AF1326" s="898"/>
      <c r="AG1326" s="898"/>
      <c r="AH1326" s="898"/>
      <c r="AI1326" s="898"/>
      <c r="AJ1326" s="898"/>
      <c r="AK1326" s="898"/>
      <c r="AL1326" s="898"/>
      <c r="AM1326" s="897"/>
      <c r="AN1326" s="897"/>
      <c r="AO1326" s="897"/>
      <c r="AP1326" s="897"/>
      <c r="AQ1326" s="897"/>
      <c r="AR1326" s="897"/>
      <c r="AS1326" s="897"/>
      <c r="AT1326" s="897"/>
    </row>
    <row r="1327" spans="1:46" s="930" customFormat="1">
      <c r="A1327" s="892"/>
      <c r="B1327" s="899"/>
      <c r="C1327" s="900"/>
      <c r="D1327" s="894"/>
      <c r="E1327" s="936"/>
      <c r="F1327" s="905"/>
      <c r="G1327" s="896"/>
      <c r="H1327" s="897"/>
      <c r="I1327" s="897"/>
      <c r="J1327" s="897"/>
      <c r="K1327" s="897"/>
      <c r="L1327" s="898"/>
      <c r="M1327" s="898"/>
      <c r="N1327" s="898"/>
      <c r="O1327" s="898"/>
      <c r="P1327" s="898"/>
      <c r="Q1327" s="898"/>
      <c r="R1327" s="898"/>
      <c r="S1327" s="898"/>
      <c r="T1327" s="898"/>
      <c r="U1327" s="898"/>
      <c r="V1327" s="898"/>
      <c r="W1327" s="898"/>
      <c r="X1327" s="898"/>
      <c r="Y1327" s="898"/>
      <c r="Z1327" s="898"/>
      <c r="AA1327" s="898"/>
      <c r="AB1327" s="898"/>
      <c r="AC1327" s="898"/>
      <c r="AD1327" s="898"/>
      <c r="AE1327" s="898"/>
      <c r="AF1327" s="898"/>
      <c r="AG1327" s="898"/>
      <c r="AH1327" s="898"/>
      <c r="AI1327" s="898"/>
      <c r="AJ1327" s="898"/>
      <c r="AK1327" s="898"/>
      <c r="AL1327" s="898"/>
      <c r="AM1327" s="897"/>
      <c r="AN1327" s="897"/>
      <c r="AO1327" s="897"/>
      <c r="AP1327" s="897"/>
      <c r="AQ1327" s="897"/>
      <c r="AR1327" s="897"/>
      <c r="AS1327" s="897"/>
      <c r="AT1327" s="897"/>
    </row>
    <row r="1328" spans="1:46" s="930" customFormat="1">
      <c r="A1328" s="892"/>
      <c r="B1328" s="899"/>
      <c r="C1328" s="900"/>
      <c r="D1328" s="894"/>
      <c r="E1328" s="936"/>
      <c r="F1328" s="905"/>
      <c r="G1328" s="896"/>
      <c r="H1328" s="897"/>
      <c r="I1328" s="897"/>
      <c r="J1328" s="897"/>
      <c r="K1328" s="897"/>
      <c r="L1328" s="898"/>
      <c r="M1328" s="898"/>
      <c r="N1328" s="898"/>
      <c r="O1328" s="898"/>
      <c r="P1328" s="898"/>
      <c r="Q1328" s="898"/>
      <c r="R1328" s="898"/>
      <c r="S1328" s="898"/>
      <c r="T1328" s="898"/>
      <c r="U1328" s="898"/>
      <c r="V1328" s="898"/>
      <c r="W1328" s="898"/>
      <c r="X1328" s="898"/>
      <c r="Y1328" s="898"/>
      <c r="Z1328" s="898"/>
      <c r="AA1328" s="898"/>
      <c r="AB1328" s="898"/>
      <c r="AC1328" s="898"/>
      <c r="AD1328" s="898"/>
      <c r="AE1328" s="898"/>
      <c r="AF1328" s="898"/>
      <c r="AG1328" s="898"/>
      <c r="AH1328" s="898"/>
      <c r="AI1328" s="898"/>
      <c r="AJ1328" s="898"/>
      <c r="AK1328" s="898"/>
      <c r="AL1328" s="898"/>
      <c r="AM1328" s="897"/>
      <c r="AN1328" s="897"/>
      <c r="AO1328" s="897"/>
      <c r="AP1328" s="897"/>
      <c r="AQ1328" s="897"/>
      <c r="AR1328" s="897"/>
      <c r="AS1328" s="897"/>
      <c r="AT1328" s="897"/>
    </row>
    <row r="1329" spans="1:46" s="930" customFormat="1">
      <c r="A1329" s="892"/>
      <c r="B1329" s="899"/>
      <c r="C1329" s="900"/>
      <c r="D1329" s="894"/>
      <c r="E1329" s="936"/>
      <c r="F1329" s="905"/>
      <c r="G1329" s="896"/>
      <c r="H1329" s="897"/>
      <c r="I1329" s="897"/>
      <c r="J1329" s="897"/>
      <c r="K1329" s="897"/>
      <c r="L1329" s="898"/>
      <c r="M1329" s="898"/>
      <c r="N1329" s="898"/>
      <c r="O1329" s="898"/>
      <c r="P1329" s="898"/>
      <c r="Q1329" s="898"/>
      <c r="R1329" s="898"/>
      <c r="S1329" s="898"/>
      <c r="T1329" s="898"/>
      <c r="U1329" s="898"/>
      <c r="V1329" s="898"/>
      <c r="W1329" s="898"/>
      <c r="X1329" s="898"/>
      <c r="Y1329" s="898"/>
      <c r="Z1329" s="898"/>
      <c r="AA1329" s="898"/>
      <c r="AB1329" s="898"/>
      <c r="AC1329" s="898"/>
      <c r="AD1329" s="898"/>
      <c r="AE1329" s="898"/>
      <c r="AF1329" s="898"/>
      <c r="AG1329" s="898"/>
      <c r="AH1329" s="898"/>
      <c r="AI1329" s="898"/>
      <c r="AJ1329" s="898"/>
      <c r="AK1329" s="898"/>
      <c r="AL1329" s="898"/>
      <c r="AM1329" s="897"/>
      <c r="AN1329" s="897"/>
      <c r="AO1329" s="897"/>
      <c r="AP1329" s="897"/>
      <c r="AQ1329" s="897"/>
      <c r="AR1329" s="897"/>
      <c r="AS1329" s="897"/>
      <c r="AT1329" s="897"/>
    </row>
    <row r="1330" spans="1:46" s="930" customFormat="1">
      <c r="A1330" s="892"/>
      <c r="B1330" s="899"/>
      <c r="C1330" s="900"/>
      <c r="D1330" s="894"/>
      <c r="E1330" s="936"/>
      <c r="F1330" s="905"/>
      <c r="G1330" s="896"/>
      <c r="H1330" s="897"/>
      <c r="I1330" s="897"/>
      <c r="J1330" s="897"/>
      <c r="K1330" s="897"/>
      <c r="L1330" s="898"/>
      <c r="M1330" s="898"/>
      <c r="N1330" s="898"/>
      <c r="O1330" s="898"/>
      <c r="P1330" s="898"/>
      <c r="Q1330" s="898"/>
      <c r="R1330" s="898"/>
      <c r="S1330" s="898"/>
      <c r="T1330" s="898"/>
      <c r="U1330" s="898"/>
      <c r="V1330" s="898"/>
      <c r="W1330" s="898"/>
      <c r="X1330" s="898"/>
      <c r="Y1330" s="898"/>
      <c r="Z1330" s="898"/>
      <c r="AA1330" s="898"/>
      <c r="AB1330" s="898"/>
      <c r="AC1330" s="898"/>
      <c r="AD1330" s="898"/>
      <c r="AE1330" s="898"/>
      <c r="AF1330" s="898"/>
      <c r="AG1330" s="898"/>
      <c r="AH1330" s="898"/>
      <c r="AI1330" s="898"/>
      <c r="AJ1330" s="898"/>
      <c r="AK1330" s="898"/>
      <c r="AL1330" s="898"/>
      <c r="AM1330" s="897"/>
      <c r="AN1330" s="897"/>
      <c r="AO1330" s="897"/>
      <c r="AP1330" s="897"/>
      <c r="AQ1330" s="897"/>
      <c r="AR1330" s="897"/>
      <c r="AS1330" s="897"/>
      <c r="AT1330" s="897"/>
    </row>
    <row r="1331" spans="1:46" s="930" customFormat="1">
      <c r="A1331" s="892"/>
      <c r="B1331" s="899"/>
      <c r="C1331" s="900"/>
      <c r="D1331" s="894"/>
      <c r="E1331" s="936"/>
      <c r="F1331" s="905"/>
      <c r="G1331" s="896"/>
      <c r="H1331" s="897"/>
      <c r="I1331" s="897"/>
      <c r="J1331" s="897"/>
      <c r="K1331" s="897"/>
      <c r="L1331" s="898"/>
      <c r="M1331" s="898"/>
      <c r="N1331" s="898"/>
      <c r="O1331" s="898"/>
      <c r="P1331" s="898"/>
      <c r="Q1331" s="898"/>
      <c r="R1331" s="898"/>
      <c r="S1331" s="898"/>
      <c r="T1331" s="898"/>
      <c r="U1331" s="898"/>
      <c r="V1331" s="898"/>
      <c r="W1331" s="898"/>
      <c r="X1331" s="898"/>
      <c r="Y1331" s="898"/>
      <c r="Z1331" s="898"/>
      <c r="AA1331" s="898"/>
      <c r="AB1331" s="898"/>
      <c r="AC1331" s="898"/>
      <c r="AD1331" s="898"/>
      <c r="AE1331" s="898"/>
      <c r="AF1331" s="898"/>
      <c r="AG1331" s="898"/>
      <c r="AH1331" s="898"/>
      <c r="AI1331" s="898"/>
      <c r="AJ1331" s="898"/>
      <c r="AK1331" s="898"/>
      <c r="AL1331" s="898"/>
      <c r="AM1331" s="897"/>
      <c r="AN1331" s="897"/>
      <c r="AO1331" s="897"/>
      <c r="AP1331" s="897"/>
      <c r="AQ1331" s="897"/>
      <c r="AR1331" s="897"/>
      <c r="AS1331" s="897"/>
      <c r="AT1331" s="897"/>
    </row>
    <row r="1332" spans="1:46" s="930" customFormat="1">
      <c r="A1332" s="892"/>
      <c r="B1332" s="899"/>
      <c r="C1332" s="900"/>
      <c r="D1332" s="894"/>
      <c r="E1332" s="936"/>
      <c r="F1332" s="905"/>
      <c r="G1332" s="896"/>
      <c r="H1332" s="897"/>
      <c r="I1332" s="897"/>
      <c r="J1332" s="897"/>
      <c r="K1332" s="897"/>
      <c r="L1332" s="898"/>
      <c r="M1332" s="898"/>
      <c r="N1332" s="898"/>
      <c r="O1332" s="898"/>
      <c r="P1332" s="898"/>
      <c r="Q1332" s="898"/>
      <c r="R1332" s="898"/>
      <c r="S1332" s="898"/>
      <c r="T1332" s="898"/>
      <c r="U1332" s="898"/>
      <c r="V1332" s="898"/>
      <c r="W1332" s="898"/>
      <c r="X1332" s="898"/>
      <c r="Y1332" s="898"/>
      <c r="Z1332" s="898"/>
      <c r="AA1332" s="898"/>
      <c r="AB1332" s="898"/>
      <c r="AC1332" s="898"/>
      <c r="AD1332" s="898"/>
      <c r="AE1332" s="898"/>
      <c r="AF1332" s="898"/>
      <c r="AG1332" s="898"/>
      <c r="AH1332" s="898"/>
      <c r="AI1332" s="898"/>
      <c r="AJ1332" s="898"/>
      <c r="AK1332" s="898"/>
      <c r="AL1332" s="898"/>
      <c r="AM1332" s="897"/>
      <c r="AN1332" s="897"/>
      <c r="AO1332" s="897"/>
      <c r="AP1332" s="897"/>
      <c r="AQ1332" s="897"/>
      <c r="AR1332" s="897"/>
      <c r="AS1332" s="897"/>
      <c r="AT1332" s="897"/>
    </row>
    <row r="1333" spans="1:46" s="930" customFormat="1">
      <c r="A1333" s="892"/>
      <c r="B1333" s="899"/>
      <c r="C1333" s="900"/>
      <c r="D1333" s="894"/>
      <c r="E1333" s="936"/>
      <c r="F1333" s="905"/>
      <c r="G1333" s="896"/>
      <c r="H1333" s="897"/>
      <c r="I1333" s="897"/>
      <c r="J1333" s="897"/>
      <c r="K1333" s="897"/>
      <c r="L1333" s="898"/>
      <c r="M1333" s="898"/>
      <c r="N1333" s="898"/>
      <c r="O1333" s="898"/>
      <c r="P1333" s="898"/>
      <c r="Q1333" s="898"/>
      <c r="R1333" s="898"/>
      <c r="S1333" s="898"/>
      <c r="T1333" s="898"/>
      <c r="U1333" s="898"/>
      <c r="V1333" s="898"/>
      <c r="W1333" s="898"/>
      <c r="X1333" s="898"/>
      <c r="Y1333" s="898"/>
      <c r="Z1333" s="898"/>
      <c r="AA1333" s="898"/>
      <c r="AB1333" s="898"/>
      <c r="AC1333" s="898"/>
      <c r="AD1333" s="898"/>
      <c r="AE1333" s="898"/>
      <c r="AF1333" s="898"/>
      <c r="AG1333" s="898"/>
      <c r="AH1333" s="898"/>
      <c r="AI1333" s="898"/>
      <c r="AJ1333" s="898"/>
      <c r="AK1333" s="898"/>
      <c r="AL1333" s="898"/>
      <c r="AM1333" s="897"/>
      <c r="AN1333" s="897"/>
      <c r="AO1333" s="897"/>
      <c r="AP1333" s="897"/>
      <c r="AQ1333" s="897"/>
      <c r="AR1333" s="897"/>
      <c r="AS1333" s="897"/>
      <c r="AT1333" s="897"/>
    </row>
    <row r="1334" spans="1:46" s="930" customFormat="1">
      <c r="A1334" s="892"/>
      <c r="B1334" s="899"/>
      <c r="C1334" s="900"/>
      <c r="D1334" s="894"/>
      <c r="E1334" s="936"/>
      <c r="F1334" s="905"/>
      <c r="G1334" s="896"/>
      <c r="H1334" s="897"/>
      <c r="I1334" s="897"/>
      <c r="J1334" s="897"/>
      <c r="K1334" s="897"/>
      <c r="L1334" s="898"/>
      <c r="M1334" s="898"/>
      <c r="N1334" s="898"/>
      <c r="O1334" s="898"/>
      <c r="P1334" s="898"/>
      <c r="Q1334" s="898"/>
      <c r="R1334" s="898"/>
      <c r="S1334" s="898"/>
      <c r="T1334" s="898"/>
      <c r="U1334" s="898"/>
      <c r="V1334" s="898"/>
      <c r="W1334" s="898"/>
      <c r="X1334" s="898"/>
      <c r="Y1334" s="898"/>
      <c r="Z1334" s="898"/>
      <c r="AA1334" s="898"/>
      <c r="AB1334" s="898"/>
      <c r="AC1334" s="898"/>
      <c r="AD1334" s="898"/>
      <c r="AE1334" s="898"/>
      <c r="AF1334" s="898"/>
      <c r="AG1334" s="898"/>
      <c r="AH1334" s="898"/>
      <c r="AI1334" s="898"/>
      <c r="AJ1334" s="898"/>
      <c r="AK1334" s="898"/>
      <c r="AL1334" s="898"/>
      <c r="AM1334" s="897"/>
      <c r="AN1334" s="897"/>
      <c r="AO1334" s="897"/>
      <c r="AP1334" s="897"/>
      <c r="AQ1334" s="897"/>
      <c r="AR1334" s="897"/>
      <c r="AS1334" s="897"/>
      <c r="AT1334" s="897"/>
    </row>
    <row r="1335" spans="1:46" s="930" customFormat="1">
      <c r="A1335" s="892"/>
      <c r="B1335" s="899"/>
      <c r="C1335" s="900"/>
      <c r="D1335" s="894"/>
      <c r="E1335" s="936"/>
      <c r="F1335" s="905"/>
      <c r="G1335" s="896"/>
      <c r="H1335" s="897"/>
      <c r="I1335" s="897"/>
      <c r="J1335" s="897"/>
      <c r="K1335" s="897"/>
      <c r="L1335" s="898"/>
      <c r="M1335" s="898"/>
      <c r="N1335" s="898"/>
      <c r="O1335" s="898"/>
      <c r="P1335" s="898"/>
      <c r="Q1335" s="898"/>
      <c r="R1335" s="898"/>
      <c r="S1335" s="898"/>
      <c r="T1335" s="898"/>
      <c r="U1335" s="898"/>
      <c r="V1335" s="898"/>
      <c r="W1335" s="898"/>
      <c r="X1335" s="898"/>
      <c r="Y1335" s="898"/>
      <c r="Z1335" s="898"/>
      <c r="AA1335" s="898"/>
      <c r="AB1335" s="898"/>
      <c r="AC1335" s="898"/>
      <c r="AD1335" s="898"/>
      <c r="AE1335" s="898"/>
      <c r="AF1335" s="898"/>
      <c r="AG1335" s="898"/>
      <c r="AH1335" s="898"/>
      <c r="AI1335" s="898"/>
      <c r="AJ1335" s="898"/>
      <c r="AK1335" s="898"/>
      <c r="AL1335" s="898"/>
      <c r="AM1335" s="897"/>
      <c r="AN1335" s="897"/>
      <c r="AO1335" s="897"/>
      <c r="AP1335" s="897"/>
      <c r="AQ1335" s="897"/>
      <c r="AR1335" s="897"/>
      <c r="AS1335" s="897"/>
      <c r="AT1335" s="897"/>
    </row>
    <row r="1336" spans="1:46" s="930" customFormat="1">
      <c r="A1336" s="892"/>
      <c r="B1336" s="899"/>
      <c r="C1336" s="900"/>
      <c r="D1336" s="894"/>
      <c r="E1336" s="936"/>
      <c r="F1336" s="905"/>
      <c r="G1336" s="896"/>
      <c r="H1336" s="897"/>
      <c r="I1336" s="897"/>
      <c r="J1336" s="897"/>
      <c r="K1336" s="897"/>
      <c r="L1336" s="898"/>
      <c r="M1336" s="898"/>
      <c r="N1336" s="898"/>
      <c r="O1336" s="898"/>
      <c r="P1336" s="898"/>
      <c r="Q1336" s="898"/>
      <c r="R1336" s="898"/>
      <c r="S1336" s="898"/>
      <c r="T1336" s="898"/>
      <c r="U1336" s="898"/>
      <c r="V1336" s="898"/>
      <c r="W1336" s="898"/>
      <c r="X1336" s="898"/>
      <c r="Y1336" s="898"/>
      <c r="Z1336" s="898"/>
      <c r="AA1336" s="898"/>
      <c r="AB1336" s="898"/>
      <c r="AC1336" s="898"/>
      <c r="AD1336" s="898"/>
      <c r="AE1336" s="898"/>
      <c r="AF1336" s="898"/>
      <c r="AG1336" s="898"/>
      <c r="AH1336" s="898"/>
      <c r="AI1336" s="898"/>
      <c r="AJ1336" s="898"/>
      <c r="AK1336" s="898"/>
      <c r="AL1336" s="898"/>
      <c r="AM1336" s="897"/>
      <c r="AN1336" s="897"/>
      <c r="AO1336" s="897"/>
      <c r="AP1336" s="897"/>
      <c r="AQ1336" s="897"/>
      <c r="AR1336" s="897"/>
      <c r="AS1336" s="897"/>
      <c r="AT1336" s="897"/>
    </row>
    <row r="1337" spans="1:46" s="930" customFormat="1">
      <c r="A1337" s="892"/>
      <c r="B1337" s="899"/>
      <c r="C1337" s="900"/>
      <c r="D1337" s="894"/>
      <c r="E1337" s="936"/>
      <c r="F1337" s="905"/>
      <c r="G1337" s="896"/>
      <c r="H1337" s="897"/>
      <c r="I1337" s="897"/>
      <c r="J1337" s="897"/>
      <c r="K1337" s="897"/>
      <c r="L1337" s="898"/>
      <c r="M1337" s="898"/>
      <c r="N1337" s="898"/>
      <c r="O1337" s="898"/>
      <c r="P1337" s="898"/>
      <c r="Q1337" s="898"/>
      <c r="R1337" s="898"/>
      <c r="S1337" s="898"/>
      <c r="T1337" s="898"/>
      <c r="U1337" s="898"/>
      <c r="V1337" s="898"/>
      <c r="W1337" s="898"/>
      <c r="X1337" s="898"/>
      <c r="Y1337" s="898"/>
      <c r="Z1337" s="898"/>
      <c r="AA1337" s="898"/>
      <c r="AB1337" s="898"/>
      <c r="AC1337" s="898"/>
      <c r="AD1337" s="898"/>
      <c r="AE1337" s="898"/>
      <c r="AF1337" s="898"/>
      <c r="AG1337" s="898"/>
      <c r="AH1337" s="898"/>
      <c r="AI1337" s="898"/>
      <c r="AJ1337" s="898"/>
      <c r="AK1337" s="898"/>
      <c r="AL1337" s="898"/>
      <c r="AM1337" s="897"/>
      <c r="AN1337" s="897"/>
      <c r="AO1337" s="897"/>
      <c r="AP1337" s="897"/>
      <c r="AQ1337" s="897"/>
      <c r="AR1337" s="897"/>
      <c r="AS1337" s="897"/>
      <c r="AT1337" s="897"/>
    </row>
    <row r="1338" spans="1:46" s="930" customFormat="1">
      <c r="A1338" s="892"/>
      <c r="B1338" s="899"/>
      <c r="C1338" s="900"/>
      <c r="D1338" s="894"/>
      <c r="E1338" s="936"/>
      <c r="F1338" s="905"/>
      <c r="G1338" s="896"/>
      <c r="H1338" s="897"/>
      <c r="I1338" s="897"/>
      <c r="J1338" s="897"/>
      <c r="K1338" s="897"/>
      <c r="L1338" s="898"/>
      <c r="M1338" s="898"/>
      <c r="N1338" s="898"/>
      <c r="O1338" s="898"/>
      <c r="P1338" s="898"/>
      <c r="Q1338" s="898"/>
      <c r="R1338" s="898"/>
      <c r="S1338" s="898"/>
      <c r="T1338" s="898"/>
      <c r="U1338" s="898"/>
      <c r="V1338" s="898"/>
      <c r="W1338" s="898"/>
      <c r="X1338" s="898"/>
      <c r="Y1338" s="898"/>
      <c r="Z1338" s="898"/>
      <c r="AA1338" s="898"/>
      <c r="AB1338" s="898"/>
      <c r="AC1338" s="898"/>
      <c r="AD1338" s="898"/>
      <c r="AE1338" s="898"/>
      <c r="AF1338" s="898"/>
      <c r="AG1338" s="898"/>
      <c r="AH1338" s="898"/>
      <c r="AI1338" s="898"/>
      <c r="AJ1338" s="898"/>
      <c r="AK1338" s="898"/>
      <c r="AL1338" s="898"/>
      <c r="AM1338" s="897"/>
      <c r="AN1338" s="897"/>
      <c r="AO1338" s="897"/>
      <c r="AP1338" s="897"/>
      <c r="AQ1338" s="897"/>
      <c r="AR1338" s="897"/>
      <c r="AS1338" s="897"/>
      <c r="AT1338" s="897"/>
    </row>
    <row r="1339" spans="1:46" s="930" customFormat="1">
      <c r="A1339" s="892"/>
      <c r="B1339" s="899"/>
      <c r="C1339" s="900"/>
      <c r="D1339" s="894"/>
      <c r="E1339" s="936"/>
      <c r="F1339" s="905"/>
      <c r="G1339" s="896"/>
      <c r="H1339" s="897"/>
      <c r="I1339" s="897"/>
      <c r="J1339" s="897"/>
      <c r="K1339" s="897"/>
      <c r="L1339" s="898"/>
      <c r="M1339" s="898"/>
      <c r="N1339" s="898"/>
      <c r="O1339" s="898"/>
      <c r="P1339" s="898"/>
      <c r="Q1339" s="898"/>
      <c r="R1339" s="898"/>
      <c r="S1339" s="898"/>
      <c r="T1339" s="898"/>
      <c r="U1339" s="898"/>
      <c r="V1339" s="898"/>
      <c r="W1339" s="898"/>
      <c r="X1339" s="898"/>
      <c r="Y1339" s="898"/>
      <c r="Z1339" s="898"/>
      <c r="AA1339" s="898"/>
      <c r="AB1339" s="898"/>
      <c r="AC1339" s="898"/>
      <c r="AD1339" s="898"/>
      <c r="AE1339" s="898"/>
      <c r="AF1339" s="898"/>
      <c r="AG1339" s="898"/>
      <c r="AH1339" s="898"/>
      <c r="AI1339" s="898"/>
      <c r="AJ1339" s="898"/>
      <c r="AK1339" s="898"/>
      <c r="AL1339" s="898"/>
      <c r="AM1339" s="897"/>
      <c r="AN1339" s="897"/>
      <c r="AO1339" s="897"/>
      <c r="AP1339" s="897"/>
      <c r="AQ1339" s="897"/>
      <c r="AR1339" s="897"/>
      <c r="AS1339" s="897"/>
      <c r="AT1339" s="897"/>
    </row>
    <row r="1340" spans="1:46" s="930" customFormat="1">
      <c r="A1340" s="892"/>
      <c r="B1340" s="899"/>
      <c r="C1340" s="900"/>
      <c r="D1340" s="894"/>
      <c r="E1340" s="936"/>
      <c r="F1340" s="905"/>
      <c r="G1340" s="896"/>
      <c r="H1340" s="897"/>
      <c r="I1340" s="897"/>
      <c r="J1340" s="897"/>
      <c r="K1340" s="897"/>
      <c r="L1340" s="898"/>
      <c r="M1340" s="898"/>
      <c r="N1340" s="898"/>
      <c r="O1340" s="898"/>
      <c r="P1340" s="898"/>
      <c r="Q1340" s="898"/>
      <c r="R1340" s="898"/>
      <c r="S1340" s="898"/>
      <c r="T1340" s="898"/>
      <c r="U1340" s="898"/>
      <c r="V1340" s="898"/>
      <c r="W1340" s="898"/>
      <c r="X1340" s="898"/>
      <c r="Y1340" s="898"/>
      <c r="Z1340" s="898"/>
      <c r="AA1340" s="898"/>
      <c r="AB1340" s="898"/>
      <c r="AC1340" s="898"/>
      <c r="AD1340" s="898"/>
      <c r="AE1340" s="898"/>
      <c r="AF1340" s="898"/>
      <c r="AG1340" s="898"/>
      <c r="AH1340" s="898"/>
      <c r="AI1340" s="898"/>
      <c r="AJ1340" s="898"/>
      <c r="AK1340" s="898"/>
      <c r="AL1340" s="898"/>
      <c r="AM1340" s="897"/>
      <c r="AN1340" s="897"/>
      <c r="AO1340" s="897"/>
      <c r="AP1340" s="897"/>
      <c r="AQ1340" s="897"/>
      <c r="AR1340" s="897"/>
      <c r="AS1340" s="897"/>
      <c r="AT1340" s="897"/>
    </row>
    <row r="1341" spans="1:46" s="930" customFormat="1">
      <c r="A1341" s="892"/>
      <c r="B1341" s="899"/>
      <c r="C1341" s="900"/>
      <c r="D1341" s="894"/>
      <c r="E1341" s="936"/>
      <c r="F1341" s="905"/>
      <c r="G1341" s="896"/>
      <c r="H1341" s="897"/>
      <c r="I1341" s="897"/>
      <c r="J1341" s="897"/>
      <c r="K1341" s="897"/>
      <c r="L1341" s="898"/>
      <c r="M1341" s="898"/>
      <c r="N1341" s="898"/>
      <c r="O1341" s="898"/>
      <c r="P1341" s="898"/>
      <c r="Q1341" s="898"/>
      <c r="R1341" s="898"/>
      <c r="S1341" s="898"/>
      <c r="T1341" s="898"/>
      <c r="U1341" s="898"/>
      <c r="V1341" s="898"/>
      <c r="W1341" s="898"/>
      <c r="X1341" s="898"/>
      <c r="Y1341" s="898"/>
      <c r="Z1341" s="898"/>
      <c r="AA1341" s="898"/>
      <c r="AB1341" s="898"/>
      <c r="AC1341" s="898"/>
      <c r="AD1341" s="898"/>
      <c r="AE1341" s="898"/>
      <c r="AF1341" s="898"/>
      <c r="AG1341" s="898"/>
      <c r="AH1341" s="898"/>
      <c r="AI1341" s="898"/>
      <c r="AJ1341" s="898"/>
      <c r="AK1341" s="898"/>
      <c r="AL1341" s="898"/>
      <c r="AM1341" s="897"/>
      <c r="AN1341" s="897"/>
      <c r="AO1341" s="897"/>
      <c r="AP1341" s="897"/>
      <c r="AQ1341" s="897"/>
      <c r="AR1341" s="897"/>
      <c r="AS1341" s="897"/>
      <c r="AT1341" s="897"/>
    </row>
    <row r="1342" spans="1:46" s="930" customFormat="1">
      <c r="A1342" s="892"/>
      <c r="B1342" s="899"/>
      <c r="C1342" s="900"/>
      <c r="D1342" s="894"/>
      <c r="E1342" s="936"/>
      <c r="F1342" s="905"/>
      <c r="G1342" s="896"/>
      <c r="H1342" s="897"/>
      <c r="I1342" s="897"/>
      <c r="J1342" s="897"/>
      <c r="K1342" s="897"/>
      <c r="L1342" s="898"/>
      <c r="M1342" s="898"/>
      <c r="N1342" s="898"/>
      <c r="O1342" s="898"/>
      <c r="P1342" s="898"/>
      <c r="Q1342" s="898"/>
      <c r="R1342" s="898"/>
      <c r="S1342" s="898"/>
      <c r="T1342" s="898"/>
      <c r="U1342" s="898"/>
      <c r="V1342" s="898"/>
      <c r="W1342" s="898"/>
      <c r="X1342" s="898"/>
      <c r="Y1342" s="898"/>
      <c r="Z1342" s="898"/>
      <c r="AA1342" s="898"/>
      <c r="AB1342" s="898"/>
      <c r="AC1342" s="898"/>
      <c r="AD1342" s="898"/>
      <c r="AE1342" s="898"/>
      <c r="AF1342" s="898"/>
      <c r="AG1342" s="898"/>
      <c r="AH1342" s="898"/>
      <c r="AI1342" s="898"/>
      <c r="AJ1342" s="898"/>
      <c r="AK1342" s="898"/>
      <c r="AL1342" s="898"/>
      <c r="AM1342" s="897"/>
      <c r="AN1342" s="897"/>
      <c r="AO1342" s="897"/>
      <c r="AP1342" s="897"/>
      <c r="AQ1342" s="897"/>
      <c r="AR1342" s="897"/>
      <c r="AS1342" s="897"/>
      <c r="AT1342" s="897"/>
    </row>
    <row r="1343" spans="1:46" s="930" customFormat="1">
      <c r="A1343" s="892"/>
      <c r="B1343" s="899"/>
      <c r="C1343" s="900"/>
      <c r="D1343" s="894"/>
      <c r="E1343" s="936"/>
      <c r="F1343" s="905"/>
      <c r="G1343" s="896"/>
      <c r="H1343" s="897"/>
      <c r="I1343" s="897"/>
      <c r="J1343" s="897"/>
      <c r="K1343" s="897"/>
      <c r="L1343" s="898"/>
      <c r="M1343" s="898"/>
      <c r="N1343" s="898"/>
      <c r="O1343" s="898"/>
      <c r="P1343" s="898"/>
      <c r="Q1343" s="898"/>
      <c r="R1343" s="898"/>
      <c r="S1343" s="898"/>
      <c r="T1343" s="898"/>
      <c r="U1343" s="898"/>
      <c r="V1343" s="898"/>
      <c r="W1343" s="898"/>
      <c r="X1343" s="898"/>
      <c r="Y1343" s="898"/>
      <c r="Z1343" s="898"/>
      <c r="AA1343" s="898"/>
      <c r="AB1343" s="898"/>
      <c r="AC1343" s="898"/>
      <c r="AD1343" s="898"/>
      <c r="AE1343" s="898"/>
      <c r="AF1343" s="898"/>
      <c r="AG1343" s="898"/>
      <c r="AH1343" s="898"/>
      <c r="AI1343" s="898"/>
      <c r="AJ1343" s="898"/>
      <c r="AK1343" s="898"/>
      <c r="AL1343" s="898"/>
      <c r="AM1343" s="897"/>
      <c r="AN1343" s="897"/>
      <c r="AO1343" s="897"/>
      <c r="AP1343" s="897"/>
      <c r="AQ1343" s="897"/>
      <c r="AR1343" s="897"/>
      <c r="AS1343" s="897"/>
      <c r="AT1343" s="897"/>
    </row>
    <row r="1344" spans="1:46" s="930" customFormat="1">
      <c r="A1344" s="892"/>
      <c r="B1344" s="899"/>
      <c r="C1344" s="900"/>
      <c r="D1344" s="894"/>
      <c r="E1344" s="936"/>
      <c r="F1344" s="905"/>
      <c r="G1344" s="896"/>
      <c r="H1344" s="897"/>
      <c r="I1344" s="897"/>
      <c r="J1344" s="897"/>
      <c r="K1344" s="897"/>
      <c r="L1344" s="898"/>
      <c r="M1344" s="898"/>
      <c r="N1344" s="898"/>
      <c r="O1344" s="898"/>
      <c r="P1344" s="898"/>
      <c r="Q1344" s="898"/>
      <c r="R1344" s="898"/>
      <c r="S1344" s="898"/>
      <c r="T1344" s="898"/>
      <c r="U1344" s="898"/>
      <c r="V1344" s="898"/>
      <c r="W1344" s="898"/>
      <c r="X1344" s="898"/>
      <c r="Y1344" s="898"/>
      <c r="Z1344" s="898"/>
      <c r="AA1344" s="898"/>
      <c r="AB1344" s="898"/>
      <c r="AC1344" s="898"/>
      <c r="AD1344" s="898"/>
      <c r="AE1344" s="898"/>
      <c r="AF1344" s="898"/>
      <c r="AG1344" s="898"/>
      <c r="AH1344" s="898"/>
      <c r="AI1344" s="898"/>
      <c r="AJ1344" s="898"/>
      <c r="AK1344" s="898"/>
      <c r="AL1344" s="898"/>
      <c r="AM1344" s="897"/>
      <c r="AN1344" s="897"/>
      <c r="AO1344" s="897"/>
      <c r="AP1344" s="897"/>
      <c r="AQ1344" s="897"/>
      <c r="AR1344" s="897"/>
      <c r="AS1344" s="897"/>
      <c r="AT1344" s="897"/>
    </row>
    <row r="1345" spans="1:46" s="930" customFormat="1">
      <c r="A1345" s="892"/>
      <c r="B1345" s="899"/>
      <c r="C1345" s="900"/>
      <c r="D1345" s="894"/>
      <c r="E1345" s="936"/>
      <c r="F1345" s="905"/>
      <c r="G1345" s="896"/>
      <c r="H1345" s="897"/>
      <c r="I1345" s="897"/>
      <c r="J1345" s="897"/>
      <c r="K1345" s="897"/>
      <c r="L1345" s="898"/>
      <c r="M1345" s="898"/>
      <c r="N1345" s="898"/>
      <c r="O1345" s="898"/>
      <c r="P1345" s="898"/>
      <c r="Q1345" s="898"/>
      <c r="R1345" s="898"/>
      <c r="S1345" s="898"/>
      <c r="T1345" s="898"/>
      <c r="U1345" s="898"/>
      <c r="V1345" s="898"/>
      <c r="W1345" s="898"/>
      <c r="X1345" s="898"/>
      <c r="Y1345" s="898"/>
      <c r="Z1345" s="898"/>
      <c r="AA1345" s="898"/>
      <c r="AB1345" s="898"/>
      <c r="AC1345" s="898"/>
      <c r="AD1345" s="898"/>
      <c r="AE1345" s="898"/>
      <c r="AF1345" s="898"/>
      <c r="AG1345" s="898"/>
      <c r="AH1345" s="898"/>
      <c r="AI1345" s="898"/>
      <c r="AJ1345" s="898"/>
      <c r="AK1345" s="898"/>
      <c r="AL1345" s="898"/>
      <c r="AM1345" s="897"/>
      <c r="AN1345" s="897"/>
      <c r="AO1345" s="897"/>
      <c r="AP1345" s="897"/>
      <c r="AQ1345" s="897"/>
      <c r="AR1345" s="897"/>
      <c r="AS1345" s="897"/>
      <c r="AT1345" s="897"/>
    </row>
    <row r="1346" spans="1:46" s="930" customFormat="1">
      <c r="A1346" s="892"/>
      <c r="B1346" s="899"/>
      <c r="C1346" s="900"/>
      <c r="D1346" s="894"/>
      <c r="E1346" s="936"/>
      <c r="F1346" s="905"/>
      <c r="G1346" s="896"/>
      <c r="H1346" s="897"/>
      <c r="I1346" s="897"/>
      <c r="J1346" s="897"/>
      <c r="K1346" s="897"/>
      <c r="L1346" s="898"/>
      <c r="M1346" s="898"/>
      <c r="N1346" s="898"/>
      <c r="O1346" s="898"/>
      <c r="P1346" s="898"/>
      <c r="Q1346" s="898"/>
      <c r="R1346" s="898"/>
      <c r="S1346" s="898"/>
      <c r="T1346" s="898"/>
      <c r="U1346" s="898"/>
      <c r="V1346" s="898"/>
      <c r="W1346" s="898"/>
      <c r="X1346" s="898"/>
      <c r="Y1346" s="898"/>
      <c r="Z1346" s="898"/>
      <c r="AA1346" s="898"/>
      <c r="AB1346" s="898"/>
      <c r="AC1346" s="898"/>
      <c r="AD1346" s="898"/>
      <c r="AE1346" s="898"/>
      <c r="AF1346" s="898"/>
      <c r="AG1346" s="898"/>
      <c r="AH1346" s="898"/>
      <c r="AI1346" s="898"/>
      <c r="AJ1346" s="898"/>
      <c r="AK1346" s="898"/>
      <c r="AL1346" s="898"/>
      <c r="AM1346" s="897"/>
      <c r="AN1346" s="897"/>
      <c r="AO1346" s="897"/>
      <c r="AP1346" s="897"/>
      <c r="AQ1346" s="897"/>
      <c r="AR1346" s="897"/>
      <c r="AS1346" s="897"/>
      <c r="AT1346" s="897"/>
    </row>
    <row r="1347" spans="1:46" s="930" customFormat="1">
      <c r="A1347" s="892"/>
      <c r="B1347" s="899"/>
      <c r="C1347" s="900"/>
      <c r="D1347" s="894"/>
      <c r="E1347" s="936"/>
      <c r="F1347" s="905"/>
      <c r="G1347" s="896"/>
      <c r="H1347" s="897"/>
      <c r="I1347" s="897"/>
      <c r="J1347" s="897"/>
      <c r="K1347" s="897"/>
      <c r="L1347" s="898"/>
      <c r="M1347" s="898"/>
      <c r="N1347" s="898"/>
      <c r="O1347" s="898"/>
      <c r="P1347" s="898"/>
      <c r="Q1347" s="898"/>
      <c r="R1347" s="898"/>
      <c r="S1347" s="898"/>
      <c r="T1347" s="898"/>
      <c r="U1347" s="898"/>
      <c r="V1347" s="898"/>
      <c r="W1347" s="898"/>
      <c r="X1347" s="898"/>
      <c r="Y1347" s="898"/>
      <c r="Z1347" s="898"/>
      <c r="AA1347" s="898"/>
      <c r="AB1347" s="898"/>
      <c r="AC1347" s="898"/>
      <c r="AD1347" s="898"/>
      <c r="AE1347" s="898"/>
      <c r="AF1347" s="898"/>
      <c r="AG1347" s="898"/>
      <c r="AH1347" s="898"/>
      <c r="AI1347" s="898"/>
      <c r="AJ1347" s="898"/>
      <c r="AK1347" s="898"/>
      <c r="AL1347" s="898"/>
      <c r="AM1347" s="897"/>
      <c r="AN1347" s="897"/>
      <c r="AO1347" s="897"/>
      <c r="AP1347" s="897"/>
      <c r="AQ1347" s="897"/>
      <c r="AR1347" s="897"/>
      <c r="AS1347" s="897"/>
      <c r="AT1347" s="897"/>
    </row>
    <row r="1348" spans="1:46" s="930" customFormat="1">
      <c r="A1348" s="892"/>
      <c r="B1348" s="899"/>
      <c r="C1348" s="900"/>
      <c r="D1348" s="894"/>
      <c r="E1348" s="936"/>
      <c r="F1348" s="905"/>
      <c r="G1348" s="896"/>
      <c r="H1348" s="897"/>
      <c r="I1348" s="897"/>
      <c r="J1348" s="897"/>
      <c r="K1348" s="897"/>
      <c r="L1348" s="898"/>
      <c r="M1348" s="898"/>
      <c r="N1348" s="898"/>
      <c r="O1348" s="898"/>
      <c r="P1348" s="898"/>
      <c r="Q1348" s="898"/>
      <c r="R1348" s="898"/>
      <c r="S1348" s="898"/>
      <c r="T1348" s="898"/>
      <c r="U1348" s="898"/>
      <c r="V1348" s="898"/>
      <c r="W1348" s="898"/>
      <c r="X1348" s="898"/>
      <c r="Y1348" s="898"/>
      <c r="Z1348" s="898"/>
      <c r="AA1348" s="898"/>
      <c r="AB1348" s="898"/>
      <c r="AC1348" s="898"/>
      <c r="AD1348" s="898"/>
      <c r="AE1348" s="898"/>
      <c r="AF1348" s="898"/>
      <c r="AG1348" s="898"/>
      <c r="AH1348" s="898"/>
      <c r="AI1348" s="898"/>
      <c r="AJ1348" s="898"/>
      <c r="AK1348" s="898"/>
      <c r="AL1348" s="898"/>
      <c r="AM1348" s="897"/>
      <c r="AN1348" s="897"/>
      <c r="AO1348" s="897"/>
      <c r="AP1348" s="897"/>
      <c r="AQ1348" s="897"/>
      <c r="AR1348" s="897"/>
      <c r="AS1348" s="897"/>
      <c r="AT1348" s="897"/>
    </row>
    <row r="1349" spans="1:46" s="930" customFormat="1">
      <c r="A1349" s="892"/>
      <c r="B1349" s="899"/>
      <c r="C1349" s="900"/>
      <c r="D1349" s="894"/>
      <c r="E1349" s="936"/>
      <c r="F1349" s="905"/>
      <c r="G1349" s="896"/>
      <c r="H1349" s="897"/>
      <c r="I1349" s="897"/>
      <c r="J1349" s="897"/>
      <c r="K1349" s="897"/>
      <c r="L1349" s="898"/>
      <c r="M1349" s="898"/>
      <c r="N1349" s="898"/>
      <c r="O1349" s="898"/>
      <c r="P1349" s="898"/>
      <c r="Q1349" s="898"/>
      <c r="R1349" s="898"/>
      <c r="S1349" s="898"/>
      <c r="T1349" s="898"/>
      <c r="U1349" s="898"/>
      <c r="V1349" s="898"/>
      <c r="W1349" s="898"/>
      <c r="X1349" s="898"/>
      <c r="Y1349" s="898"/>
      <c r="Z1349" s="898"/>
      <c r="AA1349" s="898"/>
      <c r="AB1349" s="898"/>
      <c r="AC1349" s="898"/>
      <c r="AD1349" s="898"/>
      <c r="AE1349" s="898"/>
      <c r="AF1349" s="898"/>
      <c r="AG1349" s="898"/>
      <c r="AH1349" s="898"/>
      <c r="AI1349" s="898"/>
      <c r="AJ1349" s="898"/>
      <c r="AK1349" s="898"/>
      <c r="AL1349" s="898"/>
      <c r="AM1349" s="897"/>
      <c r="AN1349" s="897"/>
      <c r="AO1349" s="897"/>
      <c r="AP1349" s="897"/>
      <c r="AQ1349" s="897"/>
      <c r="AR1349" s="897"/>
      <c r="AS1349" s="897"/>
      <c r="AT1349" s="897"/>
    </row>
    <row r="1350" spans="1:46" s="930" customFormat="1">
      <c r="A1350" s="892"/>
      <c r="B1350" s="899"/>
      <c r="C1350" s="900"/>
      <c r="D1350" s="894"/>
      <c r="E1350" s="936"/>
      <c r="F1350" s="905"/>
      <c r="G1350" s="896"/>
      <c r="H1350" s="897"/>
      <c r="I1350" s="897"/>
      <c r="J1350" s="897"/>
      <c r="K1350" s="897"/>
      <c r="L1350" s="898"/>
      <c r="M1350" s="898"/>
      <c r="N1350" s="898"/>
      <c r="O1350" s="898"/>
      <c r="P1350" s="898"/>
      <c r="Q1350" s="898"/>
      <c r="R1350" s="898"/>
      <c r="S1350" s="898"/>
      <c r="T1350" s="898"/>
      <c r="U1350" s="898"/>
      <c r="V1350" s="898"/>
      <c r="W1350" s="898"/>
      <c r="X1350" s="898"/>
      <c r="Y1350" s="898"/>
      <c r="Z1350" s="898"/>
      <c r="AA1350" s="898"/>
      <c r="AB1350" s="898"/>
      <c r="AC1350" s="898"/>
      <c r="AD1350" s="898"/>
      <c r="AE1350" s="898"/>
      <c r="AF1350" s="898"/>
      <c r="AG1350" s="898"/>
      <c r="AH1350" s="898"/>
      <c r="AI1350" s="898"/>
      <c r="AJ1350" s="898"/>
      <c r="AK1350" s="898"/>
      <c r="AL1350" s="898"/>
      <c r="AM1350" s="897"/>
      <c r="AN1350" s="897"/>
      <c r="AO1350" s="897"/>
      <c r="AP1350" s="897"/>
      <c r="AQ1350" s="897"/>
      <c r="AR1350" s="897"/>
      <c r="AS1350" s="897"/>
      <c r="AT1350" s="897"/>
    </row>
    <row r="1351" spans="1:46" s="930" customFormat="1">
      <c r="A1351" s="892"/>
      <c r="B1351" s="899"/>
      <c r="C1351" s="900"/>
      <c r="D1351" s="894"/>
      <c r="E1351" s="936"/>
      <c r="F1351" s="905"/>
      <c r="G1351" s="896"/>
      <c r="H1351" s="897"/>
      <c r="I1351" s="897"/>
      <c r="J1351" s="897"/>
      <c r="K1351" s="897"/>
      <c r="L1351" s="898"/>
      <c r="M1351" s="898"/>
      <c r="N1351" s="898"/>
      <c r="O1351" s="898"/>
      <c r="P1351" s="898"/>
      <c r="Q1351" s="898"/>
      <c r="R1351" s="898"/>
      <c r="S1351" s="898"/>
      <c r="T1351" s="898"/>
      <c r="U1351" s="898"/>
      <c r="V1351" s="898"/>
      <c r="W1351" s="898"/>
      <c r="X1351" s="898"/>
      <c r="Y1351" s="898"/>
      <c r="Z1351" s="898"/>
      <c r="AA1351" s="898"/>
      <c r="AB1351" s="898"/>
      <c r="AC1351" s="898"/>
      <c r="AD1351" s="898"/>
      <c r="AE1351" s="898"/>
      <c r="AF1351" s="898"/>
      <c r="AG1351" s="898"/>
      <c r="AH1351" s="898"/>
      <c r="AI1351" s="898"/>
      <c r="AJ1351" s="898"/>
      <c r="AK1351" s="898"/>
      <c r="AL1351" s="898"/>
      <c r="AM1351" s="897"/>
      <c r="AN1351" s="897"/>
      <c r="AO1351" s="897"/>
      <c r="AP1351" s="897"/>
      <c r="AQ1351" s="897"/>
      <c r="AR1351" s="897"/>
      <c r="AS1351" s="897"/>
      <c r="AT1351" s="897"/>
    </row>
    <row r="1352" spans="1:46" s="930" customFormat="1">
      <c r="A1352" s="892"/>
      <c r="B1352" s="899"/>
      <c r="C1352" s="900"/>
      <c r="D1352" s="894"/>
      <c r="E1352" s="936"/>
      <c r="F1352" s="905"/>
      <c r="G1352" s="896"/>
      <c r="H1352" s="897"/>
      <c r="I1352" s="897"/>
      <c r="J1352" s="897"/>
      <c r="K1352" s="897"/>
      <c r="L1352" s="898"/>
      <c r="M1352" s="898"/>
      <c r="N1352" s="898"/>
      <c r="O1352" s="898"/>
      <c r="P1352" s="898"/>
      <c r="Q1352" s="898"/>
      <c r="R1352" s="898"/>
      <c r="S1352" s="898"/>
      <c r="T1352" s="898"/>
      <c r="U1352" s="898"/>
      <c r="V1352" s="898"/>
      <c r="W1352" s="898"/>
      <c r="X1352" s="898"/>
      <c r="Y1352" s="898"/>
      <c r="Z1352" s="898"/>
      <c r="AA1352" s="898"/>
      <c r="AB1352" s="898"/>
      <c r="AC1352" s="898"/>
      <c r="AD1352" s="898"/>
      <c r="AE1352" s="898"/>
      <c r="AF1352" s="898"/>
      <c r="AG1352" s="898"/>
      <c r="AH1352" s="898"/>
      <c r="AI1352" s="898"/>
      <c r="AJ1352" s="898"/>
      <c r="AK1352" s="898"/>
      <c r="AL1352" s="898"/>
      <c r="AM1352" s="897"/>
      <c r="AN1352" s="897"/>
      <c r="AO1352" s="897"/>
      <c r="AP1352" s="897"/>
      <c r="AQ1352" s="897"/>
      <c r="AR1352" s="897"/>
      <c r="AS1352" s="897"/>
      <c r="AT1352" s="897"/>
    </row>
    <row r="1353" spans="1:46" s="930" customFormat="1">
      <c r="A1353" s="892"/>
      <c r="B1353" s="899"/>
      <c r="C1353" s="900"/>
      <c r="D1353" s="894"/>
      <c r="E1353" s="936"/>
      <c r="F1353" s="905"/>
      <c r="G1353" s="896"/>
      <c r="H1353" s="897"/>
      <c r="I1353" s="897"/>
      <c r="J1353" s="897"/>
      <c r="K1353" s="897"/>
      <c r="L1353" s="898"/>
      <c r="M1353" s="898"/>
      <c r="N1353" s="898"/>
      <c r="O1353" s="898"/>
      <c r="P1353" s="898"/>
      <c r="Q1353" s="898"/>
      <c r="R1353" s="898"/>
      <c r="S1353" s="898"/>
      <c r="T1353" s="898"/>
      <c r="U1353" s="898"/>
      <c r="V1353" s="898"/>
      <c r="W1353" s="898"/>
      <c r="X1353" s="898"/>
      <c r="Y1353" s="898"/>
      <c r="Z1353" s="898"/>
      <c r="AA1353" s="898"/>
      <c r="AB1353" s="898"/>
      <c r="AC1353" s="898"/>
      <c r="AD1353" s="898"/>
      <c r="AE1353" s="898"/>
      <c r="AF1353" s="898"/>
      <c r="AG1353" s="898"/>
      <c r="AH1353" s="898"/>
      <c r="AI1353" s="898"/>
      <c r="AJ1353" s="898"/>
      <c r="AK1353" s="898"/>
      <c r="AL1353" s="898"/>
      <c r="AM1353" s="897"/>
      <c r="AN1353" s="897"/>
      <c r="AO1353" s="897"/>
      <c r="AP1353" s="897"/>
      <c r="AQ1353" s="897"/>
      <c r="AR1353" s="897"/>
      <c r="AS1353" s="897"/>
      <c r="AT1353" s="897"/>
    </row>
    <row r="1354" spans="1:46" s="930" customFormat="1">
      <c r="A1354" s="892"/>
      <c r="B1354" s="899"/>
      <c r="C1354" s="900"/>
      <c r="D1354" s="894"/>
      <c r="E1354" s="936"/>
      <c r="F1354" s="905"/>
      <c r="G1354" s="896"/>
      <c r="H1354" s="897"/>
      <c r="I1354" s="897"/>
      <c r="J1354" s="897"/>
      <c r="K1354" s="897"/>
      <c r="L1354" s="898"/>
      <c r="M1354" s="898"/>
      <c r="N1354" s="898"/>
      <c r="O1354" s="898"/>
      <c r="P1354" s="898"/>
      <c r="Q1354" s="898"/>
      <c r="R1354" s="898"/>
      <c r="S1354" s="898"/>
      <c r="T1354" s="898"/>
      <c r="U1354" s="898"/>
      <c r="V1354" s="898"/>
      <c r="W1354" s="898"/>
      <c r="X1354" s="898"/>
      <c r="Y1354" s="898"/>
      <c r="Z1354" s="898"/>
      <c r="AA1354" s="898"/>
      <c r="AB1354" s="898"/>
      <c r="AC1354" s="898"/>
      <c r="AD1354" s="898"/>
      <c r="AE1354" s="898"/>
      <c r="AF1354" s="898"/>
      <c r="AG1354" s="898"/>
      <c r="AH1354" s="898"/>
      <c r="AI1354" s="898"/>
      <c r="AJ1354" s="898"/>
      <c r="AK1354" s="898"/>
      <c r="AL1354" s="898"/>
      <c r="AM1354" s="897"/>
      <c r="AN1354" s="897"/>
      <c r="AO1354" s="897"/>
      <c r="AP1354" s="897"/>
      <c r="AQ1354" s="897"/>
      <c r="AR1354" s="897"/>
      <c r="AS1354" s="897"/>
      <c r="AT1354" s="897"/>
    </row>
    <row r="1355" spans="1:46" s="930" customFormat="1">
      <c r="A1355" s="892"/>
      <c r="B1355" s="899"/>
      <c r="C1355" s="900"/>
      <c r="D1355" s="894"/>
      <c r="E1355" s="936"/>
      <c r="F1355" s="905"/>
      <c r="G1355" s="896"/>
      <c r="H1355" s="897"/>
      <c r="I1355" s="897"/>
      <c r="J1355" s="897"/>
      <c r="K1355" s="897"/>
      <c r="L1355" s="898"/>
      <c r="M1355" s="898"/>
      <c r="N1355" s="898"/>
      <c r="O1355" s="898"/>
      <c r="P1355" s="898"/>
      <c r="Q1355" s="898"/>
      <c r="R1355" s="898"/>
      <c r="S1355" s="898"/>
      <c r="T1355" s="898"/>
      <c r="U1355" s="898"/>
      <c r="V1355" s="898"/>
      <c r="W1355" s="898"/>
      <c r="X1355" s="898"/>
      <c r="Y1355" s="898"/>
      <c r="Z1355" s="898"/>
      <c r="AA1355" s="898"/>
      <c r="AB1355" s="898"/>
      <c r="AC1355" s="898"/>
      <c r="AD1355" s="898"/>
      <c r="AE1355" s="898"/>
      <c r="AF1355" s="898"/>
      <c r="AG1355" s="898"/>
      <c r="AH1355" s="898"/>
      <c r="AI1355" s="898"/>
      <c r="AJ1355" s="898"/>
      <c r="AK1355" s="898"/>
      <c r="AL1355" s="898"/>
      <c r="AM1355" s="897"/>
      <c r="AN1355" s="897"/>
      <c r="AO1355" s="897"/>
      <c r="AP1355" s="897"/>
      <c r="AQ1355" s="897"/>
      <c r="AR1355" s="897"/>
      <c r="AS1355" s="897"/>
      <c r="AT1355" s="897"/>
    </row>
    <row r="1356" spans="1:46" s="930" customFormat="1">
      <c r="A1356" s="892"/>
      <c r="B1356" s="899"/>
      <c r="C1356" s="900"/>
      <c r="D1356" s="894"/>
      <c r="E1356" s="936"/>
      <c r="F1356" s="905"/>
      <c r="G1356" s="896"/>
      <c r="H1356" s="897"/>
      <c r="I1356" s="897"/>
      <c r="J1356" s="897"/>
      <c r="K1356" s="897"/>
      <c r="L1356" s="898"/>
      <c r="M1356" s="898"/>
      <c r="N1356" s="898"/>
      <c r="O1356" s="898"/>
      <c r="P1356" s="898"/>
      <c r="Q1356" s="898"/>
      <c r="R1356" s="898"/>
      <c r="S1356" s="898"/>
      <c r="T1356" s="898"/>
      <c r="U1356" s="898"/>
      <c r="V1356" s="898"/>
      <c r="W1356" s="898"/>
      <c r="X1356" s="898"/>
      <c r="Y1356" s="898"/>
      <c r="Z1356" s="898"/>
      <c r="AA1356" s="898"/>
      <c r="AB1356" s="898"/>
      <c r="AC1356" s="898"/>
      <c r="AD1356" s="898"/>
      <c r="AE1356" s="898"/>
      <c r="AF1356" s="898"/>
      <c r="AG1356" s="898"/>
      <c r="AH1356" s="898"/>
      <c r="AI1356" s="898"/>
      <c r="AJ1356" s="898"/>
      <c r="AK1356" s="898"/>
      <c r="AL1356" s="898"/>
      <c r="AM1356" s="897"/>
      <c r="AN1356" s="897"/>
      <c r="AO1356" s="897"/>
      <c r="AP1356" s="897"/>
      <c r="AQ1356" s="897"/>
      <c r="AR1356" s="897"/>
      <c r="AS1356" s="897"/>
      <c r="AT1356" s="897"/>
    </row>
    <row r="1357" spans="1:46" s="930" customFormat="1">
      <c r="A1357" s="892"/>
      <c r="B1357" s="899"/>
      <c r="C1357" s="900"/>
      <c r="D1357" s="894"/>
      <c r="E1357" s="936"/>
      <c r="F1357" s="905"/>
      <c r="G1357" s="896"/>
      <c r="H1357" s="897"/>
      <c r="I1357" s="897"/>
      <c r="J1357" s="897"/>
      <c r="K1357" s="897"/>
      <c r="L1357" s="898"/>
      <c r="M1357" s="898"/>
      <c r="N1357" s="898"/>
      <c r="O1357" s="898"/>
      <c r="P1357" s="898"/>
      <c r="Q1357" s="898"/>
      <c r="R1357" s="898"/>
      <c r="S1357" s="898"/>
      <c r="T1357" s="898"/>
      <c r="U1357" s="898"/>
      <c r="V1357" s="898"/>
      <c r="W1357" s="898"/>
      <c r="X1357" s="898"/>
      <c r="Y1357" s="898"/>
      <c r="Z1357" s="898"/>
      <c r="AA1357" s="898"/>
      <c r="AB1357" s="898"/>
      <c r="AC1357" s="898"/>
      <c r="AD1357" s="898"/>
      <c r="AE1357" s="898"/>
      <c r="AF1357" s="898"/>
      <c r="AG1357" s="898"/>
      <c r="AH1357" s="898"/>
      <c r="AI1357" s="898"/>
      <c r="AJ1357" s="898"/>
      <c r="AK1357" s="898"/>
      <c r="AL1357" s="898"/>
      <c r="AM1357" s="897"/>
      <c r="AN1357" s="897"/>
      <c r="AO1357" s="897"/>
      <c r="AP1357" s="897"/>
      <c r="AQ1357" s="897"/>
      <c r="AR1357" s="897"/>
      <c r="AS1357" s="897"/>
      <c r="AT1357" s="897"/>
    </row>
    <row r="1358" spans="1:46" s="930" customFormat="1">
      <c r="A1358" s="892"/>
      <c r="B1358" s="899"/>
      <c r="C1358" s="900"/>
      <c r="D1358" s="894"/>
      <c r="E1358" s="936"/>
      <c r="F1358" s="905"/>
      <c r="G1358" s="896"/>
      <c r="H1358" s="897"/>
      <c r="I1358" s="897"/>
      <c r="J1358" s="897"/>
      <c r="K1358" s="897"/>
      <c r="L1358" s="898"/>
      <c r="M1358" s="898"/>
      <c r="N1358" s="898"/>
      <c r="O1358" s="898"/>
      <c r="P1358" s="898"/>
      <c r="Q1358" s="898"/>
      <c r="R1358" s="898"/>
      <c r="S1358" s="898"/>
      <c r="T1358" s="898"/>
      <c r="U1358" s="898"/>
      <c r="V1358" s="898"/>
      <c r="W1358" s="898"/>
      <c r="X1358" s="898"/>
      <c r="Y1358" s="898"/>
      <c r="Z1358" s="898"/>
      <c r="AA1358" s="898"/>
      <c r="AB1358" s="898"/>
      <c r="AC1358" s="898"/>
      <c r="AD1358" s="898"/>
      <c r="AE1358" s="898"/>
      <c r="AF1358" s="898"/>
      <c r="AG1358" s="898"/>
      <c r="AH1358" s="898"/>
      <c r="AI1358" s="898"/>
      <c r="AJ1358" s="898"/>
      <c r="AK1358" s="898"/>
      <c r="AL1358" s="898"/>
      <c r="AM1358" s="897"/>
      <c r="AN1358" s="897"/>
      <c r="AO1358" s="897"/>
      <c r="AP1358" s="897"/>
      <c r="AQ1358" s="897"/>
      <c r="AR1358" s="897"/>
      <c r="AS1358" s="897"/>
      <c r="AT1358" s="897"/>
    </row>
    <row r="1359" spans="1:46" s="930" customFormat="1">
      <c r="A1359" s="892"/>
      <c r="B1359" s="899"/>
      <c r="C1359" s="900"/>
      <c r="D1359" s="894"/>
      <c r="E1359" s="936"/>
      <c r="F1359" s="905"/>
      <c r="G1359" s="896"/>
      <c r="H1359" s="897"/>
      <c r="I1359" s="897"/>
      <c r="J1359" s="897"/>
      <c r="K1359" s="897"/>
      <c r="L1359" s="898"/>
      <c r="M1359" s="898"/>
      <c r="N1359" s="898"/>
      <c r="O1359" s="898"/>
      <c r="P1359" s="898"/>
      <c r="Q1359" s="898"/>
      <c r="R1359" s="898"/>
      <c r="S1359" s="898"/>
      <c r="T1359" s="898"/>
      <c r="U1359" s="898"/>
      <c r="V1359" s="898"/>
      <c r="W1359" s="898"/>
      <c r="X1359" s="898"/>
      <c r="Y1359" s="898"/>
      <c r="Z1359" s="898"/>
      <c r="AA1359" s="898"/>
      <c r="AB1359" s="898"/>
      <c r="AC1359" s="898"/>
      <c r="AD1359" s="898"/>
      <c r="AE1359" s="898"/>
      <c r="AF1359" s="898"/>
      <c r="AG1359" s="898"/>
      <c r="AH1359" s="898"/>
      <c r="AI1359" s="898"/>
      <c r="AJ1359" s="898"/>
      <c r="AK1359" s="898"/>
      <c r="AL1359" s="898"/>
      <c r="AM1359" s="897"/>
      <c r="AN1359" s="897"/>
      <c r="AO1359" s="897"/>
      <c r="AP1359" s="897"/>
      <c r="AQ1359" s="897"/>
      <c r="AR1359" s="897"/>
      <c r="AS1359" s="897"/>
      <c r="AT1359" s="897"/>
    </row>
    <row r="1360" spans="1:46" s="930" customFormat="1">
      <c r="A1360" s="892"/>
      <c r="B1360" s="899"/>
      <c r="C1360" s="900"/>
      <c r="D1360" s="894"/>
      <c r="E1360" s="936"/>
      <c r="F1360" s="905"/>
      <c r="G1360" s="896"/>
      <c r="H1360" s="897"/>
      <c r="I1360" s="897"/>
      <c r="J1360" s="897"/>
      <c r="K1360" s="897"/>
      <c r="L1360" s="898"/>
      <c r="M1360" s="898"/>
      <c r="N1360" s="898"/>
      <c r="O1360" s="898"/>
      <c r="P1360" s="898"/>
      <c r="Q1360" s="898"/>
      <c r="R1360" s="898"/>
      <c r="S1360" s="898"/>
      <c r="T1360" s="898"/>
      <c r="U1360" s="898"/>
      <c r="V1360" s="898"/>
      <c r="W1360" s="898"/>
      <c r="X1360" s="898"/>
      <c r="Y1360" s="898"/>
      <c r="Z1360" s="898"/>
      <c r="AA1360" s="898"/>
      <c r="AB1360" s="898"/>
      <c r="AC1360" s="898"/>
      <c r="AD1360" s="898"/>
      <c r="AE1360" s="898"/>
      <c r="AF1360" s="898"/>
      <c r="AG1360" s="898"/>
      <c r="AH1360" s="898"/>
      <c r="AI1360" s="898"/>
      <c r="AJ1360" s="898"/>
      <c r="AK1360" s="898"/>
      <c r="AL1360" s="898"/>
      <c r="AM1360" s="897"/>
      <c r="AN1360" s="897"/>
      <c r="AO1360" s="897"/>
      <c r="AP1360" s="897"/>
      <c r="AQ1360" s="897"/>
      <c r="AR1360" s="897"/>
      <c r="AS1360" s="897"/>
      <c r="AT1360" s="897"/>
    </row>
    <row r="1361" spans="1:46" s="930" customFormat="1">
      <c r="A1361" s="892"/>
      <c r="B1361" s="899"/>
      <c r="C1361" s="900"/>
      <c r="D1361" s="894"/>
      <c r="E1361" s="936"/>
      <c r="F1361" s="905"/>
      <c r="G1361" s="896"/>
      <c r="H1361" s="897"/>
      <c r="I1361" s="897"/>
      <c r="J1361" s="897"/>
      <c r="K1361" s="897"/>
      <c r="L1361" s="898"/>
      <c r="M1361" s="898"/>
      <c r="N1361" s="898"/>
      <c r="O1361" s="898"/>
      <c r="P1361" s="898"/>
      <c r="Q1361" s="898"/>
      <c r="R1361" s="898"/>
      <c r="S1361" s="898"/>
      <c r="T1361" s="898"/>
      <c r="U1361" s="898"/>
      <c r="V1361" s="898"/>
      <c r="W1361" s="898"/>
      <c r="X1361" s="898"/>
      <c r="Y1361" s="898"/>
      <c r="Z1361" s="898"/>
      <c r="AA1361" s="898"/>
      <c r="AB1361" s="898"/>
      <c r="AC1361" s="898"/>
      <c r="AD1361" s="898"/>
      <c r="AE1361" s="898"/>
      <c r="AF1361" s="898"/>
      <c r="AG1361" s="898"/>
      <c r="AH1361" s="898"/>
      <c r="AI1361" s="898"/>
      <c r="AJ1361" s="898"/>
      <c r="AK1361" s="898"/>
      <c r="AL1361" s="898"/>
      <c r="AM1361" s="897"/>
      <c r="AN1361" s="897"/>
      <c r="AO1361" s="897"/>
      <c r="AP1361" s="897"/>
      <c r="AQ1361" s="897"/>
      <c r="AR1361" s="897"/>
      <c r="AS1361" s="897"/>
      <c r="AT1361" s="897"/>
    </row>
    <row r="1362" spans="1:46" s="930" customFormat="1">
      <c r="A1362" s="892"/>
      <c r="B1362" s="899"/>
      <c r="C1362" s="900"/>
      <c r="D1362" s="894"/>
      <c r="E1362" s="936"/>
      <c r="F1362" s="905"/>
      <c r="G1362" s="896"/>
      <c r="H1362" s="897"/>
      <c r="I1362" s="897"/>
      <c r="J1362" s="897"/>
      <c r="K1362" s="897"/>
      <c r="L1362" s="898"/>
      <c r="M1362" s="898"/>
      <c r="N1362" s="898"/>
      <c r="O1362" s="898"/>
      <c r="P1362" s="898"/>
      <c r="Q1362" s="898"/>
      <c r="R1362" s="898"/>
      <c r="S1362" s="898"/>
      <c r="T1362" s="898"/>
      <c r="U1362" s="898"/>
      <c r="V1362" s="898"/>
      <c r="W1362" s="898"/>
      <c r="X1362" s="898"/>
      <c r="Y1362" s="898"/>
      <c r="Z1362" s="898"/>
      <c r="AA1362" s="898"/>
      <c r="AB1362" s="898"/>
      <c r="AC1362" s="898"/>
      <c r="AD1362" s="898"/>
      <c r="AE1362" s="898"/>
      <c r="AF1362" s="898"/>
      <c r="AG1362" s="898"/>
      <c r="AH1362" s="898"/>
      <c r="AI1362" s="898"/>
      <c r="AJ1362" s="898"/>
      <c r="AK1362" s="898"/>
      <c r="AL1362" s="898"/>
      <c r="AM1362" s="897"/>
      <c r="AN1362" s="897"/>
      <c r="AO1362" s="897"/>
      <c r="AP1362" s="897"/>
      <c r="AQ1362" s="897"/>
      <c r="AR1362" s="897"/>
      <c r="AS1362" s="897"/>
      <c r="AT1362" s="897"/>
    </row>
    <row r="1363" spans="1:46" s="930" customFormat="1">
      <c r="A1363" s="892"/>
      <c r="B1363" s="899"/>
      <c r="C1363" s="900"/>
      <c r="D1363" s="894"/>
      <c r="E1363" s="936"/>
      <c r="F1363" s="905"/>
      <c r="G1363" s="896"/>
      <c r="H1363" s="897"/>
      <c r="I1363" s="897"/>
      <c r="J1363" s="897"/>
      <c r="K1363" s="897"/>
      <c r="L1363" s="898"/>
      <c r="M1363" s="898"/>
      <c r="N1363" s="898"/>
      <c r="O1363" s="898"/>
      <c r="P1363" s="898"/>
      <c r="Q1363" s="898"/>
      <c r="R1363" s="898"/>
      <c r="S1363" s="898"/>
      <c r="T1363" s="898"/>
      <c r="U1363" s="898"/>
      <c r="V1363" s="898"/>
      <c r="W1363" s="898"/>
      <c r="X1363" s="898"/>
      <c r="Y1363" s="898"/>
      <c r="Z1363" s="898"/>
      <c r="AA1363" s="898"/>
      <c r="AB1363" s="898"/>
      <c r="AC1363" s="898"/>
      <c r="AD1363" s="898"/>
      <c r="AE1363" s="898"/>
      <c r="AF1363" s="898"/>
      <c r="AG1363" s="898"/>
      <c r="AH1363" s="898"/>
      <c r="AI1363" s="898"/>
      <c r="AJ1363" s="898"/>
      <c r="AK1363" s="898"/>
      <c r="AL1363" s="898"/>
      <c r="AM1363" s="897"/>
      <c r="AN1363" s="897"/>
      <c r="AO1363" s="897"/>
      <c r="AP1363" s="897"/>
      <c r="AQ1363" s="897"/>
      <c r="AR1363" s="897"/>
      <c r="AS1363" s="897"/>
      <c r="AT1363" s="897"/>
    </row>
    <row r="1364" spans="1:46" s="930" customFormat="1">
      <c r="A1364" s="892"/>
      <c r="B1364" s="899"/>
      <c r="C1364" s="900"/>
      <c r="D1364" s="894"/>
      <c r="E1364" s="936"/>
      <c r="F1364" s="905"/>
      <c r="G1364" s="896"/>
      <c r="H1364" s="897"/>
      <c r="I1364" s="897"/>
      <c r="J1364" s="897"/>
      <c r="K1364" s="897"/>
      <c r="L1364" s="898"/>
      <c r="M1364" s="898"/>
      <c r="N1364" s="898"/>
      <c r="O1364" s="898"/>
      <c r="P1364" s="898"/>
      <c r="Q1364" s="898"/>
      <c r="R1364" s="898"/>
      <c r="S1364" s="898"/>
      <c r="T1364" s="898"/>
      <c r="U1364" s="898"/>
      <c r="V1364" s="898"/>
      <c r="W1364" s="898"/>
      <c r="X1364" s="898"/>
      <c r="Y1364" s="898"/>
      <c r="Z1364" s="898"/>
      <c r="AA1364" s="898"/>
      <c r="AB1364" s="898"/>
      <c r="AC1364" s="898"/>
      <c r="AD1364" s="898"/>
      <c r="AE1364" s="898"/>
      <c r="AF1364" s="898"/>
      <c r="AG1364" s="898"/>
      <c r="AH1364" s="898"/>
      <c r="AI1364" s="898"/>
      <c r="AJ1364" s="898"/>
      <c r="AK1364" s="898"/>
      <c r="AL1364" s="898"/>
      <c r="AM1364" s="897"/>
      <c r="AN1364" s="897"/>
      <c r="AO1364" s="897"/>
      <c r="AP1364" s="897"/>
      <c r="AQ1364" s="897"/>
      <c r="AR1364" s="897"/>
      <c r="AS1364" s="897"/>
      <c r="AT1364" s="897"/>
    </row>
    <row r="1365" spans="1:46" s="930" customFormat="1">
      <c r="A1365" s="892"/>
      <c r="B1365" s="899"/>
      <c r="C1365" s="900"/>
      <c r="D1365" s="894"/>
      <c r="E1365" s="936"/>
      <c r="F1365" s="905"/>
      <c r="G1365" s="896"/>
      <c r="H1365" s="897"/>
      <c r="I1365" s="897"/>
      <c r="J1365" s="897"/>
      <c r="K1365" s="897"/>
      <c r="L1365" s="898"/>
      <c r="M1365" s="898"/>
      <c r="N1365" s="898"/>
      <c r="O1365" s="898"/>
      <c r="P1365" s="898"/>
      <c r="Q1365" s="898"/>
      <c r="R1365" s="898"/>
      <c r="S1365" s="898"/>
      <c r="T1365" s="898"/>
      <c r="U1365" s="898"/>
      <c r="V1365" s="898"/>
      <c r="W1365" s="898"/>
      <c r="X1365" s="898"/>
      <c r="Y1365" s="898"/>
      <c r="Z1365" s="898"/>
      <c r="AA1365" s="898"/>
      <c r="AB1365" s="898"/>
      <c r="AC1365" s="898"/>
      <c r="AD1365" s="898"/>
      <c r="AE1365" s="898"/>
      <c r="AF1365" s="898"/>
      <c r="AG1365" s="898"/>
      <c r="AH1365" s="898"/>
      <c r="AI1365" s="898"/>
      <c r="AJ1365" s="898"/>
      <c r="AK1365" s="898"/>
      <c r="AL1365" s="898"/>
      <c r="AM1365" s="897"/>
      <c r="AN1365" s="897"/>
      <c r="AO1365" s="897"/>
      <c r="AP1365" s="897"/>
      <c r="AQ1365" s="897"/>
      <c r="AR1365" s="897"/>
      <c r="AS1365" s="897"/>
      <c r="AT1365" s="897"/>
    </row>
    <row r="1366" spans="1:46" s="930" customFormat="1">
      <c r="A1366" s="892"/>
      <c r="B1366" s="899"/>
      <c r="C1366" s="900"/>
      <c r="D1366" s="894"/>
      <c r="E1366" s="936"/>
      <c r="F1366" s="905"/>
      <c r="G1366" s="896"/>
      <c r="H1366" s="897"/>
      <c r="I1366" s="897"/>
      <c r="J1366" s="897"/>
      <c r="K1366" s="897"/>
      <c r="L1366" s="898"/>
      <c r="M1366" s="898"/>
      <c r="N1366" s="898"/>
      <c r="O1366" s="898"/>
      <c r="P1366" s="898"/>
      <c r="Q1366" s="898"/>
      <c r="R1366" s="898"/>
      <c r="S1366" s="898"/>
      <c r="T1366" s="898"/>
      <c r="U1366" s="898"/>
      <c r="V1366" s="898"/>
      <c r="W1366" s="898"/>
      <c r="X1366" s="898"/>
      <c r="Y1366" s="898"/>
      <c r="Z1366" s="898"/>
      <c r="AA1366" s="898"/>
      <c r="AB1366" s="898"/>
      <c r="AC1366" s="898"/>
      <c r="AD1366" s="898"/>
      <c r="AE1366" s="898"/>
      <c r="AF1366" s="898"/>
      <c r="AG1366" s="898"/>
      <c r="AH1366" s="898"/>
      <c r="AI1366" s="898"/>
      <c r="AJ1366" s="898"/>
      <c r="AK1366" s="898"/>
      <c r="AL1366" s="898"/>
      <c r="AM1366" s="897"/>
      <c r="AN1366" s="897"/>
      <c r="AO1366" s="897"/>
      <c r="AP1366" s="897"/>
      <c r="AQ1366" s="897"/>
      <c r="AR1366" s="897"/>
      <c r="AS1366" s="897"/>
      <c r="AT1366" s="897"/>
    </row>
    <row r="1367" spans="1:46" s="930" customFormat="1">
      <c r="A1367" s="892"/>
      <c r="B1367" s="899"/>
      <c r="C1367" s="900"/>
      <c r="D1367" s="894"/>
      <c r="E1367" s="936"/>
      <c r="F1367" s="905"/>
      <c r="G1367" s="896"/>
      <c r="H1367" s="897"/>
      <c r="I1367" s="897"/>
      <c r="J1367" s="897"/>
      <c r="K1367" s="897"/>
      <c r="L1367" s="898"/>
      <c r="M1367" s="898"/>
      <c r="N1367" s="898"/>
      <c r="O1367" s="898"/>
      <c r="P1367" s="898"/>
      <c r="Q1367" s="898"/>
      <c r="R1367" s="898"/>
      <c r="S1367" s="898"/>
      <c r="T1367" s="898"/>
      <c r="U1367" s="898"/>
      <c r="V1367" s="898"/>
      <c r="W1367" s="898"/>
      <c r="X1367" s="898"/>
      <c r="Y1367" s="898"/>
      <c r="Z1367" s="898"/>
      <c r="AA1367" s="898"/>
      <c r="AB1367" s="898"/>
      <c r="AC1367" s="898"/>
      <c r="AD1367" s="898"/>
      <c r="AE1367" s="898"/>
      <c r="AF1367" s="898"/>
      <c r="AG1367" s="898"/>
      <c r="AH1367" s="898"/>
      <c r="AI1367" s="898"/>
      <c r="AJ1367" s="898"/>
      <c r="AK1367" s="898"/>
      <c r="AL1367" s="898"/>
      <c r="AM1367" s="897"/>
      <c r="AN1367" s="897"/>
      <c r="AO1367" s="897"/>
      <c r="AP1367" s="897"/>
      <c r="AQ1367" s="897"/>
      <c r="AR1367" s="897"/>
      <c r="AS1367" s="897"/>
      <c r="AT1367" s="897"/>
    </row>
    <row r="1368" spans="1:46" s="930" customFormat="1">
      <c r="A1368" s="892"/>
      <c r="B1368" s="899"/>
      <c r="C1368" s="900"/>
      <c r="D1368" s="894"/>
      <c r="E1368" s="936"/>
      <c r="F1368" s="905"/>
      <c r="G1368" s="896"/>
      <c r="H1368" s="897"/>
      <c r="I1368" s="897"/>
      <c r="J1368" s="897"/>
      <c r="K1368" s="897"/>
      <c r="L1368" s="898"/>
      <c r="M1368" s="898"/>
      <c r="N1368" s="898"/>
      <c r="O1368" s="898"/>
      <c r="P1368" s="898"/>
      <c r="Q1368" s="898"/>
      <c r="R1368" s="898"/>
      <c r="S1368" s="898"/>
      <c r="T1368" s="898"/>
      <c r="U1368" s="898"/>
      <c r="V1368" s="898"/>
      <c r="W1368" s="898"/>
      <c r="X1368" s="898"/>
      <c r="Y1368" s="898"/>
      <c r="Z1368" s="898"/>
      <c r="AA1368" s="898"/>
      <c r="AB1368" s="898"/>
      <c r="AC1368" s="898"/>
      <c r="AD1368" s="898"/>
      <c r="AE1368" s="898"/>
      <c r="AF1368" s="898"/>
      <c r="AG1368" s="898"/>
      <c r="AH1368" s="898"/>
      <c r="AI1368" s="898"/>
      <c r="AJ1368" s="898"/>
      <c r="AK1368" s="898"/>
      <c r="AL1368" s="898"/>
      <c r="AM1368" s="897"/>
      <c r="AN1368" s="897"/>
      <c r="AO1368" s="897"/>
      <c r="AP1368" s="897"/>
      <c r="AQ1368" s="897"/>
      <c r="AR1368" s="897"/>
      <c r="AS1368" s="897"/>
      <c r="AT1368" s="897"/>
    </row>
    <row r="1369" spans="1:46" s="930" customFormat="1">
      <c r="A1369" s="892"/>
      <c r="B1369" s="899"/>
      <c r="C1369" s="900"/>
      <c r="D1369" s="894"/>
      <c r="E1369" s="936"/>
      <c r="F1369" s="905"/>
      <c r="G1369" s="896"/>
      <c r="H1369" s="897"/>
      <c r="I1369" s="897"/>
      <c r="J1369" s="897"/>
      <c r="K1369" s="897"/>
      <c r="L1369" s="898"/>
      <c r="M1369" s="898"/>
      <c r="N1369" s="898"/>
      <c r="O1369" s="898"/>
      <c r="P1369" s="898"/>
      <c r="Q1369" s="898"/>
      <c r="R1369" s="898"/>
      <c r="S1369" s="898"/>
      <c r="T1369" s="898"/>
      <c r="U1369" s="898"/>
      <c r="V1369" s="898"/>
      <c r="W1369" s="898"/>
      <c r="X1369" s="898"/>
      <c r="Y1369" s="898"/>
      <c r="Z1369" s="898"/>
      <c r="AA1369" s="898"/>
      <c r="AB1369" s="898"/>
      <c r="AC1369" s="898"/>
      <c r="AD1369" s="898"/>
      <c r="AE1369" s="898"/>
      <c r="AF1369" s="898"/>
      <c r="AG1369" s="898"/>
      <c r="AH1369" s="898"/>
      <c r="AI1369" s="898"/>
      <c r="AJ1369" s="898"/>
      <c r="AK1369" s="898"/>
      <c r="AL1369" s="898"/>
      <c r="AM1369" s="897"/>
      <c r="AN1369" s="897"/>
      <c r="AO1369" s="897"/>
      <c r="AP1369" s="897"/>
      <c r="AQ1369" s="897"/>
      <c r="AR1369" s="897"/>
      <c r="AS1369" s="897"/>
      <c r="AT1369" s="897"/>
    </row>
    <row r="1370" spans="1:46" s="930" customFormat="1">
      <c r="A1370" s="892"/>
      <c r="B1370" s="899"/>
      <c r="C1370" s="900"/>
      <c r="D1370" s="894"/>
      <c r="E1370" s="936"/>
      <c r="F1370" s="905"/>
      <c r="G1370" s="896"/>
      <c r="H1370" s="897"/>
      <c r="I1370" s="897"/>
      <c r="J1370" s="897"/>
      <c r="K1370" s="897"/>
      <c r="L1370" s="898"/>
      <c r="M1370" s="898"/>
      <c r="N1370" s="898"/>
      <c r="O1370" s="898"/>
      <c r="P1370" s="898"/>
      <c r="Q1370" s="898"/>
      <c r="R1370" s="898"/>
      <c r="S1370" s="898"/>
      <c r="T1370" s="898"/>
      <c r="U1370" s="898"/>
      <c r="V1370" s="898"/>
      <c r="W1370" s="898"/>
      <c r="X1370" s="898"/>
      <c r="Y1370" s="898"/>
      <c r="Z1370" s="898"/>
      <c r="AA1370" s="898"/>
      <c r="AB1370" s="898"/>
      <c r="AC1370" s="898"/>
      <c r="AD1370" s="898"/>
      <c r="AE1370" s="898"/>
      <c r="AF1370" s="898"/>
      <c r="AG1370" s="898"/>
      <c r="AH1370" s="898"/>
      <c r="AI1370" s="898"/>
      <c r="AJ1370" s="898"/>
      <c r="AK1370" s="898"/>
      <c r="AL1370" s="898"/>
      <c r="AM1370" s="897"/>
      <c r="AN1370" s="897"/>
      <c r="AO1370" s="897"/>
      <c r="AP1370" s="897"/>
      <c r="AQ1370" s="897"/>
      <c r="AR1370" s="897"/>
      <c r="AS1370" s="897"/>
      <c r="AT1370" s="897"/>
    </row>
    <row r="1371" spans="1:46" s="930" customFormat="1">
      <c r="A1371" s="892"/>
      <c r="B1371" s="899"/>
      <c r="C1371" s="900"/>
      <c r="D1371" s="894"/>
      <c r="E1371" s="936"/>
      <c r="F1371" s="905"/>
      <c r="G1371" s="896"/>
      <c r="H1371" s="897"/>
      <c r="I1371" s="897"/>
      <c r="J1371" s="897"/>
      <c r="K1371" s="897"/>
      <c r="L1371" s="898"/>
      <c r="M1371" s="898"/>
      <c r="N1371" s="898"/>
      <c r="O1371" s="898"/>
      <c r="P1371" s="898"/>
      <c r="Q1371" s="898"/>
      <c r="R1371" s="898"/>
      <c r="S1371" s="898"/>
      <c r="T1371" s="898"/>
      <c r="U1371" s="898"/>
      <c r="V1371" s="898"/>
      <c r="W1371" s="898"/>
      <c r="X1371" s="898"/>
      <c r="Y1371" s="898"/>
      <c r="Z1371" s="898"/>
      <c r="AA1371" s="898"/>
      <c r="AB1371" s="898"/>
      <c r="AC1371" s="898"/>
      <c r="AD1371" s="898"/>
      <c r="AE1371" s="898"/>
      <c r="AF1371" s="898"/>
      <c r="AG1371" s="898"/>
      <c r="AH1371" s="898"/>
      <c r="AI1371" s="898"/>
      <c r="AJ1371" s="898"/>
      <c r="AK1371" s="898"/>
      <c r="AL1371" s="898"/>
      <c r="AM1371" s="897"/>
      <c r="AN1371" s="897"/>
      <c r="AO1371" s="897"/>
      <c r="AP1371" s="897"/>
      <c r="AQ1371" s="897"/>
      <c r="AR1371" s="897"/>
      <c r="AS1371" s="897"/>
      <c r="AT1371" s="897"/>
    </row>
    <row r="1372" spans="1:46" s="930" customFormat="1">
      <c r="A1372" s="892"/>
      <c r="B1372" s="899"/>
      <c r="C1372" s="900"/>
      <c r="D1372" s="894"/>
      <c r="E1372" s="936"/>
      <c r="F1372" s="905"/>
      <c r="G1372" s="896"/>
      <c r="H1372" s="897"/>
      <c r="I1372" s="897"/>
      <c r="J1372" s="897"/>
      <c r="K1372" s="897"/>
      <c r="L1372" s="898"/>
      <c r="M1372" s="898"/>
      <c r="N1372" s="898"/>
      <c r="O1372" s="898"/>
      <c r="P1372" s="898"/>
      <c r="Q1372" s="898"/>
      <c r="R1372" s="898"/>
      <c r="S1372" s="898"/>
      <c r="T1372" s="898"/>
      <c r="U1372" s="898"/>
      <c r="V1372" s="898"/>
      <c r="W1372" s="898"/>
      <c r="X1372" s="898"/>
      <c r="Y1372" s="898"/>
      <c r="Z1372" s="898"/>
      <c r="AA1372" s="898"/>
      <c r="AB1372" s="898"/>
      <c r="AC1372" s="898"/>
      <c r="AD1372" s="898"/>
      <c r="AE1372" s="898"/>
      <c r="AF1372" s="898"/>
      <c r="AG1372" s="898"/>
      <c r="AH1372" s="898"/>
      <c r="AI1372" s="898"/>
      <c r="AJ1372" s="898"/>
      <c r="AK1372" s="898"/>
      <c r="AL1372" s="898"/>
      <c r="AM1372" s="897"/>
      <c r="AN1372" s="897"/>
      <c r="AO1372" s="897"/>
      <c r="AP1372" s="897"/>
      <c r="AQ1372" s="897"/>
      <c r="AR1372" s="897"/>
      <c r="AS1372" s="897"/>
      <c r="AT1372" s="897"/>
    </row>
    <row r="1373" spans="1:46" s="930" customFormat="1">
      <c r="A1373" s="892"/>
      <c r="B1373" s="899"/>
      <c r="C1373" s="900"/>
      <c r="D1373" s="894"/>
      <c r="E1373" s="936"/>
      <c r="F1373" s="905"/>
      <c r="G1373" s="896"/>
      <c r="H1373" s="897"/>
      <c r="I1373" s="897"/>
      <c r="J1373" s="897"/>
      <c r="K1373" s="897"/>
      <c r="L1373" s="898"/>
      <c r="M1373" s="898"/>
      <c r="N1373" s="898"/>
      <c r="O1373" s="898"/>
      <c r="P1373" s="898"/>
      <c r="Q1373" s="898"/>
      <c r="R1373" s="898"/>
      <c r="S1373" s="898"/>
      <c r="T1373" s="898"/>
      <c r="U1373" s="898"/>
      <c r="V1373" s="898"/>
      <c r="W1373" s="898"/>
      <c r="X1373" s="898"/>
      <c r="Y1373" s="898"/>
      <c r="Z1373" s="898"/>
      <c r="AA1373" s="898"/>
      <c r="AB1373" s="898"/>
      <c r="AC1373" s="898"/>
      <c r="AD1373" s="898"/>
      <c r="AE1373" s="898"/>
      <c r="AF1373" s="898"/>
      <c r="AG1373" s="898"/>
      <c r="AH1373" s="898"/>
      <c r="AI1373" s="898"/>
      <c r="AJ1373" s="898"/>
      <c r="AK1373" s="898"/>
      <c r="AL1373" s="898"/>
      <c r="AM1373" s="897"/>
      <c r="AN1373" s="897"/>
      <c r="AO1373" s="897"/>
      <c r="AP1373" s="897"/>
      <c r="AQ1373" s="897"/>
      <c r="AR1373" s="897"/>
      <c r="AS1373" s="897"/>
      <c r="AT1373" s="897"/>
    </row>
    <row r="1374" spans="1:46" s="930" customFormat="1">
      <c r="A1374" s="892"/>
      <c r="B1374" s="899"/>
      <c r="C1374" s="900"/>
      <c r="D1374" s="894"/>
      <c r="E1374" s="936"/>
      <c r="F1374" s="905"/>
      <c r="G1374" s="896"/>
      <c r="H1374" s="897"/>
      <c r="I1374" s="897"/>
      <c r="J1374" s="897"/>
      <c r="K1374" s="897"/>
      <c r="L1374" s="898"/>
      <c r="M1374" s="898"/>
      <c r="N1374" s="898"/>
      <c r="O1374" s="898"/>
      <c r="P1374" s="898"/>
      <c r="Q1374" s="898"/>
      <c r="R1374" s="898"/>
      <c r="S1374" s="898"/>
      <c r="T1374" s="898"/>
      <c r="U1374" s="898"/>
      <c r="V1374" s="898"/>
      <c r="W1374" s="898"/>
      <c r="X1374" s="898"/>
      <c r="Y1374" s="898"/>
      <c r="Z1374" s="898"/>
      <c r="AA1374" s="898"/>
      <c r="AB1374" s="898"/>
      <c r="AC1374" s="898"/>
      <c r="AD1374" s="898"/>
      <c r="AE1374" s="898"/>
      <c r="AF1374" s="898"/>
      <c r="AG1374" s="898"/>
      <c r="AH1374" s="898"/>
      <c r="AI1374" s="898"/>
      <c r="AJ1374" s="898"/>
      <c r="AK1374" s="898"/>
      <c r="AL1374" s="898"/>
      <c r="AM1374" s="897"/>
      <c r="AN1374" s="897"/>
      <c r="AO1374" s="897"/>
      <c r="AP1374" s="897"/>
      <c r="AQ1374" s="897"/>
      <c r="AR1374" s="897"/>
      <c r="AS1374" s="897"/>
      <c r="AT1374" s="897"/>
    </row>
    <row r="1375" spans="1:46" s="930" customFormat="1">
      <c r="A1375" s="892"/>
      <c r="B1375" s="899"/>
      <c r="C1375" s="900"/>
      <c r="D1375" s="894"/>
      <c r="E1375" s="936"/>
      <c r="F1375" s="905"/>
      <c r="G1375" s="896"/>
      <c r="H1375" s="897"/>
      <c r="I1375" s="897"/>
      <c r="J1375" s="897"/>
      <c r="K1375" s="897"/>
      <c r="L1375" s="898"/>
      <c r="M1375" s="898"/>
      <c r="N1375" s="898"/>
      <c r="O1375" s="898"/>
      <c r="P1375" s="898"/>
      <c r="Q1375" s="898"/>
      <c r="R1375" s="898"/>
      <c r="S1375" s="898"/>
      <c r="T1375" s="898"/>
      <c r="U1375" s="898"/>
      <c r="V1375" s="898"/>
      <c r="W1375" s="898"/>
      <c r="X1375" s="898"/>
      <c r="Y1375" s="898"/>
      <c r="Z1375" s="898"/>
      <c r="AA1375" s="898"/>
      <c r="AB1375" s="898"/>
      <c r="AC1375" s="898"/>
      <c r="AD1375" s="898"/>
      <c r="AE1375" s="898"/>
      <c r="AF1375" s="898"/>
      <c r="AG1375" s="898"/>
      <c r="AH1375" s="898"/>
      <c r="AI1375" s="898"/>
      <c r="AJ1375" s="898"/>
      <c r="AK1375" s="898"/>
      <c r="AL1375" s="898"/>
      <c r="AM1375" s="897"/>
      <c r="AN1375" s="897"/>
      <c r="AO1375" s="897"/>
      <c r="AP1375" s="897"/>
      <c r="AQ1375" s="897"/>
      <c r="AR1375" s="897"/>
      <c r="AS1375" s="897"/>
      <c r="AT1375" s="897"/>
    </row>
    <row r="1376" spans="1:46" s="930" customFormat="1">
      <c r="A1376" s="892"/>
      <c r="B1376" s="899"/>
      <c r="C1376" s="900"/>
      <c r="D1376" s="894"/>
      <c r="E1376" s="936"/>
      <c r="F1376" s="905"/>
      <c r="G1376" s="896"/>
      <c r="H1376" s="897"/>
      <c r="I1376" s="897"/>
      <c r="J1376" s="897"/>
      <c r="K1376" s="897"/>
      <c r="L1376" s="898"/>
      <c r="M1376" s="898"/>
      <c r="N1376" s="898"/>
      <c r="O1376" s="898"/>
      <c r="P1376" s="898"/>
      <c r="Q1376" s="898"/>
      <c r="R1376" s="898"/>
      <c r="S1376" s="898"/>
      <c r="T1376" s="898"/>
      <c r="U1376" s="898"/>
      <c r="V1376" s="898"/>
      <c r="W1376" s="898"/>
      <c r="X1376" s="898"/>
      <c r="Y1376" s="898"/>
      <c r="Z1376" s="898"/>
      <c r="AA1376" s="898"/>
      <c r="AB1376" s="898"/>
      <c r="AC1376" s="898"/>
      <c r="AD1376" s="898"/>
      <c r="AE1376" s="898"/>
      <c r="AF1376" s="898"/>
      <c r="AG1376" s="898"/>
      <c r="AH1376" s="898"/>
      <c r="AI1376" s="898"/>
      <c r="AJ1376" s="898"/>
      <c r="AK1376" s="898"/>
      <c r="AL1376" s="898"/>
      <c r="AM1376" s="897"/>
      <c r="AN1376" s="897"/>
      <c r="AO1376" s="897"/>
      <c r="AP1376" s="897"/>
      <c r="AQ1376" s="897"/>
      <c r="AR1376" s="897"/>
      <c r="AS1376" s="897"/>
      <c r="AT1376" s="897"/>
    </row>
    <row r="1377" spans="1:46" s="930" customFormat="1">
      <c r="A1377" s="892"/>
      <c r="B1377" s="899"/>
      <c r="C1377" s="900"/>
      <c r="D1377" s="894"/>
      <c r="E1377" s="936"/>
      <c r="F1377" s="905"/>
      <c r="G1377" s="896"/>
      <c r="H1377" s="897"/>
      <c r="I1377" s="897"/>
      <c r="J1377" s="897"/>
      <c r="K1377" s="897"/>
      <c r="L1377" s="898"/>
      <c r="M1377" s="898"/>
      <c r="N1377" s="898"/>
      <c r="O1377" s="898"/>
      <c r="P1377" s="898"/>
      <c r="Q1377" s="898"/>
      <c r="R1377" s="898"/>
      <c r="S1377" s="898"/>
      <c r="T1377" s="898"/>
      <c r="U1377" s="898"/>
      <c r="V1377" s="898"/>
      <c r="W1377" s="898"/>
      <c r="X1377" s="898"/>
      <c r="Y1377" s="898"/>
      <c r="Z1377" s="898"/>
      <c r="AA1377" s="898"/>
      <c r="AB1377" s="898"/>
      <c r="AC1377" s="898"/>
      <c r="AD1377" s="898"/>
      <c r="AE1377" s="898"/>
      <c r="AF1377" s="898"/>
      <c r="AG1377" s="898"/>
      <c r="AH1377" s="898"/>
      <c r="AI1377" s="898"/>
      <c r="AJ1377" s="898"/>
      <c r="AK1377" s="898"/>
      <c r="AL1377" s="898"/>
      <c r="AM1377" s="897"/>
      <c r="AN1377" s="897"/>
      <c r="AO1377" s="897"/>
      <c r="AP1377" s="897"/>
      <c r="AQ1377" s="897"/>
      <c r="AR1377" s="897"/>
      <c r="AS1377" s="897"/>
      <c r="AT1377" s="897"/>
    </row>
    <row r="1378" spans="1:46" s="930" customFormat="1">
      <c r="A1378" s="892"/>
      <c r="B1378" s="899"/>
      <c r="C1378" s="900"/>
      <c r="D1378" s="894"/>
      <c r="E1378" s="936"/>
      <c r="F1378" s="905"/>
      <c r="G1378" s="896"/>
      <c r="H1378" s="897"/>
      <c r="I1378" s="897"/>
      <c r="J1378" s="897"/>
      <c r="K1378" s="897"/>
      <c r="L1378" s="898"/>
      <c r="M1378" s="898"/>
      <c r="N1378" s="898"/>
      <c r="O1378" s="898"/>
      <c r="P1378" s="898"/>
      <c r="Q1378" s="898"/>
      <c r="R1378" s="898"/>
      <c r="S1378" s="898"/>
      <c r="T1378" s="898"/>
      <c r="U1378" s="898"/>
      <c r="V1378" s="898"/>
      <c r="W1378" s="898"/>
      <c r="X1378" s="898"/>
      <c r="Y1378" s="898"/>
      <c r="Z1378" s="898"/>
      <c r="AA1378" s="898"/>
      <c r="AB1378" s="898"/>
      <c r="AC1378" s="898"/>
      <c r="AD1378" s="898"/>
      <c r="AE1378" s="898"/>
      <c r="AF1378" s="898"/>
      <c r="AG1378" s="898"/>
      <c r="AH1378" s="898"/>
      <c r="AI1378" s="898"/>
      <c r="AJ1378" s="898"/>
      <c r="AK1378" s="898"/>
      <c r="AL1378" s="898"/>
      <c r="AM1378" s="897"/>
      <c r="AN1378" s="897"/>
      <c r="AO1378" s="897"/>
      <c r="AP1378" s="897"/>
      <c r="AQ1378" s="897"/>
      <c r="AR1378" s="897"/>
      <c r="AS1378" s="897"/>
      <c r="AT1378" s="897"/>
    </row>
    <row r="1379" spans="1:46" s="930" customFormat="1">
      <c r="A1379" s="892"/>
      <c r="B1379" s="899"/>
      <c r="C1379" s="900"/>
      <c r="D1379" s="894"/>
      <c r="E1379" s="936"/>
      <c r="F1379" s="905"/>
      <c r="G1379" s="896"/>
      <c r="H1379" s="897"/>
      <c r="I1379" s="897"/>
      <c r="J1379" s="897"/>
      <c r="K1379" s="897"/>
      <c r="L1379" s="898"/>
      <c r="M1379" s="898"/>
      <c r="N1379" s="898"/>
      <c r="O1379" s="898"/>
      <c r="P1379" s="898"/>
      <c r="Q1379" s="898"/>
      <c r="R1379" s="898"/>
      <c r="S1379" s="898"/>
      <c r="T1379" s="898"/>
      <c r="U1379" s="898"/>
      <c r="V1379" s="898"/>
      <c r="W1379" s="898"/>
      <c r="X1379" s="898"/>
      <c r="Y1379" s="898"/>
      <c r="Z1379" s="898"/>
      <c r="AA1379" s="898"/>
      <c r="AB1379" s="898"/>
      <c r="AC1379" s="898"/>
      <c r="AD1379" s="898"/>
      <c r="AE1379" s="898"/>
      <c r="AF1379" s="898"/>
      <c r="AG1379" s="898"/>
      <c r="AH1379" s="898"/>
      <c r="AI1379" s="898"/>
      <c r="AJ1379" s="898"/>
      <c r="AK1379" s="898"/>
      <c r="AL1379" s="898"/>
      <c r="AM1379" s="897"/>
      <c r="AN1379" s="897"/>
      <c r="AO1379" s="897"/>
      <c r="AP1379" s="897"/>
      <c r="AQ1379" s="897"/>
      <c r="AR1379" s="897"/>
      <c r="AS1379" s="897"/>
      <c r="AT1379" s="897"/>
    </row>
    <row r="1380" spans="1:46" s="930" customFormat="1">
      <c r="A1380" s="892"/>
      <c r="B1380" s="899"/>
      <c r="C1380" s="900"/>
      <c r="D1380" s="894"/>
      <c r="E1380" s="936"/>
      <c r="F1380" s="905"/>
      <c r="G1380" s="896"/>
      <c r="H1380" s="897"/>
      <c r="I1380" s="897"/>
      <c r="J1380" s="897"/>
      <c r="K1380" s="897"/>
      <c r="L1380" s="898"/>
      <c r="M1380" s="898"/>
      <c r="N1380" s="898"/>
      <c r="O1380" s="898"/>
      <c r="P1380" s="898"/>
      <c r="Q1380" s="898"/>
      <c r="R1380" s="898"/>
      <c r="S1380" s="898"/>
      <c r="T1380" s="898"/>
      <c r="U1380" s="898"/>
      <c r="V1380" s="898"/>
      <c r="W1380" s="898"/>
      <c r="X1380" s="898"/>
      <c r="Y1380" s="898"/>
      <c r="Z1380" s="898"/>
      <c r="AA1380" s="898"/>
      <c r="AB1380" s="898"/>
      <c r="AC1380" s="898"/>
      <c r="AD1380" s="898"/>
      <c r="AE1380" s="898"/>
      <c r="AF1380" s="898"/>
      <c r="AG1380" s="898"/>
      <c r="AH1380" s="898"/>
      <c r="AI1380" s="898"/>
      <c r="AJ1380" s="898"/>
      <c r="AK1380" s="898"/>
      <c r="AL1380" s="898"/>
      <c r="AM1380" s="897"/>
      <c r="AN1380" s="897"/>
      <c r="AO1380" s="897"/>
      <c r="AP1380" s="897"/>
      <c r="AQ1380" s="897"/>
      <c r="AR1380" s="897"/>
      <c r="AS1380" s="897"/>
      <c r="AT1380" s="897"/>
    </row>
    <row r="1381" spans="1:46" s="930" customFormat="1">
      <c r="A1381" s="892"/>
      <c r="B1381" s="899"/>
      <c r="C1381" s="900"/>
      <c r="D1381" s="894"/>
      <c r="E1381" s="936"/>
      <c r="F1381" s="905"/>
      <c r="G1381" s="896"/>
      <c r="H1381" s="897"/>
      <c r="I1381" s="897"/>
      <c r="J1381" s="897"/>
      <c r="K1381" s="897"/>
      <c r="L1381" s="898"/>
      <c r="M1381" s="898"/>
      <c r="N1381" s="898"/>
      <c r="O1381" s="898"/>
      <c r="P1381" s="898"/>
      <c r="Q1381" s="898"/>
      <c r="R1381" s="898"/>
      <c r="S1381" s="898"/>
      <c r="T1381" s="898"/>
      <c r="U1381" s="898"/>
      <c r="V1381" s="898"/>
      <c r="W1381" s="898"/>
      <c r="X1381" s="898"/>
      <c r="Y1381" s="898"/>
      <c r="Z1381" s="898"/>
      <c r="AA1381" s="898"/>
      <c r="AB1381" s="898"/>
      <c r="AC1381" s="898"/>
      <c r="AD1381" s="898"/>
      <c r="AE1381" s="898"/>
      <c r="AF1381" s="898"/>
      <c r="AG1381" s="898"/>
      <c r="AH1381" s="898"/>
      <c r="AI1381" s="898"/>
      <c r="AJ1381" s="898"/>
      <c r="AK1381" s="898"/>
      <c r="AL1381" s="898"/>
      <c r="AM1381" s="897"/>
      <c r="AN1381" s="897"/>
      <c r="AO1381" s="897"/>
      <c r="AP1381" s="897"/>
      <c r="AQ1381" s="897"/>
      <c r="AR1381" s="897"/>
      <c r="AS1381" s="897"/>
      <c r="AT1381" s="897"/>
    </row>
    <row r="1382" spans="1:46" s="930" customFormat="1">
      <c r="A1382" s="892"/>
      <c r="B1382" s="899"/>
      <c r="C1382" s="900"/>
      <c r="D1382" s="894"/>
      <c r="E1382" s="936"/>
      <c r="F1382" s="905"/>
      <c r="G1382" s="896"/>
      <c r="H1382" s="897"/>
      <c r="I1382" s="897"/>
      <c r="J1382" s="897"/>
      <c r="K1382" s="897"/>
      <c r="L1382" s="898"/>
      <c r="M1382" s="898"/>
      <c r="N1382" s="898"/>
      <c r="O1382" s="898"/>
      <c r="P1382" s="898"/>
      <c r="Q1382" s="898"/>
      <c r="R1382" s="898"/>
      <c r="S1382" s="898"/>
      <c r="T1382" s="898"/>
      <c r="U1382" s="898"/>
      <c r="V1382" s="898"/>
      <c r="W1382" s="898"/>
      <c r="X1382" s="898"/>
      <c r="Y1382" s="898"/>
      <c r="Z1382" s="898"/>
      <c r="AA1382" s="898"/>
      <c r="AB1382" s="898"/>
      <c r="AC1382" s="898"/>
      <c r="AD1382" s="898"/>
      <c r="AE1382" s="898"/>
      <c r="AF1382" s="898"/>
      <c r="AG1382" s="898"/>
      <c r="AH1382" s="898"/>
      <c r="AI1382" s="898"/>
      <c r="AJ1382" s="898"/>
      <c r="AK1382" s="898"/>
      <c r="AL1382" s="898"/>
      <c r="AM1382" s="897"/>
      <c r="AN1382" s="897"/>
      <c r="AO1382" s="897"/>
      <c r="AP1382" s="897"/>
      <c r="AQ1382" s="897"/>
      <c r="AR1382" s="897"/>
      <c r="AS1382" s="897"/>
      <c r="AT1382" s="897"/>
    </row>
    <row r="1383" spans="1:46" s="930" customFormat="1">
      <c r="A1383" s="892"/>
      <c r="B1383" s="899"/>
      <c r="C1383" s="900"/>
      <c r="D1383" s="894"/>
      <c r="E1383" s="936"/>
      <c r="F1383" s="905"/>
      <c r="G1383" s="896"/>
      <c r="H1383" s="897"/>
      <c r="I1383" s="897"/>
      <c r="J1383" s="897"/>
      <c r="K1383" s="897"/>
      <c r="L1383" s="898"/>
      <c r="M1383" s="898"/>
      <c r="N1383" s="898"/>
      <c r="O1383" s="898"/>
      <c r="P1383" s="898"/>
      <c r="Q1383" s="898"/>
      <c r="R1383" s="898"/>
      <c r="S1383" s="898"/>
      <c r="T1383" s="898"/>
      <c r="U1383" s="898"/>
      <c r="V1383" s="898"/>
      <c r="W1383" s="898"/>
      <c r="X1383" s="898"/>
      <c r="Y1383" s="898"/>
      <c r="Z1383" s="898"/>
      <c r="AA1383" s="898"/>
      <c r="AB1383" s="898"/>
      <c r="AC1383" s="898"/>
      <c r="AD1383" s="898"/>
      <c r="AE1383" s="898"/>
      <c r="AF1383" s="898"/>
      <c r="AG1383" s="898"/>
      <c r="AH1383" s="898"/>
      <c r="AI1383" s="898"/>
      <c r="AJ1383" s="898"/>
      <c r="AK1383" s="898"/>
      <c r="AL1383" s="898"/>
      <c r="AM1383" s="897"/>
      <c r="AN1383" s="897"/>
      <c r="AO1383" s="897"/>
      <c r="AP1383" s="897"/>
      <c r="AQ1383" s="897"/>
      <c r="AR1383" s="897"/>
      <c r="AS1383" s="897"/>
      <c r="AT1383" s="897"/>
    </row>
    <row r="1384" spans="1:46" s="930" customFormat="1">
      <c r="A1384" s="892"/>
      <c r="B1384" s="899"/>
      <c r="C1384" s="900"/>
      <c r="D1384" s="894"/>
      <c r="E1384" s="936"/>
      <c r="F1384" s="905"/>
      <c r="G1384" s="896"/>
      <c r="H1384" s="897"/>
      <c r="I1384" s="897"/>
      <c r="J1384" s="897"/>
      <c r="K1384" s="897"/>
      <c r="L1384" s="898"/>
      <c r="M1384" s="898"/>
      <c r="N1384" s="898"/>
      <c r="O1384" s="898"/>
      <c r="P1384" s="898"/>
      <c r="Q1384" s="898"/>
      <c r="R1384" s="898"/>
      <c r="S1384" s="898"/>
      <c r="T1384" s="898"/>
      <c r="U1384" s="898"/>
      <c r="V1384" s="898"/>
      <c r="W1384" s="898"/>
      <c r="X1384" s="898"/>
      <c r="Y1384" s="898"/>
      <c r="Z1384" s="898"/>
      <c r="AA1384" s="898"/>
      <c r="AB1384" s="898"/>
      <c r="AC1384" s="898"/>
      <c r="AD1384" s="898"/>
      <c r="AE1384" s="898"/>
      <c r="AF1384" s="898"/>
      <c r="AG1384" s="898"/>
      <c r="AH1384" s="898"/>
      <c r="AI1384" s="898"/>
      <c r="AJ1384" s="898"/>
      <c r="AK1384" s="898"/>
      <c r="AL1384" s="898"/>
      <c r="AM1384" s="897"/>
      <c r="AN1384" s="897"/>
      <c r="AO1384" s="897"/>
      <c r="AP1384" s="897"/>
      <c r="AQ1384" s="897"/>
      <c r="AR1384" s="897"/>
      <c r="AS1384" s="897"/>
      <c r="AT1384" s="897"/>
    </row>
    <row r="1385" spans="1:46" s="930" customFormat="1">
      <c r="A1385" s="892"/>
      <c r="B1385" s="899"/>
      <c r="C1385" s="900"/>
      <c r="D1385" s="894"/>
      <c r="E1385" s="936"/>
      <c r="F1385" s="905"/>
      <c r="G1385" s="896"/>
      <c r="H1385" s="897"/>
      <c r="I1385" s="897"/>
      <c r="J1385" s="897"/>
      <c r="K1385" s="897"/>
      <c r="L1385" s="898"/>
      <c r="M1385" s="898"/>
      <c r="N1385" s="898"/>
      <c r="O1385" s="898"/>
      <c r="P1385" s="898"/>
      <c r="Q1385" s="898"/>
      <c r="R1385" s="898"/>
      <c r="S1385" s="898"/>
      <c r="T1385" s="898"/>
      <c r="U1385" s="898"/>
      <c r="V1385" s="898"/>
      <c r="W1385" s="898"/>
      <c r="X1385" s="898"/>
      <c r="Y1385" s="898"/>
      <c r="Z1385" s="898"/>
      <c r="AA1385" s="898"/>
      <c r="AB1385" s="898"/>
      <c r="AC1385" s="898"/>
      <c r="AD1385" s="898"/>
      <c r="AE1385" s="898"/>
      <c r="AF1385" s="898"/>
      <c r="AG1385" s="898"/>
      <c r="AH1385" s="898"/>
      <c r="AI1385" s="898"/>
      <c r="AJ1385" s="898"/>
      <c r="AK1385" s="898"/>
      <c r="AL1385" s="898"/>
      <c r="AM1385" s="897"/>
      <c r="AN1385" s="897"/>
      <c r="AO1385" s="897"/>
      <c r="AP1385" s="897"/>
      <c r="AQ1385" s="897"/>
      <c r="AR1385" s="897"/>
      <c r="AS1385" s="897"/>
      <c r="AT1385" s="897"/>
    </row>
    <row r="1386" spans="1:46" s="930" customFormat="1">
      <c r="A1386" s="892"/>
      <c r="B1386" s="899"/>
      <c r="C1386" s="900"/>
      <c r="D1386" s="894"/>
      <c r="E1386" s="936"/>
      <c r="F1386" s="905"/>
      <c r="G1386" s="896"/>
      <c r="H1386" s="897"/>
      <c r="I1386" s="897"/>
      <c r="J1386" s="897"/>
      <c r="K1386" s="897"/>
      <c r="L1386" s="898"/>
      <c r="M1386" s="898"/>
      <c r="N1386" s="898"/>
      <c r="O1386" s="898"/>
      <c r="P1386" s="898"/>
      <c r="Q1386" s="898"/>
      <c r="R1386" s="898"/>
      <c r="S1386" s="898"/>
      <c r="T1386" s="898"/>
      <c r="U1386" s="898"/>
      <c r="V1386" s="898"/>
      <c r="W1386" s="898"/>
      <c r="X1386" s="898"/>
      <c r="Y1386" s="898"/>
      <c r="Z1386" s="898"/>
      <c r="AA1386" s="898"/>
      <c r="AB1386" s="898"/>
      <c r="AC1386" s="898"/>
      <c r="AD1386" s="898"/>
      <c r="AE1386" s="898"/>
      <c r="AF1386" s="898"/>
      <c r="AG1386" s="898"/>
      <c r="AH1386" s="898"/>
      <c r="AI1386" s="898"/>
      <c r="AJ1386" s="898"/>
      <c r="AK1386" s="898"/>
      <c r="AL1386" s="898"/>
      <c r="AM1386" s="897"/>
      <c r="AN1386" s="897"/>
      <c r="AO1386" s="897"/>
      <c r="AP1386" s="897"/>
      <c r="AQ1386" s="897"/>
      <c r="AR1386" s="897"/>
      <c r="AS1386" s="897"/>
      <c r="AT1386" s="897"/>
    </row>
    <row r="1387" spans="1:46" s="930" customFormat="1">
      <c r="A1387" s="892"/>
      <c r="B1387" s="899"/>
      <c r="C1387" s="900"/>
      <c r="D1387" s="894"/>
      <c r="E1387" s="936"/>
      <c r="F1387" s="905"/>
      <c r="G1387" s="896"/>
      <c r="H1387" s="897"/>
      <c r="I1387" s="897"/>
      <c r="J1387" s="897"/>
      <c r="K1387" s="897"/>
      <c r="L1387" s="898"/>
      <c r="M1387" s="898"/>
      <c r="N1387" s="898"/>
      <c r="O1387" s="898"/>
      <c r="P1387" s="898"/>
      <c r="Q1387" s="898"/>
      <c r="R1387" s="898"/>
      <c r="S1387" s="898"/>
      <c r="T1387" s="898"/>
      <c r="U1387" s="898"/>
      <c r="V1387" s="898"/>
      <c r="W1387" s="898"/>
      <c r="X1387" s="898"/>
      <c r="Y1387" s="898"/>
      <c r="Z1387" s="898"/>
      <c r="AA1387" s="898"/>
      <c r="AB1387" s="898"/>
      <c r="AC1387" s="898"/>
      <c r="AD1387" s="898"/>
      <c r="AE1387" s="898"/>
      <c r="AF1387" s="898"/>
      <c r="AG1387" s="898"/>
      <c r="AH1387" s="898"/>
      <c r="AI1387" s="898"/>
      <c r="AJ1387" s="898"/>
      <c r="AK1387" s="898"/>
      <c r="AL1387" s="898"/>
      <c r="AM1387" s="897"/>
      <c r="AN1387" s="897"/>
      <c r="AO1387" s="897"/>
      <c r="AP1387" s="897"/>
      <c r="AQ1387" s="897"/>
      <c r="AR1387" s="897"/>
      <c r="AS1387" s="897"/>
      <c r="AT1387" s="897"/>
    </row>
    <row r="1388" spans="1:46" s="930" customFormat="1">
      <c r="A1388" s="892"/>
      <c r="B1388" s="899"/>
      <c r="C1388" s="900"/>
      <c r="D1388" s="894"/>
      <c r="E1388" s="936"/>
      <c r="F1388" s="905"/>
      <c r="G1388" s="896"/>
      <c r="H1388" s="897"/>
      <c r="I1388" s="897"/>
      <c r="J1388" s="897"/>
      <c r="K1388" s="897"/>
      <c r="L1388" s="898"/>
      <c r="M1388" s="898"/>
      <c r="N1388" s="898"/>
      <c r="O1388" s="898"/>
      <c r="P1388" s="898"/>
      <c r="Q1388" s="898"/>
      <c r="R1388" s="898"/>
      <c r="S1388" s="898"/>
      <c r="T1388" s="898"/>
      <c r="U1388" s="898"/>
      <c r="V1388" s="898"/>
      <c r="W1388" s="898"/>
      <c r="X1388" s="898"/>
      <c r="Y1388" s="898"/>
      <c r="Z1388" s="898"/>
      <c r="AA1388" s="898"/>
      <c r="AB1388" s="898"/>
      <c r="AC1388" s="898"/>
      <c r="AD1388" s="898"/>
      <c r="AE1388" s="898"/>
      <c r="AF1388" s="898"/>
      <c r="AG1388" s="898"/>
      <c r="AH1388" s="898"/>
      <c r="AI1388" s="898"/>
      <c r="AJ1388" s="898"/>
      <c r="AK1388" s="898"/>
      <c r="AL1388" s="898"/>
      <c r="AM1388" s="897"/>
      <c r="AN1388" s="897"/>
      <c r="AO1388" s="897"/>
      <c r="AP1388" s="897"/>
      <c r="AQ1388" s="897"/>
      <c r="AR1388" s="897"/>
      <c r="AS1388" s="897"/>
      <c r="AT1388" s="897"/>
    </row>
    <row r="1389" spans="1:46" s="930" customFormat="1">
      <c r="A1389" s="892"/>
      <c r="B1389" s="899"/>
      <c r="C1389" s="900"/>
      <c r="D1389" s="894"/>
      <c r="E1389" s="936"/>
      <c r="F1389" s="905"/>
      <c r="G1389" s="896"/>
      <c r="H1389" s="897"/>
      <c r="I1389" s="897"/>
      <c r="J1389" s="897"/>
      <c r="K1389" s="897"/>
      <c r="L1389" s="898"/>
      <c r="M1389" s="898"/>
      <c r="N1389" s="898"/>
      <c r="O1389" s="898"/>
      <c r="P1389" s="898"/>
      <c r="Q1389" s="898"/>
      <c r="R1389" s="898"/>
      <c r="S1389" s="898"/>
      <c r="T1389" s="898"/>
      <c r="U1389" s="898"/>
      <c r="V1389" s="898"/>
      <c r="W1389" s="898"/>
      <c r="X1389" s="898"/>
      <c r="Y1389" s="898"/>
      <c r="Z1389" s="898"/>
      <c r="AA1389" s="898"/>
      <c r="AB1389" s="898"/>
      <c r="AC1389" s="898"/>
      <c r="AD1389" s="898"/>
      <c r="AE1389" s="898"/>
      <c r="AF1389" s="898"/>
      <c r="AG1389" s="898"/>
      <c r="AH1389" s="898"/>
      <c r="AI1389" s="898"/>
      <c r="AJ1389" s="898"/>
      <c r="AK1389" s="898"/>
      <c r="AL1389" s="898"/>
      <c r="AM1389" s="897"/>
      <c r="AN1389" s="897"/>
      <c r="AO1389" s="897"/>
      <c r="AP1389" s="897"/>
      <c r="AQ1389" s="897"/>
      <c r="AR1389" s="897"/>
      <c r="AS1389" s="897"/>
      <c r="AT1389" s="897"/>
    </row>
    <row r="1390" spans="1:46" s="930" customFormat="1">
      <c r="A1390" s="892"/>
      <c r="B1390" s="899"/>
      <c r="C1390" s="900"/>
      <c r="D1390" s="894"/>
      <c r="E1390" s="936"/>
      <c r="F1390" s="905"/>
      <c r="G1390" s="896"/>
      <c r="H1390" s="897"/>
      <c r="I1390" s="897"/>
      <c r="J1390" s="897"/>
      <c r="K1390" s="897"/>
      <c r="L1390" s="898"/>
      <c r="M1390" s="898"/>
      <c r="N1390" s="898"/>
      <c r="O1390" s="898"/>
      <c r="P1390" s="898"/>
      <c r="Q1390" s="898"/>
      <c r="R1390" s="898"/>
      <c r="S1390" s="898"/>
      <c r="T1390" s="898"/>
      <c r="U1390" s="898"/>
      <c r="V1390" s="898"/>
      <c r="W1390" s="898"/>
      <c r="X1390" s="898"/>
      <c r="Y1390" s="898"/>
      <c r="Z1390" s="898"/>
      <c r="AA1390" s="898"/>
      <c r="AB1390" s="898"/>
      <c r="AC1390" s="898"/>
      <c r="AD1390" s="898"/>
      <c r="AE1390" s="898"/>
      <c r="AF1390" s="898"/>
      <c r="AG1390" s="898"/>
      <c r="AH1390" s="898"/>
      <c r="AI1390" s="898"/>
      <c r="AJ1390" s="898"/>
      <c r="AK1390" s="898"/>
      <c r="AL1390" s="898"/>
      <c r="AM1390" s="897"/>
      <c r="AN1390" s="897"/>
      <c r="AO1390" s="897"/>
      <c r="AP1390" s="897"/>
      <c r="AQ1390" s="897"/>
      <c r="AR1390" s="897"/>
      <c r="AS1390" s="897"/>
      <c r="AT1390" s="897"/>
    </row>
    <row r="1391" spans="1:46" s="930" customFormat="1">
      <c r="A1391" s="892"/>
      <c r="B1391" s="899"/>
      <c r="C1391" s="900"/>
      <c r="D1391" s="894"/>
      <c r="E1391" s="936"/>
      <c r="F1391" s="905"/>
      <c r="G1391" s="896"/>
      <c r="H1391" s="897"/>
      <c r="I1391" s="897"/>
      <c r="J1391" s="897"/>
      <c r="K1391" s="897"/>
      <c r="L1391" s="898"/>
      <c r="M1391" s="898"/>
      <c r="N1391" s="898"/>
      <c r="O1391" s="898"/>
      <c r="P1391" s="898"/>
      <c r="Q1391" s="898"/>
      <c r="R1391" s="898"/>
      <c r="S1391" s="898"/>
      <c r="T1391" s="898"/>
      <c r="U1391" s="898"/>
      <c r="V1391" s="898"/>
      <c r="W1391" s="898"/>
      <c r="X1391" s="898"/>
      <c r="Y1391" s="898"/>
      <c r="Z1391" s="898"/>
      <c r="AA1391" s="898"/>
      <c r="AB1391" s="898"/>
      <c r="AC1391" s="898"/>
      <c r="AD1391" s="898"/>
      <c r="AE1391" s="898"/>
      <c r="AF1391" s="898"/>
      <c r="AG1391" s="898"/>
      <c r="AH1391" s="898"/>
      <c r="AI1391" s="898"/>
      <c r="AJ1391" s="898"/>
      <c r="AK1391" s="898"/>
      <c r="AL1391" s="898"/>
      <c r="AM1391" s="897"/>
      <c r="AN1391" s="897"/>
      <c r="AO1391" s="897"/>
      <c r="AP1391" s="897"/>
      <c r="AQ1391" s="897"/>
      <c r="AR1391" s="897"/>
      <c r="AS1391" s="897"/>
      <c r="AT1391" s="897"/>
    </row>
    <row r="1392" spans="1:46" s="930" customFormat="1">
      <c r="A1392" s="892"/>
      <c r="B1392" s="899"/>
      <c r="C1392" s="900"/>
      <c r="D1392" s="894"/>
      <c r="E1392" s="936"/>
      <c r="F1392" s="905"/>
      <c r="G1392" s="896"/>
      <c r="H1392" s="897"/>
      <c r="I1392" s="897"/>
      <c r="J1392" s="897"/>
      <c r="K1392" s="897"/>
      <c r="L1392" s="898"/>
      <c r="M1392" s="898"/>
      <c r="N1392" s="898"/>
      <c r="O1392" s="898"/>
      <c r="P1392" s="898"/>
      <c r="Q1392" s="898"/>
      <c r="R1392" s="898"/>
      <c r="S1392" s="898"/>
      <c r="T1392" s="898"/>
      <c r="U1392" s="898"/>
      <c r="V1392" s="898"/>
      <c r="W1392" s="898"/>
      <c r="X1392" s="898"/>
      <c r="Y1392" s="898"/>
      <c r="Z1392" s="898"/>
      <c r="AA1392" s="898"/>
      <c r="AB1392" s="898"/>
      <c r="AC1392" s="898"/>
      <c r="AD1392" s="898"/>
      <c r="AE1392" s="898"/>
      <c r="AF1392" s="898"/>
      <c r="AG1392" s="898"/>
      <c r="AH1392" s="898"/>
      <c r="AI1392" s="898"/>
      <c r="AJ1392" s="898"/>
      <c r="AK1392" s="898"/>
      <c r="AL1392" s="898"/>
      <c r="AM1392" s="897"/>
      <c r="AN1392" s="897"/>
      <c r="AO1392" s="897"/>
      <c r="AP1392" s="897"/>
      <c r="AQ1392" s="897"/>
      <c r="AR1392" s="897"/>
      <c r="AS1392" s="897"/>
      <c r="AT1392" s="897"/>
    </row>
    <row r="1393" spans="1:46" s="930" customFormat="1">
      <c r="A1393" s="892"/>
      <c r="B1393" s="899"/>
      <c r="C1393" s="900"/>
      <c r="D1393" s="894"/>
      <c r="E1393" s="936"/>
      <c r="F1393" s="905"/>
      <c r="G1393" s="896"/>
      <c r="H1393" s="897"/>
      <c r="I1393" s="897"/>
      <c r="J1393" s="897"/>
      <c r="K1393" s="897"/>
      <c r="L1393" s="898"/>
      <c r="M1393" s="898"/>
      <c r="N1393" s="898"/>
      <c r="O1393" s="898"/>
      <c r="P1393" s="898"/>
      <c r="Q1393" s="898"/>
      <c r="R1393" s="898"/>
      <c r="S1393" s="898"/>
      <c r="T1393" s="898"/>
      <c r="U1393" s="898"/>
      <c r="V1393" s="898"/>
      <c r="W1393" s="898"/>
      <c r="X1393" s="898"/>
      <c r="Y1393" s="898"/>
      <c r="Z1393" s="898"/>
      <c r="AA1393" s="898"/>
      <c r="AB1393" s="898"/>
      <c r="AC1393" s="898"/>
      <c r="AD1393" s="898"/>
      <c r="AE1393" s="898"/>
      <c r="AF1393" s="898"/>
      <c r="AG1393" s="898"/>
      <c r="AH1393" s="898"/>
      <c r="AI1393" s="898"/>
      <c r="AJ1393" s="898"/>
      <c r="AK1393" s="898"/>
      <c r="AL1393" s="898"/>
      <c r="AM1393" s="897"/>
      <c r="AN1393" s="897"/>
      <c r="AO1393" s="897"/>
      <c r="AP1393" s="897"/>
      <c r="AQ1393" s="897"/>
      <c r="AR1393" s="897"/>
      <c r="AS1393" s="897"/>
      <c r="AT1393" s="897"/>
    </row>
    <row r="1394" spans="1:46">
      <c r="B1394" s="899"/>
      <c r="C1394" s="900"/>
      <c r="D1394" s="894"/>
      <c r="E1394" s="936"/>
      <c r="F1394" s="905"/>
      <c r="G1394" s="896"/>
      <c r="H1394" s="897"/>
      <c r="I1394" s="897"/>
      <c r="J1394" s="897"/>
      <c r="K1394" s="897"/>
    </row>
    <row r="1395" spans="1:46">
      <c r="B1395" s="899"/>
      <c r="C1395" s="900"/>
      <c r="D1395" s="894"/>
      <c r="E1395" s="936"/>
      <c r="F1395" s="905"/>
      <c r="G1395" s="896"/>
      <c r="H1395" s="897"/>
      <c r="I1395" s="897"/>
      <c r="J1395" s="897"/>
      <c r="K1395" s="897"/>
    </row>
  </sheetData>
  <sheetProtection formatCells="0" formatColumns="0" formatRows="0"/>
  <dataConsolidate/>
  <mergeCells count="253">
    <mergeCell ref="K2:N2"/>
    <mergeCell ref="A4:A7"/>
    <mergeCell ref="B4:B7"/>
    <mergeCell ref="F4:G4"/>
    <mergeCell ref="F5:G5"/>
    <mergeCell ref="B8:G8"/>
    <mergeCell ref="B16:G16"/>
    <mergeCell ref="A18:G18"/>
    <mergeCell ref="A29:G29"/>
    <mergeCell ref="E27:F27"/>
    <mergeCell ref="F6:G6"/>
    <mergeCell ref="E9:F9"/>
    <mergeCell ref="E10:F10"/>
    <mergeCell ref="E11:F11"/>
    <mergeCell ref="E12:F12"/>
    <mergeCell ref="E13:F13"/>
    <mergeCell ref="E22:F22"/>
    <mergeCell ref="E23:F23"/>
    <mergeCell ref="E24:F24"/>
    <mergeCell ref="E15:F15"/>
    <mergeCell ref="E17:F17"/>
    <mergeCell ref="E19:F19"/>
    <mergeCell ref="E21:F21"/>
    <mergeCell ref="E25:F25"/>
    <mergeCell ref="E176:F176"/>
    <mergeCell ref="E177:F177"/>
    <mergeCell ref="E178:F178"/>
    <mergeCell ref="E179:F179"/>
    <mergeCell ref="E181:F181"/>
    <mergeCell ref="E182:F182"/>
    <mergeCell ref="B253:E253"/>
    <mergeCell ref="B254:E254"/>
    <mergeCell ref="B255:E255"/>
    <mergeCell ref="A206:G206"/>
    <mergeCell ref="E195:F195"/>
    <mergeCell ref="E196:F196"/>
    <mergeCell ref="E197:F197"/>
    <mergeCell ref="E198:F198"/>
    <mergeCell ref="A180:G180"/>
    <mergeCell ref="E187:F187"/>
    <mergeCell ref="E188:F188"/>
    <mergeCell ref="E199:F199"/>
    <mergeCell ref="E200:F200"/>
    <mergeCell ref="E189:F189"/>
    <mergeCell ref="E190:F190"/>
    <mergeCell ref="E191:F191"/>
    <mergeCell ref="E192:F192"/>
    <mergeCell ref="E193:F193"/>
    <mergeCell ref="E26:F26"/>
    <mergeCell ref="E161:F161"/>
    <mergeCell ref="E162:F162"/>
    <mergeCell ref="E163:F163"/>
    <mergeCell ref="E175:F175"/>
    <mergeCell ref="E28:F28"/>
    <mergeCell ref="E30:F30"/>
    <mergeCell ref="E31:F31"/>
    <mergeCell ref="E33:F33"/>
    <mergeCell ref="E34:F34"/>
    <mergeCell ref="E37:F37"/>
    <mergeCell ref="A110:G110"/>
    <mergeCell ref="A78:G78"/>
    <mergeCell ref="A87:G87"/>
    <mergeCell ref="A32:G32"/>
    <mergeCell ref="A35:G35"/>
    <mergeCell ref="E84:F84"/>
    <mergeCell ref="E85:F85"/>
    <mergeCell ref="E86:F86"/>
    <mergeCell ref="E88:F88"/>
    <mergeCell ref="E90:F90"/>
    <mergeCell ref="E38:F38"/>
    <mergeCell ref="E39:F39"/>
    <mergeCell ref="E40:F40"/>
    <mergeCell ref="E42:F42"/>
    <mergeCell ref="E43:F43"/>
    <mergeCell ref="E44:F44"/>
    <mergeCell ref="E45:F45"/>
    <mergeCell ref="E46:F46"/>
    <mergeCell ref="E48:F48"/>
    <mergeCell ref="E50:F50"/>
    <mergeCell ref="E60:F60"/>
    <mergeCell ref="E61:F61"/>
    <mergeCell ref="E57:F57"/>
    <mergeCell ref="E62:F62"/>
    <mergeCell ref="E63:F63"/>
    <mergeCell ref="E65:F65"/>
    <mergeCell ref="E183:F183"/>
    <mergeCell ref="A41:G41"/>
    <mergeCell ref="A47:G47"/>
    <mergeCell ref="A53:G53"/>
    <mergeCell ref="B58:G58"/>
    <mergeCell ref="A59:G59"/>
    <mergeCell ref="A64:G64"/>
    <mergeCell ref="A114:G114"/>
    <mergeCell ref="A121:G121"/>
    <mergeCell ref="A131:G131"/>
    <mergeCell ref="E113:F113"/>
    <mergeCell ref="E115:F115"/>
    <mergeCell ref="E116:F116"/>
    <mergeCell ref="E117:F117"/>
    <mergeCell ref="E126:F126"/>
    <mergeCell ref="E127:F127"/>
    <mergeCell ref="E51:F51"/>
    <mergeCell ref="E52:F52"/>
    <mergeCell ref="E54:F54"/>
    <mergeCell ref="E55:F55"/>
    <mergeCell ref="E56:F56"/>
    <mergeCell ref="E68:F68"/>
    <mergeCell ref="A72:G72"/>
    <mergeCell ref="E107:F107"/>
    <mergeCell ref="E109:F109"/>
    <mergeCell ref="E105:F105"/>
    <mergeCell ref="E106:F106"/>
    <mergeCell ref="E69:F69"/>
    <mergeCell ref="E70:F70"/>
    <mergeCell ref="E71:F71"/>
    <mergeCell ref="E73:F73"/>
    <mergeCell ref="E75:F75"/>
    <mergeCell ref="E76:F76"/>
    <mergeCell ref="E91:F91"/>
    <mergeCell ref="E92:F92"/>
    <mergeCell ref="E93:F93"/>
    <mergeCell ref="E94:F94"/>
    <mergeCell ref="E95:F95"/>
    <mergeCell ref="E97:F97"/>
    <mergeCell ref="E83:F83"/>
    <mergeCell ref="B108:G108"/>
    <mergeCell ref="E77:F77"/>
    <mergeCell ref="E79:F79"/>
    <mergeCell ref="E81:F81"/>
    <mergeCell ref="E111:F111"/>
    <mergeCell ref="E112:F112"/>
    <mergeCell ref="E98:F98"/>
    <mergeCell ref="E99:F99"/>
    <mergeCell ref="E100:F100"/>
    <mergeCell ref="E101:F101"/>
    <mergeCell ref="E102:F102"/>
    <mergeCell ref="E104:F104"/>
    <mergeCell ref="E82:F82"/>
    <mergeCell ref="A96:G96"/>
    <mergeCell ref="B103:G103"/>
    <mergeCell ref="E128:F128"/>
    <mergeCell ref="E129:F129"/>
    <mergeCell ref="E130:F130"/>
    <mergeCell ref="E132:F132"/>
    <mergeCell ref="E118:F118"/>
    <mergeCell ref="E119:F119"/>
    <mergeCell ref="E120:F120"/>
    <mergeCell ref="E122:F122"/>
    <mergeCell ref="E124:F124"/>
    <mergeCell ref="E125:F125"/>
    <mergeCell ref="E144:F144"/>
    <mergeCell ref="E145:F145"/>
    <mergeCell ref="E133:F133"/>
    <mergeCell ref="E134:F134"/>
    <mergeCell ref="E135:F135"/>
    <mergeCell ref="E136:F136"/>
    <mergeCell ref="E138:F138"/>
    <mergeCell ref="E140:F140"/>
    <mergeCell ref="E147:F147"/>
    <mergeCell ref="E143:F143"/>
    <mergeCell ref="A146:G146"/>
    <mergeCell ref="E142:F142"/>
    <mergeCell ref="E141:F141"/>
    <mergeCell ref="B137:G137"/>
    <mergeCell ref="E148:F148"/>
    <mergeCell ref="E149:F149"/>
    <mergeCell ref="E150:F150"/>
    <mergeCell ref="E170:F170"/>
    <mergeCell ref="E171:F171"/>
    <mergeCell ref="E172:F172"/>
    <mergeCell ref="E173:F173"/>
    <mergeCell ref="E174:F174"/>
    <mergeCell ref="E164:F164"/>
    <mergeCell ref="E165:F165"/>
    <mergeCell ref="E166:F166"/>
    <mergeCell ref="E167:F167"/>
    <mergeCell ref="E168:F168"/>
    <mergeCell ref="E169:F169"/>
    <mergeCell ref="B151:G151"/>
    <mergeCell ref="B159:G159"/>
    <mergeCell ref="A160:G160"/>
    <mergeCell ref="E152:F152"/>
    <mergeCell ref="E153:F153"/>
    <mergeCell ref="E154:F154"/>
    <mergeCell ref="E155:F155"/>
    <mergeCell ref="E156:F156"/>
    <mergeCell ref="E157:F157"/>
    <mergeCell ref="E158:F158"/>
    <mergeCell ref="E204:F204"/>
    <mergeCell ref="E207:F207"/>
    <mergeCell ref="E208:F208"/>
    <mergeCell ref="E209:F209"/>
    <mergeCell ref="A215:G215"/>
    <mergeCell ref="E213:F213"/>
    <mergeCell ref="E194:F194"/>
    <mergeCell ref="E184:F184"/>
    <mergeCell ref="E185:F185"/>
    <mergeCell ref="E186:F186"/>
    <mergeCell ref="E210:F210"/>
    <mergeCell ref="A202:G202"/>
    <mergeCell ref="B205:G205"/>
    <mergeCell ref="E211:F211"/>
    <mergeCell ref="E212:F212"/>
    <mergeCell ref="E247:F247"/>
    <mergeCell ref="E248:F248"/>
    <mergeCell ref="E249:F249"/>
    <mergeCell ref="E233:F233"/>
    <mergeCell ref="E234:F234"/>
    <mergeCell ref="E235:F235"/>
    <mergeCell ref="E236:F236"/>
    <mergeCell ref="E237:F237"/>
    <mergeCell ref="E238:F238"/>
    <mergeCell ref="B243:G243"/>
    <mergeCell ref="E242:F242"/>
    <mergeCell ref="B239:G239"/>
    <mergeCell ref="E240:F240"/>
    <mergeCell ref="E241:F241"/>
    <mergeCell ref="E244:F244"/>
    <mergeCell ref="E245:F245"/>
    <mergeCell ref="E246:F246"/>
    <mergeCell ref="E227:F227"/>
    <mergeCell ref="E228:F228"/>
    <mergeCell ref="E230:F230"/>
    <mergeCell ref="E232:F232"/>
    <mergeCell ref="A229:G229"/>
    <mergeCell ref="E14:F14"/>
    <mergeCell ref="E231:F231"/>
    <mergeCell ref="E20:F20"/>
    <mergeCell ref="C19:C20"/>
    <mergeCell ref="D19:D20"/>
    <mergeCell ref="E66:F66"/>
    <mergeCell ref="E67:F67"/>
    <mergeCell ref="E74:F74"/>
    <mergeCell ref="E80:F80"/>
    <mergeCell ref="E123:F123"/>
    <mergeCell ref="E49:F49"/>
    <mergeCell ref="E36:F36"/>
    <mergeCell ref="E89:F89"/>
    <mergeCell ref="E139:F139"/>
    <mergeCell ref="E218:F218"/>
    <mergeCell ref="E219:F219"/>
    <mergeCell ref="E221:F221"/>
    <mergeCell ref="E201:F201"/>
    <mergeCell ref="E203:F203"/>
    <mergeCell ref="E222:F222"/>
    <mergeCell ref="E223:F223"/>
    <mergeCell ref="E224:F224"/>
    <mergeCell ref="A220:G220"/>
    <mergeCell ref="E214:F214"/>
    <mergeCell ref="E216:F216"/>
    <mergeCell ref="E217:F217"/>
    <mergeCell ref="E225:F225"/>
    <mergeCell ref="E226:F226"/>
  </mergeCells>
  <printOptions horizontalCentered="1"/>
  <pageMargins left="0.75" right="0.75" top="1" bottom="1" header="0.5" footer="0.5"/>
  <pageSetup scale="62" fitToHeight="2" orientation="portrait" r:id="rId1"/>
  <headerFooter alignWithMargins="0">
    <oddHeader>&amp;L&amp;"Arial,Bold"&amp;GSteven Winter Associates Inc.&amp;"Arial,Regular"
          Building Systems Consultants       &amp;C
307 7th Avenue Suite 1701
New York, NY 10001&amp;R
Telephone:  212-564-5800
Website:  www.swinter.com</oddHeader>
    <oddFooter xml:space="preserve">&amp;LConnecticut Office: 
50 Washington Street
Norwalk, CT 06854
&amp;C© 2009 Steven Winter Associates, Inc. All rights reserved.&amp;RTelephone: 212-857-0200
</oddFooter>
  </headerFooter>
</worksheet>
</file>

<file path=xl/worksheets/sheet2.xml><?xml version="1.0" encoding="utf-8"?>
<worksheet xmlns="http://schemas.openxmlformats.org/spreadsheetml/2006/main" xmlns:r="http://schemas.openxmlformats.org/officeDocument/2006/relationships">
  <sheetPr codeName="Sheet3"/>
  <dimension ref="B2:E16"/>
  <sheetViews>
    <sheetView showGridLines="0" workbookViewId="0">
      <selection activeCell="E3" sqref="E3"/>
    </sheetView>
  </sheetViews>
  <sheetFormatPr defaultRowHeight="12"/>
  <cols>
    <col min="1" max="1" width="9.140625" style="482"/>
    <col min="2" max="2" width="32.7109375" style="482" bestFit="1" customWidth="1"/>
    <col min="3" max="3" width="11.7109375" style="482" customWidth="1"/>
    <col min="4" max="4" width="16.7109375" style="482" bestFit="1" customWidth="1"/>
    <col min="5" max="16384" width="9.140625" style="482"/>
  </cols>
  <sheetData>
    <row r="2" spans="2:5">
      <c r="B2" s="627" t="s">
        <v>1270</v>
      </c>
      <c r="C2" s="627" t="s">
        <v>30</v>
      </c>
      <c r="D2" s="627" t="s">
        <v>31</v>
      </c>
      <c r="E2" s="627" t="s">
        <v>2689</v>
      </c>
    </row>
    <row r="3" spans="2:5">
      <c r="B3" s="485" t="s">
        <v>18</v>
      </c>
      <c r="C3" s="733">
        <f>'Basic Info'!C11</f>
        <v>0</v>
      </c>
      <c r="D3" s="733" t="str">
        <f>'Basic Info'!D11</f>
        <v>N/A</v>
      </c>
      <c r="E3" s="484">
        <f>IF(OR(D3="Heated &amp; Cooled",D3="Heated-Only")=TRUE,C3,0)</f>
        <v>0</v>
      </c>
    </row>
    <row r="4" spans="2:5">
      <c r="B4" s="485" t="s">
        <v>980</v>
      </c>
      <c r="C4" s="733">
        <f>'Basic Info'!C12</f>
        <v>0</v>
      </c>
      <c r="D4" s="733" t="str">
        <f>'Basic Info'!D12</f>
        <v>N/A</v>
      </c>
      <c r="E4" s="484">
        <f>IF(OR(D4="Heated &amp; Cooled",D4="Heated-Only")=TRUE,C4,0)</f>
        <v>0</v>
      </c>
    </row>
    <row r="5" spans="2:5">
      <c r="B5" s="485" t="s">
        <v>981</v>
      </c>
      <c r="C5" s="733">
        <f>'Basic Info'!C13</f>
        <v>0</v>
      </c>
      <c r="D5" s="733" t="str">
        <f>'Basic Info'!D13</f>
        <v>N/A</v>
      </c>
      <c r="E5" s="484">
        <f t="shared" ref="E5:E14" si="0">IF(OR(D5="Heated &amp; Cooled",D5="Heated-Only")=TRUE,C5,0)</f>
        <v>0</v>
      </c>
    </row>
    <row r="6" spans="2:5">
      <c r="B6" s="485" t="s">
        <v>984</v>
      </c>
      <c r="C6" s="733">
        <f>'Basic Info'!C14</f>
        <v>0</v>
      </c>
      <c r="D6" s="733" t="str">
        <f>'Basic Info'!D14</f>
        <v>N/A</v>
      </c>
      <c r="E6" s="484">
        <f t="shared" si="0"/>
        <v>0</v>
      </c>
    </row>
    <row r="7" spans="2:5">
      <c r="B7" s="485" t="s">
        <v>985</v>
      </c>
      <c r="C7" s="733">
        <f>'Basic Info'!C15</f>
        <v>0</v>
      </c>
      <c r="D7" s="733" t="str">
        <f>'Basic Info'!D15</f>
        <v>N/A</v>
      </c>
      <c r="E7" s="484">
        <f t="shared" si="0"/>
        <v>0</v>
      </c>
    </row>
    <row r="8" spans="2:5">
      <c r="B8" s="485" t="s">
        <v>986</v>
      </c>
      <c r="C8" s="733">
        <f>'Basic Info'!C16</f>
        <v>0</v>
      </c>
      <c r="D8" s="733" t="str">
        <f>'Basic Info'!D16</f>
        <v>N/A</v>
      </c>
      <c r="E8" s="484">
        <f t="shared" si="0"/>
        <v>0</v>
      </c>
    </row>
    <row r="9" spans="2:5">
      <c r="B9" s="485" t="s">
        <v>987</v>
      </c>
      <c r="C9" s="733">
        <f>'Basic Info'!C17</f>
        <v>0</v>
      </c>
      <c r="D9" s="733" t="str">
        <f>'Basic Info'!D17</f>
        <v>N/A</v>
      </c>
      <c r="E9" s="484">
        <f t="shared" si="0"/>
        <v>0</v>
      </c>
    </row>
    <row r="10" spans="2:5">
      <c r="B10" s="485" t="s">
        <v>1207</v>
      </c>
      <c r="C10" s="733">
        <f>'Basic Info'!C18</f>
        <v>0</v>
      </c>
      <c r="D10" s="733" t="str">
        <f>'Basic Info'!D18</f>
        <v>N/A</v>
      </c>
      <c r="E10" s="484">
        <f t="shared" si="0"/>
        <v>0</v>
      </c>
    </row>
    <row r="11" spans="2:5">
      <c r="B11" s="485" t="s">
        <v>1271</v>
      </c>
      <c r="C11" s="733">
        <f>'Basic Info'!C19</f>
        <v>0</v>
      </c>
      <c r="D11" s="733" t="str">
        <f>'Basic Info'!D19</f>
        <v>N/A</v>
      </c>
      <c r="E11" s="484">
        <f t="shared" si="0"/>
        <v>0</v>
      </c>
    </row>
    <row r="12" spans="2:5">
      <c r="B12" s="485" t="s">
        <v>988</v>
      </c>
      <c r="C12" s="733">
        <f>'Basic Info'!C20</f>
        <v>0</v>
      </c>
      <c r="D12" s="733" t="str">
        <f>'Basic Info'!D20</f>
        <v>N/A</v>
      </c>
      <c r="E12" s="484">
        <f t="shared" si="0"/>
        <v>0</v>
      </c>
    </row>
    <row r="13" spans="2:5">
      <c r="B13" s="485" t="s">
        <v>989</v>
      </c>
      <c r="C13" s="733">
        <f>'Basic Info'!C21</f>
        <v>0</v>
      </c>
      <c r="D13" s="733" t="str">
        <f>'Basic Info'!D21</f>
        <v>N/A</v>
      </c>
      <c r="E13" s="484">
        <f t="shared" si="0"/>
        <v>0</v>
      </c>
    </row>
    <row r="14" spans="2:5">
      <c r="B14" s="485" t="s">
        <v>990</v>
      </c>
      <c r="C14" s="733">
        <f>'Basic Info'!C22</f>
        <v>0</v>
      </c>
      <c r="D14" s="733" t="str">
        <f>'Basic Info'!D22</f>
        <v>N/A</v>
      </c>
      <c r="E14" s="484">
        <f t="shared" si="0"/>
        <v>0</v>
      </c>
    </row>
    <row r="15" spans="2:5" ht="12.75" thickBot="1">
      <c r="B15" s="734" t="s">
        <v>2588</v>
      </c>
      <c r="C15" s="735">
        <f>'Basic Info'!C23</f>
        <v>0</v>
      </c>
      <c r="D15" s="735" t="str">
        <f>'Basic Info'!D23</f>
        <v>N/A</v>
      </c>
      <c r="E15" s="736">
        <f>SUM(E3:E14)</f>
        <v>0</v>
      </c>
    </row>
    <row r="16" spans="2:5" ht="12.75" thickBot="1">
      <c r="D16" s="482" t="s">
        <v>3048</v>
      </c>
      <c r="E16" s="487">
        <f>SUM(E3:E13)</f>
        <v>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sheetPr>
    <tabColor theme="3" tint="0.39997558519241921"/>
    <pageSetUpPr fitToPage="1"/>
  </sheetPr>
  <dimension ref="A1:U181"/>
  <sheetViews>
    <sheetView showGridLines="0" zoomScaleNormal="100" zoomScaleSheetLayoutView="100" workbookViewId="0"/>
  </sheetViews>
  <sheetFormatPr defaultRowHeight="12"/>
  <cols>
    <col min="1" max="1" width="9.140625" style="1024"/>
    <col min="2" max="5" width="22.140625" style="1024" customWidth="1"/>
    <col min="6" max="6" width="27.7109375" style="1024" customWidth="1"/>
    <col min="7" max="7" width="12.42578125" style="1025" hidden="1" customWidth="1"/>
    <col min="8" max="10" width="15" style="1025" hidden="1" customWidth="1"/>
    <col min="11" max="11" width="10" style="1025" hidden="1" customWidth="1"/>
    <col min="12" max="12" width="23.28515625" style="1025" hidden="1" customWidth="1"/>
    <col min="13" max="13" width="11.5703125" style="1025" hidden="1" customWidth="1"/>
    <col min="14" max="14" width="5.7109375" style="1025" hidden="1" customWidth="1"/>
    <col min="15" max="15" width="5.7109375" style="1024" customWidth="1"/>
    <col min="16" max="16" width="17.28515625" style="1024" customWidth="1"/>
    <col min="17" max="17" width="20.28515625" style="1024" customWidth="1"/>
    <col min="18" max="18" width="11.140625" style="1024" bestFit="1" customWidth="1"/>
    <col min="19" max="20" width="9.140625" style="1024"/>
    <col min="21" max="21" width="9.140625" style="1024" hidden="1" customWidth="1"/>
    <col min="22" max="257" width="9.140625" style="1024"/>
    <col min="258" max="258" width="20" style="1024" customWidth="1"/>
    <col min="259" max="259" width="16.85546875" style="1024" customWidth="1"/>
    <col min="260" max="262" width="15.7109375" style="1024" customWidth="1"/>
    <col min="263" max="263" width="12.42578125" style="1024" customWidth="1"/>
    <col min="264" max="266" width="15" style="1024" customWidth="1"/>
    <col min="267" max="267" width="10" style="1024" customWidth="1"/>
    <col min="268" max="268" width="23.28515625" style="1024" customWidth="1"/>
    <col min="269" max="269" width="11.5703125" style="1024" customWidth="1"/>
    <col min="270" max="271" width="5.7109375" style="1024" customWidth="1"/>
    <col min="272" max="272" width="17.28515625" style="1024" customWidth="1"/>
    <col min="273" max="273" width="20.28515625" style="1024" customWidth="1"/>
    <col min="274" max="274" width="11.140625" style="1024" bestFit="1" customWidth="1"/>
    <col min="275" max="276" width="9.140625" style="1024"/>
    <col min="277" max="277" width="0" style="1024" hidden="1" customWidth="1"/>
    <col min="278" max="513" width="9.140625" style="1024"/>
    <col min="514" max="514" width="20" style="1024" customWidth="1"/>
    <col min="515" max="515" width="16.85546875" style="1024" customWidth="1"/>
    <col min="516" max="518" width="15.7109375" style="1024" customWidth="1"/>
    <col min="519" max="519" width="12.42578125" style="1024" customWidth="1"/>
    <col min="520" max="522" width="15" style="1024" customWidth="1"/>
    <col min="523" max="523" width="10" style="1024" customWidth="1"/>
    <col min="524" max="524" width="23.28515625" style="1024" customWidth="1"/>
    <col min="525" max="525" width="11.5703125" style="1024" customWidth="1"/>
    <col min="526" max="527" width="5.7109375" style="1024" customWidth="1"/>
    <col min="528" max="528" width="17.28515625" style="1024" customWidth="1"/>
    <col min="529" max="529" width="20.28515625" style="1024" customWidth="1"/>
    <col min="530" max="530" width="11.140625" style="1024" bestFit="1" customWidth="1"/>
    <col min="531" max="532" width="9.140625" style="1024"/>
    <col min="533" max="533" width="0" style="1024" hidden="1" customWidth="1"/>
    <col min="534" max="769" width="9.140625" style="1024"/>
    <col min="770" max="770" width="20" style="1024" customWidth="1"/>
    <col min="771" max="771" width="16.85546875" style="1024" customWidth="1"/>
    <col min="772" max="774" width="15.7109375" style="1024" customWidth="1"/>
    <col min="775" max="775" width="12.42578125" style="1024" customWidth="1"/>
    <col min="776" max="778" width="15" style="1024" customWidth="1"/>
    <col min="779" max="779" width="10" style="1024" customWidth="1"/>
    <col min="780" max="780" width="23.28515625" style="1024" customWidth="1"/>
    <col min="781" max="781" width="11.5703125" style="1024" customWidth="1"/>
    <col min="782" max="783" width="5.7109375" style="1024" customWidth="1"/>
    <col min="784" max="784" width="17.28515625" style="1024" customWidth="1"/>
    <col min="785" max="785" width="20.28515625" style="1024" customWidth="1"/>
    <col min="786" max="786" width="11.140625" style="1024" bestFit="1" customWidth="1"/>
    <col min="787" max="788" width="9.140625" style="1024"/>
    <col min="789" max="789" width="0" style="1024" hidden="1" customWidth="1"/>
    <col min="790" max="1025" width="9.140625" style="1024"/>
    <col min="1026" max="1026" width="20" style="1024" customWidth="1"/>
    <col min="1027" max="1027" width="16.85546875" style="1024" customWidth="1"/>
    <col min="1028" max="1030" width="15.7109375" style="1024" customWidth="1"/>
    <col min="1031" max="1031" width="12.42578125" style="1024" customWidth="1"/>
    <col min="1032" max="1034" width="15" style="1024" customWidth="1"/>
    <col min="1035" max="1035" width="10" style="1024" customWidth="1"/>
    <col min="1036" max="1036" width="23.28515625" style="1024" customWidth="1"/>
    <col min="1037" max="1037" width="11.5703125" style="1024" customWidth="1"/>
    <col min="1038" max="1039" width="5.7109375" style="1024" customWidth="1"/>
    <col min="1040" max="1040" width="17.28515625" style="1024" customWidth="1"/>
    <col min="1041" max="1041" width="20.28515625" style="1024" customWidth="1"/>
    <col min="1042" max="1042" width="11.140625" style="1024" bestFit="1" customWidth="1"/>
    <col min="1043" max="1044" width="9.140625" style="1024"/>
    <col min="1045" max="1045" width="0" style="1024" hidden="1" customWidth="1"/>
    <col min="1046" max="1281" width="9.140625" style="1024"/>
    <col min="1282" max="1282" width="20" style="1024" customWidth="1"/>
    <col min="1283" max="1283" width="16.85546875" style="1024" customWidth="1"/>
    <col min="1284" max="1286" width="15.7109375" style="1024" customWidth="1"/>
    <col min="1287" max="1287" width="12.42578125" style="1024" customWidth="1"/>
    <col min="1288" max="1290" width="15" style="1024" customWidth="1"/>
    <col min="1291" max="1291" width="10" style="1024" customWidth="1"/>
    <col min="1292" max="1292" width="23.28515625" style="1024" customWidth="1"/>
    <col min="1293" max="1293" width="11.5703125" style="1024" customWidth="1"/>
    <col min="1294" max="1295" width="5.7109375" style="1024" customWidth="1"/>
    <col min="1296" max="1296" width="17.28515625" style="1024" customWidth="1"/>
    <col min="1297" max="1297" width="20.28515625" style="1024" customWidth="1"/>
    <col min="1298" max="1298" width="11.140625" style="1024" bestFit="1" customWidth="1"/>
    <col min="1299" max="1300" width="9.140625" style="1024"/>
    <col min="1301" max="1301" width="0" style="1024" hidden="1" customWidth="1"/>
    <col min="1302" max="1537" width="9.140625" style="1024"/>
    <col min="1538" max="1538" width="20" style="1024" customWidth="1"/>
    <col min="1539" max="1539" width="16.85546875" style="1024" customWidth="1"/>
    <col min="1540" max="1542" width="15.7109375" style="1024" customWidth="1"/>
    <col min="1543" max="1543" width="12.42578125" style="1024" customWidth="1"/>
    <col min="1544" max="1546" width="15" style="1024" customWidth="1"/>
    <col min="1547" max="1547" width="10" style="1024" customWidth="1"/>
    <col min="1548" max="1548" width="23.28515625" style="1024" customWidth="1"/>
    <col min="1549" max="1549" width="11.5703125" style="1024" customWidth="1"/>
    <col min="1550" max="1551" width="5.7109375" style="1024" customWidth="1"/>
    <col min="1552" max="1552" width="17.28515625" style="1024" customWidth="1"/>
    <col min="1553" max="1553" width="20.28515625" style="1024" customWidth="1"/>
    <col min="1554" max="1554" width="11.140625" style="1024" bestFit="1" customWidth="1"/>
    <col min="1555" max="1556" width="9.140625" style="1024"/>
    <col min="1557" max="1557" width="0" style="1024" hidden="1" customWidth="1"/>
    <col min="1558" max="1793" width="9.140625" style="1024"/>
    <col min="1794" max="1794" width="20" style="1024" customWidth="1"/>
    <col min="1795" max="1795" width="16.85546875" style="1024" customWidth="1"/>
    <col min="1796" max="1798" width="15.7109375" style="1024" customWidth="1"/>
    <col min="1799" max="1799" width="12.42578125" style="1024" customWidth="1"/>
    <col min="1800" max="1802" width="15" style="1024" customWidth="1"/>
    <col min="1803" max="1803" width="10" style="1024" customWidth="1"/>
    <col min="1804" max="1804" width="23.28515625" style="1024" customWidth="1"/>
    <col min="1805" max="1805" width="11.5703125" style="1024" customWidth="1"/>
    <col min="1806" max="1807" width="5.7109375" style="1024" customWidth="1"/>
    <col min="1808" max="1808" width="17.28515625" style="1024" customWidth="1"/>
    <col min="1809" max="1809" width="20.28515625" style="1024" customWidth="1"/>
    <col min="1810" max="1810" width="11.140625" style="1024" bestFit="1" customWidth="1"/>
    <col min="1811" max="1812" width="9.140625" style="1024"/>
    <col min="1813" max="1813" width="0" style="1024" hidden="1" customWidth="1"/>
    <col min="1814" max="2049" width="9.140625" style="1024"/>
    <col min="2050" max="2050" width="20" style="1024" customWidth="1"/>
    <col min="2051" max="2051" width="16.85546875" style="1024" customWidth="1"/>
    <col min="2052" max="2054" width="15.7109375" style="1024" customWidth="1"/>
    <col min="2055" max="2055" width="12.42578125" style="1024" customWidth="1"/>
    <col min="2056" max="2058" width="15" style="1024" customWidth="1"/>
    <col min="2059" max="2059" width="10" style="1024" customWidth="1"/>
    <col min="2060" max="2060" width="23.28515625" style="1024" customWidth="1"/>
    <col min="2061" max="2061" width="11.5703125" style="1024" customWidth="1"/>
    <col min="2062" max="2063" width="5.7109375" style="1024" customWidth="1"/>
    <col min="2064" max="2064" width="17.28515625" style="1024" customWidth="1"/>
    <col min="2065" max="2065" width="20.28515625" style="1024" customWidth="1"/>
    <col min="2066" max="2066" width="11.140625" style="1024" bestFit="1" customWidth="1"/>
    <col min="2067" max="2068" width="9.140625" style="1024"/>
    <col min="2069" max="2069" width="0" style="1024" hidden="1" customWidth="1"/>
    <col min="2070" max="2305" width="9.140625" style="1024"/>
    <col min="2306" max="2306" width="20" style="1024" customWidth="1"/>
    <col min="2307" max="2307" width="16.85546875" style="1024" customWidth="1"/>
    <col min="2308" max="2310" width="15.7109375" style="1024" customWidth="1"/>
    <col min="2311" max="2311" width="12.42578125" style="1024" customWidth="1"/>
    <col min="2312" max="2314" width="15" style="1024" customWidth="1"/>
    <col min="2315" max="2315" width="10" style="1024" customWidth="1"/>
    <col min="2316" max="2316" width="23.28515625" style="1024" customWidth="1"/>
    <col min="2317" max="2317" width="11.5703125" style="1024" customWidth="1"/>
    <col min="2318" max="2319" width="5.7109375" style="1024" customWidth="1"/>
    <col min="2320" max="2320" width="17.28515625" style="1024" customWidth="1"/>
    <col min="2321" max="2321" width="20.28515625" style="1024" customWidth="1"/>
    <col min="2322" max="2322" width="11.140625" style="1024" bestFit="1" customWidth="1"/>
    <col min="2323" max="2324" width="9.140625" style="1024"/>
    <col min="2325" max="2325" width="0" style="1024" hidden="1" customWidth="1"/>
    <col min="2326" max="2561" width="9.140625" style="1024"/>
    <col min="2562" max="2562" width="20" style="1024" customWidth="1"/>
    <col min="2563" max="2563" width="16.85546875" style="1024" customWidth="1"/>
    <col min="2564" max="2566" width="15.7109375" style="1024" customWidth="1"/>
    <col min="2567" max="2567" width="12.42578125" style="1024" customWidth="1"/>
    <col min="2568" max="2570" width="15" style="1024" customWidth="1"/>
    <col min="2571" max="2571" width="10" style="1024" customWidth="1"/>
    <col min="2572" max="2572" width="23.28515625" style="1024" customWidth="1"/>
    <col min="2573" max="2573" width="11.5703125" style="1024" customWidth="1"/>
    <col min="2574" max="2575" width="5.7109375" style="1024" customWidth="1"/>
    <col min="2576" max="2576" width="17.28515625" style="1024" customWidth="1"/>
    <col min="2577" max="2577" width="20.28515625" style="1024" customWidth="1"/>
    <col min="2578" max="2578" width="11.140625" style="1024" bestFit="1" customWidth="1"/>
    <col min="2579" max="2580" width="9.140625" style="1024"/>
    <col min="2581" max="2581" width="0" style="1024" hidden="1" customWidth="1"/>
    <col min="2582" max="2817" width="9.140625" style="1024"/>
    <col min="2818" max="2818" width="20" style="1024" customWidth="1"/>
    <col min="2819" max="2819" width="16.85546875" style="1024" customWidth="1"/>
    <col min="2820" max="2822" width="15.7109375" style="1024" customWidth="1"/>
    <col min="2823" max="2823" width="12.42578125" style="1024" customWidth="1"/>
    <col min="2824" max="2826" width="15" style="1024" customWidth="1"/>
    <col min="2827" max="2827" width="10" style="1024" customWidth="1"/>
    <col min="2828" max="2828" width="23.28515625" style="1024" customWidth="1"/>
    <col min="2829" max="2829" width="11.5703125" style="1024" customWidth="1"/>
    <col min="2830" max="2831" width="5.7109375" style="1024" customWidth="1"/>
    <col min="2832" max="2832" width="17.28515625" style="1024" customWidth="1"/>
    <col min="2833" max="2833" width="20.28515625" style="1024" customWidth="1"/>
    <col min="2834" max="2834" width="11.140625" style="1024" bestFit="1" customWidth="1"/>
    <col min="2835" max="2836" width="9.140625" style="1024"/>
    <col min="2837" max="2837" width="0" style="1024" hidden="1" customWidth="1"/>
    <col min="2838" max="3073" width="9.140625" style="1024"/>
    <col min="3074" max="3074" width="20" style="1024" customWidth="1"/>
    <col min="3075" max="3075" width="16.85546875" style="1024" customWidth="1"/>
    <col min="3076" max="3078" width="15.7109375" style="1024" customWidth="1"/>
    <col min="3079" max="3079" width="12.42578125" style="1024" customWidth="1"/>
    <col min="3080" max="3082" width="15" style="1024" customWidth="1"/>
    <col min="3083" max="3083" width="10" style="1024" customWidth="1"/>
    <col min="3084" max="3084" width="23.28515625" style="1024" customWidth="1"/>
    <col min="3085" max="3085" width="11.5703125" style="1024" customWidth="1"/>
    <col min="3086" max="3087" width="5.7109375" style="1024" customWidth="1"/>
    <col min="3088" max="3088" width="17.28515625" style="1024" customWidth="1"/>
    <col min="3089" max="3089" width="20.28515625" style="1024" customWidth="1"/>
    <col min="3090" max="3090" width="11.140625" style="1024" bestFit="1" customWidth="1"/>
    <col min="3091" max="3092" width="9.140625" style="1024"/>
    <col min="3093" max="3093" width="0" style="1024" hidden="1" customWidth="1"/>
    <col min="3094" max="3329" width="9.140625" style="1024"/>
    <col min="3330" max="3330" width="20" style="1024" customWidth="1"/>
    <col min="3331" max="3331" width="16.85546875" style="1024" customWidth="1"/>
    <col min="3332" max="3334" width="15.7109375" style="1024" customWidth="1"/>
    <col min="3335" max="3335" width="12.42578125" style="1024" customWidth="1"/>
    <col min="3336" max="3338" width="15" style="1024" customWidth="1"/>
    <col min="3339" max="3339" width="10" style="1024" customWidth="1"/>
    <col min="3340" max="3340" width="23.28515625" style="1024" customWidth="1"/>
    <col min="3341" max="3341" width="11.5703125" style="1024" customWidth="1"/>
    <col min="3342" max="3343" width="5.7109375" style="1024" customWidth="1"/>
    <col min="3344" max="3344" width="17.28515625" style="1024" customWidth="1"/>
    <col min="3345" max="3345" width="20.28515625" style="1024" customWidth="1"/>
    <col min="3346" max="3346" width="11.140625" style="1024" bestFit="1" customWidth="1"/>
    <col min="3347" max="3348" width="9.140625" style="1024"/>
    <col min="3349" max="3349" width="0" style="1024" hidden="1" customWidth="1"/>
    <col min="3350" max="3585" width="9.140625" style="1024"/>
    <col min="3586" max="3586" width="20" style="1024" customWidth="1"/>
    <col min="3587" max="3587" width="16.85546875" style="1024" customWidth="1"/>
    <col min="3588" max="3590" width="15.7109375" style="1024" customWidth="1"/>
    <col min="3591" max="3591" width="12.42578125" style="1024" customWidth="1"/>
    <col min="3592" max="3594" width="15" style="1024" customWidth="1"/>
    <col min="3595" max="3595" width="10" style="1024" customWidth="1"/>
    <col min="3596" max="3596" width="23.28515625" style="1024" customWidth="1"/>
    <col min="3597" max="3597" width="11.5703125" style="1024" customWidth="1"/>
    <col min="3598" max="3599" width="5.7109375" style="1024" customWidth="1"/>
    <col min="3600" max="3600" width="17.28515625" style="1024" customWidth="1"/>
    <col min="3601" max="3601" width="20.28515625" style="1024" customWidth="1"/>
    <col min="3602" max="3602" width="11.140625" style="1024" bestFit="1" customWidth="1"/>
    <col min="3603" max="3604" width="9.140625" style="1024"/>
    <col min="3605" max="3605" width="0" style="1024" hidden="1" customWidth="1"/>
    <col min="3606" max="3841" width="9.140625" style="1024"/>
    <col min="3842" max="3842" width="20" style="1024" customWidth="1"/>
    <col min="3843" max="3843" width="16.85546875" style="1024" customWidth="1"/>
    <col min="3844" max="3846" width="15.7109375" style="1024" customWidth="1"/>
    <col min="3847" max="3847" width="12.42578125" style="1024" customWidth="1"/>
    <col min="3848" max="3850" width="15" style="1024" customWidth="1"/>
    <col min="3851" max="3851" width="10" style="1024" customWidth="1"/>
    <col min="3852" max="3852" width="23.28515625" style="1024" customWidth="1"/>
    <col min="3853" max="3853" width="11.5703125" style="1024" customWidth="1"/>
    <col min="3854" max="3855" width="5.7109375" style="1024" customWidth="1"/>
    <col min="3856" max="3856" width="17.28515625" style="1024" customWidth="1"/>
    <col min="3857" max="3857" width="20.28515625" style="1024" customWidth="1"/>
    <col min="3858" max="3858" width="11.140625" style="1024" bestFit="1" customWidth="1"/>
    <col min="3859" max="3860" width="9.140625" style="1024"/>
    <col min="3861" max="3861" width="0" style="1024" hidden="1" customWidth="1"/>
    <col min="3862" max="4097" width="9.140625" style="1024"/>
    <col min="4098" max="4098" width="20" style="1024" customWidth="1"/>
    <col min="4099" max="4099" width="16.85546875" style="1024" customWidth="1"/>
    <col min="4100" max="4102" width="15.7109375" style="1024" customWidth="1"/>
    <col min="4103" max="4103" width="12.42578125" style="1024" customWidth="1"/>
    <col min="4104" max="4106" width="15" style="1024" customWidth="1"/>
    <col min="4107" max="4107" width="10" style="1024" customWidth="1"/>
    <col min="4108" max="4108" width="23.28515625" style="1024" customWidth="1"/>
    <col min="4109" max="4109" width="11.5703125" style="1024" customWidth="1"/>
    <col min="4110" max="4111" width="5.7109375" style="1024" customWidth="1"/>
    <col min="4112" max="4112" width="17.28515625" style="1024" customWidth="1"/>
    <col min="4113" max="4113" width="20.28515625" style="1024" customWidth="1"/>
    <col min="4114" max="4114" width="11.140625" style="1024" bestFit="1" customWidth="1"/>
    <col min="4115" max="4116" width="9.140625" style="1024"/>
    <col min="4117" max="4117" width="0" style="1024" hidden="1" customWidth="1"/>
    <col min="4118" max="4353" width="9.140625" style="1024"/>
    <col min="4354" max="4354" width="20" style="1024" customWidth="1"/>
    <col min="4355" max="4355" width="16.85546875" style="1024" customWidth="1"/>
    <col min="4356" max="4358" width="15.7109375" style="1024" customWidth="1"/>
    <col min="4359" max="4359" width="12.42578125" style="1024" customWidth="1"/>
    <col min="4360" max="4362" width="15" style="1024" customWidth="1"/>
    <col min="4363" max="4363" width="10" style="1024" customWidth="1"/>
    <col min="4364" max="4364" width="23.28515625" style="1024" customWidth="1"/>
    <col min="4365" max="4365" width="11.5703125" style="1024" customWidth="1"/>
    <col min="4366" max="4367" width="5.7109375" style="1024" customWidth="1"/>
    <col min="4368" max="4368" width="17.28515625" style="1024" customWidth="1"/>
    <col min="4369" max="4369" width="20.28515625" style="1024" customWidth="1"/>
    <col min="4370" max="4370" width="11.140625" style="1024" bestFit="1" customWidth="1"/>
    <col min="4371" max="4372" width="9.140625" style="1024"/>
    <col min="4373" max="4373" width="0" style="1024" hidden="1" customWidth="1"/>
    <col min="4374" max="4609" width="9.140625" style="1024"/>
    <col min="4610" max="4610" width="20" style="1024" customWidth="1"/>
    <col min="4611" max="4611" width="16.85546875" style="1024" customWidth="1"/>
    <col min="4612" max="4614" width="15.7109375" style="1024" customWidth="1"/>
    <col min="4615" max="4615" width="12.42578125" style="1024" customWidth="1"/>
    <col min="4616" max="4618" width="15" style="1024" customWidth="1"/>
    <col min="4619" max="4619" width="10" style="1024" customWidth="1"/>
    <col min="4620" max="4620" width="23.28515625" style="1024" customWidth="1"/>
    <col min="4621" max="4621" width="11.5703125" style="1024" customWidth="1"/>
    <col min="4622" max="4623" width="5.7109375" style="1024" customWidth="1"/>
    <col min="4624" max="4624" width="17.28515625" style="1024" customWidth="1"/>
    <col min="4625" max="4625" width="20.28515625" style="1024" customWidth="1"/>
    <col min="4626" max="4626" width="11.140625" style="1024" bestFit="1" customWidth="1"/>
    <col min="4627" max="4628" width="9.140625" style="1024"/>
    <col min="4629" max="4629" width="0" style="1024" hidden="1" customWidth="1"/>
    <col min="4630" max="4865" width="9.140625" style="1024"/>
    <col min="4866" max="4866" width="20" style="1024" customWidth="1"/>
    <col min="4867" max="4867" width="16.85546875" style="1024" customWidth="1"/>
    <col min="4868" max="4870" width="15.7109375" style="1024" customWidth="1"/>
    <col min="4871" max="4871" width="12.42578125" style="1024" customWidth="1"/>
    <col min="4872" max="4874" width="15" style="1024" customWidth="1"/>
    <col min="4875" max="4875" width="10" style="1024" customWidth="1"/>
    <col min="4876" max="4876" width="23.28515625" style="1024" customWidth="1"/>
    <col min="4877" max="4877" width="11.5703125" style="1024" customWidth="1"/>
    <col min="4878" max="4879" width="5.7109375" style="1024" customWidth="1"/>
    <col min="4880" max="4880" width="17.28515625" style="1024" customWidth="1"/>
    <col min="4881" max="4881" width="20.28515625" style="1024" customWidth="1"/>
    <col min="4882" max="4882" width="11.140625" style="1024" bestFit="1" customWidth="1"/>
    <col min="4883" max="4884" width="9.140625" style="1024"/>
    <col min="4885" max="4885" width="0" style="1024" hidden="1" customWidth="1"/>
    <col min="4886" max="5121" width="9.140625" style="1024"/>
    <col min="5122" max="5122" width="20" style="1024" customWidth="1"/>
    <col min="5123" max="5123" width="16.85546875" style="1024" customWidth="1"/>
    <col min="5124" max="5126" width="15.7109375" style="1024" customWidth="1"/>
    <col min="5127" max="5127" width="12.42578125" style="1024" customWidth="1"/>
    <col min="5128" max="5130" width="15" style="1024" customWidth="1"/>
    <col min="5131" max="5131" width="10" style="1024" customWidth="1"/>
    <col min="5132" max="5132" width="23.28515625" style="1024" customWidth="1"/>
    <col min="5133" max="5133" width="11.5703125" style="1024" customWidth="1"/>
    <col min="5134" max="5135" width="5.7109375" style="1024" customWidth="1"/>
    <col min="5136" max="5136" width="17.28515625" style="1024" customWidth="1"/>
    <col min="5137" max="5137" width="20.28515625" style="1024" customWidth="1"/>
    <col min="5138" max="5138" width="11.140625" style="1024" bestFit="1" customWidth="1"/>
    <col min="5139" max="5140" width="9.140625" style="1024"/>
    <col min="5141" max="5141" width="0" style="1024" hidden="1" customWidth="1"/>
    <col min="5142" max="5377" width="9.140625" style="1024"/>
    <col min="5378" max="5378" width="20" style="1024" customWidth="1"/>
    <col min="5379" max="5379" width="16.85546875" style="1024" customWidth="1"/>
    <col min="5380" max="5382" width="15.7109375" style="1024" customWidth="1"/>
    <col min="5383" max="5383" width="12.42578125" style="1024" customWidth="1"/>
    <col min="5384" max="5386" width="15" style="1024" customWidth="1"/>
    <col min="5387" max="5387" width="10" style="1024" customWidth="1"/>
    <col min="5388" max="5388" width="23.28515625" style="1024" customWidth="1"/>
    <col min="5389" max="5389" width="11.5703125" style="1024" customWidth="1"/>
    <col min="5390" max="5391" width="5.7109375" style="1024" customWidth="1"/>
    <col min="5392" max="5392" width="17.28515625" style="1024" customWidth="1"/>
    <col min="5393" max="5393" width="20.28515625" style="1024" customWidth="1"/>
    <col min="5394" max="5394" width="11.140625" style="1024" bestFit="1" customWidth="1"/>
    <col min="5395" max="5396" width="9.140625" style="1024"/>
    <col min="5397" max="5397" width="0" style="1024" hidden="1" customWidth="1"/>
    <col min="5398" max="5633" width="9.140625" style="1024"/>
    <col min="5634" max="5634" width="20" style="1024" customWidth="1"/>
    <col min="5635" max="5635" width="16.85546875" style="1024" customWidth="1"/>
    <col min="5636" max="5638" width="15.7109375" style="1024" customWidth="1"/>
    <col min="5639" max="5639" width="12.42578125" style="1024" customWidth="1"/>
    <col min="5640" max="5642" width="15" style="1024" customWidth="1"/>
    <col min="5643" max="5643" width="10" style="1024" customWidth="1"/>
    <col min="5644" max="5644" width="23.28515625" style="1024" customWidth="1"/>
    <col min="5645" max="5645" width="11.5703125" style="1024" customWidth="1"/>
    <col min="5646" max="5647" width="5.7109375" style="1024" customWidth="1"/>
    <col min="5648" max="5648" width="17.28515625" style="1024" customWidth="1"/>
    <col min="5649" max="5649" width="20.28515625" style="1024" customWidth="1"/>
    <col min="5650" max="5650" width="11.140625" style="1024" bestFit="1" customWidth="1"/>
    <col min="5651" max="5652" width="9.140625" style="1024"/>
    <col min="5653" max="5653" width="0" style="1024" hidden="1" customWidth="1"/>
    <col min="5654" max="5889" width="9.140625" style="1024"/>
    <col min="5890" max="5890" width="20" style="1024" customWidth="1"/>
    <col min="5891" max="5891" width="16.85546875" style="1024" customWidth="1"/>
    <col min="5892" max="5894" width="15.7109375" style="1024" customWidth="1"/>
    <col min="5895" max="5895" width="12.42578125" style="1024" customWidth="1"/>
    <col min="5896" max="5898" width="15" style="1024" customWidth="1"/>
    <col min="5899" max="5899" width="10" style="1024" customWidth="1"/>
    <col min="5900" max="5900" width="23.28515625" style="1024" customWidth="1"/>
    <col min="5901" max="5901" width="11.5703125" style="1024" customWidth="1"/>
    <col min="5902" max="5903" width="5.7109375" style="1024" customWidth="1"/>
    <col min="5904" max="5904" width="17.28515625" style="1024" customWidth="1"/>
    <col min="5905" max="5905" width="20.28515625" style="1024" customWidth="1"/>
    <col min="5906" max="5906" width="11.140625" style="1024" bestFit="1" customWidth="1"/>
    <col min="5907" max="5908" width="9.140625" style="1024"/>
    <col min="5909" max="5909" width="0" style="1024" hidden="1" customWidth="1"/>
    <col min="5910" max="6145" width="9.140625" style="1024"/>
    <col min="6146" max="6146" width="20" style="1024" customWidth="1"/>
    <col min="6147" max="6147" width="16.85546875" style="1024" customWidth="1"/>
    <col min="6148" max="6150" width="15.7109375" style="1024" customWidth="1"/>
    <col min="6151" max="6151" width="12.42578125" style="1024" customWidth="1"/>
    <col min="6152" max="6154" width="15" style="1024" customWidth="1"/>
    <col min="6155" max="6155" width="10" style="1024" customWidth="1"/>
    <col min="6156" max="6156" width="23.28515625" style="1024" customWidth="1"/>
    <col min="6157" max="6157" width="11.5703125" style="1024" customWidth="1"/>
    <col min="6158" max="6159" width="5.7109375" style="1024" customWidth="1"/>
    <col min="6160" max="6160" width="17.28515625" style="1024" customWidth="1"/>
    <col min="6161" max="6161" width="20.28515625" style="1024" customWidth="1"/>
    <col min="6162" max="6162" width="11.140625" style="1024" bestFit="1" customWidth="1"/>
    <col min="6163" max="6164" width="9.140625" style="1024"/>
    <col min="6165" max="6165" width="0" style="1024" hidden="1" customWidth="1"/>
    <col min="6166" max="6401" width="9.140625" style="1024"/>
    <col min="6402" max="6402" width="20" style="1024" customWidth="1"/>
    <col min="6403" max="6403" width="16.85546875" style="1024" customWidth="1"/>
    <col min="6404" max="6406" width="15.7109375" style="1024" customWidth="1"/>
    <col min="6407" max="6407" width="12.42578125" style="1024" customWidth="1"/>
    <col min="6408" max="6410" width="15" style="1024" customWidth="1"/>
    <col min="6411" max="6411" width="10" style="1024" customWidth="1"/>
    <col min="6412" max="6412" width="23.28515625" style="1024" customWidth="1"/>
    <col min="6413" max="6413" width="11.5703125" style="1024" customWidth="1"/>
    <col min="6414" max="6415" width="5.7109375" style="1024" customWidth="1"/>
    <col min="6416" max="6416" width="17.28515625" style="1024" customWidth="1"/>
    <col min="6417" max="6417" width="20.28515625" style="1024" customWidth="1"/>
    <col min="6418" max="6418" width="11.140625" style="1024" bestFit="1" customWidth="1"/>
    <col min="6419" max="6420" width="9.140625" style="1024"/>
    <col min="6421" max="6421" width="0" style="1024" hidden="1" customWidth="1"/>
    <col min="6422" max="6657" width="9.140625" style="1024"/>
    <col min="6658" max="6658" width="20" style="1024" customWidth="1"/>
    <col min="6659" max="6659" width="16.85546875" style="1024" customWidth="1"/>
    <col min="6660" max="6662" width="15.7109375" style="1024" customWidth="1"/>
    <col min="6663" max="6663" width="12.42578125" style="1024" customWidth="1"/>
    <col min="6664" max="6666" width="15" style="1024" customWidth="1"/>
    <col min="6667" max="6667" width="10" style="1024" customWidth="1"/>
    <col min="6668" max="6668" width="23.28515625" style="1024" customWidth="1"/>
    <col min="6669" max="6669" width="11.5703125" style="1024" customWidth="1"/>
    <col min="6670" max="6671" width="5.7109375" style="1024" customWidth="1"/>
    <col min="6672" max="6672" width="17.28515625" style="1024" customWidth="1"/>
    <col min="6673" max="6673" width="20.28515625" style="1024" customWidth="1"/>
    <col min="6674" max="6674" width="11.140625" style="1024" bestFit="1" customWidth="1"/>
    <col min="6675" max="6676" width="9.140625" style="1024"/>
    <col min="6677" max="6677" width="0" style="1024" hidden="1" customWidth="1"/>
    <col min="6678" max="6913" width="9.140625" style="1024"/>
    <col min="6914" max="6914" width="20" style="1024" customWidth="1"/>
    <col min="6915" max="6915" width="16.85546875" style="1024" customWidth="1"/>
    <col min="6916" max="6918" width="15.7109375" style="1024" customWidth="1"/>
    <col min="6919" max="6919" width="12.42578125" style="1024" customWidth="1"/>
    <col min="6920" max="6922" width="15" style="1024" customWidth="1"/>
    <col min="6923" max="6923" width="10" style="1024" customWidth="1"/>
    <col min="6924" max="6924" width="23.28515625" style="1024" customWidth="1"/>
    <col min="6925" max="6925" width="11.5703125" style="1024" customWidth="1"/>
    <col min="6926" max="6927" width="5.7109375" style="1024" customWidth="1"/>
    <col min="6928" max="6928" width="17.28515625" style="1024" customWidth="1"/>
    <col min="6929" max="6929" width="20.28515625" style="1024" customWidth="1"/>
    <col min="6930" max="6930" width="11.140625" style="1024" bestFit="1" customWidth="1"/>
    <col min="6931" max="6932" width="9.140625" style="1024"/>
    <col min="6933" max="6933" width="0" style="1024" hidden="1" customWidth="1"/>
    <col min="6934" max="7169" width="9.140625" style="1024"/>
    <col min="7170" max="7170" width="20" style="1024" customWidth="1"/>
    <col min="7171" max="7171" width="16.85546875" style="1024" customWidth="1"/>
    <col min="7172" max="7174" width="15.7109375" style="1024" customWidth="1"/>
    <col min="7175" max="7175" width="12.42578125" style="1024" customWidth="1"/>
    <col min="7176" max="7178" width="15" style="1024" customWidth="1"/>
    <col min="7179" max="7179" width="10" style="1024" customWidth="1"/>
    <col min="7180" max="7180" width="23.28515625" style="1024" customWidth="1"/>
    <col min="7181" max="7181" width="11.5703125" style="1024" customWidth="1"/>
    <col min="7182" max="7183" width="5.7109375" style="1024" customWidth="1"/>
    <col min="7184" max="7184" width="17.28515625" style="1024" customWidth="1"/>
    <col min="7185" max="7185" width="20.28515625" style="1024" customWidth="1"/>
    <col min="7186" max="7186" width="11.140625" style="1024" bestFit="1" customWidth="1"/>
    <col min="7187" max="7188" width="9.140625" style="1024"/>
    <col min="7189" max="7189" width="0" style="1024" hidden="1" customWidth="1"/>
    <col min="7190" max="7425" width="9.140625" style="1024"/>
    <col min="7426" max="7426" width="20" style="1024" customWidth="1"/>
    <col min="7427" max="7427" width="16.85546875" style="1024" customWidth="1"/>
    <col min="7428" max="7430" width="15.7109375" style="1024" customWidth="1"/>
    <col min="7431" max="7431" width="12.42578125" style="1024" customWidth="1"/>
    <col min="7432" max="7434" width="15" style="1024" customWidth="1"/>
    <col min="7435" max="7435" width="10" style="1024" customWidth="1"/>
    <col min="7436" max="7436" width="23.28515625" style="1024" customWidth="1"/>
    <col min="7437" max="7437" width="11.5703125" style="1024" customWidth="1"/>
    <col min="7438" max="7439" width="5.7109375" style="1024" customWidth="1"/>
    <col min="7440" max="7440" width="17.28515625" style="1024" customWidth="1"/>
    <col min="7441" max="7441" width="20.28515625" style="1024" customWidth="1"/>
    <col min="7442" max="7442" width="11.140625" style="1024" bestFit="1" customWidth="1"/>
    <col min="7443" max="7444" width="9.140625" style="1024"/>
    <col min="7445" max="7445" width="0" style="1024" hidden="1" customWidth="1"/>
    <col min="7446" max="7681" width="9.140625" style="1024"/>
    <col min="7682" max="7682" width="20" style="1024" customWidth="1"/>
    <col min="7683" max="7683" width="16.85546875" style="1024" customWidth="1"/>
    <col min="7684" max="7686" width="15.7109375" style="1024" customWidth="1"/>
    <col min="7687" max="7687" width="12.42578125" style="1024" customWidth="1"/>
    <col min="7688" max="7690" width="15" style="1024" customWidth="1"/>
    <col min="7691" max="7691" width="10" style="1024" customWidth="1"/>
    <col min="7692" max="7692" width="23.28515625" style="1024" customWidth="1"/>
    <col min="7693" max="7693" width="11.5703125" style="1024" customWidth="1"/>
    <col min="7694" max="7695" width="5.7109375" style="1024" customWidth="1"/>
    <col min="7696" max="7696" width="17.28515625" style="1024" customWidth="1"/>
    <col min="7697" max="7697" width="20.28515625" style="1024" customWidth="1"/>
    <col min="7698" max="7698" width="11.140625" style="1024" bestFit="1" customWidth="1"/>
    <col min="7699" max="7700" width="9.140625" style="1024"/>
    <col min="7701" max="7701" width="0" style="1024" hidden="1" customWidth="1"/>
    <col min="7702" max="7937" width="9.140625" style="1024"/>
    <col min="7938" max="7938" width="20" style="1024" customWidth="1"/>
    <col min="7939" max="7939" width="16.85546875" style="1024" customWidth="1"/>
    <col min="7940" max="7942" width="15.7109375" style="1024" customWidth="1"/>
    <col min="7943" max="7943" width="12.42578125" style="1024" customWidth="1"/>
    <col min="7944" max="7946" width="15" style="1024" customWidth="1"/>
    <col min="7947" max="7947" width="10" style="1024" customWidth="1"/>
    <col min="7948" max="7948" width="23.28515625" style="1024" customWidth="1"/>
    <col min="7949" max="7949" width="11.5703125" style="1024" customWidth="1"/>
    <col min="7950" max="7951" width="5.7109375" style="1024" customWidth="1"/>
    <col min="7952" max="7952" width="17.28515625" style="1024" customWidth="1"/>
    <col min="7953" max="7953" width="20.28515625" style="1024" customWidth="1"/>
    <col min="7954" max="7954" width="11.140625" style="1024" bestFit="1" customWidth="1"/>
    <col min="7955" max="7956" width="9.140625" style="1024"/>
    <col min="7957" max="7957" width="0" style="1024" hidden="1" customWidth="1"/>
    <col min="7958" max="8193" width="9.140625" style="1024"/>
    <col min="8194" max="8194" width="20" style="1024" customWidth="1"/>
    <col min="8195" max="8195" width="16.85546875" style="1024" customWidth="1"/>
    <col min="8196" max="8198" width="15.7109375" style="1024" customWidth="1"/>
    <col min="8199" max="8199" width="12.42578125" style="1024" customWidth="1"/>
    <col min="8200" max="8202" width="15" style="1024" customWidth="1"/>
    <col min="8203" max="8203" width="10" style="1024" customWidth="1"/>
    <col min="8204" max="8204" width="23.28515625" style="1024" customWidth="1"/>
    <col min="8205" max="8205" width="11.5703125" style="1024" customWidth="1"/>
    <col min="8206" max="8207" width="5.7109375" style="1024" customWidth="1"/>
    <col min="8208" max="8208" width="17.28515625" style="1024" customWidth="1"/>
    <col min="8209" max="8209" width="20.28515625" style="1024" customWidth="1"/>
    <col min="8210" max="8210" width="11.140625" style="1024" bestFit="1" customWidth="1"/>
    <col min="8211" max="8212" width="9.140625" style="1024"/>
    <col min="8213" max="8213" width="0" style="1024" hidden="1" customWidth="1"/>
    <col min="8214" max="8449" width="9.140625" style="1024"/>
    <col min="8450" max="8450" width="20" style="1024" customWidth="1"/>
    <col min="8451" max="8451" width="16.85546875" style="1024" customWidth="1"/>
    <col min="8452" max="8454" width="15.7109375" style="1024" customWidth="1"/>
    <col min="8455" max="8455" width="12.42578125" style="1024" customWidth="1"/>
    <col min="8456" max="8458" width="15" style="1024" customWidth="1"/>
    <col min="8459" max="8459" width="10" style="1024" customWidth="1"/>
    <col min="8460" max="8460" width="23.28515625" style="1024" customWidth="1"/>
    <col min="8461" max="8461" width="11.5703125" style="1024" customWidth="1"/>
    <col min="8462" max="8463" width="5.7109375" style="1024" customWidth="1"/>
    <col min="8464" max="8464" width="17.28515625" style="1024" customWidth="1"/>
    <col min="8465" max="8465" width="20.28515625" style="1024" customWidth="1"/>
    <col min="8466" max="8466" width="11.140625" style="1024" bestFit="1" customWidth="1"/>
    <col min="8467" max="8468" width="9.140625" style="1024"/>
    <col min="8469" max="8469" width="0" style="1024" hidden="1" customWidth="1"/>
    <col min="8470" max="8705" width="9.140625" style="1024"/>
    <col min="8706" max="8706" width="20" style="1024" customWidth="1"/>
    <col min="8707" max="8707" width="16.85546875" style="1024" customWidth="1"/>
    <col min="8708" max="8710" width="15.7109375" style="1024" customWidth="1"/>
    <col min="8711" max="8711" width="12.42578125" style="1024" customWidth="1"/>
    <col min="8712" max="8714" width="15" style="1024" customWidth="1"/>
    <col min="8715" max="8715" width="10" style="1024" customWidth="1"/>
    <col min="8716" max="8716" width="23.28515625" style="1024" customWidth="1"/>
    <col min="8717" max="8717" width="11.5703125" style="1024" customWidth="1"/>
    <col min="8718" max="8719" width="5.7109375" style="1024" customWidth="1"/>
    <col min="8720" max="8720" width="17.28515625" style="1024" customWidth="1"/>
    <col min="8721" max="8721" width="20.28515625" style="1024" customWidth="1"/>
    <col min="8722" max="8722" width="11.140625" style="1024" bestFit="1" customWidth="1"/>
    <col min="8723" max="8724" width="9.140625" style="1024"/>
    <col min="8725" max="8725" width="0" style="1024" hidden="1" customWidth="1"/>
    <col min="8726" max="8961" width="9.140625" style="1024"/>
    <col min="8962" max="8962" width="20" style="1024" customWidth="1"/>
    <col min="8963" max="8963" width="16.85546875" style="1024" customWidth="1"/>
    <col min="8964" max="8966" width="15.7109375" style="1024" customWidth="1"/>
    <col min="8967" max="8967" width="12.42578125" style="1024" customWidth="1"/>
    <col min="8968" max="8970" width="15" style="1024" customWidth="1"/>
    <col min="8971" max="8971" width="10" style="1024" customWidth="1"/>
    <col min="8972" max="8972" width="23.28515625" style="1024" customWidth="1"/>
    <col min="8973" max="8973" width="11.5703125" style="1024" customWidth="1"/>
    <col min="8974" max="8975" width="5.7109375" style="1024" customWidth="1"/>
    <col min="8976" max="8976" width="17.28515625" style="1024" customWidth="1"/>
    <col min="8977" max="8977" width="20.28515625" style="1024" customWidth="1"/>
    <col min="8978" max="8978" width="11.140625" style="1024" bestFit="1" customWidth="1"/>
    <col min="8979" max="8980" width="9.140625" style="1024"/>
    <col min="8981" max="8981" width="0" style="1024" hidden="1" customWidth="1"/>
    <col min="8982" max="9217" width="9.140625" style="1024"/>
    <col min="9218" max="9218" width="20" style="1024" customWidth="1"/>
    <col min="9219" max="9219" width="16.85546875" style="1024" customWidth="1"/>
    <col min="9220" max="9222" width="15.7109375" style="1024" customWidth="1"/>
    <col min="9223" max="9223" width="12.42578125" style="1024" customWidth="1"/>
    <col min="9224" max="9226" width="15" style="1024" customWidth="1"/>
    <col min="9227" max="9227" width="10" style="1024" customWidth="1"/>
    <col min="9228" max="9228" width="23.28515625" style="1024" customWidth="1"/>
    <col min="9229" max="9229" width="11.5703125" style="1024" customWidth="1"/>
    <col min="9230" max="9231" width="5.7109375" style="1024" customWidth="1"/>
    <col min="9232" max="9232" width="17.28515625" style="1024" customWidth="1"/>
    <col min="9233" max="9233" width="20.28515625" style="1024" customWidth="1"/>
    <col min="9234" max="9234" width="11.140625" style="1024" bestFit="1" customWidth="1"/>
    <col min="9235" max="9236" width="9.140625" style="1024"/>
    <col min="9237" max="9237" width="0" style="1024" hidden="1" customWidth="1"/>
    <col min="9238" max="9473" width="9.140625" style="1024"/>
    <col min="9474" max="9474" width="20" style="1024" customWidth="1"/>
    <col min="9475" max="9475" width="16.85546875" style="1024" customWidth="1"/>
    <col min="9476" max="9478" width="15.7109375" style="1024" customWidth="1"/>
    <col min="9479" max="9479" width="12.42578125" style="1024" customWidth="1"/>
    <col min="9480" max="9482" width="15" style="1024" customWidth="1"/>
    <col min="9483" max="9483" width="10" style="1024" customWidth="1"/>
    <col min="9484" max="9484" width="23.28515625" style="1024" customWidth="1"/>
    <col min="9485" max="9485" width="11.5703125" style="1024" customWidth="1"/>
    <col min="9486" max="9487" width="5.7109375" style="1024" customWidth="1"/>
    <col min="9488" max="9488" width="17.28515625" style="1024" customWidth="1"/>
    <col min="9489" max="9489" width="20.28515625" style="1024" customWidth="1"/>
    <col min="9490" max="9490" width="11.140625" style="1024" bestFit="1" customWidth="1"/>
    <col min="9491" max="9492" width="9.140625" style="1024"/>
    <col min="9493" max="9493" width="0" style="1024" hidden="1" customWidth="1"/>
    <col min="9494" max="9729" width="9.140625" style="1024"/>
    <col min="9730" max="9730" width="20" style="1024" customWidth="1"/>
    <col min="9731" max="9731" width="16.85546875" style="1024" customWidth="1"/>
    <col min="9732" max="9734" width="15.7109375" style="1024" customWidth="1"/>
    <col min="9735" max="9735" width="12.42578125" style="1024" customWidth="1"/>
    <col min="9736" max="9738" width="15" style="1024" customWidth="1"/>
    <col min="9739" max="9739" width="10" style="1024" customWidth="1"/>
    <col min="9740" max="9740" width="23.28515625" style="1024" customWidth="1"/>
    <col min="9741" max="9741" width="11.5703125" style="1024" customWidth="1"/>
    <col min="9742" max="9743" width="5.7109375" style="1024" customWidth="1"/>
    <col min="9744" max="9744" width="17.28515625" style="1024" customWidth="1"/>
    <col min="9745" max="9745" width="20.28515625" style="1024" customWidth="1"/>
    <col min="9746" max="9746" width="11.140625" style="1024" bestFit="1" customWidth="1"/>
    <col min="9747" max="9748" width="9.140625" style="1024"/>
    <col min="9749" max="9749" width="0" style="1024" hidden="1" customWidth="1"/>
    <col min="9750" max="9985" width="9.140625" style="1024"/>
    <col min="9986" max="9986" width="20" style="1024" customWidth="1"/>
    <col min="9987" max="9987" width="16.85546875" style="1024" customWidth="1"/>
    <col min="9988" max="9990" width="15.7109375" style="1024" customWidth="1"/>
    <col min="9991" max="9991" width="12.42578125" style="1024" customWidth="1"/>
    <col min="9992" max="9994" width="15" style="1024" customWidth="1"/>
    <col min="9995" max="9995" width="10" style="1024" customWidth="1"/>
    <col min="9996" max="9996" width="23.28515625" style="1024" customWidth="1"/>
    <col min="9997" max="9997" width="11.5703125" style="1024" customWidth="1"/>
    <col min="9998" max="9999" width="5.7109375" style="1024" customWidth="1"/>
    <col min="10000" max="10000" width="17.28515625" style="1024" customWidth="1"/>
    <col min="10001" max="10001" width="20.28515625" style="1024" customWidth="1"/>
    <col min="10002" max="10002" width="11.140625" style="1024" bestFit="1" customWidth="1"/>
    <col min="10003" max="10004" width="9.140625" style="1024"/>
    <col min="10005" max="10005" width="0" style="1024" hidden="1" customWidth="1"/>
    <col min="10006" max="10241" width="9.140625" style="1024"/>
    <col min="10242" max="10242" width="20" style="1024" customWidth="1"/>
    <col min="10243" max="10243" width="16.85546875" style="1024" customWidth="1"/>
    <col min="10244" max="10246" width="15.7109375" style="1024" customWidth="1"/>
    <col min="10247" max="10247" width="12.42578125" style="1024" customWidth="1"/>
    <col min="10248" max="10250" width="15" style="1024" customWidth="1"/>
    <col min="10251" max="10251" width="10" style="1024" customWidth="1"/>
    <col min="10252" max="10252" width="23.28515625" style="1024" customWidth="1"/>
    <col min="10253" max="10253" width="11.5703125" style="1024" customWidth="1"/>
    <col min="10254" max="10255" width="5.7109375" style="1024" customWidth="1"/>
    <col min="10256" max="10256" width="17.28515625" style="1024" customWidth="1"/>
    <col min="10257" max="10257" width="20.28515625" style="1024" customWidth="1"/>
    <col min="10258" max="10258" width="11.140625" style="1024" bestFit="1" customWidth="1"/>
    <col min="10259" max="10260" width="9.140625" style="1024"/>
    <col min="10261" max="10261" width="0" style="1024" hidden="1" customWidth="1"/>
    <col min="10262" max="10497" width="9.140625" style="1024"/>
    <col min="10498" max="10498" width="20" style="1024" customWidth="1"/>
    <col min="10499" max="10499" width="16.85546875" style="1024" customWidth="1"/>
    <col min="10500" max="10502" width="15.7109375" style="1024" customWidth="1"/>
    <col min="10503" max="10503" width="12.42578125" style="1024" customWidth="1"/>
    <col min="10504" max="10506" width="15" style="1024" customWidth="1"/>
    <col min="10507" max="10507" width="10" style="1024" customWidth="1"/>
    <col min="10508" max="10508" width="23.28515625" style="1024" customWidth="1"/>
    <col min="10509" max="10509" width="11.5703125" style="1024" customWidth="1"/>
    <col min="10510" max="10511" width="5.7109375" style="1024" customWidth="1"/>
    <col min="10512" max="10512" width="17.28515625" style="1024" customWidth="1"/>
    <col min="10513" max="10513" width="20.28515625" style="1024" customWidth="1"/>
    <col min="10514" max="10514" width="11.140625" style="1024" bestFit="1" customWidth="1"/>
    <col min="10515" max="10516" width="9.140625" style="1024"/>
    <col min="10517" max="10517" width="0" style="1024" hidden="1" customWidth="1"/>
    <col min="10518" max="10753" width="9.140625" style="1024"/>
    <col min="10754" max="10754" width="20" style="1024" customWidth="1"/>
    <col min="10755" max="10755" width="16.85546875" style="1024" customWidth="1"/>
    <col min="10756" max="10758" width="15.7109375" style="1024" customWidth="1"/>
    <col min="10759" max="10759" width="12.42578125" style="1024" customWidth="1"/>
    <col min="10760" max="10762" width="15" style="1024" customWidth="1"/>
    <col min="10763" max="10763" width="10" style="1024" customWidth="1"/>
    <col min="10764" max="10764" width="23.28515625" style="1024" customWidth="1"/>
    <col min="10765" max="10765" width="11.5703125" style="1024" customWidth="1"/>
    <col min="10766" max="10767" width="5.7109375" style="1024" customWidth="1"/>
    <col min="10768" max="10768" width="17.28515625" style="1024" customWidth="1"/>
    <col min="10769" max="10769" width="20.28515625" style="1024" customWidth="1"/>
    <col min="10770" max="10770" width="11.140625" style="1024" bestFit="1" customWidth="1"/>
    <col min="10771" max="10772" width="9.140625" style="1024"/>
    <col min="10773" max="10773" width="0" style="1024" hidden="1" customWidth="1"/>
    <col min="10774" max="11009" width="9.140625" style="1024"/>
    <col min="11010" max="11010" width="20" style="1024" customWidth="1"/>
    <col min="11011" max="11011" width="16.85546875" style="1024" customWidth="1"/>
    <col min="11012" max="11014" width="15.7109375" style="1024" customWidth="1"/>
    <col min="11015" max="11015" width="12.42578125" style="1024" customWidth="1"/>
    <col min="11016" max="11018" width="15" style="1024" customWidth="1"/>
    <col min="11019" max="11019" width="10" style="1024" customWidth="1"/>
    <col min="11020" max="11020" width="23.28515625" style="1024" customWidth="1"/>
    <col min="11021" max="11021" width="11.5703125" style="1024" customWidth="1"/>
    <col min="11022" max="11023" width="5.7109375" style="1024" customWidth="1"/>
    <col min="11024" max="11024" width="17.28515625" style="1024" customWidth="1"/>
    <col min="11025" max="11025" width="20.28515625" style="1024" customWidth="1"/>
    <col min="11026" max="11026" width="11.140625" style="1024" bestFit="1" customWidth="1"/>
    <col min="11027" max="11028" width="9.140625" style="1024"/>
    <col min="11029" max="11029" width="0" style="1024" hidden="1" customWidth="1"/>
    <col min="11030" max="11265" width="9.140625" style="1024"/>
    <col min="11266" max="11266" width="20" style="1024" customWidth="1"/>
    <col min="11267" max="11267" width="16.85546875" style="1024" customWidth="1"/>
    <col min="11268" max="11270" width="15.7109375" style="1024" customWidth="1"/>
    <col min="11271" max="11271" width="12.42578125" style="1024" customWidth="1"/>
    <col min="11272" max="11274" width="15" style="1024" customWidth="1"/>
    <col min="11275" max="11275" width="10" style="1024" customWidth="1"/>
    <col min="11276" max="11276" width="23.28515625" style="1024" customWidth="1"/>
    <col min="11277" max="11277" width="11.5703125" style="1024" customWidth="1"/>
    <col min="11278" max="11279" width="5.7109375" style="1024" customWidth="1"/>
    <col min="11280" max="11280" width="17.28515625" style="1024" customWidth="1"/>
    <col min="11281" max="11281" width="20.28515625" style="1024" customWidth="1"/>
    <col min="11282" max="11282" width="11.140625" style="1024" bestFit="1" customWidth="1"/>
    <col min="11283" max="11284" width="9.140625" style="1024"/>
    <col min="11285" max="11285" width="0" style="1024" hidden="1" customWidth="1"/>
    <col min="11286" max="11521" width="9.140625" style="1024"/>
    <col min="11522" max="11522" width="20" style="1024" customWidth="1"/>
    <col min="11523" max="11523" width="16.85546875" style="1024" customWidth="1"/>
    <col min="11524" max="11526" width="15.7109375" style="1024" customWidth="1"/>
    <col min="11527" max="11527" width="12.42578125" style="1024" customWidth="1"/>
    <col min="11528" max="11530" width="15" style="1024" customWidth="1"/>
    <col min="11531" max="11531" width="10" style="1024" customWidth="1"/>
    <col min="11532" max="11532" width="23.28515625" style="1024" customWidth="1"/>
    <col min="11533" max="11533" width="11.5703125" style="1024" customWidth="1"/>
    <col min="11534" max="11535" width="5.7109375" style="1024" customWidth="1"/>
    <col min="11536" max="11536" width="17.28515625" style="1024" customWidth="1"/>
    <col min="11537" max="11537" width="20.28515625" style="1024" customWidth="1"/>
    <col min="11538" max="11538" width="11.140625" style="1024" bestFit="1" customWidth="1"/>
    <col min="11539" max="11540" width="9.140625" style="1024"/>
    <col min="11541" max="11541" width="0" style="1024" hidden="1" customWidth="1"/>
    <col min="11542" max="11777" width="9.140625" style="1024"/>
    <col min="11778" max="11778" width="20" style="1024" customWidth="1"/>
    <col min="11779" max="11779" width="16.85546875" style="1024" customWidth="1"/>
    <col min="11780" max="11782" width="15.7109375" style="1024" customWidth="1"/>
    <col min="11783" max="11783" width="12.42578125" style="1024" customWidth="1"/>
    <col min="11784" max="11786" width="15" style="1024" customWidth="1"/>
    <col min="11787" max="11787" width="10" style="1024" customWidth="1"/>
    <col min="11788" max="11788" width="23.28515625" style="1024" customWidth="1"/>
    <col min="11789" max="11789" width="11.5703125" style="1024" customWidth="1"/>
    <col min="11790" max="11791" width="5.7109375" style="1024" customWidth="1"/>
    <col min="11792" max="11792" width="17.28515625" style="1024" customWidth="1"/>
    <col min="11793" max="11793" width="20.28515625" style="1024" customWidth="1"/>
    <col min="11794" max="11794" width="11.140625" style="1024" bestFit="1" customWidth="1"/>
    <col min="11795" max="11796" width="9.140625" style="1024"/>
    <col min="11797" max="11797" width="0" style="1024" hidden="1" customWidth="1"/>
    <col min="11798" max="12033" width="9.140625" style="1024"/>
    <col min="12034" max="12034" width="20" style="1024" customWidth="1"/>
    <col min="12035" max="12035" width="16.85546875" style="1024" customWidth="1"/>
    <col min="12036" max="12038" width="15.7109375" style="1024" customWidth="1"/>
    <col min="12039" max="12039" width="12.42578125" style="1024" customWidth="1"/>
    <col min="12040" max="12042" width="15" style="1024" customWidth="1"/>
    <col min="12043" max="12043" width="10" style="1024" customWidth="1"/>
    <col min="12044" max="12044" width="23.28515625" style="1024" customWidth="1"/>
    <col min="12045" max="12045" width="11.5703125" style="1024" customWidth="1"/>
    <col min="12046" max="12047" width="5.7109375" style="1024" customWidth="1"/>
    <col min="12048" max="12048" width="17.28515625" style="1024" customWidth="1"/>
    <col min="12049" max="12049" width="20.28515625" style="1024" customWidth="1"/>
    <col min="12050" max="12050" width="11.140625" style="1024" bestFit="1" customWidth="1"/>
    <col min="12051" max="12052" width="9.140625" style="1024"/>
    <col min="12053" max="12053" width="0" style="1024" hidden="1" customWidth="1"/>
    <col min="12054" max="12289" width="9.140625" style="1024"/>
    <col min="12290" max="12290" width="20" style="1024" customWidth="1"/>
    <col min="12291" max="12291" width="16.85546875" style="1024" customWidth="1"/>
    <col min="12292" max="12294" width="15.7109375" style="1024" customWidth="1"/>
    <col min="12295" max="12295" width="12.42578125" style="1024" customWidth="1"/>
    <col min="12296" max="12298" width="15" style="1024" customWidth="1"/>
    <col min="12299" max="12299" width="10" style="1024" customWidth="1"/>
    <col min="12300" max="12300" width="23.28515625" style="1024" customWidth="1"/>
    <col min="12301" max="12301" width="11.5703125" style="1024" customWidth="1"/>
    <col min="12302" max="12303" width="5.7109375" style="1024" customWidth="1"/>
    <col min="12304" max="12304" width="17.28515625" style="1024" customWidth="1"/>
    <col min="12305" max="12305" width="20.28515625" style="1024" customWidth="1"/>
    <col min="12306" max="12306" width="11.140625" style="1024" bestFit="1" customWidth="1"/>
    <col min="12307" max="12308" width="9.140625" style="1024"/>
    <col min="12309" max="12309" width="0" style="1024" hidden="1" customWidth="1"/>
    <col min="12310" max="12545" width="9.140625" style="1024"/>
    <col min="12546" max="12546" width="20" style="1024" customWidth="1"/>
    <col min="12547" max="12547" width="16.85546875" style="1024" customWidth="1"/>
    <col min="12548" max="12550" width="15.7109375" style="1024" customWidth="1"/>
    <col min="12551" max="12551" width="12.42578125" style="1024" customWidth="1"/>
    <col min="12552" max="12554" width="15" style="1024" customWidth="1"/>
    <col min="12555" max="12555" width="10" style="1024" customWidth="1"/>
    <col min="12556" max="12556" width="23.28515625" style="1024" customWidth="1"/>
    <col min="12557" max="12557" width="11.5703125" style="1024" customWidth="1"/>
    <col min="12558" max="12559" width="5.7109375" style="1024" customWidth="1"/>
    <col min="12560" max="12560" width="17.28515625" style="1024" customWidth="1"/>
    <col min="12561" max="12561" width="20.28515625" style="1024" customWidth="1"/>
    <col min="12562" max="12562" width="11.140625" style="1024" bestFit="1" customWidth="1"/>
    <col min="12563" max="12564" width="9.140625" style="1024"/>
    <col min="12565" max="12565" width="0" style="1024" hidden="1" customWidth="1"/>
    <col min="12566" max="12801" width="9.140625" style="1024"/>
    <col min="12802" max="12802" width="20" style="1024" customWidth="1"/>
    <col min="12803" max="12803" width="16.85546875" style="1024" customWidth="1"/>
    <col min="12804" max="12806" width="15.7109375" style="1024" customWidth="1"/>
    <col min="12807" max="12807" width="12.42578125" style="1024" customWidth="1"/>
    <col min="12808" max="12810" width="15" style="1024" customWidth="1"/>
    <col min="12811" max="12811" width="10" style="1024" customWidth="1"/>
    <col min="12812" max="12812" width="23.28515625" style="1024" customWidth="1"/>
    <col min="12813" max="12813" width="11.5703125" style="1024" customWidth="1"/>
    <col min="12814" max="12815" width="5.7109375" style="1024" customWidth="1"/>
    <col min="12816" max="12816" width="17.28515625" style="1024" customWidth="1"/>
    <col min="12817" max="12817" width="20.28515625" style="1024" customWidth="1"/>
    <col min="12818" max="12818" width="11.140625" style="1024" bestFit="1" customWidth="1"/>
    <col min="12819" max="12820" width="9.140625" style="1024"/>
    <col min="12821" max="12821" width="0" style="1024" hidden="1" customWidth="1"/>
    <col min="12822" max="13057" width="9.140625" style="1024"/>
    <col min="13058" max="13058" width="20" style="1024" customWidth="1"/>
    <col min="13059" max="13059" width="16.85546875" style="1024" customWidth="1"/>
    <col min="13060" max="13062" width="15.7109375" style="1024" customWidth="1"/>
    <col min="13063" max="13063" width="12.42578125" style="1024" customWidth="1"/>
    <col min="13064" max="13066" width="15" style="1024" customWidth="1"/>
    <col min="13067" max="13067" width="10" style="1024" customWidth="1"/>
    <col min="13068" max="13068" width="23.28515625" style="1024" customWidth="1"/>
    <col min="13069" max="13069" width="11.5703125" style="1024" customWidth="1"/>
    <col min="13070" max="13071" width="5.7109375" style="1024" customWidth="1"/>
    <col min="13072" max="13072" width="17.28515625" style="1024" customWidth="1"/>
    <col min="13073" max="13073" width="20.28515625" style="1024" customWidth="1"/>
    <col min="13074" max="13074" width="11.140625" style="1024" bestFit="1" customWidth="1"/>
    <col min="13075" max="13076" width="9.140625" style="1024"/>
    <col min="13077" max="13077" width="0" style="1024" hidden="1" customWidth="1"/>
    <col min="13078" max="13313" width="9.140625" style="1024"/>
    <col min="13314" max="13314" width="20" style="1024" customWidth="1"/>
    <col min="13315" max="13315" width="16.85546875" style="1024" customWidth="1"/>
    <col min="13316" max="13318" width="15.7109375" style="1024" customWidth="1"/>
    <col min="13319" max="13319" width="12.42578125" style="1024" customWidth="1"/>
    <col min="13320" max="13322" width="15" style="1024" customWidth="1"/>
    <col min="13323" max="13323" width="10" style="1024" customWidth="1"/>
    <col min="13324" max="13324" width="23.28515625" style="1024" customWidth="1"/>
    <col min="13325" max="13325" width="11.5703125" style="1024" customWidth="1"/>
    <col min="13326" max="13327" width="5.7109375" style="1024" customWidth="1"/>
    <col min="13328" max="13328" width="17.28515625" style="1024" customWidth="1"/>
    <col min="13329" max="13329" width="20.28515625" style="1024" customWidth="1"/>
    <col min="13330" max="13330" width="11.140625" style="1024" bestFit="1" customWidth="1"/>
    <col min="13331" max="13332" width="9.140625" style="1024"/>
    <col min="13333" max="13333" width="0" style="1024" hidden="1" customWidth="1"/>
    <col min="13334" max="13569" width="9.140625" style="1024"/>
    <col min="13570" max="13570" width="20" style="1024" customWidth="1"/>
    <col min="13571" max="13571" width="16.85546875" style="1024" customWidth="1"/>
    <col min="13572" max="13574" width="15.7109375" style="1024" customWidth="1"/>
    <col min="13575" max="13575" width="12.42578125" style="1024" customWidth="1"/>
    <col min="13576" max="13578" width="15" style="1024" customWidth="1"/>
    <col min="13579" max="13579" width="10" style="1024" customWidth="1"/>
    <col min="13580" max="13580" width="23.28515625" style="1024" customWidth="1"/>
    <col min="13581" max="13581" width="11.5703125" style="1024" customWidth="1"/>
    <col min="13582" max="13583" width="5.7109375" style="1024" customWidth="1"/>
    <col min="13584" max="13584" width="17.28515625" style="1024" customWidth="1"/>
    <col min="13585" max="13585" width="20.28515625" style="1024" customWidth="1"/>
    <col min="13586" max="13586" width="11.140625" style="1024" bestFit="1" customWidth="1"/>
    <col min="13587" max="13588" width="9.140625" style="1024"/>
    <col min="13589" max="13589" width="0" style="1024" hidden="1" customWidth="1"/>
    <col min="13590" max="13825" width="9.140625" style="1024"/>
    <col min="13826" max="13826" width="20" style="1024" customWidth="1"/>
    <col min="13827" max="13827" width="16.85546875" style="1024" customWidth="1"/>
    <col min="13828" max="13830" width="15.7109375" style="1024" customWidth="1"/>
    <col min="13831" max="13831" width="12.42578125" style="1024" customWidth="1"/>
    <col min="13832" max="13834" width="15" style="1024" customWidth="1"/>
    <col min="13835" max="13835" width="10" style="1024" customWidth="1"/>
    <col min="13836" max="13836" width="23.28515625" style="1024" customWidth="1"/>
    <col min="13837" max="13837" width="11.5703125" style="1024" customWidth="1"/>
    <col min="13838" max="13839" width="5.7109375" style="1024" customWidth="1"/>
    <col min="13840" max="13840" width="17.28515625" style="1024" customWidth="1"/>
    <col min="13841" max="13841" width="20.28515625" style="1024" customWidth="1"/>
    <col min="13842" max="13842" width="11.140625" style="1024" bestFit="1" customWidth="1"/>
    <col min="13843" max="13844" width="9.140625" style="1024"/>
    <col min="13845" max="13845" width="0" style="1024" hidden="1" customWidth="1"/>
    <col min="13846" max="14081" width="9.140625" style="1024"/>
    <col min="14082" max="14082" width="20" style="1024" customWidth="1"/>
    <col min="14083" max="14083" width="16.85546875" style="1024" customWidth="1"/>
    <col min="14084" max="14086" width="15.7109375" style="1024" customWidth="1"/>
    <col min="14087" max="14087" width="12.42578125" style="1024" customWidth="1"/>
    <col min="14088" max="14090" width="15" style="1024" customWidth="1"/>
    <col min="14091" max="14091" width="10" style="1024" customWidth="1"/>
    <col min="14092" max="14092" width="23.28515625" style="1024" customWidth="1"/>
    <col min="14093" max="14093" width="11.5703125" style="1024" customWidth="1"/>
    <col min="14094" max="14095" width="5.7109375" style="1024" customWidth="1"/>
    <col min="14096" max="14096" width="17.28515625" style="1024" customWidth="1"/>
    <col min="14097" max="14097" width="20.28515625" style="1024" customWidth="1"/>
    <col min="14098" max="14098" width="11.140625" style="1024" bestFit="1" customWidth="1"/>
    <col min="14099" max="14100" width="9.140625" style="1024"/>
    <col min="14101" max="14101" width="0" style="1024" hidden="1" customWidth="1"/>
    <col min="14102" max="14337" width="9.140625" style="1024"/>
    <col min="14338" max="14338" width="20" style="1024" customWidth="1"/>
    <col min="14339" max="14339" width="16.85546875" style="1024" customWidth="1"/>
    <col min="14340" max="14342" width="15.7109375" style="1024" customWidth="1"/>
    <col min="14343" max="14343" width="12.42578125" style="1024" customWidth="1"/>
    <col min="14344" max="14346" width="15" style="1024" customWidth="1"/>
    <col min="14347" max="14347" width="10" style="1024" customWidth="1"/>
    <col min="14348" max="14348" width="23.28515625" style="1024" customWidth="1"/>
    <col min="14349" max="14349" width="11.5703125" style="1024" customWidth="1"/>
    <col min="14350" max="14351" width="5.7109375" style="1024" customWidth="1"/>
    <col min="14352" max="14352" width="17.28515625" style="1024" customWidth="1"/>
    <col min="14353" max="14353" width="20.28515625" style="1024" customWidth="1"/>
    <col min="14354" max="14354" width="11.140625" style="1024" bestFit="1" customWidth="1"/>
    <col min="14355" max="14356" width="9.140625" style="1024"/>
    <col min="14357" max="14357" width="0" style="1024" hidden="1" customWidth="1"/>
    <col min="14358" max="14593" width="9.140625" style="1024"/>
    <col min="14594" max="14594" width="20" style="1024" customWidth="1"/>
    <col min="14595" max="14595" width="16.85546875" style="1024" customWidth="1"/>
    <col min="14596" max="14598" width="15.7109375" style="1024" customWidth="1"/>
    <col min="14599" max="14599" width="12.42578125" style="1024" customWidth="1"/>
    <col min="14600" max="14602" width="15" style="1024" customWidth="1"/>
    <col min="14603" max="14603" width="10" style="1024" customWidth="1"/>
    <col min="14604" max="14604" width="23.28515625" style="1024" customWidth="1"/>
    <col min="14605" max="14605" width="11.5703125" style="1024" customWidth="1"/>
    <col min="14606" max="14607" width="5.7109375" style="1024" customWidth="1"/>
    <col min="14608" max="14608" width="17.28515625" style="1024" customWidth="1"/>
    <col min="14609" max="14609" width="20.28515625" style="1024" customWidth="1"/>
    <col min="14610" max="14610" width="11.140625" style="1024" bestFit="1" customWidth="1"/>
    <col min="14611" max="14612" width="9.140625" style="1024"/>
    <col min="14613" max="14613" width="0" style="1024" hidden="1" customWidth="1"/>
    <col min="14614" max="14849" width="9.140625" style="1024"/>
    <col min="14850" max="14850" width="20" style="1024" customWidth="1"/>
    <col min="14851" max="14851" width="16.85546875" style="1024" customWidth="1"/>
    <col min="14852" max="14854" width="15.7109375" style="1024" customWidth="1"/>
    <col min="14855" max="14855" width="12.42578125" style="1024" customWidth="1"/>
    <col min="14856" max="14858" width="15" style="1024" customWidth="1"/>
    <col min="14859" max="14859" width="10" style="1024" customWidth="1"/>
    <col min="14860" max="14860" width="23.28515625" style="1024" customWidth="1"/>
    <col min="14861" max="14861" width="11.5703125" style="1024" customWidth="1"/>
    <col min="14862" max="14863" width="5.7109375" style="1024" customWidth="1"/>
    <col min="14864" max="14864" width="17.28515625" style="1024" customWidth="1"/>
    <col min="14865" max="14865" width="20.28515625" style="1024" customWidth="1"/>
    <col min="14866" max="14866" width="11.140625" style="1024" bestFit="1" customWidth="1"/>
    <col min="14867" max="14868" width="9.140625" style="1024"/>
    <col min="14869" max="14869" width="0" style="1024" hidden="1" customWidth="1"/>
    <col min="14870" max="15105" width="9.140625" style="1024"/>
    <col min="15106" max="15106" width="20" style="1024" customWidth="1"/>
    <col min="15107" max="15107" width="16.85546875" style="1024" customWidth="1"/>
    <col min="15108" max="15110" width="15.7109375" style="1024" customWidth="1"/>
    <col min="15111" max="15111" width="12.42578125" style="1024" customWidth="1"/>
    <col min="15112" max="15114" width="15" style="1024" customWidth="1"/>
    <col min="15115" max="15115" width="10" style="1024" customWidth="1"/>
    <col min="15116" max="15116" width="23.28515625" style="1024" customWidth="1"/>
    <col min="15117" max="15117" width="11.5703125" style="1024" customWidth="1"/>
    <col min="15118" max="15119" width="5.7109375" style="1024" customWidth="1"/>
    <col min="15120" max="15120" width="17.28515625" style="1024" customWidth="1"/>
    <col min="15121" max="15121" width="20.28515625" style="1024" customWidth="1"/>
    <col min="15122" max="15122" width="11.140625" style="1024" bestFit="1" customWidth="1"/>
    <col min="15123" max="15124" width="9.140625" style="1024"/>
    <col min="15125" max="15125" width="0" style="1024" hidden="1" customWidth="1"/>
    <col min="15126" max="15361" width="9.140625" style="1024"/>
    <col min="15362" max="15362" width="20" style="1024" customWidth="1"/>
    <col min="15363" max="15363" width="16.85546875" style="1024" customWidth="1"/>
    <col min="15364" max="15366" width="15.7109375" style="1024" customWidth="1"/>
    <col min="15367" max="15367" width="12.42578125" style="1024" customWidth="1"/>
    <col min="15368" max="15370" width="15" style="1024" customWidth="1"/>
    <col min="15371" max="15371" width="10" style="1024" customWidth="1"/>
    <col min="15372" max="15372" width="23.28515625" style="1024" customWidth="1"/>
    <col min="15373" max="15373" width="11.5703125" style="1024" customWidth="1"/>
    <col min="15374" max="15375" width="5.7109375" style="1024" customWidth="1"/>
    <col min="15376" max="15376" width="17.28515625" style="1024" customWidth="1"/>
    <col min="15377" max="15377" width="20.28515625" style="1024" customWidth="1"/>
    <col min="15378" max="15378" width="11.140625" style="1024" bestFit="1" customWidth="1"/>
    <col min="15379" max="15380" width="9.140625" style="1024"/>
    <col min="15381" max="15381" width="0" style="1024" hidden="1" customWidth="1"/>
    <col min="15382" max="15617" width="9.140625" style="1024"/>
    <col min="15618" max="15618" width="20" style="1024" customWidth="1"/>
    <col min="15619" max="15619" width="16.85546875" style="1024" customWidth="1"/>
    <col min="15620" max="15622" width="15.7109375" style="1024" customWidth="1"/>
    <col min="15623" max="15623" width="12.42578125" style="1024" customWidth="1"/>
    <col min="15624" max="15626" width="15" style="1024" customWidth="1"/>
    <col min="15627" max="15627" width="10" style="1024" customWidth="1"/>
    <col min="15628" max="15628" width="23.28515625" style="1024" customWidth="1"/>
    <col min="15629" max="15629" width="11.5703125" style="1024" customWidth="1"/>
    <col min="15630" max="15631" width="5.7109375" style="1024" customWidth="1"/>
    <col min="15632" max="15632" width="17.28515625" style="1024" customWidth="1"/>
    <col min="15633" max="15633" width="20.28515625" style="1024" customWidth="1"/>
    <col min="15634" max="15634" width="11.140625" style="1024" bestFit="1" customWidth="1"/>
    <col min="15635" max="15636" width="9.140625" style="1024"/>
    <col min="15637" max="15637" width="0" style="1024" hidden="1" customWidth="1"/>
    <col min="15638" max="15873" width="9.140625" style="1024"/>
    <col min="15874" max="15874" width="20" style="1024" customWidth="1"/>
    <col min="15875" max="15875" width="16.85546875" style="1024" customWidth="1"/>
    <col min="15876" max="15878" width="15.7109375" style="1024" customWidth="1"/>
    <col min="15879" max="15879" width="12.42578125" style="1024" customWidth="1"/>
    <col min="15880" max="15882" width="15" style="1024" customWidth="1"/>
    <col min="15883" max="15883" width="10" style="1024" customWidth="1"/>
    <col min="15884" max="15884" width="23.28515625" style="1024" customWidth="1"/>
    <col min="15885" max="15885" width="11.5703125" style="1024" customWidth="1"/>
    <col min="15886" max="15887" width="5.7109375" style="1024" customWidth="1"/>
    <col min="15888" max="15888" width="17.28515625" style="1024" customWidth="1"/>
    <col min="15889" max="15889" width="20.28515625" style="1024" customWidth="1"/>
    <col min="15890" max="15890" width="11.140625" style="1024" bestFit="1" customWidth="1"/>
    <col min="15891" max="15892" width="9.140625" style="1024"/>
    <col min="15893" max="15893" width="0" style="1024" hidden="1" customWidth="1"/>
    <col min="15894" max="16129" width="9.140625" style="1024"/>
    <col min="16130" max="16130" width="20" style="1024" customWidth="1"/>
    <col min="16131" max="16131" width="16.85546875" style="1024" customWidth="1"/>
    <col min="16132" max="16134" width="15.7109375" style="1024" customWidth="1"/>
    <col min="16135" max="16135" width="12.42578125" style="1024" customWidth="1"/>
    <col min="16136" max="16138" width="15" style="1024" customWidth="1"/>
    <col min="16139" max="16139" width="10" style="1024" customWidth="1"/>
    <col min="16140" max="16140" width="23.28515625" style="1024" customWidth="1"/>
    <col min="16141" max="16141" width="11.5703125" style="1024" customWidth="1"/>
    <col min="16142" max="16143" width="5.7109375" style="1024" customWidth="1"/>
    <col min="16144" max="16144" width="17.28515625" style="1024" customWidth="1"/>
    <col min="16145" max="16145" width="20.28515625" style="1024" customWidth="1"/>
    <col min="16146" max="16146" width="11.140625" style="1024" bestFit="1" customWidth="1"/>
    <col min="16147" max="16148" width="9.140625" style="1024"/>
    <col min="16149" max="16149" width="0" style="1024" hidden="1" customWidth="1"/>
    <col min="16150" max="16384" width="9.140625" style="1024"/>
  </cols>
  <sheetData>
    <row r="1" spans="1:17" ht="18.75">
      <c r="A1" s="1880" t="s">
        <v>3609</v>
      </c>
      <c r="B1" s="1030" t="s">
        <v>3923</v>
      </c>
      <c r="C1" s="1031"/>
      <c r="D1" s="896"/>
      <c r="E1" s="896"/>
      <c r="F1" s="1032"/>
      <c r="G1" s="1033"/>
      <c r="H1" s="1033"/>
      <c r="I1" s="1033"/>
      <c r="J1" s="1033"/>
      <c r="K1" s="1033"/>
      <c r="L1" s="1033"/>
      <c r="M1" s="1033"/>
      <c r="N1" s="1033"/>
      <c r="O1" s="896"/>
      <c r="P1" s="1022" t="s">
        <v>3931</v>
      </c>
      <c r="Q1" s="1022" t="s">
        <v>3932</v>
      </c>
    </row>
    <row r="2" spans="1:17">
      <c r="B2" s="1034" t="s">
        <v>3198</v>
      </c>
      <c r="C2" s="1035">
        <f>'Basic Info'!C29:D29</f>
        <v>0</v>
      </c>
      <c r="D2" s="896"/>
      <c r="E2" s="896"/>
      <c r="F2" s="1032"/>
      <c r="G2" s="1033"/>
      <c r="H2" s="1033"/>
      <c r="I2" s="1033"/>
      <c r="J2" s="1033"/>
      <c r="K2" s="1033"/>
      <c r="L2" s="1033"/>
      <c r="M2" s="1033"/>
      <c r="N2" s="1033"/>
      <c r="O2" s="896"/>
      <c r="P2" s="1005"/>
      <c r="Q2" s="1006"/>
    </row>
    <row r="3" spans="1:17">
      <c r="B3" s="896"/>
      <c r="C3" s="896"/>
      <c r="D3" s="896"/>
      <c r="E3" s="896"/>
      <c r="F3" s="1032"/>
      <c r="G3" s="1033"/>
      <c r="H3" s="1033"/>
      <c r="I3" s="1033"/>
      <c r="J3" s="1033"/>
      <c r="K3" s="1033"/>
      <c r="L3" s="1033"/>
      <c r="M3" s="1033"/>
      <c r="N3" s="1033"/>
      <c r="O3" s="896"/>
      <c r="P3" s="1005"/>
      <c r="Q3" s="1006"/>
    </row>
    <row r="4" spans="1:17">
      <c r="B4" s="896"/>
      <c r="C4" s="896"/>
      <c r="D4" s="896"/>
      <c r="E4" s="896"/>
      <c r="F4" s="896"/>
      <c r="G4" s="1032"/>
      <c r="H4" s="1033"/>
      <c r="I4" s="1033"/>
      <c r="J4" s="1033"/>
      <c r="K4" s="1033"/>
      <c r="L4" s="1033"/>
      <c r="M4" s="1033"/>
      <c r="N4" s="1033"/>
      <c r="O4" s="896"/>
      <c r="P4" s="1005"/>
      <c r="Q4" s="1006"/>
    </row>
    <row r="5" spans="1:17">
      <c r="B5" s="1036" t="s">
        <v>3981</v>
      </c>
      <c r="C5" s="896"/>
      <c r="D5" s="896"/>
      <c r="E5" s="896"/>
      <c r="F5" s="896"/>
      <c r="G5" s="1032"/>
      <c r="H5" s="1033"/>
      <c r="I5" s="1033"/>
      <c r="J5" s="1033"/>
      <c r="K5" s="1033"/>
      <c r="L5" s="1033"/>
      <c r="M5" s="1033"/>
      <c r="N5" s="1033"/>
      <c r="O5" s="896"/>
      <c r="P5" s="1225"/>
      <c r="Q5" s="1226"/>
    </row>
    <row r="6" spans="1:17" s="1026" customFormat="1" ht="24" customHeight="1">
      <c r="B6" s="2394" t="s">
        <v>3611</v>
      </c>
      <c r="C6" s="2394"/>
      <c r="D6" s="2394"/>
      <c r="E6" s="2394"/>
      <c r="F6" s="2394"/>
      <c r="G6" s="2394"/>
      <c r="H6" s="2394"/>
      <c r="I6" s="2394"/>
      <c r="J6" s="2394"/>
      <c r="K6" s="2394"/>
      <c r="L6" s="2394"/>
      <c r="M6" s="2394"/>
      <c r="N6" s="2394"/>
      <c r="O6" s="2394"/>
      <c r="P6" s="2394"/>
      <c r="Q6" s="2394"/>
    </row>
    <row r="7" spans="1:17" ht="26.25" customHeight="1">
      <c r="B7" s="2395" t="s">
        <v>3612</v>
      </c>
      <c r="C7" s="2395"/>
      <c r="D7" s="2395"/>
      <c r="E7" s="2395"/>
      <c r="F7" s="2395"/>
      <c r="G7" s="2395"/>
      <c r="H7" s="2395"/>
      <c r="I7" s="2395"/>
      <c r="J7" s="2395"/>
      <c r="K7" s="2395"/>
      <c r="L7" s="2395"/>
      <c r="M7" s="2395"/>
      <c r="N7" s="2395"/>
      <c r="O7" s="2395"/>
      <c r="P7" s="2395"/>
      <c r="Q7" s="2395"/>
    </row>
    <row r="8" spans="1:17">
      <c r="B8" s="1038"/>
      <c r="C8" s="1038"/>
      <c r="D8" s="897"/>
      <c r="E8" s="897"/>
      <c r="F8" s="897"/>
      <c r="G8" s="913"/>
      <c r="H8" s="913"/>
      <c r="I8" s="913"/>
      <c r="J8" s="913"/>
      <c r="K8" s="913"/>
      <c r="L8" s="913"/>
      <c r="M8" s="1007"/>
      <c r="N8" s="913"/>
      <c r="O8" s="897"/>
      <c r="P8" s="1007"/>
      <c r="Q8" s="897"/>
    </row>
    <row r="9" spans="1:17">
      <c r="B9" s="1036" t="s">
        <v>3927</v>
      </c>
      <c r="C9" s="1039"/>
      <c r="D9" s="1039"/>
      <c r="E9" s="897"/>
      <c r="F9" s="897"/>
      <c r="G9" s="913"/>
      <c r="H9" s="913"/>
      <c r="I9" s="913"/>
      <c r="J9" s="913"/>
      <c r="K9" s="913"/>
      <c r="L9" s="913"/>
      <c r="M9" s="1007"/>
      <c r="N9" s="913"/>
      <c r="O9" s="897"/>
      <c r="P9" s="1007"/>
      <c r="Q9" s="897"/>
    </row>
    <row r="10" spans="1:17">
      <c r="B10" s="897" t="s">
        <v>3613</v>
      </c>
      <c r="C10" s="897"/>
      <c r="D10" s="897"/>
      <c r="E10" s="897"/>
      <c r="F10" s="897"/>
      <c r="G10" s="913"/>
      <c r="H10" s="913"/>
      <c r="I10" s="913"/>
      <c r="J10" s="913"/>
      <c r="K10" s="913"/>
      <c r="L10" s="913"/>
      <c r="M10" s="913"/>
      <c r="N10" s="913"/>
      <c r="O10" s="897"/>
      <c r="P10" s="1007"/>
      <c r="Q10" s="897"/>
    </row>
    <row r="11" spans="1:17">
      <c r="B11" s="897" t="s">
        <v>3614</v>
      </c>
      <c r="C11" s="897"/>
      <c r="D11" s="897"/>
      <c r="E11" s="897"/>
      <c r="F11" s="897"/>
      <c r="G11" s="913"/>
      <c r="H11" s="913"/>
      <c r="I11" s="913"/>
      <c r="J11" s="913"/>
      <c r="K11" s="913"/>
      <c r="L11" s="913"/>
      <c r="M11" s="913"/>
      <c r="N11" s="913"/>
      <c r="O11" s="897"/>
      <c r="P11" s="897"/>
      <c r="Q11" s="897"/>
    </row>
    <row r="12" spans="1:17">
      <c r="B12" s="897" t="s">
        <v>3615</v>
      </c>
      <c r="C12" s="897"/>
      <c r="D12" s="897"/>
      <c r="E12" s="897"/>
      <c r="F12" s="897"/>
      <c r="G12" s="913"/>
      <c r="H12" s="913"/>
      <c r="I12" s="913"/>
      <c r="J12" s="913"/>
      <c r="K12" s="913"/>
      <c r="L12" s="913"/>
      <c r="M12" s="913"/>
      <c r="N12" s="913"/>
      <c r="O12" s="897"/>
      <c r="P12" s="897"/>
      <c r="Q12" s="897"/>
    </row>
    <row r="13" spans="1:17">
      <c r="B13" s="897"/>
      <c r="C13" s="897"/>
      <c r="D13" s="897"/>
      <c r="E13" s="897"/>
      <c r="F13" s="897"/>
      <c r="G13" s="913"/>
      <c r="H13" s="913"/>
      <c r="I13" s="913"/>
      <c r="J13" s="913"/>
      <c r="K13" s="913"/>
      <c r="L13" s="913"/>
      <c r="M13" s="913"/>
      <c r="N13" s="913"/>
      <c r="O13" s="897"/>
      <c r="P13" s="897"/>
      <c r="Q13" s="897"/>
    </row>
    <row r="14" spans="1:17">
      <c r="B14" s="1011" t="s">
        <v>3982</v>
      </c>
      <c r="C14" s="1010"/>
      <c r="D14" s="1039"/>
      <c r="E14" s="897"/>
      <c r="F14" s="897"/>
      <c r="G14" s="913"/>
      <c r="H14" s="913"/>
      <c r="I14" s="913"/>
      <c r="J14" s="913"/>
      <c r="K14" s="913"/>
      <c r="L14" s="913"/>
      <c r="M14" s="913"/>
      <c r="N14" s="913"/>
      <c r="O14" s="897"/>
      <c r="P14" s="897"/>
      <c r="Q14" s="897"/>
    </row>
    <row r="15" spans="1:17">
      <c r="B15" s="897" t="s">
        <v>3924</v>
      </c>
      <c r="C15" s="897"/>
      <c r="D15" s="897"/>
      <c r="E15" s="897"/>
      <c r="F15" s="897"/>
      <c r="G15" s="913"/>
      <c r="H15" s="913"/>
      <c r="I15" s="913"/>
      <c r="J15" s="913"/>
      <c r="K15" s="913"/>
      <c r="L15" s="913"/>
      <c r="M15" s="913"/>
      <c r="N15" s="913"/>
      <c r="O15" s="897"/>
      <c r="P15" s="897"/>
      <c r="Q15" s="897"/>
    </row>
    <row r="16" spans="1:17">
      <c r="B16" s="897" t="s">
        <v>3616</v>
      </c>
      <c r="C16" s="897"/>
      <c r="D16" s="897"/>
      <c r="E16" s="897"/>
      <c r="F16" s="897"/>
      <c r="G16" s="913"/>
      <c r="H16" s="913"/>
      <c r="I16" s="913"/>
      <c r="J16" s="913"/>
      <c r="K16" s="913"/>
      <c r="L16" s="913"/>
      <c r="M16" s="913"/>
      <c r="N16" s="913"/>
      <c r="O16" s="897"/>
      <c r="P16" s="897"/>
      <c r="Q16" s="897"/>
    </row>
    <row r="17" spans="2:19">
      <c r="B17" s="1040" t="s">
        <v>3617</v>
      </c>
      <c r="C17" s="1040"/>
      <c r="D17" s="1040"/>
      <c r="E17" s="897"/>
      <c r="F17" s="897"/>
      <c r="G17" s="913"/>
      <c r="H17" s="913"/>
      <c r="I17" s="913"/>
      <c r="J17" s="913"/>
      <c r="K17" s="913"/>
      <c r="L17" s="913"/>
      <c r="M17" s="913"/>
      <c r="N17" s="913"/>
      <c r="O17" s="897"/>
      <c r="P17" s="897"/>
      <c r="Q17" s="897"/>
    </row>
    <row r="18" spans="2:19">
      <c r="B18" s="1041" t="s">
        <v>3618</v>
      </c>
      <c r="C18" s="1041"/>
      <c r="D18" s="1040"/>
      <c r="E18" s="897"/>
      <c r="F18" s="897"/>
      <c r="G18" s="913"/>
      <c r="H18" s="913"/>
      <c r="I18" s="913"/>
      <c r="J18" s="913"/>
      <c r="K18" s="913"/>
      <c r="L18" s="913"/>
      <c r="M18" s="913"/>
      <c r="N18" s="913"/>
      <c r="O18" s="897"/>
      <c r="P18" s="897"/>
      <c r="Q18" s="897"/>
    </row>
    <row r="19" spans="2:19">
      <c r="B19" s="1040"/>
      <c r="C19" s="1040"/>
      <c r="D19" s="1040"/>
      <c r="E19" s="897"/>
      <c r="F19" s="897"/>
      <c r="G19" s="913"/>
      <c r="H19" s="913"/>
      <c r="I19" s="913"/>
      <c r="J19" s="913"/>
      <c r="K19" s="913"/>
      <c r="L19" s="913"/>
      <c r="M19" s="913"/>
      <c r="N19" s="913"/>
      <c r="O19" s="897"/>
      <c r="P19" s="897"/>
      <c r="Q19" s="897"/>
    </row>
    <row r="20" spans="2:19">
      <c r="B20" s="1042" t="s">
        <v>3928</v>
      </c>
      <c r="C20" s="1040"/>
      <c r="D20" s="1008"/>
      <c r="E20" s="1008"/>
      <c r="F20" s="1008"/>
      <c r="G20" s="913"/>
      <c r="H20" s="1012"/>
      <c r="I20" s="913"/>
      <c r="J20" s="1033"/>
      <c r="K20" s="1033"/>
      <c r="L20" s="1033"/>
      <c r="M20" s="1033"/>
      <c r="N20" s="1033"/>
      <c r="O20" s="896"/>
      <c r="P20" s="896"/>
      <c r="Q20" s="896"/>
      <c r="R20" s="1027"/>
      <c r="S20" s="1027"/>
    </row>
    <row r="21" spans="2:19">
      <c r="B21" s="936" t="s">
        <v>3930</v>
      </c>
      <c r="C21" s="936"/>
      <c r="D21" s="1010"/>
      <c r="E21" s="1010"/>
      <c r="F21" s="1010"/>
      <c r="G21" s="1033"/>
      <c r="H21" s="1033"/>
      <c r="I21" s="1033"/>
      <c r="J21" s="1033"/>
      <c r="K21" s="1033"/>
      <c r="L21" s="1033"/>
      <c r="M21" s="1033"/>
      <c r="N21" s="1033"/>
      <c r="O21" s="896"/>
      <c r="P21" s="896"/>
      <c r="Q21" s="896"/>
      <c r="R21" s="1027"/>
      <c r="S21" s="1027"/>
    </row>
    <row r="22" spans="2:19">
      <c r="B22" s="1012" t="s">
        <v>3929</v>
      </c>
      <c r="C22" s="1012"/>
      <c r="D22" s="1013"/>
      <c r="E22" s="1013"/>
      <c r="F22" s="1013"/>
      <c r="G22" s="1033"/>
      <c r="H22" s="1033"/>
      <c r="I22" s="1033"/>
      <c r="J22" s="1033"/>
      <c r="K22" s="1033"/>
      <c r="L22" s="1033"/>
      <c r="M22" s="1033"/>
      <c r="N22" s="1033"/>
      <c r="O22" s="896"/>
      <c r="P22" s="896"/>
      <c r="Q22" s="896"/>
      <c r="R22" s="1027"/>
      <c r="S22" s="1027"/>
    </row>
    <row r="23" spans="2:19" ht="63" customHeight="1">
      <c r="B23" s="1079"/>
      <c r="C23" s="1084" t="s">
        <v>3968</v>
      </c>
      <c r="D23" s="1080"/>
      <c r="E23" s="1080" t="s">
        <v>3619</v>
      </c>
      <c r="F23" s="1080" t="s">
        <v>3620</v>
      </c>
      <c r="G23" s="1081" t="s">
        <v>3621</v>
      </c>
      <c r="H23" s="1081" t="s">
        <v>3622</v>
      </c>
      <c r="I23" s="1023" t="s">
        <v>3623</v>
      </c>
      <c r="J23" s="1023" t="s">
        <v>3624</v>
      </c>
      <c r="K23" s="1023" t="s">
        <v>3918</v>
      </c>
      <c r="L23" s="1081" t="s">
        <v>3625</v>
      </c>
      <c r="M23" s="1081" t="s">
        <v>3919</v>
      </c>
      <c r="N23" s="1082" t="s">
        <v>3626</v>
      </c>
      <c r="O23" s="1089" t="s">
        <v>3627</v>
      </c>
      <c r="P23" s="2396" t="s">
        <v>3920</v>
      </c>
      <c r="Q23" s="2397"/>
      <c r="R23" s="1027"/>
      <c r="S23" s="1027"/>
    </row>
    <row r="24" spans="2:19" ht="36" customHeight="1">
      <c r="B24" s="2398" t="s">
        <v>3925</v>
      </c>
      <c r="C24" s="2398" t="s">
        <v>4548</v>
      </c>
      <c r="D24" s="1832" t="s">
        <v>3628</v>
      </c>
      <c r="E24" s="959" t="str">
        <f>ERMs!C11</f>
        <v>N/A</v>
      </c>
      <c r="F24" s="1825" t="str">
        <f>ERMs!D11</f>
        <v>N/A</v>
      </c>
      <c r="G24" s="1836" t="s">
        <v>3629</v>
      </c>
      <c r="H24" s="1043" t="s">
        <v>3630</v>
      </c>
      <c r="I24" s="1043">
        <v>46</v>
      </c>
      <c r="J24" s="1043" t="s">
        <v>3631</v>
      </c>
      <c r="K24" s="1044" t="s">
        <v>1494</v>
      </c>
      <c r="L24" s="1045" t="s">
        <v>3632</v>
      </c>
      <c r="M24" s="1046" t="s">
        <v>3633</v>
      </c>
      <c r="N24" s="1045" t="s">
        <v>1494</v>
      </c>
      <c r="O24" s="1823"/>
      <c r="P24" s="2393"/>
      <c r="Q24" s="2393"/>
    </row>
    <row r="25" spans="2:19" ht="44.25" customHeight="1">
      <c r="B25" s="2398"/>
      <c r="C25" s="2398"/>
      <c r="D25" s="1833" t="s">
        <v>3634</v>
      </c>
      <c r="E25" s="926" t="str">
        <f>ERMs!C12</f>
        <v>N/A</v>
      </c>
      <c r="F25" s="1825" t="str">
        <f>ERMs!D12</f>
        <v>N/A</v>
      </c>
      <c r="G25" s="1837" t="s">
        <v>3629</v>
      </c>
      <c r="H25" s="1047" t="s">
        <v>3635</v>
      </c>
      <c r="I25" s="1047">
        <v>46</v>
      </c>
      <c r="J25" s="1047" t="s">
        <v>3631</v>
      </c>
      <c r="K25" s="1048" t="s">
        <v>1493</v>
      </c>
      <c r="L25" s="1049" t="s">
        <v>3636</v>
      </c>
      <c r="M25" s="1050" t="s">
        <v>3633</v>
      </c>
      <c r="N25" s="1049" t="s">
        <v>1493</v>
      </c>
      <c r="O25" s="1823"/>
      <c r="P25" s="2383"/>
      <c r="Q25" s="2383"/>
    </row>
    <row r="26" spans="2:19" s="1028" customFormat="1">
      <c r="B26" s="2398"/>
      <c r="C26" s="2398"/>
      <c r="D26" s="1833" t="s">
        <v>3637</v>
      </c>
      <c r="E26" s="926" t="str">
        <f>ERMs!C13</f>
        <v>N/A</v>
      </c>
      <c r="F26" s="1825" t="str">
        <f>ERMs!D13</f>
        <v>N/A</v>
      </c>
      <c r="G26" s="1837" t="s">
        <v>3629</v>
      </c>
      <c r="H26" s="1047" t="s">
        <v>3638</v>
      </c>
      <c r="I26" s="1047">
        <v>5</v>
      </c>
      <c r="J26" s="1047" t="s">
        <v>3639</v>
      </c>
      <c r="K26" s="1048" t="s">
        <v>1493</v>
      </c>
      <c r="L26" s="1049" t="s">
        <v>3640</v>
      </c>
      <c r="M26" s="1050" t="s">
        <v>3633</v>
      </c>
      <c r="N26" s="1049" t="s">
        <v>1493</v>
      </c>
      <c r="O26" s="1823"/>
      <c r="P26" s="2383"/>
      <c r="Q26" s="2383"/>
    </row>
    <row r="27" spans="2:19" s="1028" customFormat="1" ht="36.75" customHeight="1">
      <c r="B27" s="2398"/>
      <c r="C27" s="2398"/>
      <c r="D27" s="1826" t="s">
        <v>4547</v>
      </c>
      <c r="E27" s="1826" t="s">
        <v>2677</v>
      </c>
      <c r="F27" s="1825" t="s">
        <v>2677</v>
      </c>
      <c r="G27" s="1020"/>
      <c r="H27" s="1830"/>
      <c r="I27" s="1830"/>
      <c r="J27" s="1830"/>
      <c r="K27" s="1830"/>
      <c r="L27" s="1830"/>
      <c r="M27" s="1020"/>
      <c r="N27" s="1830"/>
      <c r="O27" s="1823"/>
      <c r="P27" s="2383"/>
      <c r="Q27" s="2383"/>
    </row>
    <row r="28" spans="2:19" s="1028" customFormat="1">
      <c r="B28" s="978"/>
      <c r="C28" s="978"/>
      <c r="D28" s="978"/>
      <c r="E28" s="978"/>
      <c r="F28" s="978"/>
      <c r="G28" s="1020"/>
      <c r="H28" s="1021"/>
      <c r="I28" s="1021"/>
      <c r="J28" s="1021"/>
      <c r="K28" s="1021"/>
      <c r="L28" s="1021"/>
      <c r="M28" s="1020"/>
      <c r="N28" s="1021"/>
      <c r="O28" s="1015"/>
      <c r="P28" s="1015"/>
      <c r="Q28" s="1015"/>
    </row>
    <row r="29" spans="2:19" ht="60" customHeight="1">
      <c r="B29" s="2388"/>
      <c r="C29" s="2389"/>
      <c r="D29" s="2390"/>
      <c r="E29" s="1086" t="s">
        <v>3619</v>
      </c>
      <c r="F29" s="1086" t="s">
        <v>3620</v>
      </c>
      <c r="G29" s="2384" t="s">
        <v>3625</v>
      </c>
      <c r="H29" s="2384"/>
      <c r="I29" s="2384"/>
      <c r="J29" s="2384"/>
      <c r="K29" s="2384"/>
      <c r="L29" s="2384"/>
      <c r="M29" s="1087" t="s">
        <v>3919</v>
      </c>
      <c r="N29" s="1088" t="s">
        <v>3626</v>
      </c>
      <c r="O29" s="1089" t="s">
        <v>3627</v>
      </c>
      <c r="P29" s="2385" t="s">
        <v>3920</v>
      </c>
      <c r="Q29" s="2386"/>
    </row>
    <row r="30" spans="2:19" ht="24">
      <c r="B30" s="1051" t="s">
        <v>3921</v>
      </c>
      <c r="C30" s="1052"/>
      <c r="D30" s="1053"/>
      <c r="E30" s="926" t="str">
        <f>ERMs!C14</f>
        <v>N/A</v>
      </c>
      <c r="F30" s="939" t="str">
        <f>ERMs!D14</f>
        <v>N/A</v>
      </c>
      <c r="G30" s="2387" t="s">
        <v>3641</v>
      </c>
      <c r="H30" s="2387"/>
      <c r="I30" s="2387"/>
      <c r="J30" s="2387"/>
      <c r="K30" s="2387"/>
      <c r="L30" s="2387"/>
      <c r="M30" s="1050" t="s">
        <v>3633</v>
      </c>
      <c r="N30" s="1049" t="s">
        <v>1494</v>
      </c>
      <c r="O30" s="1018"/>
      <c r="P30" s="2383"/>
      <c r="Q30" s="2383"/>
    </row>
    <row r="31" spans="2:19" ht="27.75" customHeight="1">
      <c r="B31" s="1051" t="s">
        <v>3922</v>
      </c>
      <c r="C31" s="1054"/>
      <c r="D31" s="1055"/>
      <c r="E31" s="926" t="str">
        <f>ERMs!C15</f>
        <v>N/A</v>
      </c>
      <c r="F31" s="939" t="str">
        <f>ERMs!D15</f>
        <v>N/A</v>
      </c>
      <c r="G31" s="2387" t="s">
        <v>3642</v>
      </c>
      <c r="H31" s="2387"/>
      <c r="I31" s="2387"/>
      <c r="J31" s="2387"/>
      <c r="K31" s="2387"/>
      <c r="L31" s="2387"/>
      <c r="M31" s="1050" t="s">
        <v>3633</v>
      </c>
      <c r="N31" s="1049" t="s">
        <v>1494</v>
      </c>
      <c r="O31" s="1018"/>
      <c r="P31" s="2383"/>
      <c r="Q31" s="2383"/>
    </row>
    <row r="32" spans="2:19" ht="27" customHeight="1">
      <c r="B32" s="2391" t="s">
        <v>4549</v>
      </c>
      <c r="C32" s="2392"/>
      <c r="D32" s="2392"/>
      <c r="E32" s="2392"/>
      <c r="F32" s="2392"/>
      <c r="G32" s="1830"/>
      <c r="H32" s="1830"/>
      <c r="I32" s="1830"/>
      <c r="J32" s="1830"/>
      <c r="K32" s="1830"/>
      <c r="L32" s="1830"/>
      <c r="M32" s="1020"/>
      <c r="N32" s="1830"/>
      <c r="O32" s="1823"/>
      <c r="P32" s="2383"/>
      <c r="Q32" s="2383"/>
    </row>
    <row r="33" spans="2:21" s="1028" customFormat="1" ht="78" customHeight="1">
      <c r="B33" s="2381" t="s">
        <v>3926</v>
      </c>
      <c r="C33" s="2382"/>
      <c r="D33" s="2382"/>
      <c r="E33" s="2382"/>
      <c r="F33" s="2382"/>
      <c r="G33" s="2382"/>
      <c r="H33" s="2382"/>
      <c r="I33" s="2382"/>
      <c r="J33" s="2382"/>
      <c r="K33" s="2382"/>
      <c r="L33" s="2382"/>
      <c r="M33" s="2382"/>
      <c r="N33" s="2382"/>
      <c r="O33" s="1018"/>
      <c r="P33" s="2383"/>
      <c r="Q33" s="2383"/>
    </row>
    <row r="34" spans="2:21" ht="33.75" customHeight="1"/>
    <row r="35" spans="2:21" ht="33.75" customHeight="1"/>
    <row r="36" spans="2:21" ht="44.25" customHeight="1"/>
    <row r="38" spans="2:21">
      <c r="U38" s="1024" t="s">
        <v>1493</v>
      </c>
    </row>
    <row r="39" spans="2:21">
      <c r="U39" s="1024" t="s">
        <v>1494</v>
      </c>
    </row>
    <row r="40" spans="2:21">
      <c r="U40" s="1024" t="s">
        <v>2677</v>
      </c>
    </row>
    <row r="181" spans="2:2">
      <c r="B181" s="1029"/>
    </row>
  </sheetData>
  <sheetProtection formatCells="0" formatColumns="0" formatRows="0" insertColumns="0" insertRows="0"/>
  <mergeCells count="20">
    <mergeCell ref="P24:Q24"/>
    <mergeCell ref="P25:Q25"/>
    <mergeCell ref="P26:Q26"/>
    <mergeCell ref="B6:Q6"/>
    <mergeCell ref="B7:Q7"/>
    <mergeCell ref="P23:Q23"/>
    <mergeCell ref="B24:B27"/>
    <mergeCell ref="C24:C27"/>
    <mergeCell ref="P27:Q27"/>
    <mergeCell ref="B33:N33"/>
    <mergeCell ref="P33:Q33"/>
    <mergeCell ref="G29:L29"/>
    <mergeCell ref="P29:Q29"/>
    <mergeCell ref="G30:L30"/>
    <mergeCell ref="P30:Q30"/>
    <mergeCell ref="G31:L31"/>
    <mergeCell ref="P31:Q31"/>
    <mergeCell ref="B29:D29"/>
    <mergeCell ref="B32:F32"/>
    <mergeCell ref="P32:Q32"/>
  </mergeCells>
  <dataValidations count="2">
    <dataValidation type="list" allowBlank="1" showInputMessage="1" showErrorMessage="1" sqref="WVS983070:WVS983072 K983067:K983069 K917531:K917533 K851995:K851997 K786459:K786461 K720923:K720925 K655387:K655389 K589851:K589853 K524315:K524317 K458779:K458781 K393243:K393245 K327707:K327709 K262171:K262173 K196635:K196637 K131099:K131101 K65563:K65565 JG29:JG32 TC29:TC32 ACY29:ACY32 AMU29:AMU32 AWQ29:AWQ32 BGM29:BGM32 BQI29:BQI32 CAE29:CAE32 CKA29:CKA32 CTW29:CTW32 DDS29:DDS32 DNO29:DNO32 DXK29:DXK32 EHG29:EHG32 ERC29:ERC32 FAY29:FAY32 FKU29:FKU32 FUQ29:FUQ32 GEM29:GEM32 GOI29:GOI32 GYE29:GYE32 HIA29:HIA32 HRW29:HRW32 IBS29:IBS32 ILO29:ILO32 IVK29:IVK32 JFG29:JFG32 JPC29:JPC32 JYY29:JYY32 KIU29:KIU32 KSQ29:KSQ32 LCM29:LCM32 LMI29:LMI32 LWE29:LWE32 MGA29:MGA32 MPW29:MPW32 MZS29:MZS32 NJO29:NJO32 NTK29:NTK32 ODG29:ODG32 ONC29:ONC32 OWY29:OWY32 PGU29:PGU32 PQQ29:PQQ32 QAM29:QAM32 QKI29:QKI32 QUE29:QUE32 REA29:REA32 RNW29:RNW32 RXS29:RXS32 SHO29:SHO32 SRK29:SRK32 TBG29:TBG32 TLC29:TLC32 TUY29:TUY32 UEU29:UEU32 UOQ29:UOQ32 UYM29:UYM32 VII29:VII32 VSE29:VSE32 WCA29:WCA32 WLW29:WLW32 WVS29:WVS32 JG65566:JG65568 TC65566:TC65568 ACY65566:ACY65568 AMU65566:AMU65568 AWQ65566:AWQ65568 BGM65566:BGM65568 BQI65566:BQI65568 CAE65566:CAE65568 CKA65566:CKA65568 CTW65566:CTW65568 DDS65566:DDS65568 DNO65566:DNO65568 DXK65566:DXK65568 EHG65566:EHG65568 ERC65566:ERC65568 FAY65566:FAY65568 FKU65566:FKU65568 FUQ65566:FUQ65568 GEM65566:GEM65568 GOI65566:GOI65568 GYE65566:GYE65568 HIA65566:HIA65568 HRW65566:HRW65568 IBS65566:IBS65568 ILO65566:ILO65568 IVK65566:IVK65568 JFG65566:JFG65568 JPC65566:JPC65568 JYY65566:JYY65568 KIU65566:KIU65568 KSQ65566:KSQ65568 LCM65566:LCM65568 LMI65566:LMI65568 LWE65566:LWE65568 MGA65566:MGA65568 MPW65566:MPW65568 MZS65566:MZS65568 NJO65566:NJO65568 NTK65566:NTK65568 ODG65566:ODG65568 ONC65566:ONC65568 OWY65566:OWY65568 PGU65566:PGU65568 PQQ65566:PQQ65568 QAM65566:QAM65568 QKI65566:QKI65568 QUE65566:QUE65568 REA65566:REA65568 RNW65566:RNW65568 RXS65566:RXS65568 SHO65566:SHO65568 SRK65566:SRK65568 TBG65566:TBG65568 TLC65566:TLC65568 TUY65566:TUY65568 UEU65566:UEU65568 UOQ65566:UOQ65568 UYM65566:UYM65568 VII65566:VII65568 VSE65566:VSE65568 WCA65566:WCA65568 WLW65566:WLW65568 WVS65566:WVS65568 JG131102:JG131104 TC131102:TC131104 ACY131102:ACY131104 AMU131102:AMU131104 AWQ131102:AWQ131104 BGM131102:BGM131104 BQI131102:BQI131104 CAE131102:CAE131104 CKA131102:CKA131104 CTW131102:CTW131104 DDS131102:DDS131104 DNO131102:DNO131104 DXK131102:DXK131104 EHG131102:EHG131104 ERC131102:ERC131104 FAY131102:FAY131104 FKU131102:FKU131104 FUQ131102:FUQ131104 GEM131102:GEM131104 GOI131102:GOI131104 GYE131102:GYE131104 HIA131102:HIA131104 HRW131102:HRW131104 IBS131102:IBS131104 ILO131102:ILO131104 IVK131102:IVK131104 JFG131102:JFG131104 JPC131102:JPC131104 JYY131102:JYY131104 KIU131102:KIU131104 KSQ131102:KSQ131104 LCM131102:LCM131104 LMI131102:LMI131104 LWE131102:LWE131104 MGA131102:MGA131104 MPW131102:MPW131104 MZS131102:MZS131104 NJO131102:NJO131104 NTK131102:NTK131104 ODG131102:ODG131104 ONC131102:ONC131104 OWY131102:OWY131104 PGU131102:PGU131104 PQQ131102:PQQ131104 QAM131102:QAM131104 QKI131102:QKI131104 QUE131102:QUE131104 REA131102:REA131104 RNW131102:RNW131104 RXS131102:RXS131104 SHO131102:SHO131104 SRK131102:SRK131104 TBG131102:TBG131104 TLC131102:TLC131104 TUY131102:TUY131104 UEU131102:UEU131104 UOQ131102:UOQ131104 UYM131102:UYM131104 VII131102:VII131104 VSE131102:VSE131104 WCA131102:WCA131104 WLW131102:WLW131104 WVS131102:WVS131104 JG196638:JG196640 TC196638:TC196640 ACY196638:ACY196640 AMU196638:AMU196640 AWQ196638:AWQ196640 BGM196638:BGM196640 BQI196638:BQI196640 CAE196638:CAE196640 CKA196638:CKA196640 CTW196638:CTW196640 DDS196638:DDS196640 DNO196638:DNO196640 DXK196638:DXK196640 EHG196638:EHG196640 ERC196638:ERC196640 FAY196638:FAY196640 FKU196638:FKU196640 FUQ196638:FUQ196640 GEM196638:GEM196640 GOI196638:GOI196640 GYE196638:GYE196640 HIA196638:HIA196640 HRW196638:HRW196640 IBS196638:IBS196640 ILO196638:ILO196640 IVK196638:IVK196640 JFG196638:JFG196640 JPC196638:JPC196640 JYY196638:JYY196640 KIU196638:KIU196640 KSQ196638:KSQ196640 LCM196638:LCM196640 LMI196638:LMI196640 LWE196638:LWE196640 MGA196638:MGA196640 MPW196638:MPW196640 MZS196638:MZS196640 NJO196638:NJO196640 NTK196638:NTK196640 ODG196638:ODG196640 ONC196638:ONC196640 OWY196638:OWY196640 PGU196638:PGU196640 PQQ196638:PQQ196640 QAM196638:QAM196640 QKI196638:QKI196640 QUE196638:QUE196640 REA196638:REA196640 RNW196638:RNW196640 RXS196638:RXS196640 SHO196638:SHO196640 SRK196638:SRK196640 TBG196638:TBG196640 TLC196638:TLC196640 TUY196638:TUY196640 UEU196638:UEU196640 UOQ196638:UOQ196640 UYM196638:UYM196640 VII196638:VII196640 VSE196638:VSE196640 WCA196638:WCA196640 WLW196638:WLW196640 WVS196638:WVS196640 JG262174:JG262176 TC262174:TC262176 ACY262174:ACY262176 AMU262174:AMU262176 AWQ262174:AWQ262176 BGM262174:BGM262176 BQI262174:BQI262176 CAE262174:CAE262176 CKA262174:CKA262176 CTW262174:CTW262176 DDS262174:DDS262176 DNO262174:DNO262176 DXK262174:DXK262176 EHG262174:EHG262176 ERC262174:ERC262176 FAY262174:FAY262176 FKU262174:FKU262176 FUQ262174:FUQ262176 GEM262174:GEM262176 GOI262174:GOI262176 GYE262174:GYE262176 HIA262174:HIA262176 HRW262174:HRW262176 IBS262174:IBS262176 ILO262174:ILO262176 IVK262174:IVK262176 JFG262174:JFG262176 JPC262174:JPC262176 JYY262174:JYY262176 KIU262174:KIU262176 KSQ262174:KSQ262176 LCM262174:LCM262176 LMI262174:LMI262176 LWE262174:LWE262176 MGA262174:MGA262176 MPW262174:MPW262176 MZS262174:MZS262176 NJO262174:NJO262176 NTK262174:NTK262176 ODG262174:ODG262176 ONC262174:ONC262176 OWY262174:OWY262176 PGU262174:PGU262176 PQQ262174:PQQ262176 QAM262174:QAM262176 QKI262174:QKI262176 QUE262174:QUE262176 REA262174:REA262176 RNW262174:RNW262176 RXS262174:RXS262176 SHO262174:SHO262176 SRK262174:SRK262176 TBG262174:TBG262176 TLC262174:TLC262176 TUY262174:TUY262176 UEU262174:UEU262176 UOQ262174:UOQ262176 UYM262174:UYM262176 VII262174:VII262176 VSE262174:VSE262176 WCA262174:WCA262176 WLW262174:WLW262176 WVS262174:WVS262176 JG327710:JG327712 TC327710:TC327712 ACY327710:ACY327712 AMU327710:AMU327712 AWQ327710:AWQ327712 BGM327710:BGM327712 BQI327710:BQI327712 CAE327710:CAE327712 CKA327710:CKA327712 CTW327710:CTW327712 DDS327710:DDS327712 DNO327710:DNO327712 DXK327710:DXK327712 EHG327710:EHG327712 ERC327710:ERC327712 FAY327710:FAY327712 FKU327710:FKU327712 FUQ327710:FUQ327712 GEM327710:GEM327712 GOI327710:GOI327712 GYE327710:GYE327712 HIA327710:HIA327712 HRW327710:HRW327712 IBS327710:IBS327712 ILO327710:ILO327712 IVK327710:IVK327712 JFG327710:JFG327712 JPC327710:JPC327712 JYY327710:JYY327712 KIU327710:KIU327712 KSQ327710:KSQ327712 LCM327710:LCM327712 LMI327710:LMI327712 LWE327710:LWE327712 MGA327710:MGA327712 MPW327710:MPW327712 MZS327710:MZS327712 NJO327710:NJO327712 NTK327710:NTK327712 ODG327710:ODG327712 ONC327710:ONC327712 OWY327710:OWY327712 PGU327710:PGU327712 PQQ327710:PQQ327712 QAM327710:QAM327712 QKI327710:QKI327712 QUE327710:QUE327712 REA327710:REA327712 RNW327710:RNW327712 RXS327710:RXS327712 SHO327710:SHO327712 SRK327710:SRK327712 TBG327710:TBG327712 TLC327710:TLC327712 TUY327710:TUY327712 UEU327710:UEU327712 UOQ327710:UOQ327712 UYM327710:UYM327712 VII327710:VII327712 VSE327710:VSE327712 WCA327710:WCA327712 WLW327710:WLW327712 WVS327710:WVS327712 JG393246:JG393248 TC393246:TC393248 ACY393246:ACY393248 AMU393246:AMU393248 AWQ393246:AWQ393248 BGM393246:BGM393248 BQI393246:BQI393248 CAE393246:CAE393248 CKA393246:CKA393248 CTW393246:CTW393248 DDS393246:DDS393248 DNO393246:DNO393248 DXK393246:DXK393248 EHG393246:EHG393248 ERC393246:ERC393248 FAY393246:FAY393248 FKU393246:FKU393248 FUQ393246:FUQ393248 GEM393246:GEM393248 GOI393246:GOI393248 GYE393246:GYE393248 HIA393246:HIA393248 HRW393246:HRW393248 IBS393246:IBS393248 ILO393246:ILO393248 IVK393246:IVK393248 JFG393246:JFG393248 JPC393246:JPC393248 JYY393246:JYY393248 KIU393246:KIU393248 KSQ393246:KSQ393248 LCM393246:LCM393248 LMI393246:LMI393248 LWE393246:LWE393248 MGA393246:MGA393248 MPW393246:MPW393248 MZS393246:MZS393248 NJO393246:NJO393248 NTK393246:NTK393248 ODG393246:ODG393248 ONC393246:ONC393248 OWY393246:OWY393248 PGU393246:PGU393248 PQQ393246:PQQ393248 QAM393246:QAM393248 QKI393246:QKI393248 QUE393246:QUE393248 REA393246:REA393248 RNW393246:RNW393248 RXS393246:RXS393248 SHO393246:SHO393248 SRK393246:SRK393248 TBG393246:TBG393248 TLC393246:TLC393248 TUY393246:TUY393248 UEU393246:UEU393248 UOQ393246:UOQ393248 UYM393246:UYM393248 VII393246:VII393248 VSE393246:VSE393248 WCA393246:WCA393248 WLW393246:WLW393248 WVS393246:WVS393248 JG458782:JG458784 TC458782:TC458784 ACY458782:ACY458784 AMU458782:AMU458784 AWQ458782:AWQ458784 BGM458782:BGM458784 BQI458782:BQI458784 CAE458782:CAE458784 CKA458782:CKA458784 CTW458782:CTW458784 DDS458782:DDS458784 DNO458782:DNO458784 DXK458782:DXK458784 EHG458782:EHG458784 ERC458782:ERC458784 FAY458782:FAY458784 FKU458782:FKU458784 FUQ458782:FUQ458784 GEM458782:GEM458784 GOI458782:GOI458784 GYE458782:GYE458784 HIA458782:HIA458784 HRW458782:HRW458784 IBS458782:IBS458784 ILO458782:ILO458784 IVK458782:IVK458784 JFG458782:JFG458784 JPC458782:JPC458784 JYY458782:JYY458784 KIU458782:KIU458784 KSQ458782:KSQ458784 LCM458782:LCM458784 LMI458782:LMI458784 LWE458782:LWE458784 MGA458782:MGA458784 MPW458782:MPW458784 MZS458782:MZS458784 NJO458782:NJO458784 NTK458782:NTK458784 ODG458782:ODG458784 ONC458782:ONC458784 OWY458782:OWY458784 PGU458782:PGU458784 PQQ458782:PQQ458784 QAM458782:QAM458784 QKI458782:QKI458784 QUE458782:QUE458784 REA458782:REA458784 RNW458782:RNW458784 RXS458782:RXS458784 SHO458782:SHO458784 SRK458782:SRK458784 TBG458782:TBG458784 TLC458782:TLC458784 TUY458782:TUY458784 UEU458782:UEU458784 UOQ458782:UOQ458784 UYM458782:UYM458784 VII458782:VII458784 VSE458782:VSE458784 WCA458782:WCA458784 WLW458782:WLW458784 WVS458782:WVS458784 JG524318:JG524320 TC524318:TC524320 ACY524318:ACY524320 AMU524318:AMU524320 AWQ524318:AWQ524320 BGM524318:BGM524320 BQI524318:BQI524320 CAE524318:CAE524320 CKA524318:CKA524320 CTW524318:CTW524320 DDS524318:DDS524320 DNO524318:DNO524320 DXK524318:DXK524320 EHG524318:EHG524320 ERC524318:ERC524320 FAY524318:FAY524320 FKU524318:FKU524320 FUQ524318:FUQ524320 GEM524318:GEM524320 GOI524318:GOI524320 GYE524318:GYE524320 HIA524318:HIA524320 HRW524318:HRW524320 IBS524318:IBS524320 ILO524318:ILO524320 IVK524318:IVK524320 JFG524318:JFG524320 JPC524318:JPC524320 JYY524318:JYY524320 KIU524318:KIU524320 KSQ524318:KSQ524320 LCM524318:LCM524320 LMI524318:LMI524320 LWE524318:LWE524320 MGA524318:MGA524320 MPW524318:MPW524320 MZS524318:MZS524320 NJO524318:NJO524320 NTK524318:NTK524320 ODG524318:ODG524320 ONC524318:ONC524320 OWY524318:OWY524320 PGU524318:PGU524320 PQQ524318:PQQ524320 QAM524318:QAM524320 QKI524318:QKI524320 QUE524318:QUE524320 REA524318:REA524320 RNW524318:RNW524320 RXS524318:RXS524320 SHO524318:SHO524320 SRK524318:SRK524320 TBG524318:TBG524320 TLC524318:TLC524320 TUY524318:TUY524320 UEU524318:UEU524320 UOQ524318:UOQ524320 UYM524318:UYM524320 VII524318:VII524320 VSE524318:VSE524320 WCA524318:WCA524320 WLW524318:WLW524320 WVS524318:WVS524320 JG589854:JG589856 TC589854:TC589856 ACY589854:ACY589856 AMU589854:AMU589856 AWQ589854:AWQ589856 BGM589854:BGM589856 BQI589854:BQI589856 CAE589854:CAE589856 CKA589854:CKA589856 CTW589854:CTW589856 DDS589854:DDS589856 DNO589854:DNO589856 DXK589854:DXK589856 EHG589854:EHG589856 ERC589854:ERC589856 FAY589854:FAY589856 FKU589854:FKU589856 FUQ589854:FUQ589856 GEM589854:GEM589856 GOI589854:GOI589856 GYE589854:GYE589856 HIA589854:HIA589856 HRW589854:HRW589856 IBS589854:IBS589856 ILO589854:ILO589856 IVK589854:IVK589856 JFG589854:JFG589856 JPC589854:JPC589856 JYY589854:JYY589856 KIU589854:KIU589856 KSQ589854:KSQ589856 LCM589854:LCM589856 LMI589854:LMI589856 LWE589854:LWE589856 MGA589854:MGA589856 MPW589854:MPW589856 MZS589854:MZS589856 NJO589854:NJO589856 NTK589854:NTK589856 ODG589854:ODG589856 ONC589854:ONC589856 OWY589854:OWY589856 PGU589854:PGU589856 PQQ589854:PQQ589856 QAM589854:QAM589856 QKI589854:QKI589856 QUE589854:QUE589856 REA589854:REA589856 RNW589854:RNW589856 RXS589854:RXS589856 SHO589854:SHO589856 SRK589854:SRK589856 TBG589854:TBG589856 TLC589854:TLC589856 TUY589854:TUY589856 UEU589854:UEU589856 UOQ589854:UOQ589856 UYM589854:UYM589856 VII589854:VII589856 VSE589854:VSE589856 WCA589854:WCA589856 WLW589854:WLW589856 WVS589854:WVS589856 JG655390:JG655392 TC655390:TC655392 ACY655390:ACY655392 AMU655390:AMU655392 AWQ655390:AWQ655392 BGM655390:BGM655392 BQI655390:BQI655392 CAE655390:CAE655392 CKA655390:CKA655392 CTW655390:CTW655392 DDS655390:DDS655392 DNO655390:DNO655392 DXK655390:DXK655392 EHG655390:EHG655392 ERC655390:ERC655392 FAY655390:FAY655392 FKU655390:FKU655392 FUQ655390:FUQ655392 GEM655390:GEM655392 GOI655390:GOI655392 GYE655390:GYE655392 HIA655390:HIA655392 HRW655390:HRW655392 IBS655390:IBS655392 ILO655390:ILO655392 IVK655390:IVK655392 JFG655390:JFG655392 JPC655390:JPC655392 JYY655390:JYY655392 KIU655390:KIU655392 KSQ655390:KSQ655392 LCM655390:LCM655392 LMI655390:LMI655392 LWE655390:LWE655392 MGA655390:MGA655392 MPW655390:MPW655392 MZS655390:MZS655392 NJO655390:NJO655392 NTK655390:NTK655392 ODG655390:ODG655392 ONC655390:ONC655392 OWY655390:OWY655392 PGU655390:PGU655392 PQQ655390:PQQ655392 QAM655390:QAM655392 QKI655390:QKI655392 QUE655390:QUE655392 REA655390:REA655392 RNW655390:RNW655392 RXS655390:RXS655392 SHO655390:SHO655392 SRK655390:SRK655392 TBG655390:TBG655392 TLC655390:TLC655392 TUY655390:TUY655392 UEU655390:UEU655392 UOQ655390:UOQ655392 UYM655390:UYM655392 VII655390:VII655392 VSE655390:VSE655392 WCA655390:WCA655392 WLW655390:WLW655392 WVS655390:WVS655392 JG720926:JG720928 TC720926:TC720928 ACY720926:ACY720928 AMU720926:AMU720928 AWQ720926:AWQ720928 BGM720926:BGM720928 BQI720926:BQI720928 CAE720926:CAE720928 CKA720926:CKA720928 CTW720926:CTW720928 DDS720926:DDS720928 DNO720926:DNO720928 DXK720926:DXK720928 EHG720926:EHG720928 ERC720926:ERC720928 FAY720926:FAY720928 FKU720926:FKU720928 FUQ720926:FUQ720928 GEM720926:GEM720928 GOI720926:GOI720928 GYE720926:GYE720928 HIA720926:HIA720928 HRW720926:HRW720928 IBS720926:IBS720928 ILO720926:ILO720928 IVK720926:IVK720928 JFG720926:JFG720928 JPC720926:JPC720928 JYY720926:JYY720928 KIU720926:KIU720928 KSQ720926:KSQ720928 LCM720926:LCM720928 LMI720926:LMI720928 LWE720926:LWE720928 MGA720926:MGA720928 MPW720926:MPW720928 MZS720926:MZS720928 NJO720926:NJO720928 NTK720926:NTK720928 ODG720926:ODG720928 ONC720926:ONC720928 OWY720926:OWY720928 PGU720926:PGU720928 PQQ720926:PQQ720928 QAM720926:QAM720928 QKI720926:QKI720928 QUE720926:QUE720928 REA720926:REA720928 RNW720926:RNW720928 RXS720926:RXS720928 SHO720926:SHO720928 SRK720926:SRK720928 TBG720926:TBG720928 TLC720926:TLC720928 TUY720926:TUY720928 UEU720926:UEU720928 UOQ720926:UOQ720928 UYM720926:UYM720928 VII720926:VII720928 VSE720926:VSE720928 WCA720926:WCA720928 WLW720926:WLW720928 WVS720926:WVS720928 JG786462:JG786464 TC786462:TC786464 ACY786462:ACY786464 AMU786462:AMU786464 AWQ786462:AWQ786464 BGM786462:BGM786464 BQI786462:BQI786464 CAE786462:CAE786464 CKA786462:CKA786464 CTW786462:CTW786464 DDS786462:DDS786464 DNO786462:DNO786464 DXK786462:DXK786464 EHG786462:EHG786464 ERC786462:ERC786464 FAY786462:FAY786464 FKU786462:FKU786464 FUQ786462:FUQ786464 GEM786462:GEM786464 GOI786462:GOI786464 GYE786462:GYE786464 HIA786462:HIA786464 HRW786462:HRW786464 IBS786462:IBS786464 ILO786462:ILO786464 IVK786462:IVK786464 JFG786462:JFG786464 JPC786462:JPC786464 JYY786462:JYY786464 KIU786462:KIU786464 KSQ786462:KSQ786464 LCM786462:LCM786464 LMI786462:LMI786464 LWE786462:LWE786464 MGA786462:MGA786464 MPW786462:MPW786464 MZS786462:MZS786464 NJO786462:NJO786464 NTK786462:NTK786464 ODG786462:ODG786464 ONC786462:ONC786464 OWY786462:OWY786464 PGU786462:PGU786464 PQQ786462:PQQ786464 QAM786462:QAM786464 QKI786462:QKI786464 QUE786462:QUE786464 REA786462:REA786464 RNW786462:RNW786464 RXS786462:RXS786464 SHO786462:SHO786464 SRK786462:SRK786464 TBG786462:TBG786464 TLC786462:TLC786464 TUY786462:TUY786464 UEU786462:UEU786464 UOQ786462:UOQ786464 UYM786462:UYM786464 VII786462:VII786464 VSE786462:VSE786464 WCA786462:WCA786464 WLW786462:WLW786464 WVS786462:WVS786464 JG851998:JG852000 TC851998:TC852000 ACY851998:ACY852000 AMU851998:AMU852000 AWQ851998:AWQ852000 BGM851998:BGM852000 BQI851998:BQI852000 CAE851998:CAE852000 CKA851998:CKA852000 CTW851998:CTW852000 DDS851998:DDS852000 DNO851998:DNO852000 DXK851998:DXK852000 EHG851998:EHG852000 ERC851998:ERC852000 FAY851998:FAY852000 FKU851998:FKU852000 FUQ851998:FUQ852000 GEM851998:GEM852000 GOI851998:GOI852000 GYE851998:GYE852000 HIA851998:HIA852000 HRW851998:HRW852000 IBS851998:IBS852000 ILO851998:ILO852000 IVK851998:IVK852000 JFG851998:JFG852000 JPC851998:JPC852000 JYY851998:JYY852000 KIU851998:KIU852000 KSQ851998:KSQ852000 LCM851998:LCM852000 LMI851998:LMI852000 LWE851998:LWE852000 MGA851998:MGA852000 MPW851998:MPW852000 MZS851998:MZS852000 NJO851998:NJO852000 NTK851998:NTK852000 ODG851998:ODG852000 ONC851998:ONC852000 OWY851998:OWY852000 PGU851998:PGU852000 PQQ851998:PQQ852000 QAM851998:QAM852000 QKI851998:QKI852000 QUE851998:QUE852000 REA851998:REA852000 RNW851998:RNW852000 RXS851998:RXS852000 SHO851998:SHO852000 SRK851998:SRK852000 TBG851998:TBG852000 TLC851998:TLC852000 TUY851998:TUY852000 UEU851998:UEU852000 UOQ851998:UOQ852000 UYM851998:UYM852000 VII851998:VII852000 VSE851998:VSE852000 WCA851998:WCA852000 WLW851998:WLW852000 WVS851998:WVS852000 JG917534:JG917536 TC917534:TC917536 ACY917534:ACY917536 AMU917534:AMU917536 AWQ917534:AWQ917536 BGM917534:BGM917536 BQI917534:BQI917536 CAE917534:CAE917536 CKA917534:CKA917536 CTW917534:CTW917536 DDS917534:DDS917536 DNO917534:DNO917536 DXK917534:DXK917536 EHG917534:EHG917536 ERC917534:ERC917536 FAY917534:FAY917536 FKU917534:FKU917536 FUQ917534:FUQ917536 GEM917534:GEM917536 GOI917534:GOI917536 GYE917534:GYE917536 HIA917534:HIA917536 HRW917534:HRW917536 IBS917534:IBS917536 ILO917534:ILO917536 IVK917534:IVK917536 JFG917534:JFG917536 JPC917534:JPC917536 JYY917534:JYY917536 KIU917534:KIU917536 KSQ917534:KSQ917536 LCM917534:LCM917536 LMI917534:LMI917536 LWE917534:LWE917536 MGA917534:MGA917536 MPW917534:MPW917536 MZS917534:MZS917536 NJO917534:NJO917536 NTK917534:NTK917536 ODG917534:ODG917536 ONC917534:ONC917536 OWY917534:OWY917536 PGU917534:PGU917536 PQQ917534:PQQ917536 QAM917534:QAM917536 QKI917534:QKI917536 QUE917534:QUE917536 REA917534:REA917536 RNW917534:RNW917536 RXS917534:RXS917536 SHO917534:SHO917536 SRK917534:SRK917536 TBG917534:TBG917536 TLC917534:TLC917536 TUY917534:TUY917536 UEU917534:UEU917536 UOQ917534:UOQ917536 UYM917534:UYM917536 VII917534:VII917536 VSE917534:VSE917536 WCA917534:WCA917536 WLW917534:WLW917536 WVS917534:WVS917536 JG983070:JG983072 TC983070:TC983072 ACY983070:ACY983072 AMU983070:AMU983072 AWQ983070:AWQ983072 BGM983070:BGM983072 BQI983070:BQI983072 CAE983070:CAE983072 CKA983070:CKA983072 CTW983070:CTW983072 DDS983070:DDS983072 DNO983070:DNO983072 DXK983070:DXK983072 EHG983070:EHG983072 ERC983070:ERC983072 FAY983070:FAY983072 FKU983070:FKU983072 FUQ983070:FUQ983072 GEM983070:GEM983072 GOI983070:GOI983072 GYE983070:GYE983072 HIA983070:HIA983072 HRW983070:HRW983072 IBS983070:IBS983072 ILO983070:ILO983072 IVK983070:IVK983072 JFG983070:JFG983072 JPC983070:JPC983072 JYY983070:JYY983072 KIU983070:KIU983072 KSQ983070:KSQ983072 LCM983070:LCM983072 LMI983070:LMI983072 LWE983070:LWE983072 MGA983070:MGA983072 MPW983070:MPW983072 MZS983070:MZS983072 NJO983070:NJO983072 NTK983070:NTK983072 ODG983070:ODG983072 ONC983070:ONC983072 OWY983070:OWY983072 PGU983070:PGU983072 PQQ983070:PQQ983072 QAM983070:QAM983072 QKI983070:QKI983072 QUE983070:QUE983072 REA983070:REA983072 RNW983070:RNW983072 RXS983070:RXS983072 SHO983070:SHO983072 SRK983070:SRK983072 TBG983070:TBG983072 TLC983070:TLC983072 TUY983070:TUY983072 UEU983070:UEU983072 UOQ983070:UOQ983072 UYM983070:UYM983072 VII983070:VII983072 VSE983070:VSE983072 WCA983070:WCA983072 WLW983070:WLW983072 K24:K28">
      <formula1>$U$37:$U$39</formula1>
    </dataValidation>
    <dataValidation type="list" allowBlank="1" showInputMessage="1" showErrorMessage="1" sqref="N983071:O983072 N24:O28 N917535:O917536 N851999:O852000 N786463:O786464 N720927:O720928 N655391:O655392 N589855:O589856 N524319:O524320 N458783:O458784 N393247:O393248 N327711:O327712 N262175:O262176 N196639:O196640 N131103:O131104 N65567:O65568 N30:O32 O983073 O917537 O852001 O786465 O720929 O655393 O589857 O524321 O458785 O393249 O327713 O262177 O196641 O131105 O65569 O33 N983067:O983069 N917531:O917533 N851995:O851997 N786459:O786461 N720923:O720925 N655387:O655389 N589851:O589853 N524315:O524317 N458779:O458781 N393243:O393245 N327707:O327709 N262171:O262173 N196635:O196637 N131099:O131101 N65563:O65565 JJ29:JK32 TF29:TG32 ADB29:ADC32 AMX29:AMY32 AWT29:AWU32 BGP29:BGQ32 BQL29:BQM32 CAH29:CAI32 CKD29:CKE32 CTZ29:CUA32 DDV29:DDW32 DNR29:DNS32 DXN29:DXO32 EHJ29:EHK32 ERF29:ERG32 FBB29:FBC32 FKX29:FKY32 FUT29:FUU32 GEP29:GEQ32 GOL29:GOM32 GYH29:GYI32 HID29:HIE32 HRZ29:HSA32 IBV29:IBW32 ILR29:ILS32 IVN29:IVO32 JFJ29:JFK32 JPF29:JPG32 JZB29:JZC32 KIX29:KIY32 KST29:KSU32 LCP29:LCQ32 LML29:LMM32 LWH29:LWI32 MGD29:MGE32 MPZ29:MQA32 MZV29:MZW32 NJR29:NJS32 NTN29:NTO32 ODJ29:ODK32 ONF29:ONG32 OXB29:OXC32 PGX29:PGY32 PQT29:PQU32 QAP29:QAQ32 QKL29:QKM32 QUH29:QUI32 RED29:REE32 RNZ29:ROA32 RXV29:RXW32 SHR29:SHS32 SRN29:SRO32 TBJ29:TBK32 TLF29:TLG32 TVB29:TVC32 UEX29:UEY32 UOT29:UOU32 UYP29:UYQ32 VIL29:VIM32 VSH29:VSI32 WCD29:WCE32 WLZ29:WMA32 WVV29:WVW32 JJ65566:JK65568 TF65566:TG65568 ADB65566:ADC65568 AMX65566:AMY65568 AWT65566:AWU65568 BGP65566:BGQ65568 BQL65566:BQM65568 CAH65566:CAI65568 CKD65566:CKE65568 CTZ65566:CUA65568 DDV65566:DDW65568 DNR65566:DNS65568 DXN65566:DXO65568 EHJ65566:EHK65568 ERF65566:ERG65568 FBB65566:FBC65568 FKX65566:FKY65568 FUT65566:FUU65568 GEP65566:GEQ65568 GOL65566:GOM65568 GYH65566:GYI65568 HID65566:HIE65568 HRZ65566:HSA65568 IBV65566:IBW65568 ILR65566:ILS65568 IVN65566:IVO65568 JFJ65566:JFK65568 JPF65566:JPG65568 JZB65566:JZC65568 KIX65566:KIY65568 KST65566:KSU65568 LCP65566:LCQ65568 LML65566:LMM65568 LWH65566:LWI65568 MGD65566:MGE65568 MPZ65566:MQA65568 MZV65566:MZW65568 NJR65566:NJS65568 NTN65566:NTO65568 ODJ65566:ODK65568 ONF65566:ONG65568 OXB65566:OXC65568 PGX65566:PGY65568 PQT65566:PQU65568 QAP65566:QAQ65568 QKL65566:QKM65568 QUH65566:QUI65568 RED65566:REE65568 RNZ65566:ROA65568 RXV65566:RXW65568 SHR65566:SHS65568 SRN65566:SRO65568 TBJ65566:TBK65568 TLF65566:TLG65568 TVB65566:TVC65568 UEX65566:UEY65568 UOT65566:UOU65568 UYP65566:UYQ65568 VIL65566:VIM65568 VSH65566:VSI65568 WCD65566:WCE65568 WLZ65566:WMA65568 WVV65566:WVW65568 JJ131102:JK131104 TF131102:TG131104 ADB131102:ADC131104 AMX131102:AMY131104 AWT131102:AWU131104 BGP131102:BGQ131104 BQL131102:BQM131104 CAH131102:CAI131104 CKD131102:CKE131104 CTZ131102:CUA131104 DDV131102:DDW131104 DNR131102:DNS131104 DXN131102:DXO131104 EHJ131102:EHK131104 ERF131102:ERG131104 FBB131102:FBC131104 FKX131102:FKY131104 FUT131102:FUU131104 GEP131102:GEQ131104 GOL131102:GOM131104 GYH131102:GYI131104 HID131102:HIE131104 HRZ131102:HSA131104 IBV131102:IBW131104 ILR131102:ILS131104 IVN131102:IVO131104 JFJ131102:JFK131104 JPF131102:JPG131104 JZB131102:JZC131104 KIX131102:KIY131104 KST131102:KSU131104 LCP131102:LCQ131104 LML131102:LMM131104 LWH131102:LWI131104 MGD131102:MGE131104 MPZ131102:MQA131104 MZV131102:MZW131104 NJR131102:NJS131104 NTN131102:NTO131104 ODJ131102:ODK131104 ONF131102:ONG131104 OXB131102:OXC131104 PGX131102:PGY131104 PQT131102:PQU131104 QAP131102:QAQ131104 QKL131102:QKM131104 QUH131102:QUI131104 RED131102:REE131104 RNZ131102:ROA131104 RXV131102:RXW131104 SHR131102:SHS131104 SRN131102:SRO131104 TBJ131102:TBK131104 TLF131102:TLG131104 TVB131102:TVC131104 UEX131102:UEY131104 UOT131102:UOU131104 UYP131102:UYQ131104 VIL131102:VIM131104 VSH131102:VSI131104 WCD131102:WCE131104 WLZ131102:WMA131104 WVV131102:WVW131104 JJ196638:JK196640 TF196638:TG196640 ADB196638:ADC196640 AMX196638:AMY196640 AWT196638:AWU196640 BGP196638:BGQ196640 BQL196638:BQM196640 CAH196638:CAI196640 CKD196638:CKE196640 CTZ196638:CUA196640 DDV196638:DDW196640 DNR196638:DNS196640 DXN196638:DXO196640 EHJ196638:EHK196640 ERF196638:ERG196640 FBB196638:FBC196640 FKX196638:FKY196640 FUT196638:FUU196640 GEP196638:GEQ196640 GOL196638:GOM196640 GYH196638:GYI196640 HID196638:HIE196640 HRZ196638:HSA196640 IBV196638:IBW196640 ILR196638:ILS196640 IVN196638:IVO196640 JFJ196638:JFK196640 JPF196638:JPG196640 JZB196638:JZC196640 KIX196638:KIY196640 KST196638:KSU196640 LCP196638:LCQ196640 LML196638:LMM196640 LWH196638:LWI196640 MGD196638:MGE196640 MPZ196638:MQA196640 MZV196638:MZW196640 NJR196638:NJS196640 NTN196638:NTO196640 ODJ196638:ODK196640 ONF196638:ONG196640 OXB196638:OXC196640 PGX196638:PGY196640 PQT196638:PQU196640 QAP196638:QAQ196640 QKL196638:QKM196640 QUH196638:QUI196640 RED196638:REE196640 RNZ196638:ROA196640 RXV196638:RXW196640 SHR196638:SHS196640 SRN196638:SRO196640 TBJ196638:TBK196640 TLF196638:TLG196640 TVB196638:TVC196640 UEX196638:UEY196640 UOT196638:UOU196640 UYP196638:UYQ196640 VIL196638:VIM196640 VSH196638:VSI196640 WCD196638:WCE196640 WLZ196638:WMA196640 WVV196638:WVW196640 JJ262174:JK262176 TF262174:TG262176 ADB262174:ADC262176 AMX262174:AMY262176 AWT262174:AWU262176 BGP262174:BGQ262176 BQL262174:BQM262176 CAH262174:CAI262176 CKD262174:CKE262176 CTZ262174:CUA262176 DDV262174:DDW262176 DNR262174:DNS262176 DXN262174:DXO262176 EHJ262174:EHK262176 ERF262174:ERG262176 FBB262174:FBC262176 FKX262174:FKY262176 FUT262174:FUU262176 GEP262174:GEQ262176 GOL262174:GOM262176 GYH262174:GYI262176 HID262174:HIE262176 HRZ262174:HSA262176 IBV262174:IBW262176 ILR262174:ILS262176 IVN262174:IVO262176 JFJ262174:JFK262176 JPF262174:JPG262176 JZB262174:JZC262176 KIX262174:KIY262176 KST262174:KSU262176 LCP262174:LCQ262176 LML262174:LMM262176 LWH262174:LWI262176 MGD262174:MGE262176 MPZ262174:MQA262176 MZV262174:MZW262176 NJR262174:NJS262176 NTN262174:NTO262176 ODJ262174:ODK262176 ONF262174:ONG262176 OXB262174:OXC262176 PGX262174:PGY262176 PQT262174:PQU262176 QAP262174:QAQ262176 QKL262174:QKM262176 QUH262174:QUI262176 RED262174:REE262176 RNZ262174:ROA262176 RXV262174:RXW262176 SHR262174:SHS262176 SRN262174:SRO262176 TBJ262174:TBK262176 TLF262174:TLG262176 TVB262174:TVC262176 UEX262174:UEY262176 UOT262174:UOU262176 UYP262174:UYQ262176 VIL262174:VIM262176 VSH262174:VSI262176 WCD262174:WCE262176 WLZ262174:WMA262176 WVV262174:WVW262176 JJ327710:JK327712 TF327710:TG327712 ADB327710:ADC327712 AMX327710:AMY327712 AWT327710:AWU327712 BGP327710:BGQ327712 BQL327710:BQM327712 CAH327710:CAI327712 CKD327710:CKE327712 CTZ327710:CUA327712 DDV327710:DDW327712 DNR327710:DNS327712 DXN327710:DXO327712 EHJ327710:EHK327712 ERF327710:ERG327712 FBB327710:FBC327712 FKX327710:FKY327712 FUT327710:FUU327712 GEP327710:GEQ327712 GOL327710:GOM327712 GYH327710:GYI327712 HID327710:HIE327712 HRZ327710:HSA327712 IBV327710:IBW327712 ILR327710:ILS327712 IVN327710:IVO327712 JFJ327710:JFK327712 JPF327710:JPG327712 JZB327710:JZC327712 KIX327710:KIY327712 KST327710:KSU327712 LCP327710:LCQ327712 LML327710:LMM327712 LWH327710:LWI327712 MGD327710:MGE327712 MPZ327710:MQA327712 MZV327710:MZW327712 NJR327710:NJS327712 NTN327710:NTO327712 ODJ327710:ODK327712 ONF327710:ONG327712 OXB327710:OXC327712 PGX327710:PGY327712 PQT327710:PQU327712 QAP327710:QAQ327712 QKL327710:QKM327712 QUH327710:QUI327712 RED327710:REE327712 RNZ327710:ROA327712 RXV327710:RXW327712 SHR327710:SHS327712 SRN327710:SRO327712 TBJ327710:TBK327712 TLF327710:TLG327712 TVB327710:TVC327712 UEX327710:UEY327712 UOT327710:UOU327712 UYP327710:UYQ327712 VIL327710:VIM327712 VSH327710:VSI327712 WCD327710:WCE327712 WLZ327710:WMA327712 WVV327710:WVW327712 JJ393246:JK393248 TF393246:TG393248 ADB393246:ADC393248 AMX393246:AMY393248 AWT393246:AWU393248 BGP393246:BGQ393248 BQL393246:BQM393248 CAH393246:CAI393248 CKD393246:CKE393248 CTZ393246:CUA393248 DDV393246:DDW393248 DNR393246:DNS393248 DXN393246:DXO393248 EHJ393246:EHK393248 ERF393246:ERG393248 FBB393246:FBC393248 FKX393246:FKY393248 FUT393246:FUU393248 GEP393246:GEQ393248 GOL393246:GOM393248 GYH393246:GYI393248 HID393246:HIE393248 HRZ393246:HSA393248 IBV393246:IBW393248 ILR393246:ILS393248 IVN393246:IVO393248 JFJ393246:JFK393248 JPF393246:JPG393248 JZB393246:JZC393248 KIX393246:KIY393248 KST393246:KSU393248 LCP393246:LCQ393248 LML393246:LMM393248 LWH393246:LWI393248 MGD393246:MGE393248 MPZ393246:MQA393248 MZV393246:MZW393248 NJR393246:NJS393248 NTN393246:NTO393248 ODJ393246:ODK393248 ONF393246:ONG393248 OXB393246:OXC393248 PGX393246:PGY393248 PQT393246:PQU393248 QAP393246:QAQ393248 QKL393246:QKM393248 QUH393246:QUI393248 RED393246:REE393248 RNZ393246:ROA393248 RXV393246:RXW393248 SHR393246:SHS393248 SRN393246:SRO393248 TBJ393246:TBK393248 TLF393246:TLG393248 TVB393246:TVC393248 UEX393246:UEY393248 UOT393246:UOU393248 UYP393246:UYQ393248 VIL393246:VIM393248 VSH393246:VSI393248 WCD393246:WCE393248 WLZ393246:WMA393248 WVV393246:WVW393248 JJ458782:JK458784 TF458782:TG458784 ADB458782:ADC458784 AMX458782:AMY458784 AWT458782:AWU458784 BGP458782:BGQ458784 BQL458782:BQM458784 CAH458782:CAI458784 CKD458782:CKE458784 CTZ458782:CUA458784 DDV458782:DDW458784 DNR458782:DNS458784 DXN458782:DXO458784 EHJ458782:EHK458784 ERF458782:ERG458784 FBB458782:FBC458784 FKX458782:FKY458784 FUT458782:FUU458784 GEP458782:GEQ458784 GOL458782:GOM458784 GYH458782:GYI458784 HID458782:HIE458784 HRZ458782:HSA458784 IBV458782:IBW458784 ILR458782:ILS458784 IVN458782:IVO458784 JFJ458782:JFK458784 JPF458782:JPG458784 JZB458782:JZC458784 KIX458782:KIY458784 KST458782:KSU458784 LCP458782:LCQ458784 LML458782:LMM458784 LWH458782:LWI458784 MGD458782:MGE458784 MPZ458782:MQA458784 MZV458782:MZW458784 NJR458782:NJS458784 NTN458782:NTO458784 ODJ458782:ODK458784 ONF458782:ONG458784 OXB458782:OXC458784 PGX458782:PGY458784 PQT458782:PQU458784 QAP458782:QAQ458784 QKL458782:QKM458784 QUH458782:QUI458784 RED458782:REE458784 RNZ458782:ROA458784 RXV458782:RXW458784 SHR458782:SHS458784 SRN458782:SRO458784 TBJ458782:TBK458784 TLF458782:TLG458784 TVB458782:TVC458784 UEX458782:UEY458784 UOT458782:UOU458784 UYP458782:UYQ458784 VIL458782:VIM458784 VSH458782:VSI458784 WCD458782:WCE458784 WLZ458782:WMA458784 WVV458782:WVW458784 JJ524318:JK524320 TF524318:TG524320 ADB524318:ADC524320 AMX524318:AMY524320 AWT524318:AWU524320 BGP524318:BGQ524320 BQL524318:BQM524320 CAH524318:CAI524320 CKD524318:CKE524320 CTZ524318:CUA524320 DDV524318:DDW524320 DNR524318:DNS524320 DXN524318:DXO524320 EHJ524318:EHK524320 ERF524318:ERG524320 FBB524318:FBC524320 FKX524318:FKY524320 FUT524318:FUU524320 GEP524318:GEQ524320 GOL524318:GOM524320 GYH524318:GYI524320 HID524318:HIE524320 HRZ524318:HSA524320 IBV524318:IBW524320 ILR524318:ILS524320 IVN524318:IVO524320 JFJ524318:JFK524320 JPF524318:JPG524320 JZB524318:JZC524320 KIX524318:KIY524320 KST524318:KSU524320 LCP524318:LCQ524320 LML524318:LMM524320 LWH524318:LWI524320 MGD524318:MGE524320 MPZ524318:MQA524320 MZV524318:MZW524320 NJR524318:NJS524320 NTN524318:NTO524320 ODJ524318:ODK524320 ONF524318:ONG524320 OXB524318:OXC524320 PGX524318:PGY524320 PQT524318:PQU524320 QAP524318:QAQ524320 QKL524318:QKM524320 QUH524318:QUI524320 RED524318:REE524320 RNZ524318:ROA524320 RXV524318:RXW524320 SHR524318:SHS524320 SRN524318:SRO524320 TBJ524318:TBK524320 TLF524318:TLG524320 TVB524318:TVC524320 UEX524318:UEY524320 UOT524318:UOU524320 UYP524318:UYQ524320 VIL524318:VIM524320 VSH524318:VSI524320 WCD524318:WCE524320 WLZ524318:WMA524320 WVV524318:WVW524320 JJ589854:JK589856 TF589854:TG589856 ADB589854:ADC589856 AMX589854:AMY589856 AWT589854:AWU589856 BGP589854:BGQ589856 BQL589854:BQM589856 CAH589854:CAI589856 CKD589854:CKE589856 CTZ589854:CUA589856 DDV589854:DDW589856 DNR589854:DNS589856 DXN589854:DXO589856 EHJ589854:EHK589856 ERF589854:ERG589856 FBB589854:FBC589856 FKX589854:FKY589856 FUT589854:FUU589856 GEP589854:GEQ589856 GOL589854:GOM589856 GYH589854:GYI589856 HID589854:HIE589856 HRZ589854:HSA589856 IBV589854:IBW589856 ILR589854:ILS589856 IVN589854:IVO589856 JFJ589854:JFK589856 JPF589854:JPG589856 JZB589854:JZC589856 KIX589854:KIY589856 KST589854:KSU589856 LCP589854:LCQ589856 LML589854:LMM589856 LWH589854:LWI589856 MGD589854:MGE589856 MPZ589854:MQA589856 MZV589854:MZW589856 NJR589854:NJS589856 NTN589854:NTO589856 ODJ589854:ODK589856 ONF589854:ONG589856 OXB589854:OXC589856 PGX589854:PGY589856 PQT589854:PQU589856 QAP589854:QAQ589856 QKL589854:QKM589856 QUH589854:QUI589856 RED589854:REE589856 RNZ589854:ROA589856 RXV589854:RXW589856 SHR589854:SHS589856 SRN589854:SRO589856 TBJ589854:TBK589856 TLF589854:TLG589856 TVB589854:TVC589856 UEX589854:UEY589856 UOT589854:UOU589856 UYP589854:UYQ589856 VIL589854:VIM589856 VSH589854:VSI589856 WCD589854:WCE589856 WLZ589854:WMA589856 WVV589854:WVW589856 JJ655390:JK655392 TF655390:TG655392 ADB655390:ADC655392 AMX655390:AMY655392 AWT655390:AWU655392 BGP655390:BGQ655392 BQL655390:BQM655392 CAH655390:CAI655392 CKD655390:CKE655392 CTZ655390:CUA655392 DDV655390:DDW655392 DNR655390:DNS655392 DXN655390:DXO655392 EHJ655390:EHK655392 ERF655390:ERG655392 FBB655390:FBC655392 FKX655390:FKY655392 FUT655390:FUU655392 GEP655390:GEQ655392 GOL655390:GOM655392 GYH655390:GYI655392 HID655390:HIE655392 HRZ655390:HSA655392 IBV655390:IBW655392 ILR655390:ILS655392 IVN655390:IVO655392 JFJ655390:JFK655392 JPF655390:JPG655392 JZB655390:JZC655392 KIX655390:KIY655392 KST655390:KSU655392 LCP655390:LCQ655392 LML655390:LMM655392 LWH655390:LWI655392 MGD655390:MGE655392 MPZ655390:MQA655392 MZV655390:MZW655392 NJR655390:NJS655392 NTN655390:NTO655392 ODJ655390:ODK655392 ONF655390:ONG655392 OXB655390:OXC655392 PGX655390:PGY655392 PQT655390:PQU655392 QAP655390:QAQ655392 QKL655390:QKM655392 QUH655390:QUI655392 RED655390:REE655392 RNZ655390:ROA655392 RXV655390:RXW655392 SHR655390:SHS655392 SRN655390:SRO655392 TBJ655390:TBK655392 TLF655390:TLG655392 TVB655390:TVC655392 UEX655390:UEY655392 UOT655390:UOU655392 UYP655390:UYQ655392 VIL655390:VIM655392 VSH655390:VSI655392 WCD655390:WCE655392 WLZ655390:WMA655392 WVV655390:WVW655392 JJ720926:JK720928 TF720926:TG720928 ADB720926:ADC720928 AMX720926:AMY720928 AWT720926:AWU720928 BGP720926:BGQ720928 BQL720926:BQM720928 CAH720926:CAI720928 CKD720926:CKE720928 CTZ720926:CUA720928 DDV720926:DDW720928 DNR720926:DNS720928 DXN720926:DXO720928 EHJ720926:EHK720928 ERF720926:ERG720928 FBB720926:FBC720928 FKX720926:FKY720928 FUT720926:FUU720928 GEP720926:GEQ720928 GOL720926:GOM720928 GYH720926:GYI720928 HID720926:HIE720928 HRZ720926:HSA720928 IBV720926:IBW720928 ILR720926:ILS720928 IVN720926:IVO720928 JFJ720926:JFK720928 JPF720926:JPG720928 JZB720926:JZC720928 KIX720926:KIY720928 KST720926:KSU720928 LCP720926:LCQ720928 LML720926:LMM720928 LWH720926:LWI720928 MGD720926:MGE720928 MPZ720926:MQA720928 MZV720926:MZW720928 NJR720926:NJS720928 NTN720926:NTO720928 ODJ720926:ODK720928 ONF720926:ONG720928 OXB720926:OXC720928 PGX720926:PGY720928 PQT720926:PQU720928 QAP720926:QAQ720928 QKL720926:QKM720928 QUH720926:QUI720928 RED720926:REE720928 RNZ720926:ROA720928 RXV720926:RXW720928 SHR720926:SHS720928 SRN720926:SRO720928 TBJ720926:TBK720928 TLF720926:TLG720928 TVB720926:TVC720928 UEX720926:UEY720928 UOT720926:UOU720928 UYP720926:UYQ720928 VIL720926:VIM720928 VSH720926:VSI720928 WCD720926:WCE720928 WLZ720926:WMA720928 WVV720926:WVW720928 JJ786462:JK786464 TF786462:TG786464 ADB786462:ADC786464 AMX786462:AMY786464 AWT786462:AWU786464 BGP786462:BGQ786464 BQL786462:BQM786464 CAH786462:CAI786464 CKD786462:CKE786464 CTZ786462:CUA786464 DDV786462:DDW786464 DNR786462:DNS786464 DXN786462:DXO786464 EHJ786462:EHK786464 ERF786462:ERG786464 FBB786462:FBC786464 FKX786462:FKY786464 FUT786462:FUU786464 GEP786462:GEQ786464 GOL786462:GOM786464 GYH786462:GYI786464 HID786462:HIE786464 HRZ786462:HSA786464 IBV786462:IBW786464 ILR786462:ILS786464 IVN786462:IVO786464 JFJ786462:JFK786464 JPF786462:JPG786464 JZB786462:JZC786464 KIX786462:KIY786464 KST786462:KSU786464 LCP786462:LCQ786464 LML786462:LMM786464 LWH786462:LWI786464 MGD786462:MGE786464 MPZ786462:MQA786464 MZV786462:MZW786464 NJR786462:NJS786464 NTN786462:NTO786464 ODJ786462:ODK786464 ONF786462:ONG786464 OXB786462:OXC786464 PGX786462:PGY786464 PQT786462:PQU786464 QAP786462:QAQ786464 QKL786462:QKM786464 QUH786462:QUI786464 RED786462:REE786464 RNZ786462:ROA786464 RXV786462:RXW786464 SHR786462:SHS786464 SRN786462:SRO786464 TBJ786462:TBK786464 TLF786462:TLG786464 TVB786462:TVC786464 UEX786462:UEY786464 UOT786462:UOU786464 UYP786462:UYQ786464 VIL786462:VIM786464 VSH786462:VSI786464 WCD786462:WCE786464 WLZ786462:WMA786464 WVV786462:WVW786464 JJ851998:JK852000 TF851998:TG852000 ADB851998:ADC852000 AMX851998:AMY852000 AWT851998:AWU852000 BGP851998:BGQ852000 BQL851998:BQM852000 CAH851998:CAI852000 CKD851998:CKE852000 CTZ851998:CUA852000 DDV851998:DDW852000 DNR851998:DNS852000 DXN851998:DXO852000 EHJ851998:EHK852000 ERF851998:ERG852000 FBB851998:FBC852000 FKX851998:FKY852000 FUT851998:FUU852000 GEP851998:GEQ852000 GOL851998:GOM852000 GYH851998:GYI852000 HID851998:HIE852000 HRZ851998:HSA852000 IBV851998:IBW852000 ILR851998:ILS852000 IVN851998:IVO852000 JFJ851998:JFK852000 JPF851998:JPG852000 JZB851998:JZC852000 KIX851998:KIY852000 KST851998:KSU852000 LCP851998:LCQ852000 LML851998:LMM852000 LWH851998:LWI852000 MGD851998:MGE852000 MPZ851998:MQA852000 MZV851998:MZW852000 NJR851998:NJS852000 NTN851998:NTO852000 ODJ851998:ODK852000 ONF851998:ONG852000 OXB851998:OXC852000 PGX851998:PGY852000 PQT851998:PQU852000 QAP851998:QAQ852000 QKL851998:QKM852000 QUH851998:QUI852000 RED851998:REE852000 RNZ851998:ROA852000 RXV851998:RXW852000 SHR851998:SHS852000 SRN851998:SRO852000 TBJ851998:TBK852000 TLF851998:TLG852000 TVB851998:TVC852000 UEX851998:UEY852000 UOT851998:UOU852000 UYP851998:UYQ852000 VIL851998:VIM852000 VSH851998:VSI852000 WCD851998:WCE852000 WLZ851998:WMA852000 WVV851998:WVW852000 JJ917534:JK917536 TF917534:TG917536 ADB917534:ADC917536 AMX917534:AMY917536 AWT917534:AWU917536 BGP917534:BGQ917536 BQL917534:BQM917536 CAH917534:CAI917536 CKD917534:CKE917536 CTZ917534:CUA917536 DDV917534:DDW917536 DNR917534:DNS917536 DXN917534:DXO917536 EHJ917534:EHK917536 ERF917534:ERG917536 FBB917534:FBC917536 FKX917534:FKY917536 FUT917534:FUU917536 GEP917534:GEQ917536 GOL917534:GOM917536 GYH917534:GYI917536 HID917534:HIE917536 HRZ917534:HSA917536 IBV917534:IBW917536 ILR917534:ILS917536 IVN917534:IVO917536 JFJ917534:JFK917536 JPF917534:JPG917536 JZB917534:JZC917536 KIX917534:KIY917536 KST917534:KSU917536 LCP917534:LCQ917536 LML917534:LMM917536 LWH917534:LWI917536 MGD917534:MGE917536 MPZ917534:MQA917536 MZV917534:MZW917536 NJR917534:NJS917536 NTN917534:NTO917536 ODJ917534:ODK917536 ONF917534:ONG917536 OXB917534:OXC917536 PGX917534:PGY917536 PQT917534:PQU917536 QAP917534:QAQ917536 QKL917534:QKM917536 QUH917534:QUI917536 RED917534:REE917536 RNZ917534:ROA917536 RXV917534:RXW917536 SHR917534:SHS917536 SRN917534:SRO917536 TBJ917534:TBK917536 TLF917534:TLG917536 TVB917534:TVC917536 UEX917534:UEY917536 UOT917534:UOU917536 UYP917534:UYQ917536 VIL917534:VIM917536 VSH917534:VSI917536 WCD917534:WCE917536 WLZ917534:WMA917536 WVV917534:WVW917536 JJ983070:JK983072 TF983070:TG983072 ADB983070:ADC983072 AMX983070:AMY983072 AWT983070:AWU983072 BGP983070:BGQ983072 BQL983070:BQM983072 CAH983070:CAI983072 CKD983070:CKE983072 CTZ983070:CUA983072 DDV983070:DDW983072 DNR983070:DNS983072 DXN983070:DXO983072 EHJ983070:EHK983072 ERF983070:ERG983072 FBB983070:FBC983072 FKX983070:FKY983072 FUT983070:FUU983072 GEP983070:GEQ983072 GOL983070:GOM983072 GYH983070:GYI983072 HID983070:HIE983072 HRZ983070:HSA983072 IBV983070:IBW983072 ILR983070:ILS983072 IVN983070:IVO983072 JFJ983070:JFK983072 JPF983070:JPG983072 JZB983070:JZC983072 KIX983070:KIY983072 KST983070:KSU983072 LCP983070:LCQ983072 LML983070:LMM983072 LWH983070:LWI983072 MGD983070:MGE983072 MPZ983070:MQA983072 MZV983070:MZW983072 NJR983070:NJS983072 NTN983070:NTO983072 ODJ983070:ODK983072 ONF983070:ONG983072 OXB983070:OXC983072 PGX983070:PGY983072 PQT983070:PQU983072 QAP983070:QAQ983072 QKL983070:QKM983072 QUH983070:QUI983072 RED983070:REE983072 RNZ983070:ROA983072 RXV983070:RXW983072 SHR983070:SHS983072 SRN983070:SRO983072 TBJ983070:TBK983072 TLF983070:TLG983072 TVB983070:TVC983072 UEX983070:UEY983072 UOT983070:UOU983072 UYP983070:UYQ983072 VIL983070:VIM983072 VSH983070:VSI983072 WCD983070:WCE983072 WLZ983070:WMA983072 WVV983070:WVW983072 JK36 TG36 ADC36 AMY36 AWU36 BGQ36 BQM36 CAI36 CKE36 CUA36 DDW36 DNS36 DXO36 EHK36 ERG36 FBC36 FKY36 FUU36 GEQ36 GOM36 GYI36 HIE36 HSA36 IBW36 ILS36 IVO36 JFK36 JPG36 JZC36 KIY36 KSU36 LCQ36 LMM36 LWI36 MGE36 MQA36 MZW36 NJS36 NTO36 ODK36 ONG36 OXC36 PGY36 PQU36 QAQ36 QKM36 QUI36 REE36 ROA36 RXW36 SHS36 SRO36 TBK36 TLG36 TVC36 UEY36 UOU36 UYQ36 VIM36 VSI36 WCE36 WMA36 WVW36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JJ34:JK35 TF34:TG35 ADB34:ADC35 AMX34:AMY35 AWT34:AWU35 BGP34:BGQ35 BQL34:BQM35 CAH34:CAI35 CKD34:CKE35 CTZ34:CUA35 DDV34:DDW35 DNR34:DNS35 DXN34:DXO35 EHJ34:EHK35 ERF34:ERG35 FBB34:FBC35 FKX34:FKY35 FUT34:FUU35 GEP34:GEQ35 GOL34:GOM35 GYH34:GYI35 HID34:HIE35 HRZ34:HSA35 IBV34:IBW35 ILR34:ILS35 IVN34:IVO35 JFJ34:JFK35 JPF34:JPG35 JZB34:JZC35 KIX34:KIY35 KST34:KSU35 LCP34:LCQ35 LML34:LMM35 LWH34:LWI35 MGD34:MGE35 MPZ34:MQA35 MZV34:MZW35 NJR34:NJS35 NTN34:NTO35 ODJ34:ODK35 ONF34:ONG35 OXB34:OXC35 PGX34:PGY35 PQT34:PQU35 QAP34:QAQ35 QKL34:QKM35 QUH34:QUI35 RED34:REE35 RNZ34:ROA35 RXV34:RXW35 SHR34:SHS35 SRN34:SRO35 TBJ34:TBK35 TLF34:TLG35 TVB34:TVC35 UEX34:UEY35 UOT34:UOU35 UYP34:UYQ35 VIL34:VIM35 VSH34:VSI35 WCD34:WCE35 WLZ34:WMA35 WVV34:WVW35 JJ65570:JK65571 TF65570:TG65571 ADB65570:ADC65571 AMX65570:AMY65571 AWT65570:AWU65571 BGP65570:BGQ65571 BQL65570:BQM65571 CAH65570:CAI65571 CKD65570:CKE65571 CTZ65570:CUA65571 DDV65570:DDW65571 DNR65570:DNS65571 DXN65570:DXO65571 EHJ65570:EHK65571 ERF65570:ERG65571 FBB65570:FBC65571 FKX65570:FKY65571 FUT65570:FUU65571 GEP65570:GEQ65571 GOL65570:GOM65571 GYH65570:GYI65571 HID65570:HIE65571 HRZ65570:HSA65571 IBV65570:IBW65571 ILR65570:ILS65571 IVN65570:IVO65571 JFJ65570:JFK65571 JPF65570:JPG65571 JZB65570:JZC65571 KIX65570:KIY65571 KST65570:KSU65571 LCP65570:LCQ65571 LML65570:LMM65571 LWH65570:LWI65571 MGD65570:MGE65571 MPZ65570:MQA65571 MZV65570:MZW65571 NJR65570:NJS65571 NTN65570:NTO65571 ODJ65570:ODK65571 ONF65570:ONG65571 OXB65570:OXC65571 PGX65570:PGY65571 PQT65570:PQU65571 QAP65570:QAQ65571 QKL65570:QKM65571 QUH65570:QUI65571 RED65570:REE65571 RNZ65570:ROA65571 RXV65570:RXW65571 SHR65570:SHS65571 SRN65570:SRO65571 TBJ65570:TBK65571 TLF65570:TLG65571 TVB65570:TVC65571 UEX65570:UEY65571 UOT65570:UOU65571 UYP65570:UYQ65571 VIL65570:VIM65571 VSH65570:VSI65571 WCD65570:WCE65571 WLZ65570:WMA65571 WVV65570:WVW65571 JJ131106:JK131107 TF131106:TG131107 ADB131106:ADC131107 AMX131106:AMY131107 AWT131106:AWU131107 BGP131106:BGQ131107 BQL131106:BQM131107 CAH131106:CAI131107 CKD131106:CKE131107 CTZ131106:CUA131107 DDV131106:DDW131107 DNR131106:DNS131107 DXN131106:DXO131107 EHJ131106:EHK131107 ERF131106:ERG131107 FBB131106:FBC131107 FKX131106:FKY131107 FUT131106:FUU131107 GEP131106:GEQ131107 GOL131106:GOM131107 GYH131106:GYI131107 HID131106:HIE131107 HRZ131106:HSA131107 IBV131106:IBW131107 ILR131106:ILS131107 IVN131106:IVO131107 JFJ131106:JFK131107 JPF131106:JPG131107 JZB131106:JZC131107 KIX131106:KIY131107 KST131106:KSU131107 LCP131106:LCQ131107 LML131106:LMM131107 LWH131106:LWI131107 MGD131106:MGE131107 MPZ131106:MQA131107 MZV131106:MZW131107 NJR131106:NJS131107 NTN131106:NTO131107 ODJ131106:ODK131107 ONF131106:ONG131107 OXB131106:OXC131107 PGX131106:PGY131107 PQT131106:PQU131107 QAP131106:QAQ131107 QKL131106:QKM131107 QUH131106:QUI131107 RED131106:REE131107 RNZ131106:ROA131107 RXV131106:RXW131107 SHR131106:SHS131107 SRN131106:SRO131107 TBJ131106:TBK131107 TLF131106:TLG131107 TVB131106:TVC131107 UEX131106:UEY131107 UOT131106:UOU131107 UYP131106:UYQ131107 VIL131106:VIM131107 VSH131106:VSI131107 WCD131106:WCE131107 WLZ131106:WMA131107 WVV131106:WVW131107 JJ196642:JK196643 TF196642:TG196643 ADB196642:ADC196643 AMX196642:AMY196643 AWT196642:AWU196643 BGP196642:BGQ196643 BQL196642:BQM196643 CAH196642:CAI196643 CKD196642:CKE196643 CTZ196642:CUA196643 DDV196642:DDW196643 DNR196642:DNS196643 DXN196642:DXO196643 EHJ196642:EHK196643 ERF196642:ERG196643 FBB196642:FBC196643 FKX196642:FKY196643 FUT196642:FUU196643 GEP196642:GEQ196643 GOL196642:GOM196643 GYH196642:GYI196643 HID196642:HIE196643 HRZ196642:HSA196643 IBV196642:IBW196643 ILR196642:ILS196643 IVN196642:IVO196643 JFJ196642:JFK196643 JPF196642:JPG196643 JZB196642:JZC196643 KIX196642:KIY196643 KST196642:KSU196643 LCP196642:LCQ196643 LML196642:LMM196643 LWH196642:LWI196643 MGD196642:MGE196643 MPZ196642:MQA196643 MZV196642:MZW196643 NJR196642:NJS196643 NTN196642:NTO196643 ODJ196642:ODK196643 ONF196642:ONG196643 OXB196642:OXC196643 PGX196642:PGY196643 PQT196642:PQU196643 QAP196642:QAQ196643 QKL196642:QKM196643 QUH196642:QUI196643 RED196642:REE196643 RNZ196642:ROA196643 RXV196642:RXW196643 SHR196642:SHS196643 SRN196642:SRO196643 TBJ196642:TBK196643 TLF196642:TLG196643 TVB196642:TVC196643 UEX196642:UEY196643 UOT196642:UOU196643 UYP196642:UYQ196643 VIL196642:VIM196643 VSH196642:VSI196643 WCD196642:WCE196643 WLZ196642:WMA196643 WVV196642:WVW196643 JJ262178:JK262179 TF262178:TG262179 ADB262178:ADC262179 AMX262178:AMY262179 AWT262178:AWU262179 BGP262178:BGQ262179 BQL262178:BQM262179 CAH262178:CAI262179 CKD262178:CKE262179 CTZ262178:CUA262179 DDV262178:DDW262179 DNR262178:DNS262179 DXN262178:DXO262179 EHJ262178:EHK262179 ERF262178:ERG262179 FBB262178:FBC262179 FKX262178:FKY262179 FUT262178:FUU262179 GEP262178:GEQ262179 GOL262178:GOM262179 GYH262178:GYI262179 HID262178:HIE262179 HRZ262178:HSA262179 IBV262178:IBW262179 ILR262178:ILS262179 IVN262178:IVO262179 JFJ262178:JFK262179 JPF262178:JPG262179 JZB262178:JZC262179 KIX262178:KIY262179 KST262178:KSU262179 LCP262178:LCQ262179 LML262178:LMM262179 LWH262178:LWI262179 MGD262178:MGE262179 MPZ262178:MQA262179 MZV262178:MZW262179 NJR262178:NJS262179 NTN262178:NTO262179 ODJ262178:ODK262179 ONF262178:ONG262179 OXB262178:OXC262179 PGX262178:PGY262179 PQT262178:PQU262179 QAP262178:QAQ262179 QKL262178:QKM262179 QUH262178:QUI262179 RED262178:REE262179 RNZ262178:ROA262179 RXV262178:RXW262179 SHR262178:SHS262179 SRN262178:SRO262179 TBJ262178:TBK262179 TLF262178:TLG262179 TVB262178:TVC262179 UEX262178:UEY262179 UOT262178:UOU262179 UYP262178:UYQ262179 VIL262178:VIM262179 VSH262178:VSI262179 WCD262178:WCE262179 WLZ262178:WMA262179 WVV262178:WVW262179 JJ327714:JK327715 TF327714:TG327715 ADB327714:ADC327715 AMX327714:AMY327715 AWT327714:AWU327715 BGP327714:BGQ327715 BQL327714:BQM327715 CAH327714:CAI327715 CKD327714:CKE327715 CTZ327714:CUA327715 DDV327714:DDW327715 DNR327714:DNS327715 DXN327714:DXO327715 EHJ327714:EHK327715 ERF327714:ERG327715 FBB327714:FBC327715 FKX327714:FKY327715 FUT327714:FUU327715 GEP327714:GEQ327715 GOL327714:GOM327715 GYH327714:GYI327715 HID327714:HIE327715 HRZ327714:HSA327715 IBV327714:IBW327715 ILR327714:ILS327715 IVN327714:IVO327715 JFJ327714:JFK327715 JPF327714:JPG327715 JZB327714:JZC327715 KIX327714:KIY327715 KST327714:KSU327715 LCP327714:LCQ327715 LML327714:LMM327715 LWH327714:LWI327715 MGD327714:MGE327715 MPZ327714:MQA327715 MZV327714:MZW327715 NJR327714:NJS327715 NTN327714:NTO327715 ODJ327714:ODK327715 ONF327714:ONG327715 OXB327714:OXC327715 PGX327714:PGY327715 PQT327714:PQU327715 QAP327714:QAQ327715 QKL327714:QKM327715 QUH327714:QUI327715 RED327714:REE327715 RNZ327714:ROA327715 RXV327714:RXW327715 SHR327714:SHS327715 SRN327714:SRO327715 TBJ327714:TBK327715 TLF327714:TLG327715 TVB327714:TVC327715 UEX327714:UEY327715 UOT327714:UOU327715 UYP327714:UYQ327715 VIL327714:VIM327715 VSH327714:VSI327715 WCD327714:WCE327715 WLZ327714:WMA327715 WVV327714:WVW327715 JJ393250:JK393251 TF393250:TG393251 ADB393250:ADC393251 AMX393250:AMY393251 AWT393250:AWU393251 BGP393250:BGQ393251 BQL393250:BQM393251 CAH393250:CAI393251 CKD393250:CKE393251 CTZ393250:CUA393251 DDV393250:DDW393251 DNR393250:DNS393251 DXN393250:DXO393251 EHJ393250:EHK393251 ERF393250:ERG393251 FBB393250:FBC393251 FKX393250:FKY393251 FUT393250:FUU393251 GEP393250:GEQ393251 GOL393250:GOM393251 GYH393250:GYI393251 HID393250:HIE393251 HRZ393250:HSA393251 IBV393250:IBW393251 ILR393250:ILS393251 IVN393250:IVO393251 JFJ393250:JFK393251 JPF393250:JPG393251 JZB393250:JZC393251 KIX393250:KIY393251 KST393250:KSU393251 LCP393250:LCQ393251 LML393250:LMM393251 LWH393250:LWI393251 MGD393250:MGE393251 MPZ393250:MQA393251 MZV393250:MZW393251 NJR393250:NJS393251 NTN393250:NTO393251 ODJ393250:ODK393251 ONF393250:ONG393251 OXB393250:OXC393251 PGX393250:PGY393251 PQT393250:PQU393251 QAP393250:QAQ393251 QKL393250:QKM393251 QUH393250:QUI393251 RED393250:REE393251 RNZ393250:ROA393251 RXV393250:RXW393251 SHR393250:SHS393251 SRN393250:SRO393251 TBJ393250:TBK393251 TLF393250:TLG393251 TVB393250:TVC393251 UEX393250:UEY393251 UOT393250:UOU393251 UYP393250:UYQ393251 VIL393250:VIM393251 VSH393250:VSI393251 WCD393250:WCE393251 WLZ393250:WMA393251 WVV393250:WVW393251 JJ458786:JK458787 TF458786:TG458787 ADB458786:ADC458787 AMX458786:AMY458787 AWT458786:AWU458787 BGP458786:BGQ458787 BQL458786:BQM458787 CAH458786:CAI458787 CKD458786:CKE458787 CTZ458786:CUA458787 DDV458786:DDW458787 DNR458786:DNS458787 DXN458786:DXO458787 EHJ458786:EHK458787 ERF458786:ERG458787 FBB458786:FBC458787 FKX458786:FKY458787 FUT458786:FUU458787 GEP458786:GEQ458787 GOL458786:GOM458787 GYH458786:GYI458787 HID458786:HIE458787 HRZ458786:HSA458787 IBV458786:IBW458787 ILR458786:ILS458787 IVN458786:IVO458787 JFJ458786:JFK458787 JPF458786:JPG458787 JZB458786:JZC458787 KIX458786:KIY458787 KST458786:KSU458787 LCP458786:LCQ458787 LML458786:LMM458787 LWH458786:LWI458787 MGD458786:MGE458787 MPZ458786:MQA458787 MZV458786:MZW458787 NJR458786:NJS458787 NTN458786:NTO458787 ODJ458786:ODK458787 ONF458786:ONG458787 OXB458786:OXC458787 PGX458786:PGY458787 PQT458786:PQU458787 QAP458786:QAQ458787 QKL458786:QKM458787 QUH458786:QUI458787 RED458786:REE458787 RNZ458786:ROA458787 RXV458786:RXW458787 SHR458786:SHS458787 SRN458786:SRO458787 TBJ458786:TBK458787 TLF458786:TLG458787 TVB458786:TVC458787 UEX458786:UEY458787 UOT458786:UOU458787 UYP458786:UYQ458787 VIL458786:VIM458787 VSH458786:VSI458787 WCD458786:WCE458787 WLZ458786:WMA458787 WVV458786:WVW458787 JJ524322:JK524323 TF524322:TG524323 ADB524322:ADC524323 AMX524322:AMY524323 AWT524322:AWU524323 BGP524322:BGQ524323 BQL524322:BQM524323 CAH524322:CAI524323 CKD524322:CKE524323 CTZ524322:CUA524323 DDV524322:DDW524323 DNR524322:DNS524323 DXN524322:DXO524323 EHJ524322:EHK524323 ERF524322:ERG524323 FBB524322:FBC524323 FKX524322:FKY524323 FUT524322:FUU524323 GEP524322:GEQ524323 GOL524322:GOM524323 GYH524322:GYI524323 HID524322:HIE524323 HRZ524322:HSA524323 IBV524322:IBW524323 ILR524322:ILS524323 IVN524322:IVO524323 JFJ524322:JFK524323 JPF524322:JPG524323 JZB524322:JZC524323 KIX524322:KIY524323 KST524322:KSU524323 LCP524322:LCQ524323 LML524322:LMM524323 LWH524322:LWI524323 MGD524322:MGE524323 MPZ524322:MQA524323 MZV524322:MZW524323 NJR524322:NJS524323 NTN524322:NTO524323 ODJ524322:ODK524323 ONF524322:ONG524323 OXB524322:OXC524323 PGX524322:PGY524323 PQT524322:PQU524323 QAP524322:QAQ524323 QKL524322:QKM524323 QUH524322:QUI524323 RED524322:REE524323 RNZ524322:ROA524323 RXV524322:RXW524323 SHR524322:SHS524323 SRN524322:SRO524323 TBJ524322:TBK524323 TLF524322:TLG524323 TVB524322:TVC524323 UEX524322:UEY524323 UOT524322:UOU524323 UYP524322:UYQ524323 VIL524322:VIM524323 VSH524322:VSI524323 WCD524322:WCE524323 WLZ524322:WMA524323 WVV524322:WVW524323 JJ589858:JK589859 TF589858:TG589859 ADB589858:ADC589859 AMX589858:AMY589859 AWT589858:AWU589859 BGP589858:BGQ589859 BQL589858:BQM589859 CAH589858:CAI589859 CKD589858:CKE589859 CTZ589858:CUA589859 DDV589858:DDW589859 DNR589858:DNS589859 DXN589858:DXO589859 EHJ589858:EHK589859 ERF589858:ERG589859 FBB589858:FBC589859 FKX589858:FKY589859 FUT589858:FUU589859 GEP589858:GEQ589859 GOL589858:GOM589859 GYH589858:GYI589859 HID589858:HIE589859 HRZ589858:HSA589859 IBV589858:IBW589859 ILR589858:ILS589859 IVN589858:IVO589859 JFJ589858:JFK589859 JPF589858:JPG589859 JZB589858:JZC589859 KIX589858:KIY589859 KST589858:KSU589859 LCP589858:LCQ589859 LML589858:LMM589859 LWH589858:LWI589859 MGD589858:MGE589859 MPZ589858:MQA589859 MZV589858:MZW589859 NJR589858:NJS589859 NTN589858:NTO589859 ODJ589858:ODK589859 ONF589858:ONG589859 OXB589858:OXC589859 PGX589858:PGY589859 PQT589858:PQU589859 QAP589858:QAQ589859 QKL589858:QKM589859 QUH589858:QUI589859 RED589858:REE589859 RNZ589858:ROA589859 RXV589858:RXW589859 SHR589858:SHS589859 SRN589858:SRO589859 TBJ589858:TBK589859 TLF589858:TLG589859 TVB589858:TVC589859 UEX589858:UEY589859 UOT589858:UOU589859 UYP589858:UYQ589859 VIL589858:VIM589859 VSH589858:VSI589859 WCD589858:WCE589859 WLZ589858:WMA589859 WVV589858:WVW589859 JJ655394:JK655395 TF655394:TG655395 ADB655394:ADC655395 AMX655394:AMY655395 AWT655394:AWU655395 BGP655394:BGQ655395 BQL655394:BQM655395 CAH655394:CAI655395 CKD655394:CKE655395 CTZ655394:CUA655395 DDV655394:DDW655395 DNR655394:DNS655395 DXN655394:DXO655395 EHJ655394:EHK655395 ERF655394:ERG655395 FBB655394:FBC655395 FKX655394:FKY655395 FUT655394:FUU655395 GEP655394:GEQ655395 GOL655394:GOM655395 GYH655394:GYI655395 HID655394:HIE655395 HRZ655394:HSA655395 IBV655394:IBW655395 ILR655394:ILS655395 IVN655394:IVO655395 JFJ655394:JFK655395 JPF655394:JPG655395 JZB655394:JZC655395 KIX655394:KIY655395 KST655394:KSU655395 LCP655394:LCQ655395 LML655394:LMM655395 LWH655394:LWI655395 MGD655394:MGE655395 MPZ655394:MQA655395 MZV655394:MZW655395 NJR655394:NJS655395 NTN655394:NTO655395 ODJ655394:ODK655395 ONF655394:ONG655395 OXB655394:OXC655395 PGX655394:PGY655395 PQT655394:PQU655395 QAP655394:QAQ655395 QKL655394:QKM655395 QUH655394:QUI655395 RED655394:REE655395 RNZ655394:ROA655395 RXV655394:RXW655395 SHR655394:SHS655395 SRN655394:SRO655395 TBJ655394:TBK655395 TLF655394:TLG655395 TVB655394:TVC655395 UEX655394:UEY655395 UOT655394:UOU655395 UYP655394:UYQ655395 VIL655394:VIM655395 VSH655394:VSI655395 WCD655394:WCE655395 WLZ655394:WMA655395 WVV655394:WVW655395 JJ720930:JK720931 TF720930:TG720931 ADB720930:ADC720931 AMX720930:AMY720931 AWT720930:AWU720931 BGP720930:BGQ720931 BQL720930:BQM720931 CAH720930:CAI720931 CKD720930:CKE720931 CTZ720930:CUA720931 DDV720930:DDW720931 DNR720930:DNS720931 DXN720930:DXO720931 EHJ720930:EHK720931 ERF720930:ERG720931 FBB720930:FBC720931 FKX720930:FKY720931 FUT720930:FUU720931 GEP720930:GEQ720931 GOL720930:GOM720931 GYH720930:GYI720931 HID720930:HIE720931 HRZ720930:HSA720931 IBV720930:IBW720931 ILR720930:ILS720931 IVN720930:IVO720931 JFJ720930:JFK720931 JPF720930:JPG720931 JZB720930:JZC720931 KIX720930:KIY720931 KST720930:KSU720931 LCP720930:LCQ720931 LML720930:LMM720931 LWH720930:LWI720931 MGD720930:MGE720931 MPZ720930:MQA720931 MZV720930:MZW720931 NJR720930:NJS720931 NTN720930:NTO720931 ODJ720930:ODK720931 ONF720930:ONG720931 OXB720930:OXC720931 PGX720930:PGY720931 PQT720930:PQU720931 QAP720930:QAQ720931 QKL720930:QKM720931 QUH720930:QUI720931 RED720930:REE720931 RNZ720930:ROA720931 RXV720930:RXW720931 SHR720930:SHS720931 SRN720930:SRO720931 TBJ720930:TBK720931 TLF720930:TLG720931 TVB720930:TVC720931 UEX720930:UEY720931 UOT720930:UOU720931 UYP720930:UYQ720931 VIL720930:VIM720931 VSH720930:VSI720931 WCD720930:WCE720931 WLZ720930:WMA720931 WVV720930:WVW720931 JJ786466:JK786467 TF786466:TG786467 ADB786466:ADC786467 AMX786466:AMY786467 AWT786466:AWU786467 BGP786466:BGQ786467 BQL786466:BQM786467 CAH786466:CAI786467 CKD786466:CKE786467 CTZ786466:CUA786467 DDV786466:DDW786467 DNR786466:DNS786467 DXN786466:DXO786467 EHJ786466:EHK786467 ERF786466:ERG786467 FBB786466:FBC786467 FKX786466:FKY786467 FUT786466:FUU786467 GEP786466:GEQ786467 GOL786466:GOM786467 GYH786466:GYI786467 HID786466:HIE786467 HRZ786466:HSA786467 IBV786466:IBW786467 ILR786466:ILS786467 IVN786466:IVO786467 JFJ786466:JFK786467 JPF786466:JPG786467 JZB786466:JZC786467 KIX786466:KIY786467 KST786466:KSU786467 LCP786466:LCQ786467 LML786466:LMM786467 LWH786466:LWI786467 MGD786466:MGE786467 MPZ786466:MQA786467 MZV786466:MZW786467 NJR786466:NJS786467 NTN786466:NTO786467 ODJ786466:ODK786467 ONF786466:ONG786467 OXB786466:OXC786467 PGX786466:PGY786467 PQT786466:PQU786467 QAP786466:QAQ786467 QKL786466:QKM786467 QUH786466:QUI786467 RED786466:REE786467 RNZ786466:ROA786467 RXV786466:RXW786467 SHR786466:SHS786467 SRN786466:SRO786467 TBJ786466:TBK786467 TLF786466:TLG786467 TVB786466:TVC786467 UEX786466:UEY786467 UOT786466:UOU786467 UYP786466:UYQ786467 VIL786466:VIM786467 VSH786466:VSI786467 WCD786466:WCE786467 WLZ786466:WMA786467 WVV786466:WVW786467 JJ852002:JK852003 TF852002:TG852003 ADB852002:ADC852003 AMX852002:AMY852003 AWT852002:AWU852003 BGP852002:BGQ852003 BQL852002:BQM852003 CAH852002:CAI852003 CKD852002:CKE852003 CTZ852002:CUA852003 DDV852002:DDW852003 DNR852002:DNS852003 DXN852002:DXO852003 EHJ852002:EHK852003 ERF852002:ERG852003 FBB852002:FBC852003 FKX852002:FKY852003 FUT852002:FUU852003 GEP852002:GEQ852003 GOL852002:GOM852003 GYH852002:GYI852003 HID852002:HIE852003 HRZ852002:HSA852003 IBV852002:IBW852003 ILR852002:ILS852003 IVN852002:IVO852003 JFJ852002:JFK852003 JPF852002:JPG852003 JZB852002:JZC852003 KIX852002:KIY852003 KST852002:KSU852003 LCP852002:LCQ852003 LML852002:LMM852003 LWH852002:LWI852003 MGD852002:MGE852003 MPZ852002:MQA852003 MZV852002:MZW852003 NJR852002:NJS852003 NTN852002:NTO852003 ODJ852002:ODK852003 ONF852002:ONG852003 OXB852002:OXC852003 PGX852002:PGY852003 PQT852002:PQU852003 QAP852002:QAQ852003 QKL852002:QKM852003 QUH852002:QUI852003 RED852002:REE852003 RNZ852002:ROA852003 RXV852002:RXW852003 SHR852002:SHS852003 SRN852002:SRO852003 TBJ852002:TBK852003 TLF852002:TLG852003 TVB852002:TVC852003 UEX852002:UEY852003 UOT852002:UOU852003 UYP852002:UYQ852003 VIL852002:VIM852003 VSH852002:VSI852003 WCD852002:WCE852003 WLZ852002:WMA852003 WVV852002:WVW852003 JJ917538:JK917539 TF917538:TG917539 ADB917538:ADC917539 AMX917538:AMY917539 AWT917538:AWU917539 BGP917538:BGQ917539 BQL917538:BQM917539 CAH917538:CAI917539 CKD917538:CKE917539 CTZ917538:CUA917539 DDV917538:DDW917539 DNR917538:DNS917539 DXN917538:DXO917539 EHJ917538:EHK917539 ERF917538:ERG917539 FBB917538:FBC917539 FKX917538:FKY917539 FUT917538:FUU917539 GEP917538:GEQ917539 GOL917538:GOM917539 GYH917538:GYI917539 HID917538:HIE917539 HRZ917538:HSA917539 IBV917538:IBW917539 ILR917538:ILS917539 IVN917538:IVO917539 JFJ917538:JFK917539 JPF917538:JPG917539 JZB917538:JZC917539 KIX917538:KIY917539 KST917538:KSU917539 LCP917538:LCQ917539 LML917538:LMM917539 LWH917538:LWI917539 MGD917538:MGE917539 MPZ917538:MQA917539 MZV917538:MZW917539 NJR917538:NJS917539 NTN917538:NTO917539 ODJ917538:ODK917539 ONF917538:ONG917539 OXB917538:OXC917539 PGX917538:PGY917539 PQT917538:PQU917539 QAP917538:QAQ917539 QKL917538:QKM917539 QUH917538:QUI917539 RED917538:REE917539 RNZ917538:ROA917539 RXV917538:RXW917539 SHR917538:SHS917539 SRN917538:SRO917539 TBJ917538:TBK917539 TLF917538:TLG917539 TVB917538:TVC917539 UEX917538:UEY917539 UOT917538:UOU917539 UYP917538:UYQ917539 VIL917538:VIM917539 VSH917538:VSI917539 WCD917538:WCE917539 WLZ917538:WMA917539 WVV917538:WVW917539 JJ983074:JK983075 TF983074:TG983075 ADB983074:ADC983075 AMX983074:AMY983075 AWT983074:AWU983075 BGP983074:BGQ983075 BQL983074:BQM983075 CAH983074:CAI983075 CKD983074:CKE983075 CTZ983074:CUA983075 DDV983074:DDW983075 DNR983074:DNS983075 DXN983074:DXO983075 EHJ983074:EHK983075 ERF983074:ERG983075 FBB983074:FBC983075 FKX983074:FKY983075 FUT983074:FUU983075 GEP983074:GEQ983075 GOL983074:GOM983075 GYH983074:GYI983075 HID983074:HIE983075 HRZ983074:HSA983075 IBV983074:IBW983075 ILR983074:ILS983075 IVN983074:IVO983075 JFJ983074:JFK983075 JPF983074:JPG983075 JZB983074:JZC983075 KIX983074:KIY983075 KST983074:KSU983075 LCP983074:LCQ983075 LML983074:LMM983075 LWH983074:LWI983075 MGD983074:MGE983075 MPZ983074:MQA983075 MZV983074:MZW983075 NJR983074:NJS983075 NTN983074:NTO983075 ODJ983074:ODK983075 ONF983074:ONG983075 OXB983074:OXC983075 PGX983074:PGY983075 PQT983074:PQU983075 QAP983074:QAQ983075 QKL983074:QKM983075 QUH983074:QUI983075 RED983074:REE983075 RNZ983074:ROA983075 RXV983074:RXW983075 SHR983074:SHS983075 SRN983074:SRO983075 TBJ983074:TBK983075 TLF983074:TLG983075 TVB983074:TVC983075 UEX983074:UEY983075 UOT983074:UOU983075 UYP983074:UYQ983075 VIL983074:VIM983075 VSH983074:VSI983075 WCD983074:WCE983075 WLZ983074:WMA983075 WVV983074:WVW983075">
      <formula1>$U$37:$U$40</formula1>
    </dataValidation>
  </dataValidations>
  <hyperlinks>
    <hyperlink ref="A1" location="'T&amp;V TOC'!A1" display="TOC"/>
  </hyperlinks>
  <pageMargins left="0.25" right="0.25" top="0.75" bottom="0.75" header="0.3" footer="0.3"/>
  <pageSetup scale="76" orientation="landscape" r:id="rId1"/>
  <headerFooter alignWithMargins="0"/>
  <colBreaks count="1" manualBreakCount="1">
    <brk id="17" max="47" man="1"/>
  </colBreaks>
</worksheet>
</file>

<file path=xl/worksheets/sheet21.xml><?xml version="1.0" encoding="utf-8"?>
<worksheet xmlns="http://schemas.openxmlformats.org/spreadsheetml/2006/main" xmlns:r="http://schemas.openxmlformats.org/officeDocument/2006/relationships">
  <sheetPr>
    <tabColor theme="3" tint="0.59999389629810485"/>
    <pageSetUpPr fitToPage="1"/>
  </sheetPr>
  <dimension ref="A1:AG100"/>
  <sheetViews>
    <sheetView showGridLines="0" zoomScaleNormal="100" zoomScaleSheetLayoutView="100" workbookViewId="0"/>
  </sheetViews>
  <sheetFormatPr defaultRowHeight="12"/>
  <cols>
    <col min="1" max="1" width="4.42578125" style="1024" customWidth="1"/>
    <col min="2" max="2" width="12.42578125" style="1024" customWidth="1"/>
    <col min="3" max="3" width="20.42578125" style="1024" customWidth="1"/>
    <col min="4" max="4" width="27.28515625" style="1024" customWidth="1"/>
    <col min="5" max="5" width="14.28515625" style="1024" customWidth="1"/>
    <col min="6" max="6" width="13.140625" style="1024" customWidth="1"/>
    <col min="7" max="7" width="10.140625" style="1024" customWidth="1"/>
    <col min="8" max="8" width="7" style="1024" customWidth="1"/>
    <col min="9" max="9" width="13.7109375" style="1024" customWidth="1"/>
    <col min="10" max="11" width="9.140625" style="1024"/>
    <col min="12" max="13" width="9.140625" style="1024" customWidth="1"/>
    <col min="14" max="14" width="49.42578125" style="1024" customWidth="1"/>
    <col min="15" max="15" width="22.85546875" style="1024" customWidth="1"/>
    <col min="16" max="248" width="9.140625" style="1024"/>
    <col min="249" max="249" width="22.28515625" style="1024" customWidth="1"/>
    <col min="250" max="250" width="20" style="1024" customWidth="1"/>
    <col min="251" max="251" width="20.42578125" style="1024" customWidth="1"/>
    <col min="252" max="252" width="20.28515625" style="1024" customWidth="1"/>
    <col min="253" max="253" width="12.42578125" style="1024" customWidth="1"/>
    <col min="254" max="254" width="13.140625" style="1024" customWidth="1"/>
    <col min="255" max="255" width="10.140625" style="1024" customWidth="1"/>
    <col min="256" max="256" width="7.7109375" style="1024" customWidth="1"/>
    <col min="257" max="257" width="11" style="1024" customWidth="1"/>
    <col min="258" max="258" width="14.5703125" style="1024" customWidth="1"/>
    <col min="259" max="259" width="7.7109375" style="1024" customWidth="1"/>
    <col min="260" max="260" width="11.42578125" style="1024" customWidth="1"/>
    <col min="261" max="261" width="10.42578125" style="1024" customWidth="1"/>
    <col min="262" max="262" width="5.7109375" style="1024" customWidth="1"/>
    <col min="263" max="263" width="7" style="1024" customWidth="1"/>
    <col min="264" max="264" width="29.140625" style="1024" customWidth="1"/>
    <col min="265" max="267" width="9.140625" style="1024"/>
    <col min="268" max="268" width="9.140625" style="1024" customWidth="1"/>
    <col min="269" max="269" width="9.140625" style="1024"/>
    <col min="270" max="270" width="0" style="1024" hidden="1" customWidth="1"/>
    <col min="271" max="504" width="9.140625" style="1024"/>
    <col min="505" max="505" width="22.28515625" style="1024" customWidth="1"/>
    <col min="506" max="506" width="20" style="1024" customWidth="1"/>
    <col min="507" max="507" width="20.42578125" style="1024" customWidth="1"/>
    <col min="508" max="508" width="20.28515625" style="1024" customWidth="1"/>
    <col min="509" max="509" width="12.42578125" style="1024" customWidth="1"/>
    <col min="510" max="510" width="13.140625" style="1024" customWidth="1"/>
    <col min="511" max="511" width="10.140625" style="1024" customWidth="1"/>
    <col min="512" max="512" width="7.7109375" style="1024" customWidth="1"/>
    <col min="513" max="513" width="11" style="1024" customWidth="1"/>
    <col min="514" max="514" width="14.5703125" style="1024" customWidth="1"/>
    <col min="515" max="515" width="7.7109375" style="1024" customWidth="1"/>
    <col min="516" max="516" width="11.42578125" style="1024" customWidth="1"/>
    <col min="517" max="517" width="10.42578125" style="1024" customWidth="1"/>
    <col min="518" max="518" width="5.7109375" style="1024" customWidth="1"/>
    <col min="519" max="519" width="7" style="1024" customWidth="1"/>
    <col min="520" max="520" width="29.140625" style="1024" customWidth="1"/>
    <col min="521" max="523" width="9.140625" style="1024"/>
    <col min="524" max="524" width="9.140625" style="1024" customWidth="1"/>
    <col min="525" max="525" width="9.140625" style="1024"/>
    <col min="526" max="526" width="0" style="1024" hidden="1" customWidth="1"/>
    <col min="527" max="760" width="9.140625" style="1024"/>
    <col min="761" max="761" width="22.28515625" style="1024" customWidth="1"/>
    <col min="762" max="762" width="20" style="1024" customWidth="1"/>
    <col min="763" max="763" width="20.42578125" style="1024" customWidth="1"/>
    <col min="764" max="764" width="20.28515625" style="1024" customWidth="1"/>
    <col min="765" max="765" width="12.42578125" style="1024" customWidth="1"/>
    <col min="766" max="766" width="13.140625" style="1024" customWidth="1"/>
    <col min="767" max="767" width="10.140625" style="1024" customWidth="1"/>
    <col min="768" max="768" width="7.7109375" style="1024" customWidth="1"/>
    <col min="769" max="769" width="11" style="1024" customWidth="1"/>
    <col min="770" max="770" width="14.5703125" style="1024" customWidth="1"/>
    <col min="771" max="771" width="7.7109375" style="1024" customWidth="1"/>
    <col min="772" max="772" width="11.42578125" style="1024" customWidth="1"/>
    <col min="773" max="773" width="10.42578125" style="1024" customWidth="1"/>
    <col min="774" max="774" width="5.7109375" style="1024" customWidth="1"/>
    <col min="775" max="775" width="7" style="1024" customWidth="1"/>
    <col min="776" max="776" width="29.140625" style="1024" customWidth="1"/>
    <col min="777" max="779" width="9.140625" style="1024"/>
    <col min="780" max="780" width="9.140625" style="1024" customWidth="1"/>
    <col min="781" max="781" width="9.140625" style="1024"/>
    <col min="782" max="782" width="0" style="1024" hidden="1" customWidth="1"/>
    <col min="783" max="1016" width="9.140625" style="1024"/>
    <col min="1017" max="1017" width="22.28515625" style="1024" customWidth="1"/>
    <col min="1018" max="1018" width="20" style="1024" customWidth="1"/>
    <col min="1019" max="1019" width="20.42578125" style="1024" customWidth="1"/>
    <col min="1020" max="1020" width="20.28515625" style="1024" customWidth="1"/>
    <col min="1021" max="1021" width="12.42578125" style="1024" customWidth="1"/>
    <col min="1022" max="1022" width="13.140625" style="1024" customWidth="1"/>
    <col min="1023" max="1023" width="10.140625" style="1024" customWidth="1"/>
    <col min="1024" max="1024" width="7.7109375" style="1024" customWidth="1"/>
    <col min="1025" max="1025" width="11" style="1024" customWidth="1"/>
    <col min="1026" max="1026" width="14.5703125" style="1024" customWidth="1"/>
    <col min="1027" max="1027" width="7.7109375" style="1024" customWidth="1"/>
    <col min="1028" max="1028" width="11.42578125" style="1024" customWidth="1"/>
    <col min="1029" max="1029" width="10.42578125" style="1024" customWidth="1"/>
    <col min="1030" max="1030" width="5.7109375" style="1024" customWidth="1"/>
    <col min="1031" max="1031" width="7" style="1024" customWidth="1"/>
    <col min="1032" max="1032" width="29.140625" style="1024" customWidth="1"/>
    <col min="1033" max="1035" width="9.140625" style="1024"/>
    <col min="1036" max="1036" width="9.140625" style="1024" customWidth="1"/>
    <col min="1037" max="1037" width="9.140625" style="1024"/>
    <col min="1038" max="1038" width="0" style="1024" hidden="1" customWidth="1"/>
    <col min="1039" max="1272" width="9.140625" style="1024"/>
    <col min="1273" max="1273" width="22.28515625" style="1024" customWidth="1"/>
    <col min="1274" max="1274" width="20" style="1024" customWidth="1"/>
    <col min="1275" max="1275" width="20.42578125" style="1024" customWidth="1"/>
    <col min="1276" max="1276" width="20.28515625" style="1024" customWidth="1"/>
    <col min="1277" max="1277" width="12.42578125" style="1024" customWidth="1"/>
    <col min="1278" max="1278" width="13.140625" style="1024" customWidth="1"/>
    <col min="1279" max="1279" width="10.140625" style="1024" customWidth="1"/>
    <col min="1280" max="1280" width="7.7109375" style="1024" customWidth="1"/>
    <col min="1281" max="1281" width="11" style="1024" customWidth="1"/>
    <col min="1282" max="1282" width="14.5703125" style="1024" customWidth="1"/>
    <col min="1283" max="1283" width="7.7109375" style="1024" customWidth="1"/>
    <col min="1284" max="1284" width="11.42578125" style="1024" customWidth="1"/>
    <col min="1285" max="1285" width="10.42578125" style="1024" customWidth="1"/>
    <col min="1286" max="1286" width="5.7109375" style="1024" customWidth="1"/>
    <col min="1287" max="1287" width="7" style="1024" customWidth="1"/>
    <col min="1288" max="1288" width="29.140625" style="1024" customWidth="1"/>
    <col min="1289" max="1291" width="9.140625" style="1024"/>
    <col min="1292" max="1292" width="9.140625" style="1024" customWidth="1"/>
    <col min="1293" max="1293" width="9.140625" style="1024"/>
    <col min="1294" max="1294" width="0" style="1024" hidden="1" customWidth="1"/>
    <col min="1295" max="1528" width="9.140625" style="1024"/>
    <col min="1529" max="1529" width="22.28515625" style="1024" customWidth="1"/>
    <col min="1530" max="1530" width="20" style="1024" customWidth="1"/>
    <col min="1531" max="1531" width="20.42578125" style="1024" customWidth="1"/>
    <col min="1532" max="1532" width="20.28515625" style="1024" customWidth="1"/>
    <col min="1533" max="1533" width="12.42578125" style="1024" customWidth="1"/>
    <col min="1534" max="1534" width="13.140625" style="1024" customWidth="1"/>
    <col min="1535" max="1535" width="10.140625" style="1024" customWidth="1"/>
    <col min="1536" max="1536" width="7.7109375" style="1024" customWidth="1"/>
    <col min="1537" max="1537" width="11" style="1024" customWidth="1"/>
    <col min="1538" max="1538" width="14.5703125" style="1024" customWidth="1"/>
    <col min="1539" max="1539" width="7.7109375" style="1024" customWidth="1"/>
    <col min="1540" max="1540" width="11.42578125" style="1024" customWidth="1"/>
    <col min="1541" max="1541" width="10.42578125" style="1024" customWidth="1"/>
    <col min="1542" max="1542" width="5.7109375" style="1024" customWidth="1"/>
    <col min="1543" max="1543" width="7" style="1024" customWidth="1"/>
    <col min="1544" max="1544" width="29.140625" style="1024" customWidth="1"/>
    <col min="1545" max="1547" width="9.140625" style="1024"/>
    <col min="1548" max="1548" width="9.140625" style="1024" customWidth="1"/>
    <col min="1549" max="1549" width="9.140625" style="1024"/>
    <col min="1550" max="1550" width="0" style="1024" hidden="1" customWidth="1"/>
    <col min="1551" max="1784" width="9.140625" style="1024"/>
    <col min="1785" max="1785" width="22.28515625" style="1024" customWidth="1"/>
    <col min="1786" max="1786" width="20" style="1024" customWidth="1"/>
    <col min="1787" max="1787" width="20.42578125" style="1024" customWidth="1"/>
    <col min="1788" max="1788" width="20.28515625" style="1024" customWidth="1"/>
    <col min="1789" max="1789" width="12.42578125" style="1024" customWidth="1"/>
    <col min="1790" max="1790" width="13.140625" style="1024" customWidth="1"/>
    <col min="1791" max="1791" width="10.140625" style="1024" customWidth="1"/>
    <col min="1792" max="1792" width="7.7109375" style="1024" customWidth="1"/>
    <col min="1793" max="1793" width="11" style="1024" customWidth="1"/>
    <col min="1794" max="1794" width="14.5703125" style="1024" customWidth="1"/>
    <col min="1795" max="1795" width="7.7109375" style="1024" customWidth="1"/>
    <col min="1796" max="1796" width="11.42578125" style="1024" customWidth="1"/>
    <col min="1797" max="1797" width="10.42578125" style="1024" customWidth="1"/>
    <col min="1798" max="1798" width="5.7109375" style="1024" customWidth="1"/>
    <col min="1799" max="1799" width="7" style="1024" customWidth="1"/>
    <col min="1800" max="1800" width="29.140625" style="1024" customWidth="1"/>
    <col min="1801" max="1803" width="9.140625" style="1024"/>
    <col min="1804" max="1804" width="9.140625" style="1024" customWidth="1"/>
    <col min="1805" max="1805" width="9.140625" style="1024"/>
    <col min="1806" max="1806" width="0" style="1024" hidden="1" customWidth="1"/>
    <col min="1807" max="2040" width="9.140625" style="1024"/>
    <col min="2041" max="2041" width="22.28515625" style="1024" customWidth="1"/>
    <col min="2042" max="2042" width="20" style="1024" customWidth="1"/>
    <col min="2043" max="2043" width="20.42578125" style="1024" customWidth="1"/>
    <col min="2044" max="2044" width="20.28515625" style="1024" customWidth="1"/>
    <col min="2045" max="2045" width="12.42578125" style="1024" customWidth="1"/>
    <col min="2046" max="2046" width="13.140625" style="1024" customWidth="1"/>
    <col min="2047" max="2047" width="10.140625" style="1024" customWidth="1"/>
    <col min="2048" max="2048" width="7.7109375" style="1024" customWidth="1"/>
    <col min="2049" max="2049" width="11" style="1024" customWidth="1"/>
    <col min="2050" max="2050" width="14.5703125" style="1024" customWidth="1"/>
    <col min="2051" max="2051" width="7.7109375" style="1024" customWidth="1"/>
    <col min="2052" max="2052" width="11.42578125" style="1024" customWidth="1"/>
    <col min="2053" max="2053" width="10.42578125" style="1024" customWidth="1"/>
    <col min="2054" max="2054" width="5.7109375" style="1024" customWidth="1"/>
    <col min="2055" max="2055" width="7" style="1024" customWidth="1"/>
    <col min="2056" max="2056" width="29.140625" style="1024" customWidth="1"/>
    <col min="2057" max="2059" width="9.140625" style="1024"/>
    <col min="2060" max="2060" width="9.140625" style="1024" customWidth="1"/>
    <col min="2061" max="2061" width="9.140625" style="1024"/>
    <col min="2062" max="2062" width="0" style="1024" hidden="1" customWidth="1"/>
    <col min="2063" max="2296" width="9.140625" style="1024"/>
    <col min="2297" max="2297" width="22.28515625" style="1024" customWidth="1"/>
    <col min="2298" max="2298" width="20" style="1024" customWidth="1"/>
    <col min="2299" max="2299" width="20.42578125" style="1024" customWidth="1"/>
    <col min="2300" max="2300" width="20.28515625" style="1024" customWidth="1"/>
    <col min="2301" max="2301" width="12.42578125" style="1024" customWidth="1"/>
    <col min="2302" max="2302" width="13.140625" style="1024" customWidth="1"/>
    <col min="2303" max="2303" width="10.140625" style="1024" customWidth="1"/>
    <col min="2304" max="2304" width="7.7109375" style="1024" customWidth="1"/>
    <col min="2305" max="2305" width="11" style="1024" customWidth="1"/>
    <col min="2306" max="2306" width="14.5703125" style="1024" customWidth="1"/>
    <col min="2307" max="2307" width="7.7109375" style="1024" customWidth="1"/>
    <col min="2308" max="2308" width="11.42578125" style="1024" customWidth="1"/>
    <col min="2309" max="2309" width="10.42578125" style="1024" customWidth="1"/>
    <col min="2310" max="2310" width="5.7109375" style="1024" customWidth="1"/>
    <col min="2311" max="2311" width="7" style="1024" customWidth="1"/>
    <col min="2312" max="2312" width="29.140625" style="1024" customWidth="1"/>
    <col min="2313" max="2315" width="9.140625" style="1024"/>
    <col min="2316" max="2316" width="9.140625" style="1024" customWidth="1"/>
    <col min="2317" max="2317" width="9.140625" style="1024"/>
    <col min="2318" max="2318" width="0" style="1024" hidden="1" customWidth="1"/>
    <col min="2319" max="2552" width="9.140625" style="1024"/>
    <col min="2553" max="2553" width="22.28515625" style="1024" customWidth="1"/>
    <col min="2554" max="2554" width="20" style="1024" customWidth="1"/>
    <col min="2555" max="2555" width="20.42578125" style="1024" customWidth="1"/>
    <col min="2556" max="2556" width="20.28515625" style="1024" customWidth="1"/>
    <col min="2557" max="2557" width="12.42578125" style="1024" customWidth="1"/>
    <col min="2558" max="2558" width="13.140625" style="1024" customWidth="1"/>
    <col min="2559" max="2559" width="10.140625" style="1024" customWidth="1"/>
    <col min="2560" max="2560" width="7.7109375" style="1024" customWidth="1"/>
    <col min="2561" max="2561" width="11" style="1024" customWidth="1"/>
    <col min="2562" max="2562" width="14.5703125" style="1024" customWidth="1"/>
    <col min="2563" max="2563" width="7.7109375" style="1024" customWidth="1"/>
    <col min="2564" max="2564" width="11.42578125" style="1024" customWidth="1"/>
    <col min="2565" max="2565" width="10.42578125" style="1024" customWidth="1"/>
    <col min="2566" max="2566" width="5.7109375" style="1024" customWidth="1"/>
    <col min="2567" max="2567" width="7" style="1024" customWidth="1"/>
    <col min="2568" max="2568" width="29.140625" style="1024" customWidth="1"/>
    <col min="2569" max="2571" width="9.140625" style="1024"/>
    <col min="2572" max="2572" width="9.140625" style="1024" customWidth="1"/>
    <col min="2573" max="2573" width="9.140625" style="1024"/>
    <col min="2574" max="2574" width="0" style="1024" hidden="1" customWidth="1"/>
    <col min="2575" max="2808" width="9.140625" style="1024"/>
    <col min="2809" max="2809" width="22.28515625" style="1024" customWidth="1"/>
    <col min="2810" max="2810" width="20" style="1024" customWidth="1"/>
    <col min="2811" max="2811" width="20.42578125" style="1024" customWidth="1"/>
    <col min="2812" max="2812" width="20.28515625" style="1024" customWidth="1"/>
    <col min="2813" max="2813" width="12.42578125" style="1024" customWidth="1"/>
    <col min="2814" max="2814" width="13.140625" style="1024" customWidth="1"/>
    <col min="2815" max="2815" width="10.140625" style="1024" customWidth="1"/>
    <col min="2816" max="2816" width="7.7109375" style="1024" customWidth="1"/>
    <col min="2817" max="2817" width="11" style="1024" customWidth="1"/>
    <col min="2818" max="2818" width="14.5703125" style="1024" customWidth="1"/>
    <col min="2819" max="2819" width="7.7109375" style="1024" customWidth="1"/>
    <col min="2820" max="2820" width="11.42578125" style="1024" customWidth="1"/>
    <col min="2821" max="2821" width="10.42578125" style="1024" customWidth="1"/>
    <col min="2822" max="2822" width="5.7109375" style="1024" customWidth="1"/>
    <col min="2823" max="2823" width="7" style="1024" customWidth="1"/>
    <col min="2824" max="2824" width="29.140625" style="1024" customWidth="1"/>
    <col min="2825" max="2827" width="9.140625" style="1024"/>
    <col min="2828" max="2828" width="9.140625" style="1024" customWidth="1"/>
    <col min="2829" max="2829" width="9.140625" style="1024"/>
    <col min="2830" max="2830" width="0" style="1024" hidden="1" customWidth="1"/>
    <col min="2831" max="3064" width="9.140625" style="1024"/>
    <col min="3065" max="3065" width="22.28515625" style="1024" customWidth="1"/>
    <col min="3066" max="3066" width="20" style="1024" customWidth="1"/>
    <col min="3067" max="3067" width="20.42578125" style="1024" customWidth="1"/>
    <col min="3068" max="3068" width="20.28515625" style="1024" customWidth="1"/>
    <col min="3069" max="3069" width="12.42578125" style="1024" customWidth="1"/>
    <col min="3070" max="3070" width="13.140625" style="1024" customWidth="1"/>
    <col min="3071" max="3071" width="10.140625" style="1024" customWidth="1"/>
    <col min="3072" max="3072" width="7.7109375" style="1024" customWidth="1"/>
    <col min="3073" max="3073" width="11" style="1024" customWidth="1"/>
    <col min="3074" max="3074" width="14.5703125" style="1024" customWidth="1"/>
    <col min="3075" max="3075" width="7.7109375" style="1024" customWidth="1"/>
    <col min="3076" max="3076" width="11.42578125" style="1024" customWidth="1"/>
    <col min="3077" max="3077" width="10.42578125" style="1024" customWidth="1"/>
    <col min="3078" max="3078" width="5.7109375" style="1024" customWidth="1"/>
    <col min="3079" max="3079" width="7" style="1024" customWidth="1"/>
    <col min="3080" max="3080" width="29.140625" style="1024" customWidth="1"/>
    <col min="3081" max="3083" width="9.140625" style="1024"/>
    <col min="3084" max="3084" width="9.140625" style="1024" customWidth="1"/>
    <col min="3085" max="3085" width="9.140625" style="1024"/>
    <col min="3086" max="3086" width="0" style="1024" hidden="1" customWidth="1"/>
    <col min="3087" max="3320" width="9.140625" style="1024"/>
    <col min="3321" max="3321" width="22.28515625" style="1024" customWidth="1"/>
    <col min="3322" max="3322" width="20" style="1024" customWidth="1"/>
    <col min="3323" max="3323" width="20.42578125" style="1024" customWidth="1"/>
    <col min="3324" max="3324" width="20.28515625" style="1024" customWidth="1"/>
    <col min="3325" max="3325" width="12.42578125" style="1024" customWidth="1"/>
    <col min="3326" max="3326" width="13.140625" style="1024" customWidth="1"/>
    <col min="3327" max="3327" width="10.140625" style="1024" customWidth="1"/>
    <col min="3328" max="3328" width="7.7109375" style="1024" customWidth="1"/>
    <col min="3329" max="3329" width="11" style="1024" customWidth="1"/>
    <col min="3330" max="3330" width="14.5703125" style="1024" customWidth="1"/>
    <col min="3331" max="3331" width="7.7109375" style="1024" customWidth="1"/>
    <col min="3332" max="3332" width="11.42578125" style="1024" customWidth="1"/>
    <col min="3333" max="3333" width="10.42578125" style="1024" customWidth="1"/>
    <col min="3334" max="3334" width="5.7109375" style="1024" customWidth="1"/>
    <col min="3335" max="3335" width="7" style="1024" customWidth="1"/>
    <col min="3336" max="3336" width="29.140625" style="1024" customWidth="1"/>
    <col min="3337" max="3339" width="9.140625" style="1024"/>
    <col min="3340" max="3340" width="9.140625" style="1024" customWidth="1"/>
    <col min="3341" max="3341" width="9.140625" style="1024"/>
    <col min="3342" max="3342" width="0" style="1024" hidden="1" customWidth="1"/>
    <col min="3343" max="3576" width="9.140625" style="1024"/>
    <col min="3577" max="3577" width="22.28515625" style="1024" customWidth="1"/>
    <col min="3578" max="3578" width="20" style="1024" customWidth="1"/>
    <col min="3579" max="3579" width="20.42578125" style="1024" customWidth="1"/>
    <col min="3580" max="3580" width="20.28515625" style="1024" customWidth="1"/>
    <col min="3581" max="3581" width="12.42578125" style="1024" customWidth="1"/>
    <col min="3582" max="3582" width="13.140625" style="1024" customWidth="1"/>
    <col min="3583" max="3583" width="10.140625" style="1024" customWidth="1"/>
    <col min="3584" max="3584" width="7.7109375" style="1024" customWidth="1"/>
    <col min="3585" max="3585" width="11" style="1024" customWidth="1"/>
    <col min="3586" max="3586" width="14.5703125" style="1024" customWidth="1"/>
    <col min="3587" max="3587" width="7.7109375" style="1024" customWidth="1"/>
    <col min="3588" max="3588" width="11.42578125" style="1024" customWidth="1"/>
    <col min="3589" max="3589" width="10.42578125" style="1024" customWidth="1"/>
    <col min="3590" max="3590" width="5.7109375" style="1024" customWidth="1"/>
    <col min="3591" max="3591" width="7" style="1024" customWidth="1"/>
    <col min="3592" max="3592" width="29.140625" style="1024" customWidth="1"/>
    <col min="3593" max="3595" width="9.140625" style="1024"/>
    <col min="3596" max="3596" width="9.140625" style="1024" customWidth="1"/>
    <col min="3597" max="3597" width="9.140625" style="1024"/>
    <col min="3598" max="3598" width="0" style="1024" hidden="1" customWidth="1"/>
    <col min="3599" max="3832" width="9.140625" style="1024"/>
    <col min="3833" max="3833" width="22.28515625" style="1024" customWidth="1"/>
    <col min="3834" max="3834" width="20" style="1024" customWidth="1"/>
    <col min="3835" max="3835" width="20.42578125" style="1024" customWidth="1"/>
    <col min="3836" max="3836" width="20.28515625" style="1024" customWidth="1"/>
    <col min="3837" max="3837" width="12.42578125" style="1024" customWidth="1"/>
    <col min="3838" max="3838" width="13.140625" style="1024" customWidth="1"/>
    <col min="3839" max="3839" width="10.140625" style="1024" customWidth="1"/>
    <col min="3840" max="3840" width="7.7109375" style="1024" customWidth="1"/>
    <col min="3841" max="3841" width="11" style="1024" customWidth="1"/>
    <col min="3842" max="3842" width="14.5703125" style="1024" customWidth="1"/>
    <col min="3843" max="3843" width="7.7109375" style="1024" customWidth="1"/>
    <col min="3844" max="3844" width="11.42578125" style="1024" customWidth="1"/>
    <col min="3845" max="3845" width="10.42578125" style="1024" customWidth="1"/>
    <col min="3846" max="3846" width="5.7109375" style="1024" customWidth="1"/>
    <col min="3847" max="3847" width="7" style="1024" customWidth="1"/>
    <col min="3848" max="3848" width="29.140625" style="1024" customWidth="1"/>
    <col min="3849" max="3851" width="9.140625" style="1024"/>
    <col min="3852" max="3852" width="9.140625" style="1024" customWidth="1"/>
    <col min="3853" max="3853" width="9.140625" style="1024"/>
    <col min="3854" max="3854" width="0" style="1024" hidden="1" customWidth="1"/>
    <col min="3855" max="4088" width="9.140625" style="1024"/>
    <col min="4089" max="4089" width="22.28515625" style="1024" customWidth="1"/>
    <col min="4090" max="4090" width="20" style="1024" customWidth="1"/>
    <col min="4091" max="4091" width="20.42578125" style="1024" customWidth="1"/>
    <col min="4092" max="4092" width="20.28515625" style="1024" customWidth="1"/>
    <col min="4093" max="4093" width="12.42578125" style="1024" customWidth="1"/>
    <col min="4094" max="4094" width="13.140625" style="1024" customWidth="1"/>
    <col min="4095" max="4095" width="10.140625" style="1024" customWidth="1"/>
    <col min="4096" max="4096" width="7.7109375" style="1024" customWidth="1"/>
    <col min="4097" max="4097" width="11" style="1024" customWidth="1"/>
    <col min="4098" max="4098" width="14.5703125" style="1024" customWidth="1"/>
    <col min="4099" max="4099" width="7.7109375" style="1024" customWidth="1"/>
    <col min="4100" max="4100" width="11.42578125" style="1024" customWidth="1"/>
    <col min="4101" max="4101" width="10.42578125" style="1024" customWidth="1"/>
    <col min="4102" max="4102" width="5.7109375" style="1024" customWidth="1"/>
    <col min="4103" max="4103" width="7" style="1024" customWidth="1"/>
    <col min="4104" max="4104" width="29.140625" style="1024" customWidth="1"/>
    <col min="4105" max="4107" width="9.140625" style="1024"/>
    <col min="4108" max="4108" width="9.140625" style="1024" customWidth="1"/>
    <col min="4109" max="4109" width="9.140625" style="1024"/>
    <col min="4110" max="4110" width="0" style="1024" hidden="1" customWidth="1"/>
    <col min="4111" max="4344" width="9.140625" style="1024"/>
    <col min="4345" max="4345" width="22.28515625" style="1024" customWidth="1"/>
    <col min="4346" max="4346" width="20" style="1024" customWidth="1"/>
    <col min="4347" max="4347" width="20.42578125" style="1024" customWidth="1"/>
    <col min="4348" max="4348" width="20.28515625" style="1024" customWidth="1"/>
    <col min="4349" max="4349" width="12.42578125" style="1024" customWidth="1"/>
    <col min="4350" max="4350" width="13.140625" style="1024" customWidth="1"/>
    <col min="4351" max="4351" width="10.140625" style="1024" customWidth="1"/>
    <col min="4352" max="4352" width="7.7109375" style="1024" customWidth="1"/>
    <col min="4353" max="4353" width="11" style="1024" customWidth="1"/>
    <col min="4354" max="4354" width="14.5703125" style="1024" customWidth="1"/>
    <col min="4355" max="4355" width="7.7109375" style="1024" customWidth="1"/>
    <col min="4356" max="4356" width="11.42578125" style="1024" customWidth="1"/>
    <col min="4357" max="4357" width="10.42578125" style="1024" customWidth="1"/>
    <col min="4358" max="4358" width="5.7109375" style="1024" customWidth="1"/>
    <col min="4359" max="4359" width="7" style="1024" customWidth="1"/>
    <col min="4360" max="4360" width="29.140625" style="1024" customWidth="1"/>
    <col min="4361" max="4363" width="9.140625" style="1024"/>
    <col min="4364" max="4364" width="9.140625" style="1024" customWidth="1"/>
    <col min="4365" max="4365" width="9.140625" style="1024"/>
    <col min="4366" max="4366" width="0" style="1024" hidden="1" customWidth="1"/>
    <col min="4367" max="4600" width="9.140625" style="1024"/>
    <col min="4601" max="4601" width="22.28515625" style="1024" customWidth="1"/>
    <col min="4602" max="4602" width="20" style="1024" customWidth="1"/>
    <col min="4603" max="4603" width="20.42578125" style="1024" customWidth="1"/>
    <col min="4604" max="4604" width="20.28515625" style="1024" customWidth="1"/>
    <col min="4605" max="4605" width="12.42578125" style="1024" customWidth="1"/>
    <col min="4606" max="4606" width="13.140625" style="1024" customWidth="1"/>
    <col min="4607" max="4607" width="10.140625" style="1024" customWidth="1"/>
    <col min="4608" max="4608" width="7.7109375" style="1024" customWidth="1"/>
    <col min="4609" max="4609" width="11" style="1024" customWidth="1"/>
    <col min="4610" max="4610" width="14.5703125" style="1024" customWidth="1"/>
    <col min="4611" max="4611" width="7.7109375" style="1024" customWidth="1"/>
    <col min="4612" max="4612" width="11.42578125" style="1024" customWidth="1"/>
    <col min="4613" max="4613" width="10.42578125" style="1024" customWidth="1"/>
    <col min="4614" max="4614" width="5.7109375" style="1024" customWidth="1"/>
    <col min="4615" max="4615" width="7" style="1024" customWidth="1"/>
    <col min="4616" max="4616" width="29.140625" style="1024" customWidth="1"/>
    <col min="4617" max="4619" width="9.140625" style="1024"/>
    <col min="4620" max="4620" width="9.140625" style="1024" customWidth="1"/>
    <col min="4621" max="4621" width="9.140625" style="1024"/>
    <col min="4622" max="4622" width="0" style="1024" hidden="1" customWidth="1"/>
    <col min="4623" max="4856" width="9.140625" style="1024"/>
    <col min="4857" max="4857" width="22.28515625" style="1024" customWidth="1"/>
    <col min="4858" max="4858" width="20" style="1024" customWidth="1"/>
    <col min="4859" max="4859" width="20.42578125" style="1024" customWidth="1"/>
    <col min="4860" max="4860" width="20.28515625" style="1024" customWidth="1"/>
    <col min="4861" max="4861" width="12.42578125" style="1024" customWidth="1"/>
    <col min="4862" max="4862" width="13.140625" style="1024" customWidth="1"/>
    <col min="4863" max="4863" width="10.140625" style="1024" customWidth="1"/>
    <col min="4864" max="4864" width="7.7109375" style="1024" customWidth="1"/>
    <col min="4865" max="4865" width="11" style="1024" customWidth="1"/>
    <col min="4866" max="4866" width="14.5703125" style="1024" customWidth="1"/>
    <col min="4867" max="4867" width="7.7109375" style="1024" customWidth="1"/>
    <col min="4868" max="4868" width="11.42578125" style="1024" customWidth="1"/>
    <col min="4869" max="4869" width="10.42578125" style="1024" customWidth="1"/>
    <col min="4870" max="4870" width="5.7109375" style="1024" customWidth="1"/>
    <col min="4871" max="4871" width="7" style="1024" customWidth="1"/>
    <col min="4872" max="4872" width="29.140625" style="1024" customWidth="1"/>
    <col min="4873" max="4875" width="9.140625" style="1024"/>
    <col min="4876" max="4876" width="9.140625" style="1024" customWidth="1"/>
    <col min="4877" max="4877" width="9.140625" style="1024"/>
    <col min="4878" max="4878" width="0" style="1024" hidden="1" customWidth="1"/>
    <col min="4879" max="5112" width="9.140625" style="1024"/>
    <col min="5113" max="5113" width="22.28515625" style="1024" customWidth="1"/>
    <col min="5114" max="5114" width="20" style="1024" customWidth="1"/>
    <col min="5115" max="5115" width="20.42578125" style="1024" customWidth="1"/>
    <col min="5116" max="5116" width="20.28515625" style="1024" customWidth="1"/>
    <col min="5117" max="5117" width="12.42578125" style="1024" customWidth="1"/>
    <col min="5118" max="5118" width="13.140625" style="1024" customWidth="1"/>
    <col min="5119" max="5119" width="10.140625" style="1024" customWidth="1"/>
    <col min="5120" max="5120" width="7.7109375" style="1024" customWidth="1"/>
    <col min="5121" max="5121" width="11" style="1024" customWidth="1"/>
    <col min="5122" max="5122" width="14.5703125" style="1024" customWidth="1"/>
    <col min="5123" max="5123" width="7.7109375" style="1024" customWidth="1"/>
    <col min="5124" max="5124" width="11.42578125" style="1024" customWidth="1"/>
    <col min="5125" max="5125" width="10.42578125" style="1024" customWidth="1"/>
    <col min="5126" max="5126" width="5.7109375" style="1024" customWidth="1"/>
    <col min="5127" max="5127" width="7" style="1024" customWidth="1"/>
    <col min="5128" max="5128" width="29.140625" style="1024" customWidth="1"/>
    <col min="5129" max="5131" width="9.140625" style="1024"/>
    <col min="5132" max="5132" width="9.140625" style="1024" customWidth="1"/>
    <col min="5133" max="5133" width="9.140625" style="1024"/>
    <col min="5134" max="5134" width="0" style="1024" hidden="1" customWidth="1"/>
    <col min="5135" max="5368" width="9.140625" style="1024"/>
    <col min="5369" max="5369" width="22.28515625" style="1024" customWidth="1"/>
    <col min="5370" max="5370" width="20" style="1024" customWidth="1"/>
    <col min="5371" max="5371" width="20.42578125" style="1024" customWidth="1"/>
    <col min="5372" max="5372" width="20.28515625" style="1024" customWidth="1"/>
    <col min="5373" max="5373" width="12.42578125" style="1024" customWidth="1"/>
    <col min="5374" max="5374" width="13.140625" style="1024" customWidth="1"/>
    <col min="5375" max="5375" width="10.140625" style="1024" customWidth="1"/>
    <col min="5376" max="5376" width="7.7109375" style="1024" customWidth="1"/>
    <col min="5377" max="5377" width="11" style="1024" customWidth="1"/>
    <col min="5378" max="5378" width="14.5703125" style="1024" customWidth="1"/>
    <col min="5379" max="5379" width="7.7109375" style="1024" customWidth="1"/>
    <col min="5380" max="5380" width="11.42578125" style="1024" customWidth="1"/>
    <col min="5381" max="5381" width="10.42578125" style="1024" customWidth="1"/>
    <col min="5382" max="5382" width="5.7109375" style="1024" customWidth="1"/>
    <col min="5383" max="5383" width="7" style="1024" customWidth="1"/>
    <col min="5384" max="5384" width="29.140625" style="1024" customWidth="1"/>
    <col min="5385" max="5387" width="9.140625" style="1024"/>
    <col min="5388" max="5388" width="9.140625" style="1024" customWidth="1"/>
    <col min="5389" max="5389" width="9.140625" style="1024"/>
    <col min="5390" max="5390" width="0" style="1024" hidden="1" customWidth="1"/>
    <col min="5391" max="5624" width="9.140625" style="1024"/>
    <col min="5625" max="5625" width="22.28515625" style="1024" customWidth="1"/>
    <col min="5626" max="5626" width="20" style="1024" customWidth="1"/>
    <col min="5627" max="5627" width="20.42578125" style="1024" customWidth="1"/>
    <col min="5628" max="5628" width="20.28515625" style="1024" customWidth="1"/>
    <col min="5629" max="5629" width="12.42578125" style="1024" customWidth="1"/>
    <col min="5630" max="5630" width="13.140625" style="1024" customWidth="1"/>
    <col min="5631" max="5631" width="10.140625" style="1024" customWidth="1"/>
    <col min="5632" max="5632" width="7.7109375" style="1024" customWidth="1"/>
    <col min="5633" max="5633" width="11" style="1024" customWidth="1"/>
    <col min="5634" max="5634" width="14.5703125" style="1024" customWidth="1"/>
    <col min="5635" max="5635" width="7.7109375" style="1024" customWidth="1"/>
    <col min="5636" max="5636" width="11.42578125" style="1024" customWidth="1"/>
    <col min="5637" max="5637" width="10.42578125" style="1024" customWidth="1"/>
    <col min="5638" max="5638" width="5.7109375" style="1024" customWidth="1"/>
    <col min="5639" max="5639" width="7" style="1024" customWidth="1"/>
    <col min="5640" max="5640" width="29.140625" style="1024" customWidth="1"/>
    <col min="5641" max="5643" width="9.140625" style="1024"/>
    <col min="5644" max="5644" width="9.140625" style="1024" customWidth="1"/>
    <col min="5645" max="5645" width="9.140625" style="1024"/>
    <col min="5646" max="5646" width="0" style="1024" hidden="1" customWidth="1"/>
    <col min="5647" max="5880" width="9.140625" style="1024"/>
    <col min="5881" max="5881" width="22.28515625" style="1024" customWidth="1"/>
    <col min="5882" max="5882" width="20" style="1024" customWidth="1"/>
    <col min="5883" max="5883" width="20.42578125" style="1024" customWidth="1"/>
    <col min="5884" max="5884" width="20.28515625" style="1024" customWidth="1"/>
    <col min="5885" max="5885" width="12.42578125" style="1024" customWidth="1"/>
    <col min="5886" max="5886" width="13.140625" style="1024" customWidth="1"/>
    <col min="5887" max="5887" width="10.140625" style="1024" customWidth="1"/>
    <col min="5888" max="5888" width="7.7109375" style="1024" customWidth="1"/>
    <col min="5889" max="5889" width="11" style="1024" customWidth="1"/>
    <col min="5890" max="5890" width="14.5703125" style="1024" customWidth="1"/>
    <col min="5891" max="5891" width="7.7109375" style="1024" customWidth="1"/>
    <col min="5892" max="5892" width="11.42578125" style="1024" customWidth="1"/>
    <col min="5893" max="5893" width="10.42578125" style="1024" customWidth="1"/>
    <col min="5894" max="5894" width="5.7109375" style="1024" customWidth="1"/>
    <col min="5895" max="5895" width="7" style="1024" customWidth="1"/>
    <col min="5896" max="5896" width="29.140625" style="1024" customWidth="1"/>
    <col min="5897" max="5899" width="9.140625" style="1024"/>
    <col min="5900" max="5900" width="9.140625" style="1024" customWidth="1"/>
    <col min="5901" max="5901" width="9.140625" style="1024"/>
    <col min="5902" max="5902" width="0" style="1024" hidden="1" customWidth="1"/>
    <col min="5903" max="6136" width="9.140625" style="1024"/>
    <col min="6137" max="6137" width="22.28515625" style="1024" customWidth="1"/>
    <col min="6138" max="6138" width="20" style="1024" customWidth="1"/>
    <col min="6139" max="6139" width="20.42578125" style="1024" customWidth="1"/>
    <col min="6140" max="6140" width="20.28515625" style="1024" customWidth="1"/>
    <col min="6141" max="6141" width="12.42578125" style="1024" customWidth="1"/>
    <col min="6142" max="6142" width="13.140625" style="1024" customWidth="1"/>
    <col min="6143" max="6143" width="10.140625" style="1024" customWidth="1"/>
    <col min="6144" max="6144" width="7.7109375" style="1024" customWidth="1"/>
    <col min="6145" max="6145" width="11" style="1024" customWidth="1"/>
    <col min="6146" max="6146" width="14.5703125" style="1024" customWidth="1"/>
    <col min="6147" max="6147" width="7.7109375" style="1024" customWidth="1"/>
    <col min="6148" max="6148" width="11.42578125" style="1024" customWidth="1"/>
    <col min="6149" max="6149" width="10.42578125" style="1024" customWidth="1"/>
    <col min="6150" max="6150" width="5.7109375" style="1024" customWidth="1"/>
    <col min="6151" max="6151" width="7" style="1024" customWidth="1"/>
    <col min="6152" max="6152" width="29.140625" style="1024" customWidth="1"/>
    <col min="6153" max="6155" width="9.140625" style="1024"/>
    <col min="6156" max="6156" width="9.140625" style="1024" customWidth="1"/>
    <col min="6157" max="6157" width="9.140625" style="1024"/>
    <col min="6158" max="6158" width="0" style="1024" hidden="1" customWidth="1"/>
    <col min="6159" max="6392" width="9.140625" style="1024"/>
    <col min="6393" max="6393" width="22.28515625" style="1024" customWidth="1"/>
    <col min="6394" max="6394" width="20" style="1024" customWidth="1"/>
    <col min="6395" max="6395" width="20.42578125" style="1024" customWidth="1"/>
    <col min="6396" max="6396" width="20.28515625" style="1024" customWidth="1"/>
    <col min="6397" max="6397" width="12.42578125" style="1024" customWidth="1"/>
    <col min="6398" max="6398" width="13.140625" style="1024" customWidth="1"/>
    <col min="6399" max="6399" width="10.140625" style="1024" customWidth="1"/>
    <col min="6400" max="6400" width="7.7109375" style="1024" customWidth="1"/>
    <col min="6401" max="6401" width="11" style="1024" customWidth="1"/>
    <col min="6402" max="6402" width="14.5703125" style="1024" customWidth="1"/>
    <col min="6403" max="6403" width="7.7109375" style="1024" customWidth="1"/>
    <col min="6404" max="6404" width="11.42578125" style="1024" customWidth="1"/>
    <col min="6405" max="6405" width="10.42578125" style="1024" customWidth="1"/>
    <col min="6406" max="6406" width="5.7109375" style="1024" customWidth="1"/>
    <col min="6407" max="6407" width="7" style="1024" customWidth="1"/>
    <col min="6408" max="6408" width="29.140625" style="1024" customWidth="1"/>
    <col min="6409" max="6411" width="9.140625" style="1024"/>
    <col min="6412" max="6412" width="9.140625" style="1024" customWidth="1"/>
    <col min="6413" max="6413" width="9.140625" style="1024"/>
    <col min="6414" max="6414" width="0" style="1024" hidden="1" customWidth="1"/>
    <col min="6415" max="6648" width="9.140625" style="1024"/>
    <col min="6649" max="6649" width="22.28515625" style="1024" customWidth="1"/>
    <col min="6650" max="6650" width="20" style="1024" customWidth="1"/>
    <col min="6651" max="6651" width="20.42578125" style="1024" customWidth="1"/>
    <col min="6652" max="6652" width="20.28515625" style="1024" customWidth="1"/>
    <col min="6653" max="6653" width="12.42578125" style="1024" customWidth="1"/>
    <col min="6654" max="6654" width="13.140625" style="1024" customWidth="1"/>
    <col min="6655" max="6655" width="10.140625" style="1024" customWidth="1"/>
    <col min="6656" max="6656" width="7.7109375" style="1024" customWidth="1"/>
    <col min="6657" max="6657" width="11" style="1024" customWidth="1"/>
    <col min="6658" max="6658" width="14.5703125" style="1024" customWidth="1"/>
    <col min="6659" max="6659" width="7.7109375" style="1024" customWidth="1"/>
    <col min="6660" max="6660" width="11.42578125" style="1024" customWidth="1"/>
    <col min="6661" max="6661" width="10.42578125" style="1024" customWidth="1"/>
    <col min="6662" max="6662" width="5.7109375" style="1024" customWidth="1"/>
    <col min="6663" max="6663" width="7" style="1024" customWidth="1"/>
    <col min="6664" max="6664" width="29.140625" style="1024" customWidth="1"/>
    <col min="6665" max="6667" width="9.140625" style="1024"/>
    <col min="6668" max="6668" width="9.140625" style="1024" customWidth="1"/>
    <col min="6669" max="6669" width="9.140625" style="1024"/>
    <col min="6670" max="6670" width="0" style="1024" hidden="1" customWidth="1"/>
    <col min="6671" max="6904" width="9.140625" style="1024"/>
    <col min="6905" max="6905" width="22.28515625" style="1024" customWidth="1"/>
    <col min="6906" max="6906" width="20" style="1024" customWidth="1"/>
    <col min="6907" max="6907" width="20.42578125" style="1024" customWidth="1"/>
    <col min="6908" max="6908" width="20.28515625" style="1024" customWidth="1"/>
    <col min="6909" max="6909" width="12.42578125" style="1024" customWidth="1"/>
    <col min="6910" max="6910" width="13.140625" style="1024" customWidth="1"/>
    <col min="6911" max="6911" width="10.140625" style="1024" customWidth="1"/>
    <col min="6912" max="6912" width="7.7109375" style="1024" customWidth="1"/>
    <col min="6913" max="6913" width="11" style="1024" customWidth="1"/>
    <col min="6914" max="6914" width="14.5703125" style="1024" customWidth="1"/>
    <col min="6915" max="6915" width="7.7109375" style="1024" customWidth="1"/>
    <col min="6916" max="6916" width="11.42578125" style="1024" customWidth="1"/>
    <col min="6917" max="6917" width="10.42578125" style="1024" customWidth="1"/>
    <col min="6918" max="6918" width="5.7109375" style="1024" customWidth="1"/>
    <col min="6919" max="6919" width="7" style="1024" customWidth="1"/>
    <col min="6920" max="6920" width="29.140625" style="1024" customWidth="1"/>
    <col min="6921" max="6923" width="9.140625" style="1024"/>
    <col min="6924" max="6924" width="9.140625" style="1024" customWidth="1"/>
    <col min="6925" max="6925" width="9.140625" style="1024"/>
    <col min="6926" max="6926" width="0" style="1024" hidden="1" customWidth="1"/>
    <col min="6927" max="7160" width="9.140625" style="1024"/>
    <col min="7161" max="7161" width="22.28515625" style="1024" customWidth="1"/>
    <col min="7162" max="7162" width="20" style="1024" customWidth="1"/>
    <col min="7163" max="7163" width="20.42578125" style="1024" customWidth="1"/>
    <col min="7164" max="7164" width="20.28515625" style="1024" customWidth="1"/>
    <col min="7165" max="7165" width="12.42578125" style="1024" customWidth="1"/>
    <col min="7166" max="7166" width="13.140625" style="1024" customWidth="1"/>
    <col min="7167" max="7167" width="10.140625" style="1024" customWidth="1"/>
    <col min="7168" max="7168" width="7.7109375" style="1024" customWidth="1"/>
    <col min="7169" max="7169" width="11" style="1024" customWidth="1"/>
    <col min="7170" max="7170" width="14.5703125" style="1024" customWidth="1"/>
    <col min="7171" max="7171" width="7.7109375" style="1024" customWidth="1"/>
    <col min="7172" max="7172" width="11.42578125" style="1024" customWidth="1"/>
    <col min="7173" max="7173" width="10.42578125" style="1024" customWidth="1"/>
    <col min="7174" max="7174" width="5.7109375" style="1024" customWidth="1"/>
    <col min="7175" max="7175" width="7" style="1024" customWidth="1"/>
    <col min="7176" max="7176" width="29.140625" style="1024" customWidth="1"/>
    <col min="7177" max="7179" width="9.140625" style="1024"/>
    <col min="7180" max="7180" width="9.140625" style="1024" customWidth="1"/>
    <col min="7181" max="7181" width="9.140625" style="1024"/>
    <col min="7182" max="7182" width="0" style="1024" hidden="1" customWidth="1"/>
    <col min="7183" max="7416" width="9.140625" style="1024"/>
    <col min="7417" max="7417" width="22.28515625" style="1024" customWidth="1"/>
    <col min="7418" max="7418" width="20" style="1024" customWidth="1"/>
    <col min="7419" max="7419" width="20.42578125" style="1024" customWidth="1"/>
    <col min="7420" max="7420" width="20.28515625" style="1024" customWidth="1"/>
    <col min="7421" max="7421" width="12.42578125" style="1024" customWidth="1"/>
    <col min="7422" max="7422" width="13.140625" style="1024" customWidth="1"/>
    <col min="7423" max="7423" width="10.140625" style="1024" customWidth="1"/>
    <col min="7424" max="7424" width="7.7109375" style="1024" customWidth="1"/>
    <col min="7425" max="7425" width="11" style="1024" customWidth="1"/>
    <col min="7426" max="7426" width="14.5703125" style="1024" customWidth="1"/>
    <col min="7427" max="7427" width="7.7109375" style="1024" customWidth="1"/>
    <col min="7428" max="7428" width="11.42578125" style="1024" customWidth="1"/>
    <col min="7429" max="7429" width="10.42578125" style="1024" customWidth="1"/>
    <col min="7430" max="7430" width="5.7109375" style="1024" customWidth="1"/>
    <col min="7431" max="7431" width="7" style="1024" customWidth="1"/>
    <col min="7432" max="7432" width="29.140625" style="1024" customWidth="1"/>
    <col min="7433" max="7435" width="9.140625" style="1024"/>
    <col min="7436" max="7436" width="9.140625" style="1024" customWidth="1"/>
    <col min="7437" max="7437" width="9.140625" style="1024"/>
    <col min="7438" max="7438" width="0" style="1024" hidden="1" customWidth="1"/>
    <col min="7439" max="7672" width="9.140625" style="1024"/>
    <col min="7673" max="7673" width="22.28515625" style="1024" customWidth="1"/>
    <col min="7674" max="7674" width="20" style="1024" customWidth="1"/>
    <col min="7675" max="7675" width="20.42578125" style="1024" customWidth="1"/>
    <col min="7676" max="7676" width="20.28515625" style="1024" customWidth="1"/>
    <col min="7677" max="7677" width="12.42578125" style="1024" customWidth="1"/>
    <col min="7678" max="7678" width="13.140625" style="1024" customWidth="1"/>
    <col min="7679" max="7679" width="10.140625" style="1024" customWidth="1"/>
    <col min="7680" max="7680" width="7.7109375" style="1024" customWidth="1"/>
    <col min="7681" max="7681" width="11" style="1024" customWidth="1"/>
    <col min="7682" max="7682" width="14.5703125" style="1024" customWidth="1"/>
    <col min="7683" max="7683" width="7.7109375" style="1024" customWidth="1"/>
    <col min="7684" max="7684" width="11.42578125" style="1024" customWidth="1"/>
    <col min="7685" max="7685" width="10.42578125" style="1024" customWidth="1"/>
    <col min="7686" max="7686" width="5.7109375" style="1024" customWidth="1"/>
    <col min="7687" max="7687" width="7" style="1024" customWidth="1"/>
    <col min="7688" max="7688" width="29.140625" style="1024" customWidth="1"/>
    <col min="7689" max="7691" width="9.140625" style="1024"/>
    <col min="7692" max="7692" width="9.140625" style="1024" customWidth="1"/>
    <col min="7693" max="7693" width="9.140625" style="1024"/>
    <col min="7694" max="7694" width="0" style="1024" hidden="1" customWidth="1"/>
    <col min="7695" max="7928" width="9.140625" style="1024"/>
    <col min="7929" max="7929" width="22.28515625" style="1024" customWidth="1"/>
    <col min="7930" max="7930" width="20" style="1024" customWidth="1"/>
    <col min="7931" max="7931" width="20.42578125" style="1024" customWidth="1"/>
    <col min="7932" max="7932" width="20.28515625" style="1024" customWidth="1"/>
    <col min="7933" max="7933" width="12.42578125" style="1024" customWidth="1"/>
    <col min="7934" max="7934" width="13.140625" style="1024" customWidth="1"/>
    <col min="7935" max="7935" width="10.140625" style="1024" customWidth="1"/>
    <col min="7936" max="7936" width="7.7109375" style="1024" customWidth="1"/>
    <col min="7937" max="7937" width="11" style="1024" customWidth="1"/>
    <col min="7938" max="7938" width="14.5703125" style="1024" customWidth="1"/>
    <col min="7939" max="7939" width="7.7109375" style="1024" customWidth="1"/>
    <col min="7940" max="7940" width="11.42578125" style="1024" customWidth="1"/>
    <col min="7941" max="7941" width="10.42578125" style="1024" customWidth="1"/>
    <col min="7942" max="7942" width="5.7109375" style="1024" customWidth="1"/>
    <col min="7943" max="7943" width="7" style="1024" customWidth="1"/>
    <col min="7944" max="7944" width="29.140625" style="1024" customWidth="1"/>
    <col min="7945" max="7947" width="9.140625" style="1024"/>
    <col min="7948" max="7948" width="9.140625" style="1024" customWidth="1"/>
    <col min="7949" max="7949" width="9.140625" style="1024"/>
    <col min="7950" max="7950" width="0" style="1024" hidden="1" customWidth="1"/>
    <col min="7951" max="8184" width="9.140625" style="1024"/>
    <col min="8185" max="8185" width="22.28515625" style="1024" customWidth="1"/>
    <col min="8186" max="8186" width="20" style="1024" customWidth="1"/>
    <col min="8187" max="8187" width="20.42578125" style="1024" customWidth="1"/>
    <col min="8188" max="8188" width="20.28515625" style="1024" customWidth="1"/>
    <col min="8189" max="8189" width="12.42578125" style="1024" customWidth="1"/>
    <col min="8190" max="8190" width="13.140625" style="1024" customWidth="1"/>
    <col min="8191" max="8191" width="10.140625" style="1024" customWidth="1"/>
    <col min="8192" max="8192" width="7.7109375" style="1024" customWidth="1"/>
    <col min="8193" max="8193" width="11" style="1024" customWidth="1"/>
    <col min="8194" max="8194" width="14.5703125" style="1024" customWidth="1"/>
    <col min="8195" max="8195" width="7.7109375" style="1024" customWidth="1"/>
    <col min="8196" max="8196" width="11.42578125" style="1024" customWidth="1"/>
    <col min="8197" max="8197" width="10.42578125" style="1024" customWidth="1"/>
    <col min="8198" max="8198" width="5.7109375" style="1024" customWidth="1"/>
    <col min="8199" max="8199" width="7" style="1024" customWidth="1"/>
    <col min="8200" max="8200" width="29.140625" style="1024" customWidth="1"/>
    <col min="8201" max="8203" width="9.140625" style="1024"/>
    <col min="8204" max="8204" width="9.140625" style="1024" customWidth="1"/>
    <col min="8205" max="8205" width="9.140625" style="1024"/>
    <col min="8206" max="8206" width="0" style="1024" hidden="1" customWidth="1"/>
    <col min="8207" max="8440" width="9.140625" style="1024"/>
    <col min="8441" max="8441" width="22.28515625" style="1024" customWidth="1"/>
    <col min="8442" max="8442" width="20" style="1024" customWidth="1"/>
    <col min="8443" max="8443" width="20.42578125" style="1024" customWidth="1"/>
    <col min="8444" max="8444" width="20.28515625" style="1024" customWidth="1"/>
    <col min="8445" max="8445" width="12.42578125" style="1024" customWidth="1"/>
    <col min="8446" max="8446" width="13.140625" style="1024" customWidth="1"/>
    <col min="8447" max="8447" width="10.140625" style="1024" customWidth="1"/>
    <col min="8448" max="8448" width="7.7109375" style="1024" customWidth="1"/>
    <col min="8449" max="8449" width="11" style="1024" customWidth="1"/>
    <col min="8450" max="8450" width="14.5703125" style="1024" customWidth="1"/>
    <col min="8451" max="8451" width="7.7109375" style="1024" customWidth="1"/>
    <col min="8452" max="8452" width="11.42578125" style="1024" customWidth="1"/>
    <col min="8453" max="8453" width="10.42578125" style="1024" customWidth="1"/>
    <col min="8454" max="8454" width="5.7109375" style="1024" customWidth="1"/>
    <col min="8455" max="8455" width="7" style="1024" customWidth="1"/>
    <col min="8456" max="8456" width="29.140625" style="1024" customWidth="1"/>
    <col min="8457" max="8459" width="9.140625" style="1024"/>
    <col min="8460" max="8460" width="9.140625" style="1024" customWidth="1"/>
    <col min="8461" max="8461" width="9.140625" style="1024"/>
    <col min="8462" max="8462" width="0" style="1024" hidden="1" customWidth="1"/>
    <col min="8463" max="8696" width="9.140625" style="1024"/>
    <col min="8697" max="8697" width="22.28515625" style="1024" customWidth="1"/>
    <col min="8698" max="8698" width="20" style="1024" customWidth="1"/>
    <col min="8699" max="8699" width="20.42578125" style="1024" customWidth="1"/>
    <col min="8700" max="8700" width="20.28515625" style="1024" customWidth="1"/>
    <col min="8701" max="8701" width="12.42578125" style="1024" customWidth="1"/>
    <col min="8702" max="8702" width="13.140625" style="1024" customWidth="1"/>
    <col min="8703" max="8703" width="10.140625" style="1024" customWidth="1"/>
    <col min="8704" max="8704" width="7.7109375" style="1024" customWidth="1"/>
    <col min="8705" max="8705" width="11" style="1024" customWidth="1"/>
    <col min="8706" max="8706" width="14.5703125" style="1024" customWidth="1"/>
    <col min="8707" max="8707" width="7.7109375" style="1024" customWidth="1"/>
    <col min="8708" max="8708" width="11.42578125" style="1024" customWidth="1"/>
    <col min="8709" max="8709" width="10.42578125" style="1024" customWidth="1"/>
    <col min="8710" max="8710" width="5.7109375" style="1024" customWidth="1"/>
    <col min="8711" max="8711" width="7" style="1024" customWidth="1"/>
    <col min="8712" max="8712" width="29.140625" style="1024" customWidth="1"/>
    <col min="8713" max="8715" width="9.140625" style="1024"/>
    <col min="8716" max="8716" width="9.140625" style="1024" customWidth="1"/>
    <col min="8717" max="8717" width="9.140625" style="1024"/>
    <col min="8718" max="8718" width="0" style="1024" hidden="1" customWidth="1"/>
    <col min="8719" max="8952" width="9.140625" style="1024"/>
    <col min="8953" max="8953" width="22.28515625" style="1024" customWidth="1"/>
    <col min="8954" max="8954" width="20" style="1024" customWidth="1"/>
    <col min="8955" max="8955" width="20.42578125" style="1024" customWidth="1"/>
    <col min="8956" max="8956" width="20.28515625" style="1024" customWidth="1"/>
    <col min="8957" max="8957" width="12.42578125" style="1024" customWidth="1"/>
    <col min="8958" max="8958" width="13.140625" style="1024" customWidth="1"/>
    <col min="8959" max="8959" width="10.140625" style="1024" customWidth="1"/>
    <col min="8960" max="8960" width="7.7109375" style="1024" customWidth="1"/>
    <col min="8961" max="8961" width="11" style="1024" customWidth="1"/>
    <col min="8962" max="8962" width="14.5703125" style="1024" customWidth="1"/>
    <col min="8963" max="8963" width="7.7109375" style="1024" customWidth="1"/>
    <col min="8964" max="8964" width="11.42578125" style="1024" customWidth="1"/>
    <col min="8965" max="8965" width="10.42578125" style="1024" customWidth="1"/>
    <col min="8966" max="8966" width="5.7109375" style="1024" customWidth="1"/>
    <col min="8967" max="8967" width="7" style="1024" customWidth="1"/>
    <col min="8968" max="8968" width="29.140625" style="1024" customWidth="1"/>
    <col min="8969" max="8971" width="9.140625" style="1024"/>
    <col min="8972" max="8972" width="9.140625" style="1024" customWidth="1"/>
    <col min="8973" max="8973" width="9.140625" style="1024"/>
    <col min="8974" max="8974" width="0" style="1024" hidden="1" customWidth="1"/>
    <col min="8975" max="9208" width="9.140625" style="1024"/>
    <col min="9209" max="9209" width="22.28515625" style="1024" customWidth="1"/>
    <col min="9210" max="9210" width="20" style="1024" customWidth="1"/>
    <col min="9211" max="9211" width="20.42578125" style="1024" customWidth="1"/>
    <col min="9212" max="9212" width="20.28515625" style="1024" customWidth="1"/>
    <col min="9213" max="9213" width="12.42578125" style="1024" customWidth="1"/>
    <col min="9214" max="9214" width="13.140625" style="1024" customWidth="1"/>
    <col min="9215" max="9215" width="10.140625" style="1024" customWidth="1"/>
    <col min="9216" max="9216" width="7.7109375" style="1024" customWidth="1"/>
    <col min="9217" max="9217" width="11" style="1024" customWidth="1"/>
    <col min="9218" max="9218" width="14.5703125" style="1024" customWidth="1"/>
    <col min="9219" max="9219" width="7.7109375" style="1024" customWidth="1"/>
    <col min="9220" max="9220" width="11.42578125" style="1024" customWidth="1"/>
    <col min="9221" max="9221" width="10.42578125" style="1024" customWidth="1"/>
    <col min="9222" max="9222" width="5.7109375" style="1024" customWidth="1"/>
    <col min="9223" max="9223" width="7" style="1024" customWidth="1"/>
    <col min="9224" max="9224" width="29.140625" style="1024" customWidth="1"/>
    <col min="9225" max="9227" width="9.140625" style="1024"/>
    <col min="9228" max="9228" width="9.140625" style="1024" customWidth="1"/>
    <col min="9229" max="9229" width="9.140625" style="1024"/>
    <col min="9230" max="9230" width="0" style="1024" hidden="1" customWidth="1"/>
    <col min="9231" max="9464" width="9.140625" style="1024"/>
    <col min="9465" max="9465" width="22.28515625" style="1024" customWidth="1"/>
    <col min="9466" max="9466" width="20" style="1024" customWidth="1"/>
    <col min="9467" max="9467" width="20.42578125" style="1024" customWidth="1"/>
    <col min="9468" max="9468" width="20.28515625" style="1024" customWidth="1"/>
    <col min="9469" max="9469" width="12.42578125" style="1024" customWidth="1"/>
    <col min="9470" max="9470" width="13.140625" style="1024" customWidth="1"/>
    <col min="9471" max="9471" width="10.140625" style="1024" customWidth="1"/>
    <col min="9472" max="9472" width="7.7109375" style="1024" customWidth="1"/>
    <col min="9473" max="9473" width="11" style="1024" customWidth="1"/>
    <col min="9474" max="9474" width="14.5703125" style="1024" customWidth="1"/>
    <col min="9475" max="9475" width="7.7109375" style="1024" customWidth="1"/>
    <col min="9476" max="9476" width="11.42578125" style="1024" customWidth="1"/>
    <col min="9477" max="9477" width="10.42578125" style="1024" customWidth="1"/>
    <col min="9478" max="9478" width="5.7109375" style="1024" customWidth="1"/>
    <col min="9479" max="9479" width="7" style="1024" customWidth="1"/>
    <col min="9480" max="9480" width="29.140625" style="1024" customWidth="1"/>
    <col min="9481" max="9483" width="9.140625" style="1024"/>
    <col min="9484" max="9484" width="9.140625" style="1024" customWidth="1"/>
    <col min="9485" max="9485" width="9.140625" style="1024"/>
    <col min="9486" max="9486" width="0" style="1024" hidden="1" customWidth="1"/>
    <col min="9487" max="9720" width="9.140625" style="1024"/>
    <col min="9721" max="9721" width="22.28515625" style="1024" customWidth="1"/>
    <col min="9722" max="9722" width="20" style="1024" customWidth="1"/>
    <col min="9723" max="9723" width="20.42578125" style="1024" customWidth="1"/>
    <col min="9724" max="9724" width="20.28515625" style="1024" customWidth="1"/>
    <col min="9725" max="9725" width="12.42578125" style="1024" customWidth="1"/>
    <col min="9726" max="9726" width="13.140625" style="1024" customWidth="1"/>
    <col min="9727" max="9727" width="10.140625" style="1024" customWidth="1"/>
    <col min="9728" max="9728" width="7.7109375" style="1024" customWidth="1"/>
    <col min="9729" max="9729" width="11" style="1024" customWidth="1"/>
    <col min="9730" max="9730" width="14.5703125" style="1024" customWidth="1"/>
    <col min="9731" max="9731" width="7.7109375" style="1024" customWidth="1"/>
    <col min="9732" max="9732" width="11.42578125" style="1024" customWidth="1"/>
    <col min="9733" max="9733" width="10.42578125" style="1024" customWidth="1"/>
    <col min="9734" max="9734" width="5.7109375" style="1024" customWidth="1"/>
    <col min="9735" max="9735" width="7" style="1024" customWidth="1"/>
    <col min="9736" max="9736" width="29.140625" style="1024" customWidth="1"/>
    <col min="9737" max="9739" width="9.140625" style="1024"/>
    <col min="9740" max="9740" width="9.140625" style="1024" customWidth="1"/>
    <col min="9741" max="9741" width="9.140625" style="1024"/>
    <col min="9742" max="9742" width="0" style="1024" hidden="1" customWidth="1"/>
    <col min="9743" max="9976" width="9.140625" style="1024"/>
    <col min="9977" max="9977" width="22.28515625" style="1024" customWidth="1"/>
    <col min="9978" max="9978" width="20" style="1024" customWidth="1"/>
    <col min="9979" max="9979" width="20.42578125" style="1024" customWidth="1"/>
    <col min="9980" max="9980" width="20.28515625" style="1024" customWidth="1"/>
    <col min="9981" max="9981" width="12.42578125" style="1024" customWidth="1"/>
    <col min="9982" max="9982" width="13.140625" style="1024" customWidth="1"/>
    <col min="9983" max="9983" width="10.140625" style="1024" customWidth="1"/>
    <col min="9984" max="9984" width="7.7109375" style="1024" customWidth="1"/>
    <col min="9985" max="9985" width="11" style="1024" customWidth="1"/>
    <col min="9986" max="9986" width="14.5703125" style="1024" customWidth="1"/>
    <col min="9987" max="9987" width="7.7109375" style="1024" customWidth="1"/>
    <col min="9988" max="9988" width="11.42578125" style="1024" customWidth="1"/>
    <col min="9989" max="9989" width="10.42578125" style="1024" customWidth="1"/>
    <col min="9990" max="9990" width="5.7109375" style="1024" customWidth="1"/>
    <col min="9991" max="9991" width="7" style="1024" customWidth="1"/>
    <col min="9992" max="9992" width="29.140625" style="1024" customWidth="1"/>
    <col min="9993" max="9995" width="9.140625" style="1024"/>
    <col min="9996" max="9996" width="9.140625" style="1024" customWidth="1"/>
    <col min="9997" max="9997" width="9.140625" style="1024"/>
    <col min="9998" max="9998" width="0" style="1024" hidden="1" customWidth="1"/>
    <col min="9999" max="10232" width="9.140625" style="1024"/>
    <col min="10233" max="10233" width="22.28515625" style="1024" customWidth="1"/>
    <col min="10234" max="10234" width="20" style="1024" customWidth="1"/>
    <col min="10235" max="10235" width="20.42578125" style="1024" customWidth="1"/>
    <col min="10236" max="10236" width="20.28515625" style="1024" customWidth="1"/>
    <col min="10237" max="10237" width="12.42578125" style="1024" customWidth="1"/>
    <col min="10238" max="10238" width="13.140625" style="1024" customWidth="1"/>
    <col min="10239" max="10239" width="10.140625" style="1024" customWidth="1"/>
    <col min="10240" max="10240" width="7.7109375" style="1024" customWidth="1"/>
    <col min="10241" max="10241" width="11" style="1024" customWidth="1"/>
    <col min="10242" max="10242" width="14.5703125" style="1024" customWidth="1"/>
    <col min="10243" max="10243" width="7.7109375" style="1024" customWidth="1"/>
    <col min="10244" max="10244" width="11.42578125" style="1024" customWidth="1"/>
    <col min="10245" max="10245" width="10.42578125" style="1024" customWidth="1"/>
    <col min="10246" max="10246" width="5.7109375" style="1024" customWidth="1"/>
    <col min="10247" max="10247" width="7" style="1024" customWidth="1"/>
    <col min="10248" max="10248" width="29.140625" style="1024" customWidth="1"/>
    <col min="10249" max="10251" width="9.140625" style="1024"/>
    <col min="10252" max="10252" width="9.140625" style="1024" customWidth="1"/>
    <col min="10253" max="10253" width="9.140625" style="1024"/>
    <col min="10254" max="10254" width="0" style="1024" hidden="1" customWidth="1"/>
    <col min="10255" max="10488" width="9.140625" style="1024"/>
    <col min="10489" max="10489" width="22.28515625" style="1024" customWidth="1"/>
    <col min="10490" max="10490" width="20" style="1024" customWidth="1"/>
    <col min="10491" max="10491" width="20.42578125" style="1024" customWidth="1"/>
    <col min="10492" max="10492" width="20.28515625" style="1024" customWidth="1"/>
    <col min="10493" max="10493" width="12.42578125" style="1024" customWidth="1"/>
    <col min="10494" max="10494" width="13.140625" style="1024" customWidth="1"/>
    <col min="10495" max="10495" width="10.140625" style="1024" customWidth="1"/>
    <col min="10496" max="10496" width="7.7109375" style="1024" customWidth="1"/>
    <col min="10497" max="10497" width="11" style="1024" customWidth="1"/>
    <col min="10498" max="10498" width="14.5703125" style="1024" customWidth="1"/>
    <col min="10499" max="10499" width="7.7109375" style="1024" customWidth="1"/>
    <col min="10500" max="10500" width="11.42578125" style="1024" customWidth="1"/>
    <col min="10501" max="10501" width="10.42578125" style="1024" customWidth="1"/>
    <col min="10502" max="10502" width="5.7109375" style="1024" customWidth="1"/>
    <col min="10503" max="10503" width="7" style="1024" customWidth="1"/>
    <col min="10504" max="10504" width="29.140625" style="1024" customWidth="1"/>
    <col min="10505" max="10507" width="9.140625" style="1024"/>
    <col min="10508" max="10508" width="9.140625" style="1024" customWidth="1"/>
    <col min="10509" max="10509" width="9.140625" style="1024"/>
    <col min="10510" max="10510" width="0" style="1024" hidden="1" customWidth="1"/>
    <col min="10511" max="10744" width="9.140625" style="1024"/>
    <col min="10745" max="10745" width="22.28515625" style="1024" customWidth="1"/>
    <col min="10746" max="10746" width="20" style="1024" customWidth="1"/>
    <col min="10747" max="10747" width="20.42578125" style="1024" customWidth="1"/>
    <col min="10748" max="10748" width="20.28515625" style="1024" customWidth="1"/>
    <col min="10749" max="10749" width="12.42578125" style="1024" customWidth="1"/>
    <col min="10750" max="10750" width="13.140625" style="1024" customWidth="1"/>
    <col min="10751" max="10751" width="10.140625" style="1024" customWidth="1"/>
    <col min="10752" max="10752" width="7.7109375" style="1024" customWidth="1"/>
    <col min="10753" max="10753" width="11" style="1024" customWidth="1"/>
    <col min="10754" max="10754" width="14.5703125" style="1024" customWidth="1"/>
    <col min="10755" max="10755" width="7.7109375" style="1024" customWidth="1"/>
    <col min="10756" max="10756" width="11.42578125" style="1024" customWidth="1"/>
    <col min="10757" max="10757" width="10.42578125" style="1024" customWidth="1"/>
    <col min="10758" max="10758" width="5.7109375" style="1024" customWidth="1"/>
    <col min="10759" max="10759" width="7" style="1024" customWidth="1"/>
    <col min="10760" max="10760" width="29.140625" style="1024" customWidth="1"/>
    <col min="10761" max="10763" width="9.140625" style="1024"/>
    <col min="10764" max="10764" width="9.140625" style="1024" customWidth="1"/>
    <col min="10765" max="10765" width="9.140625" style="1024"/>
    <col min="10766" max="10766" width="0" style="1024" hidden="1" customWidth="1"/>
    <col min="10767" max="11000" width="9.140625" style="1024"/>
    <col min="11001" max="11001" width="22.28515625" style="1024" customWidth="1"/>
    <col min="11002" max="11002" width="20" style="1024" customWidth="1"/>
    <col min="11003" max="11003" width="20.42578125" style="1024" customWidth="1"/>
    <col min="11004" max="11004" width="20.28515625" style="1024" customWidth="1"/>
    <col min="11005" max="11005" width="12.42578125" style="1024" customWidth="1"/>
    <col min="11006" max="11006" width="13.140625" style="1024" customWidth="1"/>
    <col min="11007" max="11007" width="10.140625" style="1024" customWidth="1"/>
    <col min="11008" max="11008" width="7.7109375" style="1024" customWidth="1"/>
    <col min="11009" max="11009" width="11" style="1024" customWidth="1"/>
    <col min="11010" max="11010" width="14.5703125" style="1024" customWidth="1"/>
    <col min="11011" max="11011" width="7.7109375" style="1024" customWidth="1"/>
    <col min="11012" max="11012" width="11.42578125" style="1024" customWidth="1"/>
    <col min="11013" max="11013" width="10.42578125" style="1024" customWidth="1"/>
    <col min="11014" max="11014" width="5.7109375" style="1024" customWidth="1"/>
    <col min="11015" max="11015" width="7" style="1024" customWidth="1"/>
    <col min="11016" max="11016" width="29.140625" style="1024" customWidth="1"/>
    <col min="11017" max="11019" width="9.140625" style="1024"/>
    <col min="11020" max="11020" width="9.140625" style="1024" customWidth="1"/>
    <col min="11021" max="11021" width="9.140625" style="1024"/>
    <col min="11022" max="11022" width="0" style="1024" hidden="1" customWidth="1"/>
    <col min="11023" max="11256" width="9.140625" style="1024"/>
    <col min="11257" max="11257" width="22.28515625" style="1024" customWidth="1"/>
    <col min="11258" max="11258" width="20" style="1024" customWidth="1"/>
    <col min="11259" max="11259" width="20.42578125" style="1024" customWidth="1"/>
    <col min="11260" max="11260" width="20.28515625" style="1024" customWidth="1"/>
    <col min="11261" max="11261" width="12.42578125" style="1024" customWidth="1"/>
    <col min="11262" max="11262" width="13.140625" style="1024" customWidth="1"/>
    <col min="11263" max="11263" width="10.140625" style="1024" customWidth="1"/>
    <col min="11264" max="11264" width="7.7109375" style="1024" customWidth="1"/>
    <col min="11265" max="11265" width="11" style="1024" customWidth="1"/>
    <col min="11266" max="11266" width="14.5703125" style="1024" customWidth="1"/>
    <col min="11267" max="11267" width="7.7109375" style="1024" customWidth="1"/>
    <col min="11268" max="11268" width="11.42578125" style="1024" customWidth="1"/>
    <col min="11269" max="11269" width="10.42578125" style="1024" customWidth="1"/>
    <col min="11270" max="11270" width="5.7109375" style="1024" customWidth="1"/>
    <col min="11271" max="11271" width="7" style="1024" customWidth="1"/>
    <col min="11272" max="11272" width="29.140625" style="1024" customWidth="1"/>
    <col min="11273" max="11275" width="9.140625" style="1024"/>
    <col min="11276" max="11276" width="9.140625" style="1024" customWidth="1"/>
    <col min="11277" max="11277" width="9.140625" style="1024"/>
    <col min="11278" max="11278" width="0" style="1024" hidden="1" customWidth="1"/>
    <col min="11279" max="11512" width="9.140625" style="1024"/>
    <col min="11513" max="11513" width="22.28515625" style="1024" customWidth="1"/>
    <col min="11514" max="11514" width="20" style="1024" customWidth="1"/>
    <col min="11515" max="11515" width="20.42578125" style="1024" customWidth="1"/>
    <col min="11516" max="11516" width="20.28515625" style="1024" customWidth="1"/>
    <col min="11517" max="11517" width="12.42578125" style="1024" customWidth="1"/>
    <col min="11518" max="11518" width="13.140625" style="1024" customWidth="1"/>
    <col min="11519" max="11519" width="10.140625" style="1024" customWidth="1"/>
    <col min="11520" max="11520" width="7.7109375" style="1024" customWidth="1"/>
    <col min="11521" max="11521" width="11" style="1024" customWidth="1"/>
    <col min="11522" max="11522" width="14.5703125" style="1024" customWidth="1"/>
    <col min="11523" max="11523" width="7.7109375" style="1024" customWidth="1"/>
    <col min="11524" max="11524" width="11.42578125" style="1024" customWidth="1"/>
    <col min="11525" max="11525" width="10.42578125" style="1024" customWidth="1"/>
    <col min="11526" max="11526" width="5.7109375" style="1024" customWidth="1"/>
    <col min="11527" max="11527" width="7" style="1024" customWidth="1"/>
    <col min="11528" max="11528" width="29.140625" style="1024" customWidth="1"/>
    <col min="11529" max="11531" width="9.140625" style="1024"/>
    <col min="11532" max="11532" width="9.140625" style="1024" customWidth="1"/>
    <col min="11533" max="11533" width="9.140625" style="1024"/>
    <col min="11534" max="11534" width="0" style="1024" hidden="1" customWidth="1"/>
    <col min="11535" max="11768" width="9.140625" style="1024"/>
    <col min="11769" max="11769" width="22.28515625" style="1024" customWidth="1"/>
    <col min="11770" max="11770" width="20" style="1024" customWidth="1"/>
    <col min="11771" max="11771" width="20.42578125" style="1024" customWidth="1"/>
    <col min="11772" max="11772" width="20.28515625" style="1024" customWidth="1"/>
    <col min="11773" max="11773" width="12.42578125" style="1024" customWidth="1"/>
    <col min="11774" max="11774" width="13.140625" style="1024" customWidth="1"/>
    <col min="11775" max="11775" width="10.140625" style="1024" customWidth="1"/>
    <col min="11776" max="11776" width="7.7109375" style="1024" customWidth="1"/>
    <col min="11777" max="11777" width="11" style="1024" customWidth="1"/>
    <col min="11778" max="11778" width="14.5703125" style="1024" customWidth="1"/>
    <col min="11779" max="11779" width="7.7109375" style="1024" customWidth="1"/>
    <col min="11780" max="11780" width="11.42578125" style="1024" customWidth="1"/>
    <col min="11781" max="11781" width="10.42578125" style="1024" customWidth="1"/>
    <col min="11782" max="11782" width="5.7109375" style="1024" customWidth="1"/>
    <col min="11783" max="11783" width="7" style="1024" customWidth="1"/>
    <col min="11784" max="11784" width="29.140625" style="1024" customWidth="1"/>
    <col min="11785" max="11787" width="9.140625" style="1024"/>
    <col min="11788" max="11788" width="9.140625" style="1024" customWidth="1"/>
    <col min="11789" max="11789" width="9.140625" style="1024"/>
    <col min="11790" max="11790" width="0" style="1024" hidden="1" customWidth="1"/>
    <col min="11791" max="12024" width="9.140625" style="1024"/>
    <col min="12025" max="12025" width="22.28515625" style="1024" customWidth="1"/>
    <col min="12026" max="12026" width="20" style="1024" customWidth="1"/>
    <col min="12027" max="12027" width="20.42578125" style="1024" customWidth="1"/>
    <col min="12028" max="12028" width="20.28515625" style="1024" customWidth="1"/>
    <col min="12029" max="12029" width="12.42578125" style="1024" customWidth="1"/>
    <col min="12030" max="12030" width="13.140625" style="1024" customWidth="1"/>
    <col min="12031" max="12031" width="10.140625" style="1024" customWidth="1"/>
    <col min="12032" max="12032" width="7.7109375" style="1024" customWidth="1"/>
    <col min="12033" max="12033" width="11" style="1024" customWidth="1"/>
    <col min="12034" max="12034" width="14.5703125" style="1024" customWidth="1"/>
    <col min="12035" max="12035" width="7.7109375" style="1024" customWidth="1"/>
    <col min="12036" max="12036" width="11.42578125" style="1024" customWidth="1"/>
    <col min="12037" max="12037" width="10.42578125" style="1024" customWidth="1"/>
    <col min="12038" max="12038" width="5.7109375" style="1024" customWidth="1"/>
    <col min="12039" max="12039" width="7" style="1024" customWidth="1"/>
    <col min="12040" max="12040" width="29.140625" style="1024" customWidth="1"/>
    <col min="12041" max="12043" width="9.140625" style="1024"/>
    <col min="12044" max="12044" width="9.140625" style="1024" customWidth="1"/>
    <col min="12045" max="12045" width="9.140625" style="1024"/>
    <col min="12046" max="12046" width="0" style="1024" hidden="1" customWidth="1"/>
    <col min="12047" max="12280" width="9.140625" style="1024"/>
    <col min="12281" max="12281" width="22.28515625" style="1024" customWidth="1"/>
    <col min="12282" max="12282" width="20" style="1024" customWidth="1"/>
    <col min="12283" max="12283" width="20.42578125" style="1024" customWidth="1"/>
    <col min="12284" max="12284" width="20.28515625" style="1024" customWidth="1"/>
    <col min="12285" max="12285" width="12.42578125" style="1024" customWidth="1"/>
    <col min="12286" max="12286" width="13.140625" style="1024" customWidth="1"/>
    <col min="12287" max="12287" width="10.140625" style="1024" customWidth="1"/>
    <col min="12288" max="12288" width="7.7109375" style="1024" customWidth="1"/>
    <col min="12289" max="12289" width="11" style="1024" customWidth="1"/>
    <col min="12290" max="12290" width="14.5703125" style="1024" customWidth="1"/>
    <col min="12291" max="12291" width="7.7109375" style="1024" customWidth="1"/>
    <col min="12292" max="12292" width="11.42578125" style="1024" customWidth="1"/>
    <col min="12293" max="12293" width="10.42578125" style="1024" customWidth="1"/>
    <col min="12294" max="12294" width="5.7109375" style="1024" customWidth="1"/>
    <col min="12295" max="12295" width="7" style="1024" customWidth="1"/>
    <col min="12296" max="12296" width="29.140625" style="1024" customWidth="1"/>
    <col min="12297" max="12299" width="9.140625" style="1024"/>
    <col min="12300" max="12300" width="9.140625" style="1024" customWidth="1"/>
    <col min="12301" max="12301" width="9.140625" style="1024"/>
    <col min="12302" max="12302" width="0" style="1024" hidden="1" customWidth="1"/>
    <col min="12303" max="12536" width="9.140625" style="1024"/>
    <col min="12537" max="12537" width="22.28515625" style="1024" customWidth="1"/>
    <col min="12538" max="12538" width="20" style="1024" customWidth="1"/>
    <col min="12539" max="12539" width="20.42578125" style="1024" customWidth="1"/>
    <col min="12540" max="12540" width="20.28515625" style="1024" customWidth="1"/>
    <col min="12541" max="12541" width="12.42578125" style="1024" customWidth="1"/>
    <col min="12542" max="12542" width="13.140625" style="1024" customWidth="1"/>
    <col min="12543" max="12543" width="10.140625" style="1024" customWidth="1"/>
    <col min="12544" max="12544" width="7.7109375" style="1024" customWidth="1"/>
    <col min="12545" max="12545" width="11" style="1024" customWidth="1"/>
    <col min="12546" max="12546" width="14.5703125" style="1024" customWidth="1"/>
    <col min="12547" max="12547" width="7.7109375" style="1024" customWidth="1"/>
    <col min="12548" max="12548" width="11.42578125" style="1024" customWidth="1"/>
    <col min="12549" max="12549" width="10.42578125" style="1024" customWidth="1"/>
    <col min="12550" max="12550" width="5.7109375" style="1024" customWidth="1"/>
    <col min="12551" max="12551" width="7" style="1024" customWidth="1"/>
    <col min="12552" max="12552" width="29.140625" style="1024" customWidth="1"/>
    <col min="12553" max="12555" width="9.140625" style="1024"/>
    <col min="12556" max="12556" width="9.140625" style="1024" customWidth="1"/>
    <col min="12557" max="12557" width="9.140625" style="1024"/>
    <col min="12558" max="12558" width="0" style="1024" hidden="1" customWidth="1"/>
    <col min="12559" max="12792" width="9.140625" style="1024"/>
    <col min="12793" max="12793" width="22.28515625" style="1024" customWidth="1"/>
    <col min="12794" max="12794" width="20" style="1024" customWidth="1"/>
    <col min="12795" max="12795" width="20.42578125" style="1024" customWidth="1"/>
    <col min="12796" max="12796" width="20.28515625" style="1024" customWidth="1"/>
    <col min="12797" max="12797" width="12.42578125" style="1024" customWidth="1"/>
    <col min="12798" max="12798" width="13.140625" style="1024" customWidth="1"/>
    <col min="12799" max="12799" width="10.140625" style="1024" customWidth="1"/>
    <col min="12800" max="12800" width="7.7109375" style="1024" customWidth="1"/>
    <col min="12801" max="12801" width="11" style="1024" customWidth="1"/>
    <col min="12802" max="12802" width="14.5703125" style="1024" customWidth="1"/>
    <col min="12803" max="12803" width="7.7109375" style="1024" customWidth="1"/>
    <col min="12804" max="12804" width="11.42578125" style="1024" customWidth="1"/>
    <col min="12805" max="12805" width="10.42578125" style="1024" customWidth="1"/>
    <col min="12806" max="12806" width="5.7109375" style="1024" customWidth="1"/>
    <col min="12807" max="12807" width="7" style="1024" customWidth="1"/>
    <col min="12808" max="12808" width="29.140625" style="1024" customWidth="1"/>
    <col min="12809" max="12811" width="9.140625" style="1024"/>
    <col min="12812" max="12812" width="9.140625" style="1024" customWidth="1"/>
    <col min="12813" max="12813" width="9.140625" style="1024"/>
    <col min="12814" max="12814" width="0" style="1024" hidden="1" customWidth="1"/>
    <col min="12815" max="13048" width="9.140625" style="1024"/>
    <col min="13049" max="13049" width="22.28515625" style="1024" customWidth="1"/>
    <col min="13050" max="13050" width="20" style="1024" customWidth="1"/>
    <col min="13051" max="13051" width="20.42578125" style="1024" customWidth="1"/>
    <col min="13052" max="13052" width="20.28515625" style="1024" customWidth="1"/>
    <col min="13053" max="13053" width="12.42578125" style="1024" customWidth="1"/>
    <col min="13054" max="13054" width="13.140625" style="1024" customWidth="1"/>
    <col min="13055" max="13055" width="10.140625" style="1024" customWidth="1"/>
    <col min="13056" max="13056" width="7.7109375" style="1024" customWidth="1"/>
    <col min="13057" max="13057" width="11" style="1024" customWidth="1"/>
    <col min="13058" max="13058" width="14.5703125" style="1024" customWidth="1"/>
    <col min="13059" max="13059" width="7.7109375" style="1024" customWidth="1"/>
    <col min="13060" max="13060" width="11.42578125" style="1024" customWidth="1"/>
    <col min="13061" max="13061" width="10.42578125" style="1024" customWidth="1"/>
    <col min="13062" max="13062" width="5.7109375" style="1024" customWidth="1"/>
    <col min="13063" max="13063" width="7" style="1024" customWidth="1"/>
    <col min="13064" max="13064" width="29.140625" style="1024" customWidth="1"/>
    <col min="13065" max="13067" width="9.140625" style="1024"/>
    <col min="13068" max="13068" width="9.140625" style="1024" customWidth="1"/>
    <col min="13069" max="13069" width="9.140625" style="1024"/>
    <col min="13070" max="13070" width="0" style="1024" hidden="1" customWidth="1"/>
    <col min="13071" max="13304" width="9.140625" style="1024"/>
    <col min="13305" max="13305" width="22.28515625" style="1024" customWidth="1"/>
    <col min="13306" max="13306" width="20" style="1024" customWidth="1"/>
    <col min="13307" max="13307" width="20.42578125" style="1024" customWidth="1"/>
    <col min="13308" max="13308" width="20.28515625" style="1024" customWidth="1"/>
    <col min="13309" max="13309" width="12.42578125" style="1024" customWidth="1"/>
    <col min="13310" max="13310" width="13.140625" style="1024" customWidth="1"/>
    <col min="13311" max="13311" width="10.140625" style="1024" customWidth="1"/>
    <col min="13312" max="13312" width="7.7109375" style="1024" customWidth="1"/>
    <col min="13313" max="13313" width="11" style="1024" customWidth="1"/>
    <col min="13314" max="13314" width="14.5703125" style="1024" customWidth="1"/>
    <col min="13315" max="13315" width="7.7109375" style="1024" customWidth="1"/>
    <col min="13316" max="13316" width="11.42578125" style="1024" customWidth="1"/>
    <col min="13317" max="13317" width="10.42578125" style="1024" customWidth="1"/>
    <col min="13318" max="13318" width="5.7109375" style="1024" customWidth="1"/>
    <col min="13319" max="13319" width="7" style="1024" customWidth="1"/>
    <col min="13320" max="13320" width="29.140625" style="1024" customWidth="1"/>
    <col min="13321" max="13323" width="9.140625" style="1024"/>
    <col min="13324" max="13324" width="9.140625" style="1024" customWidth="1"/>
    <col min="13325" max="13325" width="9.140625" style="1024"/>
    <col min="13326" max="13326" width="0" style="1024" hidden="1" customWidth="1"/>
    <col min="13327" max="13560" width="9.140625" style="1024"/>
    <col min="13561" max="13561" width="22.28515625" style="1024" customWidth="1"/>
    <col min="13562" max="13562" width="20" style="1024" customWidth="1"/>
    <col min="13563" max="13563" width="20.42578125" style="1024" customWidth="1"/>
    <col min="13564" max="13564" width="20.28515625" style="1024" customWidth="1"/>
    <col min="13565" max="13565" width="12.42578125" style="1024" customWidth="1"/>
    <col min="13566" max="13566" width="13.140625" style="1024" customWidth="1"/>
    <col min="13567" max="13567" width="10.140625" style="1024" customWidth="1"/>
    <col min="13568" max="13568" width="7.7109375" style="1024" customWidth="1"/>
    <col min="13569" max="13569" width="11" style="1024" customWidth="1"/>
    <col min="13570" max="13570" width="14.5703125" style="1024" customWidth="1"/>
    <col min="13571" max="13571" width="7.7109375" style="1024" customWidth="1"/>
    <col min="13572" max="13572" width="11.42578125" style="1024" customWidth="1"/>
    <col min="13573" max="13573" width="10.42578125" style="1024" customWidth="1"/>
    <col min="13574" max="13574" width="5.7109375" style="1024" customWidth="1"/>
    <col min="13575" max="13575" width="7" style="1024" customWidth="1"/>
    <col min="13576" max="13576" width="29.140625" style="1024" customWidth="1"/>
    <col min="13577" max="13579" width="9.140625" style="1024"/>
    <col min="13580" max="13580" width="9.140625" style="1024" customWidth="1"/>
    <col min="13581" max="13581" width="9.140625" style="1024"/>
    <col min="13582" max="13582" width="0" style="1024" hidden="1" customWidth="1"/>
    <col min="13583" max="13816" width="9.140625" style="1024"/>
    <col min="13817" max="13817" width="22.28515625" style="1024" customWidth="1"/>
    <col min="13818" max="13818" width="20" style="1024" customWidth="1"/>
    <col min="13819" max="13819" width="20.42578125" style="1024" customWidth="1"/>
    <col min="13820" max="13820" width="20.28515625" style="1024" customWidth="1"/>
    <col min="13821" max="13821" width="12.42578125" style="1024" customWidth="1"/>
    <col min="13822" max="13822" width="13.140625" style="1024" customWidth="1"/>
    <col min="13823" max="13823" width="10.140625" style="1024" customWidth="1"/>
    <col min="13824" max="13824" width="7.7109375" style="1024" customWidth="1"/>
    <col min="13825" max="13825" width="11" style="1024" customWidth="1"/>
    <col min="13826" max="13826" width="14.5703125" style="1024" customWidth="1"/>
    <col min="13827" max="13827" width="7.7109375" style="1024" customWidth="1"/>
    <col min="13828" max="13828" width="11.42578125" style="1024" customWidth="1"/>
    <col min="13829" max="13829" width="10.42578125" style="1024" customWidth="1"/>
    <col min="13830" max="13830" width="5.7109375" style="1024" customWidth="1"/>
    <col min="13831" max="13831" width="7" style="1024" customWidth="1"/>
    <col min="13832" max="13832" width="29.140625" style="1024" customWidth="1"/>
    <col min="13833" max="13835" width="9.140625" style="1024"/>
    <col min="13836" max="13836" width="9.140625" style="1024" customWidth="1"/>
    <col min="13837" max="13837" width="9.140625" style="1024"/>
    <col min="13838" max="13838" width="0" style="1024" hidden="1" customWidth="1"/>
    <col min="13839" max="14072" width="9.140625" style="1024"/>
    <col min="14073" max="14073" width="22.28515625" style="1024" customWidth="1"/>
    <col min="14074" max="14074" width="20" style="1024" customWidth="1"/>
    <col min="14075" max="14075" width="20.42578125" style="1024" customWidth="1"/>
    <col min="14076" max="14076" width="20.28515625" style="1024" customWidth="1"/>
    <col min="14077" max="14077" width="12.42578125" style="1024" customWidth="1"/>
    <col min="14078" max="14078" width="13.140625" style="1024" customWidth="1"/>
    <col min="14079" max="14079" width="10.140625" style="1024" customWidth="1"/>
    <col min="14080" max="14080" width="7.7109375" style="1024" customWidth="1"/>
    <col min="14081" max="14081" width="11" style="1024" customWidth="1"/>
    <col min="14082" max="14082" width="14.5703125" style="1024" customWidth="1"/>
    <col min="14083" max="14083" width="7.7109375" style="1024" customWidth="1"/>
    <col min="14084" max="14084" width="11.42578125" style="1024" customWidth="1"/>
    <col min="14085" max="14085" width="10.42578125" style="1024" customWidth="1"/>
    <col min="14086" max="14086" width="5.7109375" style="1024" customWidth="1"/>
    <col min="14087" max="14087" width="7" style="1024" customWidth="1"/>
    <col min="14088" max="14088" width="29.140625" style="1024" customWidth="1"/>
    <col min="14089" max="14091" width="9.140625" style="1024"/>
    <col min="14092" max="14092" width="9.140625" style="1024" customWidth="1"/>
    <col min="14093" max="14093" width="9.140625" style="1024"/>
    <col min="14094" max="14094" width="0" style="1024" hidden="1" customWidth="1"/>
    <col min="14095" max="14328" width="9.140625" style="1024"/>
    <col min="14329" max="14329" width="22.28515625" style="1024" customWidth="1"/>
    <col min="14330" max="14330" width="20" style="1024" customWidth="1"/>
    <col min="14331" max="14331" width="20.42578125" style="1024" customWidth="1"/>
    <col min="14332" max="14332" width="20.28515625" style="1024" customWidth="1"/>
    <col min="14333" max="14333" width="12.42578125" style="1024" customWidth="1"/>
    <col min="14334" max="14334" width="13.140625" style="1024" customWidth="1"/>
    <col min="14335" max="14335" width="10.140625" style="1024" customWidth="1"/>
    <col min="14336" max="14336" width="7.7109375" style="1024" customWidth="1"/>
    <col min="14337" max="14337" width="11" style="1024" customWidth="1"/>
    <col min="14338" max="14338" width="14.5703125" style="1024" customWidth="1"/>
    <col min="14339" max="14339" width="7.7109375" style="1024" customWidth="1"/>
    <col min="14340" max="14340" width="11.42578125" style="1024" customWidth="1"/>
    <col min="14341" max="14341" width="10.42578125" style="1024" customWidth="1"/>
    <col min="14342" max="14342" width="5.7109375" style="1024" customWidth="1"/>
    <col min="14343" max="14343" width="7" style="1024" customWidth="1"/>
    <col min="14344" max="14344" width="29.140625" style="1024" customWidth="1"/>
    <col min="14345" max="14347" width="9.140625" style="1024"/>
    <col min="14348" max="14348" width="9.140625" style="1024" customWidth="1"/>
    <col min="14349" max="14349" width="9.140625" style="1024"/>
    <col min="14350" max="14350" width="0" style="1024" hidden="1" customWidth="1"/>
    <col min="14351" max="14584" width="9.140625" style="1024"/>
    <col min="14585" max="14585" width="22.28515625" style="1024" customWidth="1"/>
    <col min="14586" max="14586" width="20" style="1024" customWidth="1"/>
    <col min="14587" max="14587" width="20.42578125" style="1024" customWidth="1"/>
    <col min="14588" max="14588" width="20.28515625" style="1024" customWidth="1"/>
    <col min="14589" max="14589" width="12.42578125" style="1024" customWidth="1"/>
    <col min="14590" max="14590" width="13.140625" style="1024" customWidth="1"/>
    <col min="14591" max="14591" width="10.140625" style="1024" customWidth="1"/>
    <col min="14592" max="14592" width="7.7109375" style="1024" customWidth="1"/>
    <col min="14593" max="14593" width="11" style="1024" customWidth="1"/>
    <col min="14594" max="14594" width="14.5703125" style="1024" customWidth="1"/>
    <col min="14595" max="14595" width="7.7109375" style="1024" customWidth="1"/>
    <col min="14596" max="14596" width="11.42578125" style="1024" customWidth="1"/>
    <col min="14597" max="14597" width="10.42578125" style="1024" customWidth="1"/>
    <col min="14598" max="14598" width="5.7109375" style="1024" customWidth="1"/>
    <col min="14599" max="14599" width="7" style="1024" customWidth="1"/>
    <col min="14600" max="14600" width="29.140625" style="1024" customWidth="1"/>
    <col min="14601" max="14603" width="9.140625" style="1024"/>
    <col min="14604" max="14604" width="9.140625" style="1024" customWidth="1"/>
    <col min="14605" max="14605" width="9.140625" style="1024"/>
    <col min="14606" max="14606" width="0" style="1024" hidden="1" customWidth="1"/>
    <col min="14607" max="14840" width="9.140625" style="1024"/>
    <col min="14841" max="14841" width="22.28515625" style="1024" customWidth="1"/>
    <col min="14842" max="14842" width="20" style="1024" customWidth="1"/>
    <col min="14843" max="14843" width="20.42578125" style="1024" customWidth="1"/>
    <col min="14844" max="14844" width="20.28515625" style="1024" customWidth="1"/>
    <col min="14845" max="14845" width="12.42578125" style="1024" customWidth="1"/>
    <col min="14846" max="14846" width="13.140625" style="1024" customWidth="1"/>
    <col min="14847" max="14847" width="10.140625" style="1024" customWidth="1"/>
    <col min="14848" max="14848" width="7.7109375" style="1024" customWidth="1"/>
    <col min="14849" max="14849" width="11" style="1024" customWidth="1"/>
    <col min="14850" max="14850" width="14.5703125" style="1024" customWidth="1"/>
    <col min="14851" max="14851" width="7.7109375" style="1024" customWidth="1"/>
    <col min="14852" max="14852" width="11.42578125" style="1024" customWidth="1"/>
    <col min="14853" max="14853" width="10.42578125" style="1024" customWidth="1"/>
    <col min="14854" max="14854" width="5.7109375" style="1024" customWidth="1"/>
    <col min="14855" max="14855" width="7" style="1024" customWidth="1"/>
    <col min="14856" max="14856" width="29.140625" style="1024" customWidth="1"/>
    <col min="14857" max="14859" width="9.140625" style="1024"/>
    <col min="14860" max="14860" width="9.140625" style="1024" customWidth="1"/>
    <col min="14861" max="14861" width="9.140625" style="1024"/>
    <col min="14862" max="14862" width="0" style="1024" hidden="1" customWidth="1"/>
    <col min="14863" max="15096" width="9.140625" style="1024"/>
    <col min="15097" max="15097" width="22.28515625" style="1024" customWidth="1"/>
    <col min="15098" max="15098" width="20" style="1024" customWidth="1"/>
    <col min="15099" max="15099" width="20.42578125" style="1024" customWidth="1"/>
    <col min="15100" max="15100" width="20.28515625" style="1024" customWidth="1"/>
    <col min="15101" max="15101" width="12.42578125" style="1024" customWidth="1"/>
    <col min="15102" max="15102" width="13.140625" style="1024" customWidth="1"/>
    <col min="15103" max="15103" width="10.140625" style="1024" customWidth="1"/>
    <col min="15104" max="15104" width="7.7109375" style="1024" customWidth="1"/>
    <col min="15105" max="15105" width="11" style="1024" customWidth="1"/>
    <col min="15106" max="15106" width="14.5703125" style="1024" customWidth="1"/>
    <col min="15107" max="15107" width="7.7109375" style="1024" customWidth="1"/>
    <col min="15108" max="15108" width="11.42578125" style="1024" customWidth="1"/>
    <col min="15109" max="15109" width="10.42578125" style="1024" customWidth="1"/>
    <col min="15110" max="15110" width="5.7109375" style="1024" customWidth="1"/>
    <col min="15111" max="15111" width="7" style="1024" customWidth="1"/>
    <col min="15112" max="15112" width="29.140625" style="1024" customWidth="1"/>
    <col min="15113" max="15115" width="9.140625" style="1024"/>
    <col min="15116" max="15116" width="9.140625" style="1024" customWidth="1"/>
    <col min="15117" max="15117" width="9.140625" style="1024"/>
    <col min="15118" max="15118" width="0" style="1024" hidden="1" customWidth="1"/>
    <col min="15119" max="15352" width="9.140625" style="1024"/>
    <col min="15353" max="15353" width="22.28515625" style="1024" customWidth="1"/>
    <col min="15354" max="15354" width="20" style="1024" customWidth="1"/>
    <col min="15355" max="15355" width="20.42578125" style="1024" customWidth="1"/>
    <col min="15356" max="15356" width="20.28515625" style="1024" customWidth="1"/>
    <col min="15357" max="15357" width="12.42578125" style="1024" customWidth="1"/>
    <col min="15358" max="15358" width="13.140625" style="1024" customWidth="1"/>
    <col min="15359" max="15359" width="10.140625" style="1024" customWidth="1"/>
    <col min="15360" max="15360" width="7.7109375" style="1024" customWidth="1"/>
    <col min="15361" max="15361" width="11" style="1024" customWidth="1"/>
    <col min="15362" max="15362" width="14.5703125" style="1024" customWidth="1"/>
    <col min="15363" max="15363" width="7.7109375" style="1024" customWidth="1"/>
    <col min="15364" max="15364" width="11.42578125" style="1024" customWidth="1"/>
    <col min="15365" max="15365" width="10.42578125" style="1024" customWidth="1"/>
    <col min="15366" max="15366" width="5.7109375" style="1024" customWidth="1"/>
    <col min="15367" max="15367" width="7" style="1024" customWidth="1"/>
    <col min="15368" max="15368" width="29.140625" style="1024" customWidth="1"/>
    <col min="15369" max="15371" width="9.140625" style="1024"/>
    <col min="15372" max="15372" width="9.140625" style="1024" customWidth="1"/>
    <col min="15373" max="15373" width="9.140625" style="1024"/>
    <col min="15374" max="15374" width="0" style="1024" hidden="1" customWidth="1"/>
    <col min="15375" max="15608" width="9.140625" style="1024"/>
    <col min="15609" max="15609" width="22.28515625" style="1024" customWidth="1"/>
    <col min="15610" max="15610" width="20" style="1024" customWidth="1"/>
    <col min="15611" max="15611" width="20.42578125" style="1024" customWidth="1"/>
    <col min="15612" max="15612" width="20.28515625" style="1024" customWidth="1"/>
    <col min="15613" max="15613" width="12.42578125" style="1024" customWidth="1"/>
    <col min="15614" max="15614" width="13.140625" style="1024" customWidth="1"/>
    <col min="15615" max="15615" width="10.140625" style="1024" customWidth="1"/>
    <col min="15616" max="15616" width="7.7109375" style="1024" customWidth="1"/>
    <col min="15617" max="15617" width="11" style="1024" customWidth="1"/>
    <col min="15618" max="15618" width="14.5703125" style="1024" customWidth="1"/>
    <col min="15619" max="15619" width="7.7109375" style="1024" customWidth="1"/>
    <col min="15620" max="15620" width="11.42578125" style="1024" customWidth="1"/>
    <col min="15621" max="15621" width="10.42578125" style="1024" customWidth="1"/>
    <col min="15622" max="15622" width="5.7109375" style="1024" customWidth="1"/>
    <col min="15623" max="15623" width="7" style="1024" customWidth="1"/>
    <col min="15624" max="15624" width="29.140625" style="1024" customWidth="1"/>
    <col min="15625" max="15627" width="9.140625" style="1024"/>
    <col min="15628" max="15628" width="9.140625" style="1024" customWidth="1"/>
    <col min="15629" max="15629" width="9.140625" style="1024"/>
    <col min="15630" max="15630" width="0" style="1024" hidden="1" customWidth="1"/>
    <col min="15631" max="15864" width="9.140625" style="1024"/>
    <col min="15865" max="15865" width="22.28515625" style="1024" customWidth="1"/>
    <col min="15866" max="15866" width="20" style="1024" customWidth="1"/>
    <col min="15867" max="15867" width="20.42578125" style="1024" customWidth="1"/>
    <col min="15868" max="15868" width="20.28515625" style="1024" customWidth="1"/>
    <col min="15869" max="15869" width="12.42578125" style="1024" customWidth="1"/>
    <col min="15870" max="15870" width="13.140625" style="1024" customWidth="1"/>
    <col min="15871" max="15871" width="10.140625" style="1024" customWidth="1"/>
    <col min="15872" max="15872" width="7.7109375" style="1024" customWidth="1"/>
    <col min="15873" max="15873" width="11" style="1024" customWidth="1"/>
    <col min="15874" max="15874" width="14.5703125" style="1024" customWidth="1"/>
    <col min="15875" max="15875" width="7.7109375" style="1024" customWidth="1"/>
    <col min="15876" max="15876" width="11.42578125" style="1024" customWidth="1"/>
    <col min="15877" max="15877" width="10.42578125" style="1024" customWidth="1"/>
    <col min="15878" max="15878" width="5.7109375" style="1024" customWidth="1"/>
    <col min="15879" max="15879" width="7" style="1024" customWidth="1"/>
    <col min="15880" max="15880" width="29.140625" style="1024" customWidth="1"/>
    <col min="15881" max="15883" width="9.140625" style="1024"/>
    <col min="15884" max="15884" width="9.140625" style="1024" customWidth="1"/>
    <col min="15885" max="15885" width="9.140625" style="1024"/>
    <col min="15886" max="15886" width="0" style="1024" hidden="1" customWidth="1"/>
    <col min="15887" max="16120" width="9.140625" style="1024"/>
    <col min="16121" max="16121" width="22.28515625" style="1024" customWidth="1"/>
    <col min="16122" max="16122" width="20" style="1024" customWidth="1"/>
    <col min="16123" max="16123" width="20.42578125" style="1024" customWidth="1"/>
    <col min="16124" max="16124" width="20.28515625" style="1024" customWidth="1"/>
    <col min="16125" max="16125" width="12.42578125" style="1024" customWidth="1"/>
    <col min="16126" max="16126" width="13.140625" style="1024" customWidth="1"/>
    <col min="16127" max="16127" width="10.140625" style="1024" customWidth="1"/>
    <col min="16128" max="16128" width="7.7109375" style="1024" customWidth="1"/>
    <col min="16129" max="16129" width="11" style="1024" customWidth="1"/>
    <col min="16130" max="16130" width="14.5703125" style="1024" customWidth="1"/>
    <col min="16131" max="16131" width="7.7109375" style="1024" customWidth="1"/>
    <col min="16132" max="16132" width="11.42578125" style="1024" customWidth="1"/>
    <col min="16133" max="16133" width="10.42578125" style="1024" customWidth="1"/>
    <col min="16134" max="16134" width="5.7109375" style="1024" customWidth="1"/>
    <col min="16135" max="16135" width="7" style="1024" customWidth="1"/>
    <col min="16136" max="16136" width="29.140625" style="1024" customWidth="1"/>
    <col min="16137" max="16139" width="9.140625" style="1024"/>
    <col min="16140" max="16140" width="9.140625" style="1024" customWidth="1"/>
    <col min="16141" max="16141" width="9.140625" style="1024"/>
    <col min="16142" max="16142" width="0" style="1024" hidden="1" customWidth="1"/>
    <col min="16143" max="16384" width="9.140625" style="1024"/>
  </cols>
  <sheetData>
    <row r="1" spans="1:14" ht="18.75">
      <c r="A1" s="1880" t="s">
        <v>3609</v>
      </c>
      <c r="B1" s="1092" t="s">
        <v>3933</v>
      </c>
      <c r="C1" s="1031"/>
      <c r="D1" s="897"/>
      <c r="E1" s="897"/>
      <c r="F1" s="1007"/>
      <c r="G1" s="897"/>
      <c r="H1" s="897"/>
      <c r="I1" s="897"/>
      <c r="J1" s="897"/>
      <c r="K1" s="896"/>
      <c r="L1" s="896"/>
      <c r="M1" s="1093" t="s">
        <v>2595</v>
      </c>
      <c r="N1" s="1093" t="s">
        <v>3610</v>
      </c>
    </row>
    <row r="2" spans="1:14">
      <c r="B2" s="1034" t="s">
        <v>3198</v>
      </c>
      <c r="C2" s="1035">
        <f>'Basic Info'!C29:D29</f>
        <v>0</v>
      </c>
      <c r="D2" s="896"/>
      <c r="E2" s="896"/>
      <c r="F2" s="1007"/>
      <c r="G2" s="896"/>
      <c r="H2" s="896"/>
      <c r="I2" s="896"/>
      <c r="J2" s="896"/>
      <c r="K2" s="896"/>
      <c r="L2" s="896"/>
      <c r="M2" s="1094"/>
      <c r="N2" s="1095"/>
    </row>
    <row r="3" spans="1:14">
      <c r="B3" s="896"/>
      <c r="C3" s="896"/>
      <c r="D3" s="896"/>
      <c r="E3" s="896"/>
      <c r="F3" s="1007"/>
      <c r="G3" s="896"/>
      <c r="H3" s="896"/>
      <c r="I3" s="896"/>
      <c r="J3" s="896"/>
      <c r="K3" s="896"/>
      <c r="L3" s="896"/>
      <c r="M3" s="1094"/>
      <c r="N3" s="1095"/>
    </row>
    <row r="4" spans="1:14">
      <c r="A4" s="1062"/>
      <c r="B4" s="896"/>
      <c r="C4" s="896"/>
      <c r="D4" s="896"/>
      <c r="E4" s="896"/>
      <c r="F4" s="896"/>
      <c r="G4" s="896"/>
      <c r="H4" s="896"/>
      <c r="I4" s="896"/>
      <c r="J4" s="896"/>
      <c r="K4" s="896"/>
      <c r="L4" s="896"/>
      <c r="M4" s="1094"/>
      <c r="N4" s="1095"/>
    </row>
    <row r="5" spans="1:14">
      <c r="B5" s="1036" t="s">
        <v>3981</v>
      </c>
      <c r="C5" s="896"/>
      <c r="D5" s="896"/>
      <c r="E5" s="896"/>
      <c r="F5" s="897"/>
      <c r="G5" s="897"/>
      <c r="H5" s="896"/>
      <c r="I5" s="896"/>
      <c r="J5" s="896"/>
      <c r="K5" s="896"/>
      <c r="L5" s="896"/>
      <c r="M5" s="896"/>
      <c r="N5" s="896"/>
    </row>
    <row r="6" spans="1:14">
      <c r="A6" s="1027"/>
      <c r="B6" s="2394" t="s">
        <v>3970</v>
      </c>
      <c r="C6" s="2394"/>
      <c r="D6" s="2394"/>
      <c r="E6" s="2394"/>
      <c r="F6" s="2394"/>
      <c r="G6" s="2394"/>
      <c r="H6" s="2394"/>
      <c r="I6" s="2394"/>
      <c r="J6" s="2394"/>
      <c r="K6" s="2394"/>
      <c r="L6" s="2394"/>
      <c r="M6" s="2394"/>
      <c r="N6" s="2394"/>
    </row>
    <row r="7" spans="1:14">
      <c r="A7" s="1027"/>
      <c r="B7" s="2395" t="s">
        <v>3644</v>
      </c>
      <c r="C7" s="2395"/>
      <c r="D7" s="2395"/>
      <c r="E7" s="2395"/>
      <c r="F7" s="2395"/>
      <c r="G7" s="2395"/>
      <c r="H7" s="2395"/>
      <c r="I7" s="2395"/>
      <c r="J7" s="2395"/>
      <c r="K7" s="2395"/>
      <c r="L7" s="2395"/>
      <c r="M7" s="2395"/>
      <c r="N7" s="2395"/>
    </row>
    <row r="8" spans="1:14">
      <c r="A8" s="1027"/>
      <c r="B8" s="2394" t="s">
        <v>3966</v>
      </c>
      <c r="C8" s="2394"/>
      <c r="D8" s="2394"/>
      <c r="E8" s="2394"/>
      <c r="F8" s="2394"/>
      <c r="G8" s="2394"/>
      <c r="H8" s="2394"/>
      <c r="I8" s="2394"/>
      <c r="J8" s="2394"/>
      <c r="K8" s="2394"/>
      <c r="L8" s="2394"/>
      <c r="M8" s="2394"/>
      <c r="N8" s="2394"/>
    </row>
    <row r="9" spans="1:14" ht="24" customHeight="1">
      <c r="A9" s="1027"/>
      <c r="B9" s="2394" t="s">
        <v>3934</v>
      </c>
      <c r="C9" s="2394"/>
      <c r="D9" s="2394"/>
      <c r="E9" s="2394"/>
      <c r="F9" s="2394"/>
      <c r="G9" s="2394"/>
      <c r="H9" s="2394"/>
      <c r="I9" s="2394"/>
      <c r="J9" s="2394"/>
      <c r="K9" s="2394"/>
      <c r="L9" s="2394"/>
      <c r="M9" s="2394"/>
      <c r="N9" s="2394"/>
    </row>
    <row r="10" spans="1:14" ht="23.25" customHeight="1">
      <c r="A10" s="1027"/>
      <c r="B10" s="2394" t="s">
        <v>4005</v>
      </c>
      <c r="C10" s="2394"/>
      <c r="D10" s="2394"/>
      <c r="E10" s="2394"/>
      <c r="F10" s="2394"/>
      <c r="G10" s="2394"/>
      <c r="H10" s="2394"/>
      <c r="I10" s="2394"/>
      <c r="J10" s="2394"/>
      <c r="K10" s="2394"/>
      <c r="L10" s="2394"/>
      <c r="M10" s="2394"/>
      <c r="N10" s="2394"/>
    </row>
    <row r="11" spans="1:14">
      <c r="A11" s="1027"/>
      <c r="B11" s="897"/>
      <c r="C11" s="897"/>
      <c r="D11" s="897"/>
      <c r="E11" s="897"/>
      <c r="F11" s="897"/>
      <c r="G11" s="897"/>
      <c r="H11" s="896"/>
      <c r="I11" s="896"/>
      <c r="J11" s="897"/>
      <c r="K11" s="896"/>
      <c r="L11" s="896"/>
      <c r="M11" s="913"/>
      <c r="N11" s="913"/>
    </row>
    <row r="12" spans="1:14">
      <c r="A12" s="1027"/>
      <c r="B12" s="1036" t="s">
        <v>3927</v>
      </c>
      <c r="C12" s="897"/>
      <c r="D12" s="897"/>
      <c r="E12" s="897"/>
      <c r="F12" s="897"/>
      <c r="G12" s="897"/>
      <c r="H12" s="896"/>
      <c r="I12" s="896"/>
      <c r="J12" s="896"/>
      <c r="K12" s="896"/>
      <c r="L12" s="896"/>
      <c r="M12" s="897"/>
      <c r="N12" s="897"/>
    </row>
    <row r="13" spans="1:14">
      <c r="A13" s="1027"/>
      <c r="B13" s="913" t="s">
        <v>3646</v>
      </c>
      <c r="C13" s="897"/>
      <c r="D13" s="897"/>
      <c r="E13" s="897"/>
      <c r="F13" s="897"/>
      <c r="G13" s="897"/>
      <c r="H13" s="896"/>
      <c r="I13" s="896"/>
      <c r="J13" s="896"/>
      <c r="K13" s="896"/>
      <c r="L13" s="896"/>
      <c r="M13" s="897"/>
      <c r="N13" s="897"/>
    </row>
    <row r="14" spans="1:14">
      <c r="A14" s="1027"/>
      <c r="B14" s="936" t="s">
        <v>3647</v>
      </c>
      <c r="C14" s="1010"/>
      <c r="D14" s="1039"/>
      <c r="E14" s="897"/>
      <c r="F14" s="897"/>
      <c r="G14" s="897"/>
      <c r="H14" s="896"/>
      <c r="I14" s="896"/>
      <c r="J14" s="896"/>
      <c r="K14" s="896"/>
      <c r="L14" s="896"/>
      <c r="M14" s="897"/>
      <c r="N14" s="897"/>
    </row>
    <row r="15" spans="1:14">
      <c r="A15" s="1027"/>
      <c r="B15" s="897"/>
      <c r="C15" s="897"/>
      <c r="D15" s="897"/>
      <c r="E15" s="897"/>
      <c r="F15" s="897"/>
      <c r="G15" s="897"/>
      <c r="H15" s="896"/>
      <c r="I15" s="896"/>
      <c r="J15" s="896"/>
      <c r="K15" s="896"/>
      <c r="L15" s="896"/>
      <c r="M15" s="897"/>
      <c r="N15" s="897"/>
    </row>
    <row r="16" spans="1:14">
      <c r="A16" s="1027"/>
      <c r="B16" s="1036" t="s">
        <v>3982</v>
      </c>
      <c r="C16" s="897"/>
      <c r="D16" s="897"/>
      <c r="E16" s="897"/>
      <c r="F16" s="897"/>
      <c r="G16" s="897"/>
      <c r="H16" s="896"/>
      <c r="I16" s="896"/>
      <c r="J16" s="896"/>
      <c r="K16" s="896"/>
      <c r="L16" s="896"/>
      <c r="M16" s="897"/>
      <c r="N16" s="897"/>
    </row>
    <row r="17" spans="1:15">
      <c r="A17" s="1027"/>
      <c r="B17" s="897" t="s">
        <v>4477</v>
      </c>
      <c r="C17" s="896"/>
      <c r="D17" s="896"/>
      <c r="E17" s="896"/>
      <c r="F17" s="897"/>
      <c r="G17" s="897"/>
      <c r="H17" s="896"/>
      <c r="I17" s="896"/>
      <c r="J17" s="896"/>
      <c r="K17" s="896"/>
      <c r="L17" s="896"/>
      <c r="M17" s="897"/>
      <c r="N17" s="897"/>
    </row>
    <row r="18" spans="1:15" ht="12" customHeight="1">
      <c r="A18" s="1027"/>
      <c r="B18" s="2394" t="s">
        <v>3935</v>
      </c>
      <c r="C18" s="2394"/>
      <c r="D18" s="2394"/>
      <c r="E18" s="2394"/>
      <c r="F18" s="1038"/>
      <c r="G18" s="1038"/>
      <c r="H18" s="896"/>
      <c r="I18" s="896"/>
      <c r="J18" s="896"/>
      <c r="K18" s="896"/>
      <c r="L18" s="896"/>
      <c r="M18" s="897"/>
      <c r="N18" s="897"/>
    </row>
    <row r="19" spans="1:15" ht="12" customHeight="1">
      <c r="A19" s="1027"/>
      <c r="B19" s="2395" t="s">
        <v>3936</v>
      </c>
      <c r="C19" s="2395"/>
      <c r="D19" s="2395"/>
      <c r="E19" s="2395"/>
      <c r="F19" s="1038"/>
      <c r="G19" s="1038"/>
      <c r="H19" s="896"/>
      <c r="I19" s="896"/>
      <c r="J19" s="896"/>
      <c r="K19" s="896"/>
      <c r="L19" s="896"/>
      <c r="M19" s="897"/>
      <c r="N19" s="897"/>
    </row>
    <row r="20" spans="1:15">
      <c r="A20" s="1027"/>
      <c r="B20" s="1040" t="s">
        <v>3665</v>
      </c>
      <c r="C20" s="1038"/>
      <c r="D20" s="897"/>
      <c r="E20" s="897"/>
      <c r="F20" s="897"/>
      <c r="G20" s="897"/>
      <c r="H20" s="896"/>
      <c r="I20" s="896"/>
      <c r="J20" s="896"/>
      <c r="K20" s="896"/>
      <c r="L20" s="896"/>
      <c r="M20" s="897"/>
      <c r="N20" s="897"/>
    </row>
    <row r="21" spans="1:15" ht="12" customHeight="1">
      <c r="A21" s="1027"/>
      <c r="B21" s="1061" t="s">
        <v>3965</v>
      </c>
      <c r="C21" s="1039"/>
      <c r="D21" s="1039"/>
      <c r="E21" s="897"/>
      <c r="F21" s="1060"/>
      <c r="G21" s="1060"/>
      <c r="H21" s="896"/>
      <c r="I21" s="896"/>
      <c r="J21" s="896"/>
      <c r="K21" s="896"/>
      <c r="L21" s="896"/>
      <c r="M21" s="897"/>
      <c r="N21" s="897"/>
    </row>
    <row r="22" spans="1:15" ht="12" customHeight="1">
      <c r="A22" s="1027"/>
      <c r="B22" s="1061" t="s">
        <v>3964</v>
      </c>
      <c r="C22" s="1039"/>
      <c r="D22" s="1039"/>
      <c r="E22" s="897"/>
      <c r="F22" s="1060"/>
      <c r="G22" s="1060"/>
      <c r="H22" s="896"/>
      <c r="I22" s="896"/>
      <c r="J22" s="896"/>
      <c r="K22" s="896"/>
      <c r="L22" s="896"/>
      <c r="M22" s="897"/>
      <c r="N22" s="897"/>
    </row>
    <row r="23" spans="1:15" ht="12" customHeight="1">
      <c r="A23" s="1027"/>
      <c r="B23" s="1061"/>
      <c r="C23" s="1039"/>
      <c r="D23" s="1039"/>
      <c r="E23" s="897"/>
      <c r="F23" s="1060"/>
      <c r="G23" s="1060"/>
      <c r="H23" s="896"/>
      <c r="I23" s="896"/>
      <c r="J23" s="896"/>
      <c r="K23" s="896"/>
      <c r="L23" s="896"/>
      <c r="M23" s="897"/>
      <c r="N23" s="897"/>
    </row>
    <row r="24" spans="1:15" ht="51.75">
      <c r="B24" s="1078" t="s">
        <v>2292</v>
      </c>
      <c r="C24" s="1090" t="s">
        <v>3648</v>
      </c>
      <c r="D24" s="1090" t="s">
        <v>3624</v>
      </c>
      <c r="E24" s="1090" t="s">
        <v>3623</v>
      </c>
      <c r="F24" s="1091" t="s">
        <v>3621</v>
      </c>
      <c r="G24" s="1091" t="s">
        <v>3622</v>
      </c>
      <c r="H24" s="1091" t="s">
        <v>3937</v>
      </c>
      <c r="I24" s="1090" t="s">
        <v>3938</v>
      </c>
      <c r="J24" s="1090" t="s">
        <v>3649</v>
      </c>
      <c r="K24" s="1090" t="s">
        <v>3650</v>
      </c>
      <c r="L24" s="1080" t="s">
        <v>3608</v>
      </c>
      <c r="M24" s="1083" t="s">
        <v>3627</v>
      </c>
      <c r="N24" s="1091" t="s">
        <v>3967</v>
      </c>
      <c r="O24" s="1064"/>
    </row>
    <row r="25" spans="1:15">
      <c r="B25" s="1071"/>
      <c r="C25" s="1071"/>
      <c r="D25" s="1072"/>
      <c r="E25" s="1072"/>
      <c r="F25" s="1072"/>
      <c r="G25" s="1071"/>
      <c r="H25" s="1072"/>
      <c r="I25" s="1072"/>
      <c r="J25" s="1073"/>
      <c r="K25" s="1074"/>
      <c r="L25" s="1072"/>
      <c r="M25" s="1075"/>
      <c r="N25" s="1076"/>
    </row>
    <row r="26" spans="1:15">
      <c r="B26" s="1072"/>
      <c r="C26" s="1071"/>
      <c r="D26" s="1072"/>
      <c r="E26" s="1072"/>
      <c r="F26" s="1072"/>
      <c r="G26" s="1071"/>
      <c r="H26" s="1072"/>
      <c r="I26" s="1072"/>
      <c r="J26" s="1073"/>
      <c r="K26" s="1074"/>
      <c r="L26" s="1072"/>
      <c r="M26" s="1075"/>
      <c r="N26" s="1076"/>
    </row>
    <row r="27" spans="1:15">
      <c r="B27" s="1072"/>
      <c r="C27" s="1071"/>
      <c r="D27" s="1072"/>
      <c r="E27" s="1072"/>
      <c r="F27" s="1072"/>
      <c r="G27" s="1071"/>
      <c r="H27" s="1077"/>
      <c r="I27" s="1072"/>
      <c r="J27" s="1073"/>
      <c r="K27" s="1074"/>
      <c r="L27" s="1072"/>
      <c r="M27" s="1075"/>
      <c r="N27" s="1076"/>
    </row>
    <row r="28" spans="1:15">
      <c r="B28" s="1072"/>
      <c r="C28" s="1071"/>
      <c r="D28" s="1072"/>
      <c r="E28" s="1072"/>
      <c r="F28" s="1072"/>
      <c r="G28" s="1071"/>
      <c r="H28" s="1072"/>
      <c r="I28" s="1072"/>
      <c r="J28" s="1072"/>
      <c r="K28" s="1074"/>
      <c r="L28" s="1072"/>
      <c r="M28" s="1075"/>
      <c r="N28" s="1076"/>
    </row>
    <row r="29" spans="1:15">
      <c r="B29" s="1072"/>
      <c r="C29" s="1071"/>
      <c r="D29" s="1072"/>
      <c r="E29" s="1072"/>
      <c r="F29" s="1072"/>
      <c r="G29" s="1071"/>
      <c r="H29" s="1072"/>
      <c r="I29" s="1072"/>
      <c r="J29" s="1072"/>
      <c r="K29" s="1074"/>
      <c r="L29" s="1072"/>
      <c r="M29" s="1075"/>
      <c r="N29" s="1076"/>
    </row>
    <row r="30" spans="1:15">
      <c r="B30" s="1071"/>
      <c r="C30" s="1071"/>
      <c r="D30" s="1072"/>
      <c r="E30" s="1072"/>
      <c r="F30" s="1072"/>
      <c r="G30" s="1071"/>
      <c r="H30" s="1072"/>
      <c r="I30" s="1072"/>
      <c r="J30" s="1072"/>
      <c r="K30" s="1074"/>
      <c r="L30" s="1072"/>
      <c r="M30" s="1075"/>
      <c r="N30" s="1076"/>
    </row>
    <row r="31" spans="1:15">
      <c r="B31" s="1072"/>
      <c r="C31" s="1071"/>
      <c r="D31" s="1072"/>
      <c r="E31" s="1072"/>
      <c r="F31" s="1072"/>
      <c r="G31" s="1071"/>
      <c r="H31" s="1072"/>
      <c r="I31" s="1072"/>
      <c r="J31" s="1072"/>
      <c r="K31" s="1074"/>
      <c r="L31" s="1072"/>
      <c r="M31" s="1075"/>
      <c r="N31" s="1076"/>
    </row>
    <row r="32" spans="1:15">
      <c r="B32" s="1072"/>
      <c r="C32" s="1071"/>
      <c r="D32" s="1072"/>
      <c r="E32" s="1072"/>
      <c r="F32" s="1072"/>
      <c r="G32" s="1071"/>
      <c r="H32" s="1072"/>
      <c r="I32" s="1072"/>
      <c r="J32" s="1072"/>
      <c r="K32" s="1074"/>
      <c r="L32" s="1072"/>
      <c r="M32" s="1075"/>
      <c r="N32" s="1076"/>
    </row>
    <row r="33" spans="1:14">
      <c r="B33" s="1072"/>
      <c r="C33" s="1071"/>
      <c r="D33" s="1072"/>
      <c r="E33" s="1072"/>
      <c r="F33" s="1072"/>
      <c r="G33" s="1071"/>
      <c r="H33" s="1072"/>
      <c r="I33" s="1072"/>
      <c r="J33" s="1072"/>
      <c r="K33" s="1074"/>
      <c r="L33" s="1072"/>
      <c r="M33" s="1075"/>
      <c r="N33" s="1076"/>
    </row>
    <row r="34" spans="1:14">
      <c r="B34" s="1072"/>
      <c r="C34" s="1071"/>
      <c r="D34" s="1072"/>
      <c r="E34" s="1072"/>
      <c r="F34" s="1072"/>
      <c r="G34" s="1071"/>
      <c r="H34" s="1072"/>
      <c r="I34" s="1072"/>
      <c r="J34" s="1072"/>
      <c r="K34" s="1074"/>
      <c r="L34" s="1072"/>
      <c r="M34" s="1075"/>
      <c r="N34" s="1076"/>
    </row>
    <row r="35" spans="1:14">
      <c r="B35" s="1072"/>
      <c r="C35" s="1071"/>
      <c r="D35" s="1072"/>
      <c r="E35" s="1072"/>
      <c r="F35" s="1072"/>
      <c r="G35" s="1071"/>
      <c r="H35" s="1072"/>
      <c r="I35" s="1072"/>
      <c r="J35" s="1072"/>
      <c r="K35" s="1074"/>
      <c r="L35" s="1072"/>
      <c r="M35" s="1075"/>
      <c r="N35" s="1076"/>
    </row>
    <row r="36" spans="1:14">
      <c r="B36" s="1071"/>
      <c r="C36" s="1071"/>
      <c r="D36" s="1072"/>
      <c r="E36" s="1072"/>
      <c r="F36" s="1072"/>
      <c r="G36" s="1071"/>
      <c r="H36" s="1072"/>
      <c r="I36" s="1072"/>
      <c r="J36" s="1072"/>
      <c r="K36" s="1074"/>
      <c r="L36" s="1072"/>
      <c r="M36" s="1075"/>
      <c r="N36" s="1076"/>
    </row>
    <row r="37" spans="1:14">
      <c r="B37" s="1072"/>
      <c r="C37" s="1071"/>
      <c r="D37" s="1072"/>
      <c r="E37" s="1072"/>
      <c r="F37" s="1072"/>
      <c r="G37" s="1071"/>
      <c r="H37" s="1072"/>
      <c r="I37" s="1072"/>
      <c r="J37" s="1072"/>
      <c r="K37" s="1074"/>
      <c r="L37" s="1072"/>
      <c r="M37" s="1075"/>
      <c r="N37" s="1076"/>
    </row>
    <row r="38" spans="1:14">
      <c r="B38" s="1072"/>
      <c r="C38" s="1071"/>
      <c r="D38" s="1072"/>
      <c r="E38" s="1072"/>
      <c r="F38" s="1072"/>
      <c r="G38" s="1071"/>
      <c r="H38" s="1072"/>
      <c r="I38" s="1072"/>
      <c r="J38" s="1072"/>
      <c r="K38" s="1074"/>
      <c r="L38" s="1072"/>
      <c r="M38" s="1075"/>
      <c r="N38" s="1076"/>
    </row>
    <row r="39" spans="1:14">
      <c r="B39" s="1072"/>
      <c r="C39" s="1071"/>
      <c r="D39" s="1072"/>
      <c r="E39" s="1072"/>
      <c r="F39" s="1072"/>
      <c r="G39" s="1071"/>
      <c r="H39" s="1072"/>
      <c r="I39" s="1072"/>
      <c r="J39" s="1072"/>
      <c r="K39" s="1074"/>
      <c r="L39" s="1072"/>
      <c r="M39" s="1075"/>
      <c r="N39" s="1076"/>
    </row>
    <row r="40" spans="1:14">
      <c r="B40" s="1072"/>
      <c r="C40" s="1071"/>
      <c r="D40" s="1072"/>
      <c r="E40" s="1072"/>
      <c r="F40" s="1072"/>
      <c r="G40" s="1071"/>
      <c r="H40" s="1072"/>
      <c r="I40" s="1072"/>
      <c r="J40" s="1072"/>
      <c r="K40" s="1074"/>
      <c r="L40" s="1072"/>
      <c r="M40" s="1075"/>
      <c r="N40" s="1076"/>
    </row>
    <row r="41" spans="1:14">
      <c r="A41" s="1027"/>
      <c r="B41" s="897"/>
      <c r="C41" s="897"/>
      <c r="D41" s="897"/>
      <c r="E41" s="897"/>
      <c r="F41" s="897"/>
      <c r="G41" s="897"/>
      <c r="H41" s="897"/>
      <c r="I41" s="897"/>
      <c r="J41" s="896"/>
      <c r="K41" s="896"/>
      <c r="L41" s="896"/>
      <c r="M41" s="896"/>
      <c r="N41" s="896"/>
    </row>
    <row r="42" spans="1:14">
      <c r="B42" s="1068"/>
      <c r="C42" s="1069"/>
      <c r="D42" s="1069"/>
      <c r="E42" s="1069"/>
      <c r="F42" s="1058"/>
      <c r="G42" s="896"/>
      <c r="H42" s="1070"/>
      <c r="I42" s="896"/>
      <c r="J42" s="896"/>
      <c r="K42" s="896"/>
      <c r="L42" s="896"/>
      <c r="M42" s="896"/>
      <c r="N42" s="896"/>
    </row>
    <row r="43" spans="1:14" s="1028" customFormat="1" ht="51.75">
      <c r="B43" s="2388"/>
      <c r="C43" s="2389"/>
      <c r="D43" s="2390"/>
      <c r="E43" s="2410" t="s">
        <v>3968</v>
      </c>
      <c r="F43" s="2411"/>
      <c r="G43" s="2411"/>
      <c r="H43" s="2412"/>
      <c r="I43" s="2410" t="s">
        <v>3619</v>
      </c>
      <c r="J43" s="2411"/>
      <c r="K43" s="2426" t="s">
        <v>3620</v>
      </c>
      <c r="L43" s="2426"/>
      <c r="M43" s="1089" t="s">
        <v>3627</v>
      </c>
      <c r="N43" s="910" t="s">
        <v>3967</v>
      </c>
    </row>
    <row r="44" spans="1:14" ht="90.75" customHeight="1">
      <c r="A44" s="1028"/>
      <c r="B44" s="2407" t="s">
        <v>3940</v>
      </c>
      <c r="C44" s="2408"/>
      <c r="D44" s="2409"/>
      <c r="E44" s="2407" t="s">
        <v>4506</v>
      </c>
      <c r="F44" s="2408"/>
      <c r="G44" s="2408"/>
      <c r="H44" s="2409"/>
      <c r="I44" s="2407" t="s">
        <v>3651</v>
      </c>
      <c r="J44" s="2408"/>
      <c r="K44" s="2414" t="s">
        <v>3651</v>
      </c>
      <c r="L44" s="2425"/>
      <c r="M44" s="1097"/>
      <c r="N44" s="1097"/>
    </row>
    <row r="45" spans="1:14" s="1026" customFormat="1">
      <c r="B45" s="2399" t="s">
        <v>3219</v>
      </c>
      <c r="C45" s="2399"/>
      <c r="D45" s="2399"/>
      <c r="E45" s="2399"/>
      <c r="F45" s="2399"/>
      <c r="G45" s="2399"/>
      <c r="H45" s="2399"/>
      <c r="I45" s="2399"/>
      <c r="J45" s="2399"/>
      <c r="K45" s="2399"/>
      <c r="L45" s="2399"/>
      <c r="M45" s="2399"/>
      <c r="N45" s="2399"/>
    </row>
    <row r="46" spans="1:14" ht="27" customHeight="1">
      <c r="A46" s="2424"/>
      <c r="B46" s="2414" t="s">
        <v>3941</v>
      </c>
      <c r="C46" s="2395"/>
      <c r="D46" s="2415"/>
      <c r="E46" s="2414" t="s">
        <v>3598</v>
      </c>
      <c r="F46" s="2395"/>
      <c r="G46" s="2395"/>
      <c r="H46" s="2415"/>
      <c r="I46" s="2414" t="str">
        <f>ERMs!C35</f>
        <v>Primary system:   (0% AFUE); Tertiary System:   (0% Et)</v>
      </c>
      <c r="J46" s="2395"/>
      <c r="K46" s="2427" t="str">
        <f>ERMs!D35</f>
        <v>Baseline: 0% AFUE
Proposed (Primary): 0% AFUE
Proposed (Tertiary): 0% Et</v>
      </c>
      <c r="L46" s="2381"/>
      <c r="M46" s="1098"/>
      <c r="N46" s="1016"/>
    </row>
    <row r="47" spans="1:14" ht="66" customHeight="1">
      <c r="A47" s="2424"/>
      <c r="B47" s="2381"/>
      <c r="C47" s="2382"/>
      <c r="D47" s="2416"/>
      <c r="E47" s="2398" t="s">
        <v>4509</v>
      </c>
      <c r="F47" s="2398"/>
      <c r="G47" s="2398"/>
      <c r="H47" s="2398"/>
      <c r="I47" s="2381"/>
      <c r="J47" s="2382"/>
      <c r="K47" s="2398"/>
      <c r="L47" s="2391"/>
      <c r="M47" s="1823"/>
      <c r="N47" s="1018"/>
    </row>
    <row r="48" spans="1:14" ht="87.75" customHeight="1">
      <c r="A48" s="1065"/>
      <c r="B48" s="2391" t="s">
        <v>3942</v>
      </c>
      <c r="C48" s="2400"/>
      <c r="D48" s="2417"/>
      <c r="E48" s="2391" t="s">
        <v>3939</v>
      </c>
      <c r="F48" s="2400"/>
      <c r="G48" s="2400"/>
      <c r="H48" s="2417"/>
      <c r="I48" s="2391" t="str">
        <f>ERMs!C39</f>
        <v>N/A</v>
      </c>
      <c r="J48" s="2400"/>
      <c r="K48" s="2398" t="str">
        <f>ERMs!D39</f>
        <v>N/A</v>
      </c>
      <c r="L48" s="2391"/>
      <c r="M48" s="1018"/>
      <c r="N48" s="1018"/>
    </row>
    <row r="49" spans="1:14" ht="53.25" customHeight="1">
      <c r="A49" s="1066"/>
      <c r="B49" s="2391" t="s">
        <v>3224</v>
      </c>
      <c r="C49" s="2400"/>
      <c r="D49" s="2417"/>
      <c r="E49" s="2391" t="s">
        <v>2677</v>
      </c>
      <c r="F49" s="2400"/>
      <c r="G49" s="2400"/>
      <c r="H49" s="2417"/>
      <c r="I49" s="2391" t="str">
        <f>ERMs!C40</f>
        <v xml:space="preserve"> kW/CFM</v>
      </c>
      <c r="J49" s="2400"/>
      <c r="K49" s="2398" t="str">
        <f>ERMs!D40</f>
        <v>Baseline: 0.0003 kW/CFM
Proposed:  kW/CFM</v>
      </c>
      <c r="L49" s="2391"/>
      <c r="M49" s="1018"/>
      <c r="N49" s="1018"/>
    </row>
    <row r="50" spans="1:14" ht="96" customHeight="1">
      <c r="A50" s="1028"/>
      <c r="B50" s="2391" t="s">
        <v>3943</v>
      </c>
      <c r="C50" s="2400"/>
      <c r="D50" s="2417"/>
      <c r="E50" s="2391" t="s">
        <v>3599</v>
      </c>
      <c r="F50" s="2400"/>
      <c r="G50" s="2400"/>
      <c r="H50" s="2417"/>
      <c r="I50" s="2391" t="str">
        <f>ERMs!C44</f>
        <v>Primary System:  kBtu
Secondary System:  kBtu
Tertiary System:  kBtu</v>
      </c>
      <c r="J50" s="2400"/>
      <c r="K50" s="2398" t="str">
        <f>ERMs!D44</f>
        <v>Baseline:  kBtu
Proposed: 0 kBtu</v>
      </c>
      <c r="L50" s="2391"/>
      <c r="M50" s="1018"/>
      <c r="N50" s="1018"/>
    </row>
    <row r="51" spans="1:14" ht="63" customHeight="1">
      <c r="A51" s="1028"/>
      <c r="B51" s="2391" t="s">
        <v>3963</v>
      </c>
      <c r="C51" s="2400"/>
      <c r="D51" s="2417"/>
      <c r="E51" s="2391" t="s">
        <v>2677</v>
      </c>
      <c r="F51" s="2400"/>
      <c r="G51" s="2400"/>
      <c r="H51" s="2417"/>
      <c r="I51" s="2391" t="str">
        <f>ERMs!C45</f>
        <v>Hot Water Design Supply Temperature:  °F
Hot Water Design Return Temperature:   °F</v>
      </c>
      <c r="J51" s="2400"/>
      <c r="K51" s="2398" t="str">
        <f>ERMs!D45</f>
        <v>Baseline: 180°F, DELTA_T: 50°F
Proposed: °F, DELTA_T: 0°F</v>
      </c>
      <c r="L51" s="2391"/>
      <c r="M51" s="1018"/>
      <c r="N51" s="1018"/>
    </row>
    <row r="52" spans="1:14" ht="72" customHeight="1">
      <c r="B52" s="2391" t="s">
        <v>3944</v>
      </c>
      <c r="C52" s="2400"/>
      <c r="D52" s="2417"/>
      <c r="E52" s="2391" t="s">
        <v>2677</v>
      </c>
      <c r="F52" s="2400"/>
      <c r="G52" s="2400"/>
      <c r="H52" s="2417"/>
      <c r="I52" s="2391" t="str">
        <f>ERMs!C46</f>
        <v xml:space="preserve">, </v>
      </c>
      <c r="J52" s="2400"/>
      <c r="K52" s="2398" t="str">
        <f>ERMs!D46</f>
        <v xml:space="preserve">Baseline :OA Reset, 180°F at 20°F and below, 
150°F at 50°F and above
Proposed: , </v>
      </c>
      <c r="L52" s="2391"/>
      <c r="M52" s="1018"/>
      <c r="N52" s="1018"/>
    </row>
    <row r="53" spans="1:14" ht="163.5" customHeight="1">
      <c r="A53" s="1067"/>
      <c r="B53" s="2391" t="s">
        <v>3969</v>
      </c>
      <c r="C53" s="2400"/>
      <c r="D53" s="2417"/>
      <c r="E53" s="2391" t="s">
        <v>4551</v>
      </c>
      <c r="F53" s="2400"/>
      <c r="G53" s="2400"/>
      <c r="H53" s="2417"/>
      <c r="I53" s="2391" t="str">
        <f>ERMs!C19</f>
        <v xml:space="preserve">  ( kBtu)
Et- 0%</v>
      </c>
      <c r="J53" s="2400"/>
      <c r="K53" s="2398" t="str">
        <f>ERMs!D19</f>
        <v>Baseline: Et-0%,  kBtu
Proposed: Et-0%,  kBtu</v>
      </c>
      <c r="L53" s="2391"/>
      <c r="M53" s="1018"/>
      <c r="N53" s="1018"/>
    </row>
    <row r="54" spans="1:14" ht="48" customHeight="1">
      <c r="A54" s="1028"/>
      <c r="B54" s="2391" t="s">
        <v>3945</v>
      </c>
      <c r="C54" s="2400"/>
      <c r="D54" s="2417"/>
      <c r="E54" s="2391" t="s">
        <v>3595</v>
      </c>
      <c r="F54" s="2400"/>
      <c r="G54" s="2400"/>
      <c r="H54" s="2417"/>
      <c r="I54" s="2391" t="str">
        <f>ERMs!C20</f>
        <v xml:space="preserve"> gal Storage Tank, R-</v>
      </c>
      <c r="J54" s="2400"/>
      <c r="K54" s="2391" t="str">
        <f>ERMs!D20</f>
        <v>Baseline: R-12.5,  gal
Proposed: R-,  gal</v>
      </c>
      <c r="L54" s="2400"/>
      <c r="M54" s="1018"/>
      <c r="N54" s="1018"/>
    </row>
    <row r="55" spans="1:14" ht="131.25" customHeight="1">
      <c r="A55" s="1028"/>
      <c r="B55" s="2407" t="s">
        <v>3946</v>
      </c>
      <c r="C55" s="2408"/>
      <c r="D55" s="2409"/>
      <c r="E55" s="2407" t="s">
        <v>4552</v>
      </c>
      <c r="F55" s="2408"/>
      <c r="G55" s="2408"/>
      <c r="H55" s="2409"/>
      <c r="I55" s="2407" t="str">
        <f>ERMs!C21</f>
        <v>Showerheads:  gpm
Kitchen Faucets:  gpm
Lavatory Faucets:  gpm
Toilets:  gpf</v>
      </c>
      <c r="J55" s="2408"/>
      <c r="K55" s="2407" t="str">
        <f>ERMs!D21</f>
        <v>Baseline: 0 gpm
Proposed: 0 gpm</v>
      </c>
      <c r="L55" s="2408"/>
      <c r="M55" s="1099"/>
      <c r="N55" s="1097"/>
    </row>
    <row r="56" spans="1:14" s="1026" customFormat="1">
      <c r="B56" s="2399" t="s">
        <v>3234</v>
      </c>
      <c r="C56" s="2399"/>
      <c r="D56" s="2399"/>
      <c r="E56" s="2399"/>
      <c r="F56" s="2399"/>
      <c r="G56" s="2399"/>
      <c r="H56" s="2399"/>
      <c r="I56" s="2399"/>
      <c r="J56" s="2399"/>
      <c r="K56" s="2399"/>
      <c r="L56" s="2399"/>
      <c r="M56" s="2399"/>
      <c r="N56" s="2399"/>
    </row>
    <row r="57" spans="1:14" ht="53.25" customHeight="1">
      <c r="B57" s="2391" t="s">
        <v>3947</v>
      </c>
      <c r="C57" s="2400"/>
      <c r="D57" s="2400"/>
      <c r="E57" s="2400"/>
      <c r="F57" s="2400"/>
      <c r="G57" s="2400"/>
      <c r="H57" s="2400"/>
      <c r="I57" s="2400"/>
      <c r="J57" s="2400"/>
      <c r="K57" s="2400"/>
      <c r="L57" s="2401"/>
      <c r="M57" s="1016"/>
      <c r="N57" s="1016"/>
    </row>
    <row r="58" spans="1:14" ht="25.5" customHeight="1">
      <c r="B58" s="2414" t="s">
        <v>4511</v>
      </c>
      <c r="C58" s="2395"/>
      <c r="D58" s="2395"/>
      <c r="E58" s="2395"/>
      <c r="F58" s="2395"/>
      <c r="G58" s="2395"/>
      <c r="H58" s="2395"/>
      <c r="I58" s="2395"/>
      <c r="J58" s="2395"/>
      <c r="K58" s="2395"/>
      <c r="L58" s="2425"/>
      <c r="M58" s="1097"/>
      <c r="N58" s="1097"/>
    </row>
    <row r="59" spans="1:14" s="1026" customFormat="1">
      <c r="B59" s="2399" t="s">
        <v>3239</v>
      </c>
      <c r="C59" s="2399"/>
      <c r="D59" s="2399"/>
      <c r="E59" s="2399"/>
      <c r="F59" s="2399"/>
      <c r="G59" s="2399"/>
      <c r="H59" s="2399"/>
      <c r="I59" s="2399"/>
      <c r="J59" s="2399"/>
      <c r="K59" s="2399"/>
      <c r="L59" s="2399"/>
      <c r="M59" s="2399"/>
      <c r="N59" s="2399"/>
    </row>
    <row r="60" spans="1:14" ht="48.75" customHeight="1">
      <c r="B60" s="2391" t="s">
        <v>4473</v>
      </c>
      <c r="C60" s="2400"/>
      <c r="D60" s="2400"/>
      <c r="E60" s="2400"/>
      <c r="F60" s="2400"/>
      <c r="G60" s="2400"/>
      <c r="H60" s="2400"/>
      <c r="I60" s="2400"/>
      <c r="J60" s="2400"/>
      <c r="K60" s="2400"/>
      <c r="L60" s="2401"/>
      <c r="M60" s="1016"/>
      <c r="N60" s="1016"/>
    </row>
    <row r="61" spans="1:14" ht="63.75" customHeight="1">
      <c r="B61" s="2414" t="s">
        <v>4589</v>
      </c>
      <c r="C61" s="2395"/>
      <c r="D61" s="2395"/>
      <c r="E61" s="2395"/>
      <c r="F61" s="2395"/>
      <c r="G61" s="2395"/>
      <c r="H61" s="2395"/>
      <c r="I61" s="2395"/>
      <c r="J61" s="2395"/>
      <c r="K61" s="2395"/>
      <c r="L61" s="2425"/>
      <c r="M61" s="1097"/>
      <c r="N61" s="1097"/>
    </row>
    <row r="62" spans="1:14" s="1026" customFormat="1">
      <c r="B62" s="2399" t="s">
        <v>3243</v>
      </c>
      <c r="C62" s="2399"/>
      <c r="D62" s="2399"/>
      <c r="E62" s="2399"/>
      <c r="F62" s="2399"/>
      <c r="G62" s="2399"/>
      <c r="H62" s="2399"/>
      <c r="I62" s="2399"/>
      <c r="J62" s="2399"/>
      <c r="K62" s="2399"/>
      <c r="L62" s="2399"/>
      <c r="M62" s="2399"/>
      <c r="N62" s="2399"/>
    </row>
    <row r="63" spans="1:14" s="1026" customFormat="1" ht="27.75" customHeight="1">
      <c r="B63" s="2391" t="s">
        <v>4474</v>
      </c>
      <c r="C63" s="2392"/>
      <c r="D63" s="2392"/>
      <c r="E63" s="2392"/>
      <c r="F63" s="2392"/>
      <c r="G63" s="2392"/>
      <c r="H63" s="2392"/>
      <c r="I63" s="2392"/>
      <c r="J63" s="2392"/>
      <c r="K63" s="2392"/>
      <c r="L63" s="2402"/>
      <c r="M63" s="1767"/>
      <c r="N63" s="1767"/>
    </row>
    <row r="64" spans="1:14" ht="73.5" customHeight="1">
      <c r="A64" s="1028"/>
      <c r="B64" s="2391" t="s">
        <v>3948</v>
      </c>
      <c r="C64" s="2392"/>
      <c r="D64" s="2392"/>
      <c r="E64" s="2392"/>
      <c r="F64" s="2392"/>
      <c r="G64" s="2392"/>
      <c r="H64" s="2392"/>
      <c r="I64" s="2392"/>
      <c r="J64" s="2392"/>
      <c r="K64" s="2392"/>
      <c r="L64" s="2402"/>
      <c r="M64" s="1767"/>
      <c r="N64" s="1767"/>
    </row>
    <row r="65" spans="1:14" ht="26.25" customHeight="1">
      <c r="A65" s="1028"/>
      <c r="B65" s="2391" t="s">
        <v>3949</v>
      </c>
      <c r="C65" s="2400"/>
      <c r="D65" s="2400"/>
      <c r="E65" s="2400"/>
      <c r="F65" s="2400"/>
      <c r="G65" s="2400"/>
      <c r="H65" s="2400"/>
      <c r="I65" s="2400"/>
      <c r="J65" s="2400"/>
      <c r="K65" s="2400"/>
      <c r="L65" s="2401"/>
      <c r="M65" s="1018"/>
      <c r="N65" s="1018"/>
    </row>
    <row r="66" spans="1:14" ht="49.5" customHeight="1">
      <c r="A66" s="1028"/>
      <c r="B66" s="2391" t="s">
        <v>3950</v>
      </c>
      <c r="C66" s="2400"/>
      <c r="D66" s="2400"/>
      <c r="E66" s="2400"/>
      <c r="F66" s="2400"/>
      <c r="G66" s="2400"/>
      <c r="H66" s="2400"/>
      <c r="I66" s="2400"/>
      <c r="J66" s="2400"/>
      <c r="K66" s="2400"/>
      <c r="L66" s="2401"/>
      <c r="M66" s="1018"/>
      <c r="N66" s="1018"/>
    </row>
    <row r="67" spans="1:14" ht="37.5" customHeight="1">
      <c r="B67" s="2391" t="s">
        <v>3951</v>
      </c>
      <c r="C67" s="2400"/>
      <c r="D67" s="2400"/>
      <c r="E67" s="2400"/>
      <c r="F67" s="2400"/>
      <c r="G67" s="2400"/>
      <c r="H67" s="2400"/>
      <c r="I67" s="2400"/>
      <c r="J67" s="2400"/>
      <c r="K67" s="2400"/>
      <c r="L67" s="2401"/>
      <c r="M67" s="1097"/>
      <c r="N67" s="1097"/>
    </row>
    <row r="68" spans="1:14" s="1026" customFormat="1">
      <c r="B68" s="2399" t="s">
        <v>3252</v>
      </c>
      <c r="C68" s="2399"/>
      <c r="D68" s="2399"/>
      <c r="E68" s="2399"/>
      <c r="F68" s="2399"/>
      <c r="G68" s="2399"/>
      <c r="H68" s="2399"/>
      <c r="I68" s="2399"/>
      <c r="J68" s="2399"/>
      <c r="K68" s="2399"/>
      <c r="L68" s="2399"/>
      <c r="M68" s="2399"/>
      <c r="N68" s="2399"/>
    </row>
    <row r="69" spans="1:14" ht="37.5" customHeight="1">
      <c r="B69" s="2391" t="s">
        <v>4481</v>
      </c>
      <c r="C69" s="2400"/>
      <c r="D69" s="2400"/>
      <c r="E69" s="2400"/>
      <c r="F69" s="2400"/>
      <c r="G69" s="2400"/>
      <c r="H69" s="2400"/>
      <c r="I69" s="2400"/>
      <c r="J69" s="2400"/>
      <c r="K69" s="2400"/>
      <c r="L69" s="2401"/>
      <c r="M69" s="1016"/>
      <c r="N69" s="1016"/>
    </row>
    <row r="70" spans="1:14" ht="37.5" customHeight="1">
      <c r="B70" s="2391" t="s">
        <v>3952</v>
      </c>
      <c r="C70" s="2400"/>
      <c r="D70" s="2400"/>
      <c r="E70" s="2400"/>
      <c r="F70" s="2400"/>
      <c r="G70" s="2400"/>
      <c r="H70" s="2400"/>
      <c r="I70" s="2400"/>
      <c r="J70" s="2400"/>
      <c r="K70" s="2400"/>
      <c r="L70" s="2401"/>
      <c r="M70" s="1018"/>
      <c r="N70" s="1018"/>
    </row>
    <row r="71" spans="1:14" ht="36.75" customHeight="1">
      <c r="B71" s="2391" t="s">
        <v>4581</v>
      </c>
      <c r="C71" s="2400"/>
      <c r="D71" s="2400"/>
      <c r="E71" s="2400"/>
      <c r="F71" s="2400"/>
      <c r="G71" s="2400"/>
      <c r="H71" s="2400"/>
      <c r="I71" s="2400"/>
      <c r="J71" s="2400"/>
      <c r="K71" s="2400"/>
      <c r="L71" s="2401"/>
      <c r="M71" s="1018"/>
      <c r="N71" s="1018"/>
    </row>
    <row r="72" spans="1:14" ht="98.25" customHeight="1">
      <c r="B72" s="2391" t="s">
        <v>3953</v>
      </c>
      <c r="C72" s="2400"/>
      <c r="D72" s="2400"/>
      <c r="E72" s="2400"/>
      <c r="F72" s="2400"/>
      <c r="G72" s="2400"/>
      <c r="H72" s="2400"/>
      <c r="I72" s="2400"/>
      <c r="J72" s="2400"/>
      <c r="K72" s="2400"/>
      <c r="L72" s="2401"/>
      <c r="M72" s="1018"/>
      <c r="N72" s="1018"/>
    </row>
    <row r="73" spans="1:14" ht="51" customHeight="1">
      <c r="B73" s="2391" t="s">
        <v>3954</v>
      </c>
      <c r="C73" s="2400"/>
      <c r="D73" s="2400"/>
      <c r="E73" s="2400"/>
      <c r="F73" s="2400"/>
      <c r="G73" s="2400"/>
      <c r="H73" s="2400"/>
      <c r="I73" s="2400"/>
      <c r="J73" s="2400"/>
      <c r="K73" s="2400"/>
      <c r="L73" s="2401"/>
      <c r="M73" s="1097"/>
      <c r="N73" s="1097"/>
    </row>
    <row r="74" spans="1:14" s="1026" customFormat="1">
      <c r="B74" s="2399" t="s">
        <v>3263</v>
      </c>
      <c r="C74" s="2399"/>
      <c r="D74" s="2399"/>
      <c r="E74" s="2399"/>
      <c r="F74" s="2399"/>
      <c r="G74" s="2399"/>
      <c r="H74" s="2399"/>
      <c r="I74" s="2399"/>
      <c r="J74" s="2399"/>
      <c r="K74" s="2399"/>
      <c r="L74" s="2399"/>
      <c r="M74" s="2399"/>
      <c r="N74" s="2399"/>
    </row>
    <row r="75" spans="1:14" ht="37.5" customHeight="1">
      <c r="A75" s="1067"/>
      <c r="B75" s="2391" t="s">
        <v>3955</v>
      </c>
      <c r="C75" s="2400"/>
      <c r="D75" s="2400"/>
      <c r="E75" s="2400"/>
      <c r="F75" s="2400"/>
      <c r="G75" s="2400"/>
      <c r="H75" s="2400"/>
      <c r="I75" s="2400"/>
      <c r="J75" s="2400"/>
      <c r="K75" s="2400"/>
      <c r="L75" s="2401"/>
      <c r="M75" s="1016"/>
      <c r="N75" s="1016"/>
    </row>
    <row r="76" spans="1:14" ht="63.75" customHeight="1">
      <c r="A76" s="1067"/>
      <c r="B76" s="2391" t="s">
        <v>4572</v>
      </c>
      <c r="C76" s="2392"/>
      <c r="D76" s="2392"/>
      <c r="E76" s="2392"/>
      <c r="F76" s="2392"/>
      <c r="G76" s="2392"/>
      <c r="H76" s="2392"/>
      <c r="I76" s="2392"/>
      <c r="J76" s="2392"/>
      <c r="K76" s="2392"/>
      <c r="L76" s="2402"/>
      <c r="M76" s="1824"/>
      <c r="N76" s="1824"/>
    </row>
    <row r="77" spans="1:14" ht="36.75" customHeight="1">
      <c r="A77" s="1067"/>
      <c r="B77" s="2391" t="s">
        <v>3956</v>
      </c>
      <c r="C77" s="2400"/>
      <c r="D77" s="2400"/>
      <c r="E77" s="2400"/>
      <c r="F77" s="2400"/>
      <c r="G77" s="2400"/>
      <c r="H77" s="2400"/>
      <c r="I77" s="2400"/>
      <c r="J77" s="2400"/>
      <c r="K77" s="2400"/>
      <c r="L77" s="2401"/>
      <c r="M77" s="1018"/>
      <c r="N77" s="1018"/>
    </row>
    <row r="78" spans="1:14" ht="87" customHeight="1">
      <c r="A78" s="1028"/>
      <c r="B78" s="2391" t="s">
        <v>4578</v>
      </c>
      <c r="C78" s="2400"/>
      <c r="D78" s="2400"/>
      <c r="E78" s="2400"/>
      <c r="F78" s="2400"/>
      <c r="G78" s="2400"/>
      <c r="H78" s="2400"/>
      <c r="I78" s="2400"/>
      <c r="J78" s="2400"/>
      <c r="K78" s="2400"/>
      <c r="L78" s="2401"/>
      <c r="M78" s="1018"/>
      <c r="N78" s="1018"/>
    </row>
    <row r="79" spans="1:14" ht="39" customHeight="1">
      <c r="A79" s="1028"/>
      <c r="B79" s="2391" t="s">
        <v>3957</v>
      </c>
      <c r="C79" s="2400"/>
      <c r="D79" s="2400"/>
      <c r="E79" s="2400"/>
      <c r="F79" s="2400"/>
      <c r="G79" s="2400"/>
      <c r="H79" s="2400"/>
      <c r="I79" s="2400"/>
      <c r="J79" s="2400"/>
      <c r="K79" s="2400"/>
      <c r="L79" s="2401"/>
      <c r="M79" s="1097"/>
      <c r="N79" s="1097"/>
    </row>
    <row r="80" spans="1:14" s="1026" customFormat="1">
      <c r="B80" s="2399" t="s">
        <v>3272</v>
      </c>
      <c r="C80" s="2399"/>
      <c r="D80" s="2399"/>
      <c r="E80" s="2399"/>
      <c r="F80" s="2399"/>
      <c r="G80" s="2399"/>
      <c r="H80" s="2399"/>
      <c r="I80" s="2399"/>
      <c r="J80" s="2399"/>
      <c r="K80" s="2399"/>
      <c r="L80" s="2399"/>
      <c r="M80" s="2399"/>
      <c r="N80" s="2399"/>
    </row>
    <row r="81" spans="1:16" ht="24" customHeight="1">
      <c r="A81" s="1028"/>
      <c r="B81" s="2391" t="s">
        <v>3958</v>
      </c>
      <c r="C81" s="2400"/>
      <c r="D81" s="2400"/>
      <c r="E81" s="2400"/>
      <c r="F81" s="2400"/>
      <c r="G81" s="2400"/>
      <c r="H81" s="2400"/>
      <c r="I81" s="2400"/>
      <c r="J81" s="2400"/>
      <c r="K81" s="2400"/>
      <c r="L81" s="2401"/>
      <c r="M81" s="1016"/>
      <c r="N81" s="1016"/>
    </row>
    <row r="82" spans="1:16" ht="36.75" customHeight="1">
      <c r="B82" s="2391" t="s">
        <v>3959</v>
      </c>
      <c r="C82" s="2400"/>
      <c r="D82" s="2400"/>
      <c r="E82" s="2400"/>
      <c r="F82" s="2400"/>
      <c r="G82" s="2400"/>
      <c r="H82" s="2400"/>
      <c r="I82" s="2400"/>
      <c r="J82" s="2400"/>
      <c r="K82" s="2400"/>
      <c r="L82" s="2401"/>
      <c r="M82" s="1018"/>
      <c r="N82" s="1018"/>
    </row>
    <row r="83" spans="1:16" ht="25.5" customHeight="1">
      <c r="A83" s="1067"/>
      <c r="B83" s="2391" t="s">
        <v>3960</v>
      </c>
      <c r="C83" s="2400"/>
      <c r="D83" s="2400"/>
      <c r="E83" s="2400"/>
      <c r="F83" s="2400"/>
      <c r="G83" s="2400"/>
      <c r="H83" s="2400"/>
      <c r="I83" s="2400"/>
      <c r="J83" s="2400"/>
      <c r="K83" s="2400"/>
      <c r="L83" s="2401"/>
      <c r="M83" s="1018"/>
      <c r="N83" s="1018"/>
    </row>
    <row r="84" spans="1:16" ht="48.75" customHeight="1">
      <c r="A84" s="1028"/>
      <c r="B84" s="2391" t="s">
        <v>3961</v>
      </c>
      <c r="C84" s="2400"/>
      <c r="D84" s="2400"/>
      <c r="E84" s="2400"/>
      <c r="F84" s="2400"/>
      <c r="G84" s="2400"/>
      <c r="H84" s="2400"/>
      <c r="I84" s="2400"/>
      <c r="J84" s="2400"/>
      <c r="K84" s="2400"/>
      <c r="L84" s="2401"/>
      <c r="M84" s="1018"/>
      <c r="N84" s="1018"/>
    </row>
    <row r="85" spans="1:16">
      <c r="B85" s="896"/>
      <c r="C85" s="896"/>
      <c r="D85" s="896"/>
      <c r="E85" s="896"/>
      <c r="F85" s="896"/>
      <c r="G85" s="896"/>
      <c r="H85" s="896"/>
      <c r="I85" s="896"/>
      <c r="J85" s="896"/>
      <c r="K85" s="896"/>
      <c r="L85" s="896"/>
      <c r="M85" s="896"/>
      <c r="N85" s="896"/>
    </row>
    <row r="86" spans="1:16">
      <c r="B86" s="896" t="s">
        <v>3962</v>
      </c>
      <c r="C86" s="896"/>
      <c r="D86" s="896"/>
      <c r="E86" s="896"/>
      <c r="F86" s="896"/>
      <c r="G86" s="896"/>
      <c r="H86" s="896"/>
      <c r="I86" s="896"/>
      <c r="J86" s="896"/>
      <c r="K86" s="896"/>
      <c r="L86" s="896"/>
      <c r="M86" s="896"/>
      <c r="N86" s="896"/>
    </row>
    <row r="87" spans="1:16" s="1027" customFormat="1" ht="12" customHeight="1">
      <c r="B87" s="2405" t="s">
        <v>3653</v>
      </c>
      <c r="C87" s="2406"/>
      <c r="D87" s="2422" t="s">
        <v>3654</v>
      </c>
      <c r="E87" s="2422"/>
      <c r="F87" s="2405" t="s">
        <v>3655</v>
      </c>
      <c r="G87" s="2423"/>
      <c r="H87" s="2422" t="s">
        <v>3656</v>
      </c>
      <c r="I87" s="2422"/>
      <c r="J87" s="2405" t="s">
        <v>3657</v>
      </c>
      <c r="K87" s="2406"/>
      <c r="L87" s="2422" t="s">
        <v>3658</v>
      </c>
      <c r="M87" s="2422"/>
      <c r="N87" s="2422"/>
      <c r="O87" s="1063"/>
      <c r="P87" s="1063"/>
    </row>
    <row r="88" spans="1:16" s="1027" customFormat="1">
      <c r="B88" s="2420"/>
      <c r="C88" s="2420"/>
      <c r="D88" s="2420"/>
      <c r="E88" s="2420"/>
      <c r="F88" s="2418"/>
      <c r="G88" s="2419"/>
      <c r="H88" s="2421"/>
      <c r="I88" s="2421"/>
      <c r="J88" s="2403" t="e">
        <f t="shared" ref="J88:J96" si="0">H88/F88</f>
        <v>#DIV/0!</v>
      </c>
      <c r="K88" s="2404"/>
      <c r="L88" s="2413"/>
      <c r="M88" s="2413"/>
      <c r="N88" s="2413"/>
      <c r="O88" s="1096"/>
      <c r="P88" s="1096"/>
    </row>
    <row r="89" spans="1:16" s="1027" customFormat="1">
      <c r="B89" s="2420"/>
      <c r="C89" s="2420"/>
      <c r="D89" s="2420"/>
      <c r="E89" s="2420"/>
      <c r="F89" s="2418"/>
      <c r="G89" s="2419"/>
      <c r="H89" s="2421"/>
      <c r="I89" s="2421"/>
      <c r="J89" s="2403" t="e">
        <f t="shared" si="0"/>
        <v>#DIV/0!</v>
      </c>
      <c r="K89" s="2404"/>
      <c r="L89" s="2413"/>
      <c r="M89" s="2413"/>
      <c r="N89" s="2413"/>
      <c r="O89" s="1096"/>
      <c r="P89" s="1096"/>
    </row>
    <row r="90" spans="1:16" s="1027" customFormat="1">
      <c r="B90" s="2420"/>
      <c r="C90" s="2420"/>
      <c r="D90" s="2420"/>
      <c r="E90" s="2420"/>
      <c r="F90" s="2418"/>
      <c r="G90" s="2419"/>
      <c r="H90" s="2421"/>
      <c r="I90" s="2421"/>
      <c r="J90" s="2403" t="e">
        <f t="shared" si="0"/>
        <v>#DIV/0!</v>
      </c>
      <c r="K90" s="2404"/>
      <c r="L90" s="2413"/>
      <c r="M90" s="2413"/>
      <c r="N90" s="2413"/>
      <c r="O90" s="1096"/>
      <c r="P90" s="1096"/>
    </row>
    <row r="91" spans="1:16" s="1026" customFormat="1">
      <c r="B91" s="2420"/>
      <c r="C91" s="2420"/>
      <c r="D91" s="2420"/>
      <c r="E91" s="2420"/>
      <c r="F91" s="2418"/>
      <c r="G91" s="2419"/>
      <c r="H91" s="2421"/>
      <c r="I91" s="2421"/>
      <c r="J91" s="2403" t="e">
        <f t="shared" si="0"/>
        <v>#DIV/0!</v>
      </c>
      <c r="K91" s="2404"/>
      <c r="L91" s="2413"/>
      <c r="M91" s="2413"/>
      <c r="N91" s="2413"/>
      <c r="O91" s="1096"/>
      <c r="P91" s="1096"/>
    </row>
    <row r="92" spans="1:16">
      <c r="B92" s="2420"/>
      <c r="C92" s="2420"/>
      <c r="D92" s="2420"/>
      <c r="E92" s="2420"/>
      <c r="F92" s="2418"/>
      <c r="G92" s="2419"/>
      <c r="H92" s="2421"/>
      <c r="I92" s="2421"/>
      <c r="J92" s="2403" t="e">
        <f t="shared" si="0"/>
        <v>#DIV/0!</v>
      </c>
      <c r="K92" s="2404"/>
      <c r="L92" s="2413"/>
      <c r="M92" s="2413"/>
      <c r="N92" s="2413"/>
      <c r="O92" s="1096"/>
      <c r="P92" s="1096"/>
    </row>
    <row r="93" spans="1:16">
      <c r="B93" s="2420"/>
      <c r="C93" s="2420"/>
      <c r="D93" s="2420"/>
      <c r="E93" s="2420"/>
      <c r="F93" s="2418"/>
      <c r="G93" s="2419"/>
      <c r="H93" s="2421"/>
      <c r="I93" s="2421"/>
      <c r="J93" s="2403" t="e">
        <f t="shared" si="0"/>
        <v>#DIV/0!</v>
      </c>
      <c r="K93" s="2404"/>
      <c r="L93" s="2413"/>
      <c r="M93" s="2413"/>
      <c r="N93" s="2413"/>
      <c r="O93" s="1096"/>
      <c r="P93" s="1096"/>
    </row>
    <row r="94" spans="1:16">
      <c r="B94" s="2420"/>
      <c r="C94" s="2420"/>
      <c r="D94" s="2420"/>
      <c r="E94" s="2420"/>
      <c r="F94" s="2418"/>
      <c r="G94" s="2419"/>
      <c r="H94" s="2421"/>
      <c r="I94" s="2421"/>
      <c r="J94" s="2403" t="e">
        <f t="shared" si="0"/>
        <v>#DIV/0!</v>
      </c>
      <c r="K94" s="2404"/>
      <c r="L94" s="2413"/>
      <c r="M94" s="2413"/>
      <c r="N94" s="2413"/>
      <c r="O94" s="1096"/>
      <c r="P94" s="1096"/>
    </row>
    <row r="95" spans="1:16">
      <c r="B95" s="2420"/>
      <c r="C95" s="2420"/>
      <c r="D95" s="2420"/>
      <c r="E95" s="2420"/>
      <c r="F95" s="2418"/>
      <c r="G95" s="2419"/>
      <c r="H95" s="2421"/>
      <c r="I95" s="2421"/>
      <c r="J95" s="2403" t="e">
        <f t="shared" si="0"/>
        <v>#DIV/0!</v>
      </c>
      <c r="K95" s="2404"/>
      <c r="L95" s="2413"/>
      <c r="M95" s="2413"/>
      <c r="N95" s="2413"/>
      <c r="O95" s="1096"/>
      <c r="P95" s="1096"/>
    </row>
    <row r="96" spans="1:16">
      <c r="B96" s="2420"/>
      <c r="C96" s="2420"/>
      <c r="D96" s="2420"/>
      <c r="E96" s="2420"/>
      <c r="F96" s="2418"/>
      <c r="G96" s="2419"/>
      <c r="H96" s="2421"/>
      <c r="I96" s="2421"/>
      <c r="J96" s="2403" t="e">
        <f t="shared" si="0"/>
        <v>#DIV/0!</v>
      </c>
      <c r="K96" s="2404"/>
      <c r="L96" s="2413"/>
      <c r="M96" s="2413"/>
      <c r="N96" s="2413"/>
      <c r="O96" s="1096"/>
      <c r="P96" s="1096"/>
    </row>
    <row r="98" spans="33:33">
      <c r="AG98" s="1024" t="s">
        <v>1493</v>
      </c>
    </row>
    <row r="99" spans="33:33">
      <c r="AG99" s="1024" t="s">
        <v>1494</v>
      </c>
    </row>
    <row r="100" spans="33:33">
      <c r="AG100" s="1024" t="s">
        <v>2677</v>
      </c>
    </row>
  </sheetData>
  <sheetProtection formatCells="0" formatColumns="0" formatRows="0" insertColumns="0" insertRows="0"/>
  <mergeCells count="143">
    <mergeCell ref="B7:N7"/>
    <mergeCell ref="B8:N8"/>
    <mergeCell ref="B9:N9"/>
    <mergeCell ref="B10:N10"/>
    <mergeCell ref="B6:N6"/>
    <mergeCell ref="E52:H52"/>
    <mergeCell ref="E53:H53"/>
    <mergeCell ref="B53:D53"/>
    <mergeCell ref="E50:H50"/>
    <mergeCell ref="E49:H49"/>
    <mergeCell ref="A46:A47"/>
    <mergeCell ref="B18:E18"/>
    <mergeCell ref="B19:E19"/>
    <mergeCell ref="B60:L60"/>
    <mergeCell ref="B61:L61"/>
    <mergeCell ref="B64:L64"/>
    <mergeCell ref="B58:L58"/>
    <mergeCell ref="B59:N59"/>
    <mergeCell ref="E54:H54"/>
    <mergeCell ref="E55:H55"/>
    <mergeCell ref="B55:D55"/>
    <mergeCell ref="B54:D54"/>
    <mergeCell ref="I44:J44"/>
    <mergeCell ref="K54:L54"/>
    <mergeCell ref="K55:L55"/>
    <mergeCell ref="B57:L57"/>
    <mergeCell ref="B56:N56"/>
    <mergeCell ref="I46:J47"/>
    <mergeCell ref="K43:L43"/>
    <mergeCell ref="K44:L44"/>
    <mergeCell ref="K48:L48"/>
    <mergeCell ref="K46:L47"/>
    <mergeCell ref="B45:N45"/>
    <mergeCell ref="I55:J55"/>
    <mergeCell ref="B88:C88"/>
    <mergeCell ref="D88:E88"/>
    <mergeCell ref="H88:I88"/>
    <mergeCell ref="F88:G88"/>
    <mergeCell ref="B87:C87"/>
    <mergeCell ref="D87:E87"/>
    <mergeCell ref="H87:I87"/>
    <mergeCell ref="F87:G87"/>
    <mergeCell ref="B81:L81"/>
    <mergeCell ref="L87:N87"/>
    <mergeCell ref="L88:N88"/>
    <mergeCell ref="B82:L82"/>
    <mergeCell ref="B83:L83"/>
    <mergeCell ref="B84:L84"/>
    <mergeCell ref="F91:G91"/>
    <mergeCell ref="B90:C90"/>
    <mergeCell ref="D90:E90"/>
    <mergeCell ref="H90:I90"/>
    <mergeCell ref="F90:G90"/>
    <mergeCell ref="B89:C89"/>
    <mergeCell ref="D89:E89"/>
    <mergeCell ref="H89:I89"/>
    <mergeCell ref="F89:G89"/>
    <mergeCell ref="L89:N89"/>
    <mergeCell ref="L90:N90"/>
    <mergeCell ref="B96:C96"/>
    <mergeCell ref="D96:E96"/>
    <mergeCell ref="H96:I96"/>
    <mergeCell ref="F96:G96"/>
    <mergeCell ref="B95:C95"/>
    <mergeCell ref="D95:E95"/>
    <mergeCell ref="H95:I95"/>
    <mergeCell ref="F95:G95"/>
    <mergeCell ref="B94:C94"/>
    <mergeCell ref="D94:E94"/>
    <mergeCell ref="H94:I94"/>
    <mergeCell ref="F94:G94"/>
    <mergeCell ref="B93:C93"/>
    <mergeCell ref="D93:E93"/>
    <mergeCell ref="H93:I93"/>
    <mergeCell ref="F93:G93"/>
    <mergeCell ref="B92:C92"/>
    <mergeCell ref="D92:E92"/>
    <mergeCell ref="H92:I92"/>
    <mergeCell ref="L91:N91"/>
    <mergeCell ref="L92:N92"/>
    <mergeCell ref="L93:N93"/>
    <mergeCell ref="L94:N94"/>
    <mergeCell ref="L95:N95"/>
    <mergeCell ref="L96:N96"/>
    <mergeCell ref="B46:D47"/>
    <mergeCell ref="B48:D48"/>
    <mergeCell ref="B49:D49"/>
    <mergeCell ref="B50:D50"/>
    <mergeCell ref="B51:D51"/>
    <mergeCell ref="B52:D52"/>
    <mergeCell ref="E46:H46"/>
    <mergeCell ref="E47:H47"/>
    <mergeCell ref="E48:H48"/>
    <mergeCell ref="E51:H51"/>
    <mergeCell ref="I49:J49"/>
    <mergeCell ref="I48:J48"/>
    <mergeCell ref="K49:L49"/>
    <mergeCell ref="K50:L50"/>
    <mergeCell ref="F92:G92"/>
    <mergeCell ref="B91:C91"/>
    <mergeCell ref="D91:E91"/>
    <mergeCell ref="H91:I91"/>
    <mergeCell ref="K51:L51"/>
    <mergeCell ref="K52:L52"/>
    <mergeCell ref="K53:L53"/>
    <mergeCell ref="I54:J54"/>
    <mergeCell ref="I53:J53"/>
    <mergeCell ref="I52:J52"/>
    <mergeCell ref="I51:J51"/>
    <mergeCell ref="I50:J50"/>
    <mergeCell ref="B44:D44"/>
    <mergeCell ref="B43:D43"/>
    <mergeCell ref="E44:H44"/>
    <mergeCell ref="E43:H43"/>
    <mergeCell ref="I43:J43"/>
    <mergeCell ref="J91:K91"/>
    <mergeCell ref="J92:K92"/>
    <mergeCell ref="J93:K93"/>
    <mergeCell ref="J94:K94"/>
    <mergeCell ref="J95:K95"/>
    <mergeCell ref="J96:K96"/>
    <mergeCell ref="J87:K87"/>
    <mergeCell ref="J88:K88"/>
    <mergeCell ref="J89:K89"/>
    <mergeCell ref="J90:K90"/>
    <mergeCell ref="B62:N62"/>
    <mergeCell ref="B68:N68"/>
    <mergeCell ref="B74:N74"/>
    <mergeCell ref="B80:N80"/>
    <mergeCell ref="B75:L75"/>
    <mergeCell ref="B77:L77"/>
    <mergeCell ref="B78:L78"/>
    <mergeCell ref="B79:L79"/>
    <mergeCell ref="B72:L72"/>
    <mergeCell ref="B73:L73"/>
    <mergeCell ref="B69:L69"/>
    <mergeCell ref="B70:L70"/>
    <mergeCell ref="B71:L71"/>
    <mergeCell ref="B65:L65"/>
    <mergeCell ref="B66:L66"/>
    <mergeCell ref="B67:L67"/>
    <mergeCell ref="B63:L63"/>
    <mergeCell ref="B76:L76"/>
  </mergeCells>
  <conditionalFormatting sqref="J88:K96">
    <cfRule type="cellIs" dxfId="5" priority="1" stopIfTrue="1" operator="greaterThan">
      <formula>0.1</formula>
    </cfRule>
  </conditionalFormatting>
  <dataValidations count="3">
    <dataValidation type="list" allowBlank="1" showInputMessage="1" showErrorMessage="1" sqref="JH25:JI40 TD25:TE40 ACZ25:ADA40 AMV25:AMW40 AWR25:AWS40 BGN25:BGO40 BQJ25:BQK40 CAF25:CAG40 CKB25:CKC40 CTX25:CTY40 DDT25:DDU40 DNP25:DNQ40 DXL25:DXM40 EHH25:EHI40 ERD25:ERE40 FAZ25:FBA40 FKV25:FKW40 FUR25:FUS40 GEN25:GEO40 GOJ25:GOK40 GYF25:GYG40 HIB25:HIC40 HRX25:HRY40 IBT25:IBU40 ILP25:ILQ40 IVL25:IVM40 JFH25:JFI40 JPD25:JPE40 JYZ25:JZA40 KIV25:KIW40 KSR25:KSS40 LCN25:LCO40 LMJ25:LMK40 LWF25:LWG40 MGB25:MGC40 MPX25:MPY40 MZT25:MZU40 NJP25:NJQ40 NTL25:NTM40 ODH25:ODI40 OND25:ONE40 OWZ25:OXA40 PGV25:PGW40 PQR25:PQS40 QAN25:QAO40 QKJ25:QKK40 QUF25:QUG40 REB25:REC40 RNX25:RNY40 RXT25:RXU40 SHP25:SHQ40 SRL25:SRM40 TBH25:TBI40 TLD25:TLE40 TUZ25:TVA40 UEV25:UEW40 UOR25:UOS40 UYN25:UYO40 VIJ25:VIK40 VSF25:VSG40 WCB25:WCC40 WLX25:WLY40 WVT25:WVU40 JF25:JF40 TB25:TB40 ACX25:ACX40 AMT25:AMT40 AWP25:AWP40 BGL25:BGL40 BQH25:BQH40 CAD25:CAD40 CJZ25:CJZ40 CTV25:CTV40 DDR25:DDR40 DNN25:DNN40 DXJ25:DXJ40 EHF25:EHF40 ERB25:ERB40 FAX25:FAX40 FKT25:FKT40 FUP25:FUP40 GEL25:GEL40 GOH25:GOH40 GYD25:GYD40 HHZ25:HHZ40 HRV25:HRV40 IBR25:IBR40 ILN25:ILN40 IVJ25:IVJ40 JFF25:JFF40 JPB25:JPB40 JYX25:JYX40 KIT25:KIT40 KSP25:KSP40 LCL25:LCL40 LMH25:LMH40 LWD25:LWD40 MFZ25:MFZ40 MPV25:MPV40 MZR25:MZR40 NJN25:NJN40 NTJ25:NTJ40 ODF25:ODF40 ONB25:ONB40 OWX25:OWX40 PGT25:PGT40 PQP25:PQP40 QAL25:QAL40 QKH25:QKH40 QUD25:QUD40 RDZ25:RDZ40 RNV25:RNV40 RXR25:RXR40 SHN25:SHN40 SRJ25:SRJ40 TBF25:TBF40 TLB25:TLB40 TUX25:TUX40 UET25:UET40 UOP25:UOP40 UYL25:UYL40 VIH25:VIH40 VSD25:VSD40 WBZ25:WBZ40 WLV25:WLV40 WVR25:WVR40 TD46:TE55 WLP983066:WLP983081 WBT983066:WBT983081 VRX983066:VRX983081 VIB983066:VIB983081 UYF983066:UYF983081 UOJ983066:UOJ983081 UEN983066:UEN983081 TUR983066:TUR983081 TKV983066:TKV983081 TAZ983066:TAZ983081 SRD983066:SRD983081 SHH983066:SHH983081 RXL983066:RXL983081 RNP983066:RNP983081 RDT983066:RDT983081 QTX983066:QTX983081 QKB983066:QKB983081 QAF983066:QAF983081 PQJ983066:PQJ983081 PGN983066:PGN983081 OWR983066:OWR983081 OMV983066:OMV983081 OCZ983066:OCZ983081 NTD983066:NTD983081 NJH983066:NJH983081 MZL983066:MZL983081 MPP983066:MPP983081 MFT983066:MFT983081 LVX983066:LVX983081 LMB983066:LMB983081 LCF983066:LCF983081 KSJ983066:KSJ983081 KIN983066:KIN983081 JYR983066:JYR983081 JOV983066:JOV983081 JEZ983066:JEZ983081 IVD983066:IVD983081 ILH983066:ILH983081 IBL983066:IBL983081 HRP983066:HRP983081 HHT983066:HHT983081 GXX983066:GXX983081 GOB983066:GOB983081 GEF983066:GEF983081 FUJ983066:FUJ983081 FKN983066:FKN983081 FAR983066:FAR983081 EQV983066:EQV983081 EGZ983066:EGZ983081 DXD983066:DXD983081 DNH983066:DNH983081 DDL983066:DDL983081 CTP983066:CTP983081 CJT983066:CJT983081 BZX983066:BZX983081 BQB983066:BQB983081 BGF983066:BGF983081 AWJ983066:AWJ983081 AMN983066:AMN983081 ACR983066:ACR983081 SV983066:SV983081 IZ983066:IZ983081 WVL917530:WVL917545 WLP917530:WLP917545 WBT917530:WBT917545 VRX917530:VRX917545 VIB917530:VIB917545 UYF917530:UYF917545 UOJ917530:UOJ917545 UEN917530:UEN917545 TUR917530:TUR917545 TKV917530:TKV917545 TAZ917530:TAZ917545 SRD917530:SRD917545 SHH917530:SHH917545 RXL917530:RXL917545 RNP917530:RNP917545 RDT917530:RDT917545 QTX917530:QTX917545 QKB917530:QKB917545 QAF917530:QAF917545 PQJ917530:PQJ917545 PGN917530:PGN917545 OWR917530:OWR917545 OMV917530:OMV917545 OCZ917530:OCZ917545 NTD917530:NTD917545 NJH917530:NJH917545 MZL917530:MZL917545 MPP917530:MPP917545 MFT917530:MFT917545 LVX917530:LVX917545 LMB917530:LMB917545 LCF917530:LCF917545 KSJ917530:KSJ917545 KIN917530:KIN917545 JYR917530:JYR917545 JOV917530:JOV917545 JEZ917530:JEZ917545 IVD917530:IVD917545 ILH917530:ILH917545 IBL917530:IBL917545 HRP917530:HRP917545 HHT917530:HHT917545 GXX917530:GXX917545 GOB917530:GOB917545 GEF917530:GEF917545 FUJ917530:FUJ917545 FKN917530:FKN917545 FAR917530:FAR917545 EQV917530:EQV917545 EGZ917530:EGZ917545 DXD917530:DXD917545 DNH917530:DNH917545 DDL917530:DDL917545 CTP917530:CTP917545 CJT917530:CJT917545 BZX917530:BZX917545 BQB917530:BQB917545 BGF917530:BGF917545 AWJ917530:AWJ917545 AMN917530:AMN917545 ACR917530:ACR917545 SV917530:SV917545 IZ917530:IZ917545 WVL851994:WVL852009 WLP851994:WLP852009 WBT851994:WBT852009 VRX851994:VRX852009 VIB851994:VIB852009 UYF851994:UYF852009 UOJ851994:UOJ852009 UEN851994:UEN852009 TUR851994:TUR852009 TKV851994:TKV852009 TAZ851994:TAZ852009 SRD851994:SRD852009 SHH851994:SHH852009 RXL851994:RXL852009 RNP851994:RNP852009 RDT851994:RDT852009 QTX851994:QTX852009 QKB851994:QKB852009 QAF851994:QAF852009 PQJ851994:PQJ852009 PGN851994:PGN852009 OWR851994:OWR852009 OMV851994:OMV852009 OCZ851994:OCZ852009 NTD851994:NTD852009 NJH851994:NJH852009 MZL851994:MZL852009 MPP851994:MPP852009 MFT851994:MFT852009 LVX851994:LVX852009 LMB851994:LMB852009 LCF851994:LCF852009 KSJ851994:KSJ852009 KIN851994:KIN852009 JYR851994:JYR852009 JOV851994:JOV852009 JEZ851994:JEZ852009 IVD851994:IVD852009 ILH851994:ILH852009 IBL851994:IBL852009 HRP851994:HRP852009 HHT851994:HHT852009 GXX851994:GXX852009 GOB851994:GOB852009 GEF851994:GEF852009 FUJ851994:FUJ852009 FKN851994:FKN852009 FAR851994:FAR852009 EQV851994:EQV852009 EGZ851994:EGZ852009 DXD851994:DXD852009 DNH851994:DNH852009 DDL851994:DDL852009 CTP851994:CTP852009 CJT851994:CJT852009 BZX851994:BZX852009 BQB851994:BQB852009 BGF851994:BGF852009 AWJ851994:AWJ852009 AMN851994:AMN852009 ACR851994:ACR852009 SV851994:SV852009 IZ851994:IZ852009 WVL786458:WVL786473 WLP786458:WLP786473 WBT786458:WBT786473 VRX786458:VRX786473 VIB786458:VIB786473 UYF786458:UYF786473 UOJ786458:UOJ786473 UEN786458:UEN786473 TUR786458:TUR786473 TKV786458:TKV786473 TAZ786458:TAZ786473 SRD786458:SRD786473 SHH786458:SHH786473 RXL786458:RXL786473 RNP786458:RNP786473 RDT786458:RDT786473 QTX786458:QTX786473 QKB786458:QKB786473 QAF786458:QAF786473 PQJ786458:PQJ786473 PGN786458:PGN786473 OWR786458:OWR786473 OMV786458:OMV786473 OCZ786458:OCZ786473 NTD786458:NTD786473 NJH786458:NJH786473 MZL786458:MZL786473 MPP786458:MPP786473 MFT786458:MFT786473 LVX786458:LVX786473 LMB786458:LMB786473 LCF786458:LCF786473 KSJ786458:KSJ786473 KIN786458:KIN786473 JYR786458:JYR786473 JOV786458:JOV786473 JEZ786458:JEZ786473 IVD786458:IVD786473 ILH786458:ILH786473 IBL786458:IBL786473 HRP786458:HRP786473 HHT786458:HHT786473 GXX786458:GXX786473 GOB786458:GOB786473 GEF786458:GEF786473 FUJ786458:FUJ786473 FKN786458:FKN786473 FAR786458:FAR786473 EQV786458:EQV786473 EGZ786458:EGZ786473 DXD786458:DXD786473 DNH786458:DNH786473 DDL786458:DDL786473 CTP786458:CTP786473 CJT786458:CJT786473 BZX786458:BZX786473 BQB786458:BQB786473 BGF786458:BGF786473 AWJ786458:AWJ786473 AMN786458:AMN786473 ACR786458:ACR786473 SV786458:SV786473 IZ786458:IZ786473 WVL720922:WVL720937 WLP720922:WLP720937 WBT720922:WBT720937 VRX720922:VRX720937 VIB720922:VIB720937 UYF720922:UYF720937 UOJ720922:UOJ720937 UEN720922:UEN720937 TUR720922:TUR720937 TKV720922:TKV720937 TAZ720922:TAZ720937 SRD720922:SRD720937 SHH720922:SHH720937 RXL720922:RXL720937 RNP720922:RNP720937 RDT720922:RDT720937 QTX720922:QTX720937 QKB720922:QKB720937 QAF720922:QAF720937 PQJ720922:PQJ720937 PGN720922:PGN720937 OWR720922:OWR720937 OMV720922:OMV720937 OCZ720922:OCZ720937 NTD720922:NTD720937 NJH720922:NJH720937 MZL720922:MZL720937 MPP720922:MPP720937 MFT720922:MFT720937 LVX720922:LVX720937 LMB720922:LMB720937 LCF720922:LCF720937 KSJ720922:KSJ720937 KIN720922:KIN720937 JYR720922:JYR720937 JOV720922:JOV720937 JEZ720922:JEZ720937 IVD720922:IVD720937 ILH720922:ILH720937 IBL720922:IBL720937 HRP720922:HRP720937 HHT720922:HHT720937 GXX720922:GXX720937 GOB720922:GOB720937 GEF720922:GEF720937 FUJ720922:FUJ720937 FKN720922:FKN720937 FAR720922:FAR720937 EQV720922:EQV720937 EGZ720922:EGZ720937 DXD720922:DXD720937 DNH720922:DNH720937 DDL720922:DDL720937 CTP720922:CTP720937 CJT720922:CJT720937 BZX720922:BZX720937 BQB720922:BQB720937 BGF720922:BGF720937 AWJ720922:AWJ720937 AMN720922:AMN720937 ACR720922:ACR720937 SV720922:SV720937 IZ720922:IZ720937 WVL655386:WVL655401 WLP655386:WLP655401 WBT655386:WBT655401 VRX655386:VRX655401 VIB655386:VIB655401 UYF655386:UYF655401 UOJ655386:UOJ655401 UEN655386:UEN655401 TUR655386:TUR655401 TKV655386:TKV655401 TAZ655386:TAZ655401 SRD655386:SRD655401 SHH655386:SHH655401 RXL655386:RXL655401 RNP655386:RNP655401 RDT655386:RDT655401 QTX655386:QTX655401 QKB655386:QKB655401 QAF655386:QAF655401 PQJ655386:PQJ655401 PGN655386:PGN655401 OWR655386:OWR655401 OMV655386:OMV655401 OCZ655386:OCZ655401 NTD655386:NTD655401 NJH655386:NJH655401 MZL655386:MZL655401 MPP655386:MPP655401 MFT655386:MFT655401 LVX655386:LVX655401 LMB655386:LMB655401 LCF655386:LCF655401 KSJ655386:KSJ655401 KIN655386:KIN655401 JYR655386:JYR655401 JOV655386:JOV655401 JEZ655386:JEZ655401 IVD655386:IVD655401 ILH655386:ILH655401 IBL655386:IBL655401 HRP655386:HRP655401 HHT655386:HHT655401 GXX655386:GXX655401 GOB655386:GOB655401 GEF655386:GEF655401 FUJ655386:FUJ655401 FKN655386:FKN655401 FAR655386:FAR655401 EQV655386:EQV655401 EGZ655386:EGZ655401 DXD655386:DXD655401 DNH655386:DNH655401 DDL655386:DDL655401 CTP655386:CTP655401 CJT655386:CJT655401 BZX655386:BZX655401 BQB655386:BQB655401 BGF655386:BGF655401 AWJ655386:AWJ655401 AMN655386:AMN655401 ACR655386:ACR655401 SV655386:SV655401 IZ655386:IZ655401 WVL589850:WVL589865 WLP589850:WLP589865 WBT589850:WBT589865 VRX589850:VRX589865 VIB589850:VIB589865 UYF589850:UYF589865 UOJ589850:UOJ589865 UEN589850:UEN589865 TUR589850:TUR589865 TKV589850:TKV589865 TAZ589850:TAZ589865 SRD589850:SRD589865 SHH589850:SHH589865 RXL589850:RXL589865 RNP589850:RNP589865 RDT589850:RDT589865 QTX589850:QTX589865 QKB589850:QKB589865 QAF589850:QAF589865 PQJ589850:PQJ589865 PGN589850:PGN589865 OWR589850:OWR589865 OMV589850:OMV589865 OCZ589850:OCZ589865 NTD589850:NTD589865 NJH589850:NJH589865 MZL589850:MZL589865 MPP589850:MPP589865 MFT589850:MFT589865 LVX589850:LVX589865 LMB589850:LMB589865 LCF589850:LCF589865 KSJ589850:KSJ589865 KIN589850:KIN589865 JYR589850:JYR589865 JOV589850:JOV589865 JEZ589850:JEZ589865 IVD589850:IVD589865 ILH589850:ILH589865 IBL589850:IBL589865 HRP589850:HRP589865 HHT589850:HHT589865 GXX589850:GXX589865 GOB589850:GOB589865 GEF589850:GEF589865 FUJ589850:FUJ589865 FKN589850:FKN589865 FAR589850:FAR589865 EQV589850:EQV589865 EGZ589850:EGZ589865 DXD589850:DXD589865 DNH589850:DNH589865 DDL589850:DDL589865 CTP589850:CTP589865 CJT589850:CJT589865 BZX589850:BZX589865 BQB589850:BQB589865 BGF589850:BGF589865 AWJ589850:AWJ589865 AMN589850:AMN589865 ACR589850:ACR589865 SV589850:SV589865 IZ589850:IZ589865 WVL524314:WVL524329 WLP524314:WLP524329 WBT524314:WBT524329 VRX524314:VRX524329 VIB524314:VIB524329 UYF524314:UYF524329 UOJ524314:UOJ524329 UEN524314:UEN524329 TUR524314:TUR524329 TKV524314:TKV524329 TAZ524314:TAZ524329 SRD524314:SRD524329 SHH524314:SHH524329 RXL524314:RXL524329 RNP524314:RNP524329 RDT524314:RDT524329 QTX524314:QTX524329 QKB524314:QKB524329 QAF524314:QAF524329 PQJ524314:PQJ524329 PGN524314:PGN524329 OWR524314:OWR524329 OMV524314:OMV524329 OCZ524314:OCZ524329 NTD524314:NTD524329 NJH524314:NJH524329 MZL524314:MZL524329 MPP524314:MPP524329 MFT524314:MFT524329 LVX524314:LVX524329 LMB524314:LMB524329 LCF524314:LCF524329 KSJ524314:KSJ524329 KIN524314:KIN524329 JYR524314:JYR524329 JOV524314:JOV524329 JEZ524314:JEZ524329 IVD524314:IVD524329 ILH524314:ILH524329 IBL524314:IBL524329 HRP524314:HRP524329 HHT524314:HHT524329 GXX524314:GXX524329 GOB524314:GOB524329 GEF524314:GEF524329 FUJ524314:FUJ524329 FKN524314:FKN524329 FAR524314:FAR524329 EQV524314:EQV524329 EGZ524314:EGZ524329 DXD524314:DXD524329 DNH524314:DNH524329 DDL524314:DDL524329 CTP524314:CTP524329 CJT524314:CJT524329 BZX524314:BZX524329 BQB524314:BQB524329 BGF524314:BGF524329 AWJ524314:AWJ524329 AMN524314:AMN524329 ACR524314:ACR524329 SV524314:SV524329 IZ524314:IZ524329 WVL458778:WVL458793 WLP458778:WLP458793 WBT458778:WBT458793 VRX458778:VRX458793 VIB458778:VIB458793 UYF458778:UYF458793 UOJ458778:UOJ458793 UEN458778:UEN458793 TUR458778:TUR458793 TKV458778:TKV458793 TAZ458778:TAZ458793 SRD458778:SRD458793 SHH458778:SHH458793 RXL458778:RXL458793 RNP458778:RNP458793 RDT458778:RDT458793 QTX458778:QTX458793 QKB458778:QKB458793 QAF458778:QAF458793 PQJ458778:PQJ458793 PGN458778:PGN458793 OWR458778:OWR458793 OMV458778:OMV458793 OCZ458778:OCZ458793 NTD458778:NTD458793 NJH458778:NJH458793 MZL458778:MZL458793 MPP458778:MPP458793 MFT458778:MFT458793 LVX458778:LVX458793 LMB458778:LMB458793 LCF458778:LCF458793 KSJ458778:KSJ458793 KIN458778:KIN458793 JYR458778:JYR458793 JOV458778:JOV458793 JEZ458778:JEZ458793 IVD458778:IVD458793 ILH458778:ILH458793 IBL458778:IBL458793 HRP458778:HRP458793 HHT458778:HHT458793 GXX458778:GXX458793 GOB458778:GOB458793 GEF458778:GEF458793 FUJ458778:FUJ458793 FKN458778:FKN458793 FAR458778:FAR458793 EQV458778:EQV458793 EGZ458778:EGZ458793 DXD458778:DXD458793 DNH458778:DNH458793 DDL458778:DDL458793 CTP458778:CTP458793 CJT458778:CJT458793 BZX458778:BZX458793 BQB458778:BQB458793 BGF458778:BGF458793 AWJ458778:AWJ458793 AMN458778:AMN458793 ACR458778:ACR458793 SV458778:SV458793 IZ458778:IZ458793 WVL393242:WVL393257 WLP393242:WLP393257 WBT393242:WBT393257 VRX393242:VRX393257 VIB393242:VIB393257 UYF393242:UYF393257 UOJ393242:UOJ393257 UEN393242:UEN393257 TUR393242:TUR393257 TKV393242:TKV393257 TAZ393242:TAZ393257 SRD393242:SRD393257 SHH393242:SHH393257 RXL393242:RXL393257 RNP393242:RNP393257 RDT393242:RDT393257 QTX393242:QTX393257 QKB393242:QKB393257 QAF393242:QAF393257 PQJ393242:PQJ393257 PGN393242:PGN393257 OWR393242:OWR393257 OMV393242:OMV393257 OCZ393242:OCZ393257 NTD393242:NTD393257 NJH393242:NJH393257 MZL393242:MZL393257 MPP393242:MPP393257 MFT393242:MFT393257 LVX393242:LVX393257 LMB393242:LMB393257 LCF393242:LCF393257 KSJ393242:KSJ393257 KIN393242:KIN393257 JYR393242:JYR393257 JOV393242:JOV393257 JEZ393242:JEZ393257 IVD393242:IVD393257 ILH393242:ILH393257 IBL393242:IBL393257 HRP393242:HRP393257 HHT393242:HHT393257 GXX393242:GXX393257 GOB393242:GOB393257 GEF393242:GEF393257 FUJ393242:FUJ393257 FKN393242:FKN393257 FAR393242:FAR393257 EQV393242:EQV393257 EGZ393242:EGZ393257 DXD393242:DXD393257 DNH393242:DNH393257 DDL393242:DDL393257 CTP393242:CTP393257 CJT393242:CJT393257 BZX393242:BZX393257 BQB393242:BQB393257 BGF393242:BGF393257 AWJ393242:AWJ393257 AMN393242:AMN393257 ACR393242:ACR393257 SV393242:SV393257 IZ393242:IZ393257 WVL327706:WVL327721 WLP327706:WLP327721 WBT327706:WBT327721 VRX327706:VRX327721 VIB327706:VIB327721 UYF327706:UYF327721 UOJ327706:UOJ327721 UEN327706:UEN327721 TUR327706:TUR327721 TKV327706:TKV327721 TAZ327706:TAZ327721 SRD327706:SRD327721 SHH327706:SHH327721 RXL327706:RXL327721 RNP327706:RNP327721 RDT327706:RDT327721 QTX327706:QTX327721 QKB327706:QKB327721 QAF327706:QAF327721 PQJ327706:PQJ327721 PGN327706:PGN327721 OWR327706:OWR327721 OMV327706:OMV327721 OCZ327706:OCZ327721 NTD327706:NTD327721 NJH327706:NJH327721 MZL327706:MZL327721 MPP327706:MPP327721 MFT327706:MFT327721 LVX327706:LVX327721 LMB327706:LMB327721 LCF327706:LCF327721 KSJ327706:KSJ327721 KIN327706:KIN327721 JYR327706:JYR327721 JOV327706:JOV327721 JEZ327706:JEZ327721 IVD327706:IVD327721 ILH327706:ILH327721 IBL327706:IBL327721 HRP327706:HRP327721 HHT327706:HHT327721 GXX327706:GXX327721 GOB327706:GOB327721 GEF327706:GEF327721 FUJ327706:FUJ327721 FKN327706:FKN327721 FAR327706:FAR327721 EQV327706:EQV327721 EGZ327706:EGZ327721 DXD327706:DXD327721 DNH327706:DNH327721 DDL327706:DDL327721 CTP327706:CTP327721 CJT327706:CJT327721 BZX327706:BZX327721 BQB327706:BQB327721 BGF327706:BGF327721 AWJ327706:AWJ327721 AMN327706:AMN327721 ACR327706:ACR327721 SV327706:SV327721 IZ327706:IZ327721 WVL262170:WVL262185 WLP262170:WLP262185 WBT262170:WBT262185 VRX262170:VRX262185 VIB262170:VIB262185 UYF262170:UYF262185 UOJ262170:UOJ262185 UEN262170:UEN262185 TUR262170:TUR262185 TKV262170:TKV262185 TAZ262170:TAZ262185 SRD262170:SRD262185 SHH262170:SHH262185 RXL262170:RXL262185 RNP262170:RNP262185 RDT262170:RDT262185 QTX262170:QTX262185 QKB262170:QKB262185 QAF262170:QAF262185 PQJ262170:PQJ262185 PGN262170:PGN262185 OWR262170:OWR262185 OMV262170:OMV262185 OCZ262170:OCZ262185 NTD262170:NTD262185 NJH262170:NJH262185 MZL262170:MZL262185 MPP262170:MPP262185 MFT262170:MFT262185 LVX262170:LVX262185 LMB262170:LMB262185 LCF262170:LCF262185 KSJ262170:KSJ262185 KIN262170:KIN262185 JYR262170:JYR262185 JOV262170:JOV262185 JEZ262170:JEZ262185 IVD262170:IVD262185 ILH262170:ILH262185 IBL262170:IBL262185 HRP262170:HRP262185 HHT262170:HHT262185 GXX262170:GXX262185 GOB262170:GOB262185 GEF262170:GEF262185 FUJ262170:FUJ262185 FKN262170:FKN262185 FAR262170:FAR262185 EQV262170:EQV262185 EGZ262170:EGZ262185 DXD262170:DXD262185 DNH262170:DNH262185 DDL262170:DDL262185 CTP262170:CTP262185 CJT262170:CJT262185 BZX262170:BZX262185 BQB262170:BQB262185 BGF262170:BGF262185 AWJ262170:AWJ262185 AMN262170:AMN262185 ACR262170:ACR262185 SV262170:SV262185 IZ262170:IZ262185 WVL196634:WVL196649 WLP196634:WLP196649 WBT196634:WBT196649 VRX196634:VRX196649 VIB196634:VIB196649 UYF196634:UYF196649 UOJ196634:UOJ196649 UEN196634:UEN196649 TUR196634:TUR196649 TKV196634:TKV196649 TAZ196634:TAZ196649 SRD196634:SRD196649 SHH196634:SHH196649 RXL196634:RXL196649 RNP196634:RNP196649 RDT196634:RDT196649 QTX196634:QTX196649 QKB196634:QKB196649 QAF196634:QAF196649 PQJ196634:PQJ196649 PGN196634:PGN196649 OWR196634:OWR196649 OMV196634:OMV196649 OCZ196634:OCZ196649 NTD196634:NTD196649 NJH196634:NJH196649 MZL196634:MZL196649 MPP196634:MPP196649 MFT196634:MFT196649 LVX196634:LVX196649 LMB196634:LMB196649 LCF196634:LCF196649 KSJ196634:KSJ196649 KIN196634:KIN196649 JYR196634:JYR196649 JOV196634:JOV196649 JEZ196634:JEZ196649 IVD196634:IVD196649 ILH196634:ILH196649 IBL196634:IBL196649 HRP196634:HRP196649 HHT196634:HHT196649 GXX196634:GXX196649 GOB196634:GOB196649 GEF196634:GEF196649 FUJ196634:FUJ196649 FKN196634:FKN196649 FAR196634:FAR196649 EQV196634:EQV196649 EGZ196634:EGZ196649 DXD196634:DXD196649 DNH196634:DNH196649 DDL196634:DDL196649 CTP196634:CTP196649 CJT196634:CJT196649 BZX196634:BZX196649 BQB196634:BQB196649 BGF196634:BGF196649 AWJ196634:AWJ196649 AMN196634:AMN196649 ACR196634:ACR196649 SV196634:SV196649 IZ196634:IZ196649 WVL131098:WVL131113 WLP131098:WLP131113 WBT131098:WBT131113 VRX131098:VRX131113 VIB131098:VIB131113 UYF131098:UYF131113 UOJ131098:UOJ131113 UEN131098:UEN131113 TUR131098:TUR131113 TKV131098:TKV131113 TAZ131098:TAZ131113 SRD131098:SRD131113 SHH131098:SHH131113 RXL131098:RXL131113 RNP131098:RNP131113 RDT131098:RDT131113 QTX131098:QTX131113 QKB131098:QKB131113 QAF131098:QAF131113 PQJ131098:PQJ131113 PGN131098:PGN131113 OWR131098:OWR131113 OMV131098:OMV131113 OCZ131098:OCZ131113 NTD131098:NTD131113 NJH131098:NJH131113 MZL131098:MZL131113 MPP131098:MPP131113 MFT131098:MFT131113 LVX131098:LVX131113 LMB131098:LMB131113 LCF131098:LCF131113 KSJ131098:KSJ131113 KIN131098:KIN131113 JYR131098:JYR131113 JOV131098:JOV131113 JEZ131098:JEZ131113 IVD131098:IVD131113 ILH131098:ILH131113 IBL131098:IBL131113 HRP131098:HRP131113 HHT131098:HHT131113 GXX131098:GXX131113 GOB131098:GOB131113 GEF131098:GEF131113 FUJ131098:FUJ131113 FKN131098:FKN131113 FAR131098:FAR131113 EQV131098:EQV131113 EGZ131098:EGZ131113 DXD131098:DXD131113 DNH131098:DNH131113 DDL131098:DDL131113 CTP131098:CTP131113 CJT131098:CJT131113 BZX131098:BZX131113 BQB131098:BQB131113 BGF131098:BGF131113 AWJ131098:AWJ131113 AMN131098:AMN131113 ACR131098:ACR131113 SV131098:SV131113 IZ131098:IZ131113 WVL65562:WVL65577 WLP65562:WLP65577 WBT65562:WBT65577 VRX65562:VRX65577 VIB65562:VIB65577 UYF65562:UYF65577 UOJ65562:UOJ65577 UEN65562:UEN65577 TUR65562:TUR65577 TKV65562:TKV65577 TAZ65562:TAZ65577 SRD65562:SRD65577 SHH65562:SHH65577 RXL65562:RXL65577 RNP65562:RNP65577 RDT65562:RDT65577 QTX65562:QTX65577 QKB65562:QKB65577 QAF65562:QAF65577 PQJ65562:PQJ65577 PGN65562:PGN65577 OWR65562:OWR65577 OMV65562:OMV65577 OCZ65562:OCZ65577 NTD65562:NTD65577 NJH65562:NJH65577 MZL65562:MZL65577 MPP65562:MPP65577 MFT65562:MFT65577 LVX65562:LVX65577 LMB65562:LMB65577 LCF65562:LCF65577 KSJ65562:KSJ65577 KIN65562:KIN65577 JYR65562:JYR65577 JOV65562:JOV65577 JEZ65562:JEZ65577 IVD65562:IVD65577 ILH65562:ILH65577 IBL65562:IBL65577 HRP65562:HRP65577 HHT65562:HHT65577 GXX65562:GXX65577 GOB65562:GOB65577 GEF65562:GEF65577 FUJ65562:FUJ65577 FKN65562:FKN65577 FAR65562:FAR65577 EQV65562:EQV65577 EGZ65562:EGZ65577 DXD65562:DXD65577 DNH65562:DNH65577 DDL65562:DDL65577 CTP65562:CTP65577 CJT65562:CJT65577 BZX65562:BZX65577 BQB65562:BQB65577 BGF65562:BGF65577 AWJ65562:AWJ65577 AMN65562:AMN65577 ACR65562:ACR65577 SV65562:SV65577 IZ65562:IZ65577 WVN983066:WVO983081 WLR983066:WLS983081 WBV983066:WBW983081 VRZ983066:VSA983081 VID983066:VIE983081 UYH983066:UYI983081 UOL983066:UOM983081 UEP983066:UEQ983081 TUT983066:TUU983081 TKX983066:TKY983081 TBB983066:TBC983081 SRF983066:SRG983081 SHJ983066:SHK983081 RXN983066:RXO983081 RNR983066:RNS983081 RDV983066:RDW983081 QTZ983066:QUA983081 QKD983066:QKE983081 QAH983066:QAI983081 PQL983066:PQM983081 PGP983066:PGQ983081 OWT983066:OWU983081 OMX983066:OMY983081 ODB983066:ODC983081 NTF983066:NTG983081 NJJ983066:NJK983081 MZN983066:MZO983081 MPR983066:MPS983081 MFV983066:MFW983081 LVZ983066:LWA983081 LMD983066:LME983081 LCH983066:LCI983081 KSL983066:KSM983081 KIP983066:KIQ983081 JYT983066:JYU983081 JOX983066:JOY983081 JFB983066:JFC983081 IVF983066:IVG983081 ILJ983066:ILK983081 IBN983066:IBO983081 HRR983066:HRS983081 HHV983066:HHW983081 GXZ983066:GYA983081 GOD983066:GOE983081 GEH983066:GEI983081 FUL983066:FUM983081 FKP983066:FKQ983081 FAT983066:FAU983081 EQX983066:EQY983081 EHB983066:EHC983081 DXF983066:DXG983081 DNJ983066:DNK983081 DDN983066:DDO983081 CTR983066:CTS983081 CJV983066:CJW983081 BZZ983066:CAA983081 BQD983066:BQE983081 BGH983066:BGI983081 AWL983066:AWM983081 AMP983066:AMQ983081 ACT983066:ACU983081 SX983066:SY983081 JB983066:JC983081 H983066:H983081 WVN917530:WVO917545 WLR917530:WLS917545 WBV917530:WBW917545 VRZ917530:VSA917545 VID917530:VIE917545 UYH917530:UYI917545 UOL917530:UOM917545 UEP917530:UEQ917545 TUT917530:TUU917545 TKX917530:TKY917545 TBB917530:TBC917545 SRF917530:SRG917545 SHJ917530:SHK917545 RXN917530:RXO917545 RNR917530:RNS917545 RDV917530:RDW917545 QTZ917530:QUA917545 QKD917530:QKE917545 QAH917530:QAI917545 PQL917530:PQM917545 PGP917530:PGQ917545 OWT917530:OWU917545 OMX917530:OMY917545 ODB917530:ODC917545 NTF917530:NTG917545 NJJ917530:NJK917545 MZN917530:MZO917545 MPR917530:MPS917545 MFV917530:MFW917545 LVZ917530:LWA917545 LMD917530:LME917545 LCH917530:LCI917545 KSL917530:KSM917545 KIP917530:KIQ917545 JYT917530:JYU917545 JOX917530:JOY917545 JFB917530:JFC917545 IVF917530:IVG917545 ILJ917530:ILK917545 IBN917530:IBO917545 HRR917530:HRS917545 HHV917530:HHW917545 GXZ917530:GYA917545 GOD917530:GOE917545 GEH917530:GEI917545 FUL917530:FUM917545 FKP917530:FKQ917545 FAT917530:FAU917545 EQX917530:EQY917545 EHB917530:EHC917545 DXF917530:DXG917545 DNJ917530:DNK917545 DDN917530:DDO917545 CTR917530:CTS917545 CJV917530:CJW917545 BZZ917530:CAA917545 BQD917530:BQE917545 BGH917530:BGI917545 AWL917530:AWM917545 AMP917530:AMQ917545 ACT917530:ACU917545 SX917530:SY917545 JB917530:JC917545 H917530:H917545 WVN851994:WVO852009 WLR851994:WLS852009 WBV851994:WBW852009 VRZ851994:VSA852009 VID851994:VIE852009 UYH851994:UYI852009 UOL851994:UOM852009 UEP851994:UEQ852009 TUT851994:TUU852009 TKX851994:TKY852009 TBB851994:TBC852009 SRF851994:SRG852009 SHJ851994:SHK852009 RXN851994:RXO852009 RNR851994:RNS852009 RDV851994:RDW852009 QTZ851994:QUA852009 QKD851994:QKE852009 QAH851994:QAI852009 PQL851994:PQM852009 PGP851994:PGQ852009 OWT851994:OWU852009 OMX851994:OMY852009 ODB851994:ODC852009 NTF851994:NTG852009 NJJ851994:NJK852009 MZN851994:MZO852009 MPR851994:MPS852009 MFV851994:MFW852009 LVZ851994:LWA852009 LMD851994:LME852009 LCH851994:LCI852009 KSL851994:KSM852009 KIP851994:KIQ852009 JYT851994:JYU852009 JOX851994:JOY852009 JFB851994:JFC852009 IVF851994:IVG852009 ILJ851994:ILK852009 IBN851994:IBO852009 HRR851994:HRS852009 HHV851994:HHW852009 GXZ851994:GYA852009 GOD851994:GOE852009 GEH851994:GEI852009 FUL851994:FUM852009 FKP851994:FKQ852009 FAT851994:FAU852009 EQX851994:EQY852009 EHB851994:EHC852009 DXF851994:DXG852009 DNJ851994:DNK852009 DDN851994:DDO852009 CTR851994:CTS852009 CJV851994:CJW852009 BZZ851994:CAA852009 BQD851994:BQE852009 BGH851994:BGI852009 AWL851994:AWM852009 AMP851994:AMQ852009 ACT851994:ACU852009 SX851994:SY852009 JB851994:JC852009 H851994:H852009 WVN786458:WVO786473 WLR786458:WLS786473 WBV786458:WBW786473 VRZ786458:VSA786473 VID786458:VIE786473 UYH786458:UYI786473 UOL786458:UOM786473 UEP786458:UEQ786473 TUT786458:TUU786473 TKX786458:TKY786473 TBB786458:TBC786473 SRF786458:SRG786473 SHJ786458:SHK786473 RXN786458:RXO786473 RNR786458:RNS786473 RDV786458:RDW786473 QTZ786458:QUA786473 QKD786458:QKE786473 QAH786458:QAI786473 PQL786458:PQM786473 PGP786458:PGQ786473 OWT786458:OWU786473 OMX786458:OMY786473 ODB786458:ODC786473 NTF786458:NTG786473 NJJ786458:NJK786473 MZN786458:MZO786473 MPR786458:MPS786473 MFV786458:MFW786473 LVZ786458:LWA786473 LMD786458:LME786473 LCH786458:LCI786473 KSL786458:KSM786473 KIP786458:KIQ786473 JYT786458:JYU786473 JOX786458:JOY786473 JFB786458:JFC786473 IVF786458:IVG786473 ILJ786458:ILK786473 IBN786458:IBO786473 HRR786458:HRS786473 HHV786458:HHW786473 GXZ786458:GYA786473 GOD786458:GOE786473 GEH786458:GEI786473 FUL786458:FUM786473 FKP786458:FKQ786473 FAT786458:FAU786473 EQX786458:EQY786473 EHB786458:EHC786473 DXF786458:DXG786473 DNJ786458:DNK786473 DDN786458:DDO786473 CTR786458:CTS786473 CJV786458:CJW786473 BZZ786458:CAA786473 BQD786458:BQE786473 BGH786458:BGI786473 AWL786458:AWM786473 AMP786458:AMQ786473 ACT786458:ACU786473 SX786458:SY786473 JB786458:JC786473 H786458:H786473 WVN720922:WVO720937 WLR720922:WLS720937 WBV720922:WBW720937 VRZ720922:VSA720937 VID720922:VIE720937 UYH720922:UYI720937 UOL720922:UOM720937 UEP720922:UEQ720937 TUT720922:TUU720937 TKX720922:TKY720937 TBB720922:TBC720937 SRF720922:SRG720937 SHJ720922:SHK720937 RXN720922:RXO720937 RNR720922:RNS720937 RDV720922:RDW720937 QTZ720922:QUA720937 QKD720922:QKE720937 QAH720922:QAI720937 PQL720922:PQM720937 PGP720922:PGQ720937 OWT720922:OWU720937 OMX720922:OMY720937 ODB720922:ODC720937 NTF720922:NTG720937 NJJ720922:NJK720937 MZN720922:MZO720937 MPR720922:MPS720937 MFV720922:MFW720937 LVZ720922:LWA720937 LMD720922:LME720937 LCH720922:LCI720937 KSL720922:KSM720937 KIP720922:KIQ720937 JYT720922:JYU720937 JOX720922:JOY720937 JFB720922:JFC720937 IVF720922:IVG720937 ILJ720922:ILK720937 IBN720922:IBO720937 HRR720922:HRS720937 HHV720922:HHW720937 GXZ720922:GYA720937 GOD720922:GOE720937 GEH720922:GEI720937 FUL720922:FUM720937 FKP720922:FKQ720937 FAT720922:FAU720937 EQX720922:EQY720937 EHB720922:EHC720937 DXF720922:DXG720937 DNJ720922:DNK720937 DDN720922:DDO720937 CTR720922:CTS720937 CJV720922:CJW720937 BZZ720922:CAA720937 BQD720922:BQE720937 BGH720922:BGI720937 AWL720922:AWM720937 AMP720922:AMQ720937 ACT720922:ACU720937 SX720922:SY720937 JB720922:JC720937 H720922:H720937 WVN655386:WVO655401 WLR655386:WLS655401 WBV655386:WBW655401 VRZ655386:VSA655401 VID655386:VIE655401 UYH655386:UYI655401 UOL655386:UOM655401 UEP655386:UEQ655401 TUT655386:TUU655401 TKX655386:TKY655401 TBB655386:TBC655401 SRF655386:SRG655401 SHJ655386:SHK655401 RXN655386:RXO655401 RNR655386:RNS655401 RDV655386:RDW655401 QTZ655386:QUA655401 QKD655386:QKE655401 QAH655386:QAI655401 PQL655386:PQM655401 PGP655386:PGQ655401 OWT655386:OWU655401 OMX655386:OMY655401 ODB655386:ODC655401 NTF655386:NTG655401 NJJ655386:NJK655401 MZN655386:MZO655401 MPR655386:MPS655401 MFV655386:MFW655401 LVZ655386:LWA655401 LMD655386:LME655401 LCH655386:LCI655401 KSL655386:KSM655401 KIP655386:KIQ655401 JYT655386:JYU655401 JOX655386:JOY655401 JFB655386:JFC655401 IVF655386:IVG655401 ILJ655386:ILK655401 IBN655386:IBO655401 HRR655386:HRS655401 HHV655386:HHW655401 GXZ655386:GYA655401 GOD655386:GOE655401 GEH655386:GEI655401 FUL655386:FUM655401 FKP655386:FKQ655401 FAT655386:FAU655401 EQX655386:EQY655401 EHB655386:EHC655401 DXF655386:DXG655401 DNJ655386:DNK655401 DDN655386:DDO655401 CTR655386:CTS655401 CJV655386:CJW655401 BZZ655386:CAA655401 BQD655386:BQE655401 BGH655386:BGI655401 AWL655386:AWM655401 AMP655386:AMQ655401 ACT655386:ACU655401 SX655386:SY655401 JB655386:JC655401 H655386:H655401 WVN589850:WVO589865 WLR589850:WLS589865 WBV589850:WBW589865 VRZ589850:VSA589865 VID589850:VIE589865 UYH589850:UYI589865 UOL589850:UOM589865 UEP589850:UEQ589865 TUT589850:TUU589865 TKX589850:TKY589865 TBB589850:TBC589865 SRF589850:SRG589865 SHJ589850:SHK589865 RXN589850:RXO589865 RNR589850:RNS589865 RDV589850:RDW589865 QTZ589850:QUA589865 QKD589850:QKE589865 QAH589850:QAI589865 PQL589850:PQM589865 PGP589850:PGQ589865 OWT589850:OWU589865 OMX589850:OMY589865 ODB589850:ODC589865 NTF589850:NTG589865 NJJ589850:NJK589865 MZN589850:MZO589865 MPR589850:MPS589865 MFV589850:MFW589865 LVZ589850:LWA589865 LMD589850:LME589865 LCH589850:LCI589865 KSL589850:KSM589865 KIP589850:KIQ589865 JYT589850:JYU589865 JOX589850:JOY589865 JFB589850:JFC589865 IVF589850:IVG589865 ILJ589850:ILK589865 IBN589850:IBO589865 HRR589850:HRS589865 HHV589850:HHW589865 GXZ589850:GYA589865 GOD589850:GOE589865 GEH589850:GEI589865 FUL589850:FUM589865 FKP589850:FKQ589865 FAT589850:FAU589865 EQX589850:EQY589865 EHB589850:EHC589865 DXF589850:DXG589865 DNJ589850:DNK589865 DDN589850:DDO589865 CTR589850:CTS589865 CJV589850:CJW589865 BZZ589850:CAA589865 BQD589850:BQE589865 BGH589850:BGI589865 AWL589850:AWM589865 AMP589850:AMQ589865 ACT589850:ACU589865 SX589850:SY589865 JB589850:JC589865 H589850:H589865 WVN524314:WVO524329 WLR524314:WLS524329 WBV524314:WBW524329 VRZ524314:VSA524329 VID524314:VIE524329 UYH524314:UYI524329 UOL524314:UOM524329 UEP524314:UEQ524329 TUT524314:TUU524329 TKX524314:TKY524329 TBB524314:TBC524329 SRF524314:SRG524329 SHJ524314:SHK524329 RXN524314:RXO524329 RNR524314:RNS524329 RDV524314:RDW524329 QTZ524314:QUA524329 QKD524314:QKE524329 QAH524314:QAI524329 PQL524314:PQM524329 PGP524314:PGQ524329 OWT524314:OWU524329 OMX524314:OMY524329 ODB524314:ODC524329 NTF524314:NTG524329 NJJ524314:NJK524329 MZN524314:MZO524329 MPR524314:MPS524329 MFV524314:MFW524329 LVZ524314:LWA524329 LMD524314:LME524329 LCH524314:LCI524329 KSL524314:KSM524329 KIP524314:KIQ524329 JYT524314:JYU524329 JOX524314:JOY524329 JFB524314:JFC524329 IVF524314:IVG524329 ILJ524314:ILK524329 IBN524314:IBO524329 HRR524314:HRS524329 HHV524314:HHW524329 GXZ524314:GYA524329 GOD524314:GOE524329 GEH524314:GEI524329 FUL524314:FUM524329 FKP524314:FKQ524329 FAT524314:FAU524329 EQX524314:EQY524329 EHB524314:EHC524329 DXF524314:DXG524329 DNJ524314:DNK524329 DDN524314:DDO524329 CTR524314:CTS524329 CJV524314:CJW524329 BZZ524314:CAA524329 BQD524314:BQE524329 BGH524314:BGI524329 AWL524314:AWM524329 AMP524314:AMQ524329 ACT524314:ACU524329 SX524314:SY524329 JB524314:JC524329 H524314:H524329 WVN458778:WVO458793 WLR458778:WLS458793 WBV458778:WBW458793 VRZ458778:VSA458793 VID458778:VIE458793 UYH458778:UYI458793 UOL458778:UOM458793 UEP458778:UEQ458793 TUT458778:TUU458793 TKX458778:TKY458793 TBB458778:TBC458793 SRF458778:SRG458793 SHJ458778:SHK458793 RXN458778:RXO458793 RNR458778:RNS458793 RDV458778:RDW458793 QTZ458778:QUA458793 QKD458778:QKE458793 QAH458778:QAI458793 PQL458778:PQM458793 PGP458778:PGQ458793 OWT458778:OWU458793 OMX458778:OMY458793 ODB458778:ODC458793 NTF458778:NTG458793 NJJ458778:NJK458793 MZN458778:MZO458793 MPR458778:MPS458793 MFV458778:MFW458793 LVZ458778:LWA458793 LMD458778:LME458793 LCH458778:LCI458793 KSL458778:KSM458793 KIP458778:KIQ458793 JYT458778:JYU458793 JOX458778:JOY458793 JFB458778:JFC458793 IVF458778:IVG458793 ILJ458778:ILK458793 IBN458778:IBO458793 HRR458778:HRS458793 HHV458778:HHW458793 GXZ458778:GYA458793 GOD458778:GOE458793 GEH458778:GEI458793 FUL458778:FUM458793 FKP458778:FKQ458793 FAT458778:FAU458793 EQX458778:EQY458793 EHB458778:EHC458793 DXF458778:DXG458793 DNJ458778:DNK458793 DDN458778:DDO458793 CTR458778:CTS458793 CJV458778:CJW458793 BZZ458778:CAA458793 BQD458778:BQE458793 BGH458778:BGI458793 AWL458778:AWM458793 AMP458778:AMQ458793 ACT458778:ACU458793 SX458778:SY458793 JB458778:JC458793 H458778:H458793 WVN393242:WVO393257 WLR393242:WLS393257 WBV393242:WBW393257 VRZ393242:VSA393257 VID393242:VIE393257 UYH393242:UYI393257 UOL393242:UOM393257 UEP393242:UEQ393257 TUT393242:TUU393257 TKX393242:TKY393257 TBB393242:TBC393257 SRF393242:SRG393257 SHJ393242:SHK393257 RXN393242:RXO393257 RNR393242:RNS393257 RDV393242:RDW393257 QTZ393242:QUA393257 QKD393242:QKE393257 QAH393242:QAI393257 PQL393242:PQM393257 PGP393242:PGQ393257 OWT393242:OWU393257 OMX393242:OMY393257 ODB393242:ODC393257 NTF393242:NTG393257 NJJ393242:NJK393257 MZN393242:MZO393257 MPR393242:MPS393257 MFV393242:MFW393257 LVZ393242:LWA393257 LMD393242:LME393257 LCH393242:LCI393257 KSL393242:KSM393257 KIP393242:KIQ393257 JYT393242:JYU393257 JOX393242:JOY393257 JFB393242:JFC393257 IVF393242:IVG393257 ILJ393242:ILK393257 IBN393242:IBO393257 HRR393242:HRS393257 HHV393242:HHW393257 GXZ393242:GYA393257 GOD393242:GOE393257 GEH393242:GEI393257 FUL393242:FUM393257 FKP393242:FKQ393257 FAT393242:FAU393257 EQX393242:EQY393257 EHB393242:EHC393257 DXF393242:DXG393257 DNJ393242:DNK393257 DDN393242:DDO393257 CTR393242:CTS393257 CJV393242:CJW393257 BZZ393242:CAA393257 BQD393242:BQE393257 BGH393242:BGI393257 AWL393242:AWM393257 AMP393242:AMQ393257 ACT393242:ACU393257 SX393242:SY393257 JB393242:JC393257 H393242:H393257 WVN327706:WVO327721 WLR327706:WLS327721 WBV327706:WBW327721 VRZ327706:VSA327721 VID327706:VIE327721 UYH327706:UYI327721 UOL327706:UOM327721 UEP327706:UEQ327721 TUT327706:TUU327721 TKX327706:TKY327721 TBB327706:TBC327721 SRF327706:SRG327721 SHJ327706:SHK327721 RXN327706:RXO327721 RNR327706:RNS327721 RDV327706:RDW327721 QTZ327706:QUA327721 QKD327706:QKE327721 QAH327706:QAI327721 PQL327706:PQM327721 PGP327706:PGQ327721 OWT327706:OWU327721 OMX327706:OMY327721 ODB327706:ODC327721 NTF327706:NTG327721 NJJ327706:NJK327721 MZN327706:MZO327721 MPR327706:MPS327721 MFV327706:MFW327721 LVZ327706:LWA327721 LMD327706:LME327721 LCH327706:LCI327721 KSL327706:KSM327721 KIP327706:KIQ327721 JYT327706:JYU327721 JOX327706:JOY327721 JFB327706:JFC327721 IVF327706:IVG327721 ILJ327706:ILK327721 IBN327706:IBO327721 HRR327706:HRS327721 HHV327706:HHW327721 GXZ327706:GYA327721 GOD327706:GOE327721 GEH327706:GEI327721 FUL327706:FUM327721 FKP327706:FKQ327721 FAT327706:FAU327721 EQX327706:EQY327721 EHB327706:EHC327721 DXF327706:DXG327721 DNJ327706:DNK327721 DDN327706:DDO327721 CTR327706:CTS327721 CJV327706:CJW327721 BZZ327706:CAA327721 BQD327706:BQE327721 BGH327706:BGI327721 AWL327706:AWM327721 AMP327706:AMQ327721 ACT327706:ACU327721 SX327706:SY327721 JB327706:JC327721 H327706:H327721 WVN262170:WVO262185 WLR262170:WLS262185 WBV262170:WBW262185 VRZ262170:VSA262185 VID262170:VIE262185 UYH262170:UYI262185 UOL262170:UOM262185 UEP262170:UEQ262185 TUT262170:TUU262185 TKX262170:TKY262185 TBB262170:TBC262185 SRF262170:SRG262185 SHJ262170:SHK262185 RXN262170:RXO262185 RNR262170:RNS262185 RDV262170:RDW262185 QTZ262170:QUA262185 QKD262170:QKE262185 QAH262170:QAI262185 PQL262170:PQM262185 PGP262170:PGQ262185 OWT262170:OWU262185 OMX262170:OMY262185 ODB262170:ODC262185 NTF262170:NTG262185 NJJ262170:NJK262185 MZN262170:MZO262185 MPR262170:MPS262185 MFV262170:MFW262185 LVZ262170:LWA262185 LMD262170:LME262185 LCH262170:LCI262185 KSL262170:KSM262185 KIP262170:KIQ262185 JYT262170:JYU262185 JOX262170:JOY262185 JFB262170:JFC262185 IVF262170:IVG262185 ILJ262170:ILK262185 IBN262170:IBO262185 HRR262170:HRS262185 HHV262170:HHW262185 GXZ262170:GYA262185 GOD262170:GOE262185 GEH262170:GEI262185 FUL262170:FUM262185 FKP262170:FKQ262185 FAT262170:FAU262185 EQX262170:EQY262185 EHB262170:EHC262185 DXF262170:DXG262185 DNJ262170:DNK262185 DDN262170:DDO262185 CTR262170:CTS262185 CJV262170:CJW262185 BZZ262170:CAA262185 BQD262170:BQE262185 BGH262170:BGI262185 AWL262170:AWM262185 AMP262170:AMQ262185 ACT262170:ACU262185 SX262170:SY262185 JB262170:JC262185 H262170:H262185 WVN196634:WVO196649 WLR196634:WLS196649 WBV196634:WBW196649 VRZ196634:VSA196649 VID196634:VIE196649 UYH196634:UYI196649 UOL196634:UOM196649 UEP196634:UEQ196649 TUT196634:TUU196649 TKX196634:TKY196649 TBB196634:TBC196649 SRF196634:SRG196649 SHJ196634:SHK196649 RXN196634:RXO196649 RNR196634:RNS196649 RDV196634:RDW196649 QTZ196634:QUA196649 QKD196634:QKE196649 QAH196634:QAI196649 PQL196634:PQM196649 PGP196634:PGQ196649 OWT196634:OWU196649 OMX196634:OMY196649 ODB196634:ODC196649 NTF196634:NTG196649 NJJ196634:NJK196649 MZN196634:MZO196649 MPR196634:MPS196649 MFV196634:MFW196649 LVZ196634:LWA196649 LMD196634:LME196649 LCH196634:LCI196649 KSL196634:KSM196649 KIP196634:KIQ196649 JYT196634:JYU196649 JOX196634:JOY196649 JFB196634:JFC196649 IVF196634:IVG196649 ILJ196634:ILK196649 IBN196634:IBO196649 HRR196634:HRS196649 HHV196634:HHW196649 GXZ196634:GYA196649 GOD196634:GOE196649 GEH196634:GEI196649 FUL196634:FUM196649 FKP196634:FKQ196649 FAT196634:FAU196649 EQX196634:EQY196649 EHB196634:EHC196649 DXF196634:DXG196649 DNJ196634:DNK196649 DDN196634:DDO196649 CTR196634:CTS196649 CJV196634:CJW196649 BZZ196634:CAA196649 BQD196634:BQE196649 BGH196634:BGI196649 AWL196634:AWM196649 AMP196634:AMQ196649 ACT196634:ACU196649 SX196634:SY196649 JB196634:JC196649 H196634:H196649 WVN131098:WVO131113 WLR131098:WLS131113 WBV131098:WBW131113 VRZ131098:VSA131113 VID131098:VIE131113 UYH131098:UYI131113 UOL131098:UOM131113 UEP131098:UEQ131113 TUT131098:TUU131113 TKX131098:TKY131113 TBB131098:TBC131113 SRF131098:SRG131113 SHJ131098:SHK131113 RXN131098:RXO131113 RNR131098:RNS131113 RDV131098:RDW131113 QTZ131098:QUA131113 QKD131098:QKE131113 QAH131098:QAI131113 PQL131098:PQM131113 PGP131098:PGQ131113 OWT131098:OWU131113 OMX131098:OMY131113 ODB131098:ODC131113 NTF131098:NTG131113 NJJ131098:NJK131113 MZN131098:MZO131113 MPR131098:MPS131113 MFV131098:MFW131113 LVZ131098:LWA131113 LMD131098:LME131113 LCH131098:LCI131113 KSL131098:KSM131113 KIP131098:KIQ131113 JYT131098:JYU131113 JOX131098:JOY131113 JFB131098:JFC131113 IVF131098:IVG131113 ILJ131098:ILK131113 IBN131098:IBO131113 HRR131098:HRS131113 HHV131098:HHW131113 GXZ131098:GYA131113 GOD131098:GOE131113 GEH131098:GEI131113 FUL131098:FUM131113 FKP131098:FKQ131113 FAT131098:FAU131113 EQX131098:EQY131113 EHB131098:EHC131113 DXF131098:DXG131113 DNJ131098:DNK131113 DDN131098:DDO131113 CTR131098:CTS131113 CJV131098:CJW131113 BZZ131098:CAA131113 BQD131098:BQE131113 BGH131098:BGI131113 AWL131098:AWM131113 AMP131098:AMQ131113 ACT131098:ACU131113 SX131098:SY131113 JB131098:JC131113 H131098:H131113 WVN65562:WVO65577 WLR65562:WLS65577 WBV65562:WBW65577 VRZ65562:VSA65577 VID65562:VIE65577 UYH65562:UYI65577 UOL65562:UOM65577 UEP65562:UEQ65577 TUT65562:TUU65577 TKX65562:TKY65577 TBB65562:TBC65577 SRF65562:SRG65577 SHJ65562:SHK65577 RXN65562:RXO65577 RNR65562:RNS65577 RDV65562:RDW65577 QTZ65562:QUA65577 QKD65562:QKE65577 QAH65562:QAI65577 PQL65562:PQM65577 PGP65562:PGQ65577 OWT65562:OWU65577 OMX65562:OMY65577 ODB65562:ODC65577 NTF65562:NTG65577 NJJ65562:NJK65577 MZN65562:MZO65577 MPR65562:MPS65577 MFV65562:MFW65577 LVZ65562:LWA65577 LMD65562:LME65577 LCH65562:LCI65577 KSL65562:KSM65577 KIP65562:KIQ65577 JYT65562:JYU65577 JOX65562:JOY65577 JFB65562:JFC65577 IVF65562:IVG65577 ILJ65562:ILK65577 IBN65562:IBO65577 HRR65562:HRS65577 HHV65562:HHW65577 GXZ65562:GYA65577 GOD65562:GOE65577 GEH65562:GEI65577 FUL65562:FUM65577 FKP65562:FKQ65577 FAT65562:FAU65577 EQX65562:EQY65577 EHB65562:EHC65577 DXF65562:DXG65577 DNJ65562:DNK65577 DDN65562:DDO65577 CTR65562:CTS65577 CJV65562:CJW65577 BZZ65562:CAA65577 BQD65562:BQE65577 BGH65562:BGI65577 AWL65562:AWM65577 AMP65562:AMQ65577 ACT65562:ACU65577 SX65562:SY65577 JB65562:JC65577 H65562:H65577 BGN46:BGO55 WVN983085:WVO983085 WLR983085:WLS983085 WBV983085:WBW983085 VRZ983085:VSA983085 VID983085:VIE983085 UYH983085:UYI983085 UOL983085:UOM983085 UEP983085:UEQ983085 TUT983085:TUU983085 TKX983085:TKY983085 TBB983085:TBC983085 SRF983085:SRG983085 SHJ983085:SHK983085 RXN983085:RXO983085 RNR983085:RNS983085 RDV983085:RDW983085 QTZ983085:QUA983085 QKD983085:QKE983085 QAH983085:QAI983085 PQL983085:PQM983085 PGP983085:PGQ983085 OWT983085:OWU983085 OMX983085:OMY983085 ODB983085:ODC983085 NTF983085:NTG983085 NJJ983085:NJK983085 MZN983085:MZO983085 MPR983085:MPS983085 MFV983085:MFW983085 LVZ983085:LWA983085 LMD983085:LME983085 LCH983085:LCI983085 KSL983085:KSM983085 KIP983085:KIQ983085 JYT983085:JYU983085 JOX983085:JOY983085 JFB983085:JFC983085 IVF983085:IVG983085 ILJ983085:ILK983085 IBN983085:IBO983085 HRR983085:HRS983085 HHV983085:HHW983085 GXZ983085:GYA983085 GOD983085:GOE983085 GEH983085:GEI983085 FUL983085:FUM983085 FKP983085:FKQ983085 FAT983085:FAU983085 EQX983085:EQY983085 EHB983085:EHC983085 DXF983085:DXG983085 DNJ983085:DNK983085 DDN983085:DDO983085 CTR983085:CTS983085 CJV983085:CJW983085 BZZ983085:CAA983085 BQD983085:BQE983085 BGH983085:BGI983085 AWL983085:AWM983085 AMP983085:AMQ983085 ACT983085:ACU983085 SX983085:SY983085 JB983085:JC983085 H983085 WVN917549:WVO917549 WLR917549:WLS917549 WBV917549:WBW917549 VRZ917549:VSA917549 VID917549:VIE917549 UYH917549:UYI917549 UOL917549:UOM917549 UEP917549:UEQ917549 TUT917549:TUU917549 TKX917549:TKY917549 TBB917549:TBC917549 SRF917549:SRG917549 SHJ917549:SHK917549 RXN917549:RXO917549 RNR917549:RNS917549 RDV917549:RDW917549 QTZ917549:QUA917549 QKD917549:QKE917549 QAH917549:QAI917549 PQL917549:PQM917549 PGP917549:PGQ917549 OWT917549:OWU917549 OMX917549:OMY917549 ODB917549:ODC917549 NTF917549:NTG917549 NJJ917549:NJK917549 MZN917549:MZO917549 MPR917549:MPS917549 MFV917549:MFW917549 LVZ917549:LWA917549 LMD917549:LME917549 LCH917549:LCI917549 KSL917549:KSM917549 KIP917549:KIQ917549 JYT917549:JYU917549 JOX917549:JOY917549 JFB917549:JFC917549 IVF917549:IVG917549 ILJ917549:ILK917549 IBN917549:IBO917549 HRR917549:HRS917549 HHV917549:HHW917549 GXZ917549:GYA917549 GOD917549:GOE917549 GEH917549:GEI917549 FUL917549:FUM917549 FKP917549:FKQ917549 FAT917549:FAU917549 EQX917549:EQY917549 EHB917549:EHC917549 DXF917549:DXG917549 DNJ917549:DNK917549 DDN917549:DDO917549 CTR917549:CTS917549 CJV917549:CJW917549 BZZ917549:CAA917549 BQD917549:BQE917549 BGH917549:BGI917549 AWL917549:AWM917549 AMP917549:AMQ917549 ACT917549:ACU917549 SX917549:SY917549 JB917549:JC917549 H917549 WVN852013:WVO852013 WLR852013:WLS852013 WBV852013:WBW852013 VRZ852013:VSA852013 VID852013:VIE852013 UYH852013:UYI852013 UOL852013:UOM852013 UEP852013:UEQ852013 TUT852013:TUU852013 TKX852013:TKY852013 TBB852013:TBC852013 SRF852013:SRG852013 SHJ852013:SHK852013 RXN852013:RXO852013 RNR852013:RNS852013 RDV852013:RDW852013 QTZ852013:QUA852013 QKD852013:QKE852013 QAH852013:QAI852013 PQL852013:PQM852013 PGP852013:PGQ852013 OWT852013:OWU852013 OMX852013:OMY852013 ODB852013:ODC852013 NTF852013:NTG852013 NJJ852013:NJK852013 MZN852013:MZO852013 MPR852013:MPS852013 MFV852013:MFW852013 LVZ852013:LWA852013 LMD852013:LME852013 LCH852013:LCI852013 KSL852013:KSM852013 KIP852013:KIQ852013 JYT852013:JYU852013 JOX852013:JOY852013 JFB852013:JFC852013 IVF852013:IVG852013 ILJ852013:ILK852013 IBN852013:IBO852013 HRR852013:HRS852013 HHV852013:HHW852013 GXZ852013:GYA852013 GOD852013:GOE852013 GEH852013:GEI852013 FUL852013:FUM852013 FKP852013:FKQ852013 FAT852013:FAU852013 EQX852013:EQY852013 EHB852013:EHC852013 DXF852013:DXG852013 DNJ852013:DNK852013 DDN852013:DDO852013 CTR852013:CTS852013 CJV852013:CJW852013 BZZ852013:CAA852013 BQD852013:BQE852013 BGH852013:BGI852013 AWL852013:AWM852013 AMP852013:AMQ852013 ACT852013:ACU852013 SX852013:SY852013 JB852013:JC852013 H852013 WVN786477:WVO786477 WLR786477:WLS786477 WBV786477:WBW786477 VRZ786477:VSA786477 VID786477:VIE786477 UYH786477:UYI786477 UOL786477:UOM786477 UEP786477:UEQ786477 TUT786477:TUU786477 TKX786477:TKY786477 TBB786477:TBC786477 SRF786477:SRG786477 SHJ786477:SHK786477 RXN786477:RXO786477 RNR786477:RNS786477 RDV786477:RDW786477 QTZ786477:QUA786477 QKD786477:QKE786477 QAH786477:QAI786477 PQL786477:PQM786477 PGP786477:PGQ786477 OWT786477:OWU786477 OMX786477:OMY786477 ODB786477:ODC786477 NTF786477:NTG786477 NJJ786477:NJK786477 MZN786477:MZO786477 MPR786477:MPS786477 MFV786477:MFW786477 LVZ786477:LWA786477 LMD786477:LME786477 LCH786477:LCI786477 KSL786477:KSM786477 KIP786477:KIQ786477 JYT786477:JYU786477 JOX786477:JOY786477 JFB786477:JFC786477 IVF786477:IVG786477 ILJ786477:ILK786477 IBN786477:IBO786477 HRR786477:HRS786477 HHV786477:HHW786477 GXZ786477:GYA786477 GOD786477:GOE786477 GEH786477:GEI786477 FUL786477:FUM786477 FKP786477:FKQ786477 FAT786477:FAU786477 EQX786477:EQY786477 EHB786477:EHC786477 DXF786477:DXG786477 DNJ786477:DNK786477 DDN786477:DDO786477 CTR786477:CTS786477 CJV786477:CJW786477 BZZ786477:CAA786477 BQD786477:BQE786477 BGH786477:BGI786477 AWL786477:AWM786477 AMP786477:AMQ786477 ACT786477:ACU786477 SX786477:SY786477 JB786477:JC786477 H786477 WVN720941:WVO720941 WLR720941:WLS720941 WBV720941:WBW720941 VRZ720941:VSA720941 VID720941:VIE720941 UYH720941:UYI720941 UOL720941:UOM720941 UEP720941:UEQ720941 TUT720941:TUU720941 TKX720941:TKY720941 TBB720941:TBC720941 SRF720941:SRG720941 SHJ720941:SHK720941 RXN720941:RXO720941 RNR720941:RNS720941 RDV720941:RDW720941 QTZ720941:QUA720941 QKD720941:QKE720941 QAH720941:QAI720941 PQL720941:PQM720941 PGP720941:PGQ720941 OWT720941:OWU720941 OMX720941:OMY720941 ODB720941:ODC720941 NTF720941:NTG720941 NJJ720941:NJK720941 MZN720941:MZO720941 MPR720941:MPS720941 MFV720941:MFW720941 LVZ720941:LWA720941 LMD720941:LME720941 LCH720941:LCI720941 KSL720941:KSM720941 KIP720941:KIQ720941 JYT720941:JYU720941 JOX720941:JOY720941 JFB720941:JFC720941 IVF720941:IVG720941 ILJ720941:ILK720941 IBN720941:IBO720941 HRR720941:HRS720941 HHV720941:HHW720941 GXZ720941:GYA720941 GOD720941:GOE720941 GEH720941:GEI720941 FUL720941:FUM720941 FKP720941:FKQ720941 FAT720941:FAU720941 EQX720941:EQY720941 EHB720941:EHC720941 DXF720941:DXG720941 DNJ720941:DNK720941 DDN720941:DDO720941 CTR720941:CTS720941 CJV720941:CJW720941 BZZ720941:CAA720941 BQD720941:BQE720941 BGH720941:BGI720941 AWL720941:AWM720941 AMP720941:AMQ720941 ACT720941:ACU720941 SX720941:SY720941 JB720941:JC720941 H720941 WVN655405:WVO655405 WLR655405:WLS655405 WBV655405:WBW655405 VRZ655405:VSA655405 VID655405:VIE655405 UYH655405:UYI655405 UOL655405:UOM655405 UEP655405:UEQ655405 TUT655405:TUU655405 TKX655405:TKY655405 TBB655405:TBC655405 SRF655405:SRG655405 SHJ655405:SHK655405 RXN655405:RXO655405 RNR655405:RNS655405 RDV655405:RDW655405 QTZ655405:QUA655405 QKD655405:QKE655405 QAH655405:QAI655405 PQL655405:PQM655405 PGP655405:PGQ655405 OWT655405:OWU655405 OMX655405:OMY655405 ODB655405:ODC655405 NTF655405:NTG655405 NJJ655405:NJK655405 MZN655405:MZO655405 MPR655405:MPS655405 MFV655405:MFW655405 LVZ655405:LWA655405 LMD655405:LME655405 LCH655405:LCI655405 KSL655405:KSM655405 KIP655405:KIQ655405 JYT655405:JYU655405 JOX655405:JOY655405 JFB655405:JFC655405 IVF655405:IVG655405 ILJ655405:ILK655405 IBN655405:IBO655405 HRR655405:HRS655405 HHV655405:HHW655405 GXZ655405:GYA655405 GOD655405:GOE655405 GEH655405:GEI655405 FUL655405:FUM655405 FKP655405:FKQ655405 FAT655405:FAU655405 EQX655405:EQY655405 EHB655405:EHC655405 DXF655405:DXG655405 DNJ655405:DNK655405 DDN655405:DDO655405 CTR655405:CTS655405 CJV655405:CJW655405 BZZ655405:CAA655405 BQD655405:BQE655405 BGH655405:BGI655405 AWL655405:AWM655405 AMP655405:AMQ655405 ACT655405:ACU655405 SX655405:SY655405 JB655405:JC655405 H655405 WVN589869:WVO589869 WLR589869:WLS589869 WBV589869:WBW589869 VRZ589869:VSA589869 VID589869:VIE589869 UYH589869:UYI589869 UOL589869:UOM589869 UEP589869:UEQ589869 TUT589869:TUU589869 TKX589869:TKY589869 TBB589869:TBC589869 SRF589869:SRG589869 SHJ589869:SHK589869 RXN589869:RXO589869 RNR589869:RNS589869 RDV589869:RDW589869 QTZ589869:QUA589869 QKD589869:QKE589869 QAH589869:QAI589869 PQL589869:PQM589869 PGP589869:PGQ589869 OWT589869:OWU589869 OMX589869:OMY589869 ODB589869:ODC589869 NTF589869:NTG589869 NJJ589869:NJK589869 MZN589869:MZO589869 MPR589869:MPS589869 MFV589869:MFW589869 LVZ589869:LWA589869 LMD589869:LME589869 LCH589869:LCI589869 KSL589869:KSM589869 KIP589869:KIQ589869 JYT589869:JYU589869 JOX589869:JOY589869 JFB589869:JFC589869 IVF589869:IVG589869 ILJ589869:ILK589869 IBN589869:IBO589869 HRR589869:HRS589869 HHV589869:HHW589869 GXZ589869:GYA589869 GOD589869:GOE589869 GEH589869:GEI589869 FUL589869:FUM589869 FKP589869:FKQ589869 FAT589869:FAU589869 EQX589869:EQY589869 EHB589869:EHC589869 DXF589869:DXG589869 DNJ589869:DNK589869 DDN589869:DDO589869 CTR589869:CTS589869 CJV589869:CJW589869 BZZ589869:CAA589869 BQD589869:BQE589869 BGH589869:BGI589869 AWL589869:AWM589869 AMP589869:AMQ589869 ACT589869:ACU589869 SX589869:SY589869 JB589869:JC589869 H589869 WVN524333:WVO524333 WLR524333:WLS524333 WBV524333:WBW524333 VRZ524333:VSA524333 VID524333:VIE524333 UYH524333:UYI524333 UOL524333:UOM524333 UEP524333:UEQ524333 TUT524333:TUU524333 TKX524333:TKY524333 TBB524333:TBC524333 SRF524333:SRG524333 SHJ524333:SHK524333 RXN524333:RXO524333 RNR524333:RNS524333 RDV524333:RDW524333 QTZ524333:QUA524333 QKD524333:QKE524333 QAH524333:QAI524333 PQL524333:PQM524333 PGP524333:PGQ524333 OWT524333:OWU524333 OMX524333:OMY524333 ODB524333:ODC524333 NTF524333:NTG524333 NJJ524333:NJK524333 MZN524333:MZO524333 MPR524333:MPS524333 MFV524333:MFW524333 LVZ524333:LWA524333 LMD524333:LME524333 LCH524333:LCI524333 KSL524333:KSM524333 KIP524333:KIQ524333 JYT524333:JYU524333 JOX524333:JOY524333 JFB524333:JFC524333 IVF524333:IVG524333 ILJ524333:ILK524333 IBN524333:IBO524333 HRR524333:HRS524333 HHV524333:HHW524333 GXZ524333:GYA524333 GOD524333:GOE524333 GEH524333:GEI524333 FUL524333:FUM524333 FKP524333:FKQ524333 FAT524333:FAU524333 EQX524333:EQY524333 EHB524333:EHC524333 DXF524333:DXG524333 DNJ524333:DNK524333 DDN524333:DDO524333 CTR524333:CTS524333 CJV524333:CJW524333 BZZ524333:CAA524333 BQD524333:BQE524333 BGH524333:BGI524333 AWL524333:AWM524333 AMP524333:AMQ524333 ACT524333:ACU524333 SX524333:SY524333 JB524333:JC524333 H524333 WVN458797:WVO458797 WLR458797:WLS458797 WBV458797:WBW458797 VRZ458797:VSA458797 VID458797:VIE458797 UYH458797:UYI458797 UOL458797:UOM458797 UEP458797:UEQ458797 TUT458797:TUU458797 TKX458797:TKY458797 TBB458797:TBC458797 SRF458797:SRG458797 SHJ458797:SHK458797 RXN458797:RXO458797 RNR458797:RNS458797 RDV458797:RDW458797 QTZ458797:QUA458797 QKD458797:QKE458797 QAH458797:QAI458797 PQL458797:PQM458797 PGP458797:PGQ458797 OWT458797:OWU458797 OMX458797:OMY458797 ODB458797:ODC458797 NTF458797:NTG458797 NJJ458797:NJK458797 MZN458797:MZO458797 MPR458797:MPS458797 MFV458797:MFW458797 LVZ458797:LWA458797 LMD458797:LME458797 LCH458797:LCI458797 KSL458797:KSM458797 KIP458797:KIQ458797 JYT458797:JYU458797 JOX458797:JOY458797 JFB458797:JFC458797 IVF458797:IVG458797 ILJ458797:ILK458797 IBN458797:IBO458797 HRR458797:HRS458797 HHV458797:HHW458797 GXZ458797:GYA458797 GOD458797:GOE458797 GEH458797:GEI458797 FUL458797:FUM458797 FKP458797:FKQ458797 FAT458797:FAU458797 EQX458797:EQY458797 EHB458797:EHC458797 DXF458797:DXG458797 DNJ458797:DNK458797 DDN458797:DDO458797 CTR458797:CTS458797 CJV458797:CJW458797 BZZ458797:CAA458797 BQD458797:BQE458797 BGH458797:BGI458797 AWL458797:AWM458797 AMP458797:AMQ458797 ACT458797:ACU458797 SX458797:SY458797 JB458797:JC458797 H458797 WVN393261:WVO393261 WLR393261:WLS393261 WBV393261:WBW393261 VRZ393261:VSA393261 VID393261:VIE393261 UYH393261:UYI393261 UOL393261:UOM393261 UEP393261:UEQ393261 TUT393261:TUU393261 TKX393261:TKY393261 TBB393261:TBC393261 SRF393261:SRG393261 SHJ393261:SHK393261 RXN393261:RXO393261 RNR393261:RNS393261 RDV393261:RDW393261 QTZ393261:QUA393261 QKD393261:QKE393261 QAH393261:QAI393261 PQL393261:PQM393261 PGP393261:PGQ393261 OWT393261:OWU393261 OMX393261:OMY393261 ODB393261:ODC393261 NTF393261:NTG393261 NJJ393261:NJK393261 MZN393261:MZO393261 MPR393261:MPS393261 MFV393261:MFW393261 LVZ393261:LWA393261 LMD393261:LME393261 LCH393261:LCI393261 KSL393261:KSM393261 KIP393261:KIQ393261 JYT393261:JYU393261 JOX393261:JOY393261 JFB393261:JFC393261 IVF393261:IVG393261 ILJ393261:ILK393261 IBN393261:IBO393261 HRR393261:HRS393261 HHV393261:HHW393261 GXZ393261:GYA393261 GOD393261:GOE393261 GEH393261:GEI393261 FUL393261:FUM393261 FKP393261:FKQ393261 FAT393261:FAU393261 EQX393261:EQY393261 EHB393261:EHC393261 DXF393261:DXG393261 DNJ393261:DNK393261 DDN393261:DDO393261 CTR393261:CTS393261 CJV393261:CJW393261 BZZ393261:CAA393261 BQD393261:BQE393261 BGH393261:BGI393261 AWL393261:AWM393261 AMP393261:AMQ393261 ACT393261:ACU393261 SX393261:SY393261 JB393261:JC393261 H393261 WVN327725:WVO327725 WLR327725:WLS327725 WBV327725:WBW327725 VRZ327725:VSA327725 VID327725:VIE327725 UYH327725:UYI327725 UOL327725:UOM327725 UEP327725:UEQ327725 TUT327725:TUU327725 TKX327725:TKY327725 TBB327725:TBC327725 SRF327725:SRG327725 SHJ327725:SHK327725 RXN327725:RXO327725 RNR327725:RNS327725 RDV327725:RDW327725 QTZ327725:QUA327725 QKD327725:QKE327725 QAH327725:QAI327725 PQL327725:PQM327725 PGP327725:PGQ327725 OWT327725:OWU327725 OMX327725:OMY327725 ODB327725:ODC327725 NTF327725:NTG327725 NJJ327725:NJK327725 MZN327725:MZO327725 MPR327725:MPS327725 MFV327725:MFW327725 LVZ327725:LWA327725 LMD327725:LME327725 LCH327725:LCI327725 KSL327725:KSM327725 KIP327725:KIQ327725 JYT327725:JYU327725 JOX327725:JOY327725 JFB327725:JFC327725 IVF327725:IVG327725 ILJ327725:ILK327725 IBN327725:IBO327725 HRR327725:HRS327725 HHV327725:HHW327725 GXZ327725:GYA327725 GOD327725:GOE327725 GEH327725:GEI327725 FUL327725:FUM327725 FKP327725:FKQ327725 FAT327725:FAU327725 EQX327725:EQY327725 EHB327725:EHC327725 DXF327725:DXG327725 DNJ327725:DNK327725 DDN327725:DDO327725 CTR327725:CTS327725 CJV327725:CJW327725 BZZ327725:CAA327725 BQD327725:BQE327725 BGH327725:BGI327725 AWL327725:AWM327725 AMP327725:AMQ327725 ACT327725:ACU327725 SX327725:SY327725 JB327725:JC327725 H327725 WVN262189:WVO262189 WLR262189:WLS262189 WBV262189:WBW262189 VRZ262189:VSA262189 VID262189:VIE262189 UYH262189:UYI262189 UOL262189:UOM262189 UEP262189:UEQ262189 TUT262189:TUU262189 TKX262189:TKY262189 TBB262189:TBC262189 SRF262189:SRG262189 SHJ262189:SHK262189 RXN262189:RXO262189 RNR262189:RNS262189 RDV262189:RDW262189 QTZ262189:QUA262189 QKD262189:QKE262189 QAH262189:QAI262189 PQL262189:PQM262189 PGP262189:PGQ262189 OWT262189:OWU262189 OMX262189:OMY262189 ODB262189:ODC262189 NTF262189:NTG262189 NJJ262189:NJK262189 MZN262189:MZO262189 MPR262189:MPS262189 MFV262189:MFW262189 LVZ262189:LWA262189 LMD262189:LME262189 LCH262189:LCI262189 KSL262189:KSM262189 KIP262189:KIQ262189 JYT262189:JYU262189 JOX262189:JOY262189 JFB262189:JFC262189 IVF262189:IVG262189 ILJ262189:ILK262189 IBN262189:IBO262189 HRR262189:HRS262189 HHV262189:HHW262189 GXZ262189:GYA262189 GOD262189:GOE262189 GEH262189:GEI262189 FUL262189:FUM262189 FKP262189:FKQ262189 FAT262189:FAU262189 EQX262189:EQY262189 EHB262189:EHC262189 DXF262189:DXG262189 DNJ262189:DNK262189 DDN262189:DDO262189 CTR262189:CTS262189 CJV262189:CJW262189 BZZ262189:CAA262189 BQD262189:BQE262189 BGH262189:BGI262189 AWL262189:AWM262189 AMP262189:AMQ262189 ACT262189:ACU262189 SX262189:SY262189 JB262189:JC262189 H262189 WVN196653:WVO196653 WLR196653:WLS196653 WBV196653:WBW196653 VRZ196653:VSA196653 VID196653:VIE196653 UYH196653:UYI196653 UOL196653:UOM196653 UEP196653:UEQ196653 TUT196653:TUU196653 TKX196653:TKY196653 TBB196653:TBC196653 SRF196653:SRG196653 SHJ196653:SHK196653 RXN196653:RXO196653 RNR196653:RNS196653 RDV196653:RDW196653 QTZ196653:QUA196653 QKD196653:QKE196653 QAH196653:QAI196653 PQL196653:PQM196653 PGP196653:PGQ196653 OWT196653:OWU196653 OMX196653:OMY196653 ODB196653:ODC196653 NTF196653:NTG196653 NJJ196653:NJK196653 MZN196653:MZO196653 MPR196653:MPS196653 MFV196653:MFW196653 LVZ196653:LWA196653 LMD196653:LME196653 LCH196653:LCI196653 KSL196653:KSM196653 KIP196653:KIQ196653 JYT196653:JYU196653 JOX196653:JOY196653 JFB196653:JFC196653 IVF196653:IVG196653 ILJ196653:ILK196653 IBN196653:IBO196653 HRR196653:HRS196653 HHV196653:HHW196653 GXZ196653:GYA196653 GOD196653:GOE196653 GEH196653:GEI196653 FUL196653:FUM196653 FKP196653:FKQ196653 FAT196653:FAU196653 EQX196653:EQY196653 EHB196653:EHC196653 DXF196653:DXG196653 DNJ196653:DNK196653 DDN196653:DDO196653 CTR196653:CTS196653 CJV196653:CJW196653 BZZ196653:CAA196653 BQD196653:BQE196653 BGH196653:BGI196653 AWL196653:AWM196653 AMP196653:AMQ196653 ACT196653:ACU196653 SX196653:SY196653 JB196653:JC196653 H196653 WVN131117:WVO131117 WLR131117:WLS131117 WBV131117:WBW131117 VRZ131117:VSA131117 VID131117:VIE131117 UYH131117:UYI131117 UOL131117:UOM131117 UEP131117:UEQ131117 TUT131117:TUU131117 TKX131117:TKY131117 TBB131117:TBC131117 SRF131117:SRG131117 SHJ131117:SHK131117 RXN131117:RXO131117 RNR131117:RNS131117 RDV131117:RDW131117 QTZ131117:QUA131117 QKD131117:QKE131117 QAH131117:QAI131117 PQL131117:PQM131117 PGP131117:PGQ131117 OWT131117:OWU131117 OMX131117:OMY131117 ODB131117:ODC131117 NTF131117:NTG131117 NJJ131117:NJK131117 MZN131117:MZO131117 MPR131117:MPS131117 MFV131117:MFW131117 LVZ131117:LWA131117 LMD131117:LME131117 LCH131117:LCI131117 KSL131117:KSM131117 KIP131117:KIQ131117 JYT131117:JYU131117 JOX131117:JOY131117 JFB131117:JFC131117 IVF131117:IVG131117 ILJ131117:ILK131117 IBN131117:IBO131117 HRR131117:HRS131117 HHV131117:HHW131117 GXZ131117:GYA131117 GOD131117:GOE131117 GEH131117:GEI131117 FUL131117:FUM131117 FKP131117:FKQ131117 FAT131117:FAU131117 EQX131117:EQY131117 EHB131117:EHC131117 DXF131117:DXG131117 DNJ131117:DNK131117 DDN131117:DDO131117 CTR131117:CTS131117 CJV131117:CJW131117 BZZ131117:CAA131117 BQD131117:BQE131117 BGH131117:BGI131117 AWL131117:AWM131117 AMP131117:AMQ131117 ACT131117:ACU131117 SX131117:SY131117 JB131117:JC131117 H131117 WVN65581:WVO65581 WLR65581:WLS65581 WBV65581:WBW65581 VRZ65581:VSA65581 VID65581:VIE65581 UYH65581:UYI65581 UOL65581:UOM65581 UEP65581:UEQ65581 TUT65581:TUU65581 TKX65581:TKY65581 TBB65581:TBC65581 SRF65581:SRG65581 SHJ65581:SHK65581 RXN65581:RXO65581 RNR65581:RNS65581 RDV65581:RDW65581 QTZ65581:QUA65581 QKD65581:QKE65581 QAH65581:QAI65581 PQL65581:PQM65581 PGP65581:PGQ65581 OWT65581:OWU65581 OMX65581:OMY65581 ODB65581:ODC65581 NTF65581:NTG65581 NJJ65581:NJK65581 MZN65581:MZO65581 MPR65581:MPS65581 MFV65581:MFW65581 LVZ65581:LWA65581 LMD65581:LME65581 LCH65581:LCI65581 KSL65581:KSM65581 KIP65581:KIQ65581 JYT65581:JYU65581 JOX65581:JOY65581 JFB65581:JFC65581 IVF65581:IVG65581 ILJ65581:ILK65581 IBN65581:IBO65581 HRR65581:HRS65581 HHV65581:HHW65581 GXZ65581:GYA65581 GOD65581:GOE65581 GEH65581:GEI65581 FUL65581:FUM65581 FKP65581:FKQ65581 FAT65581:FAU65581 EQX65581:EQY65581 EHB65581:EHC65581 DXF65581:DXG65581 DNJ65581:DNK65581 DDN65581:DDO65581 CTR65581:CTS65581 CJV65581:CJW65581 BZZ65581:CAA65581 BQD65581:BQE65581 BGH65581:BGI65581 AWL65581:AWM65581 AMP65581:AMQ65581 ACT65581:ACU65581 SX65581:SY65581 JB65581:JC65581 H65581 WVN983087:WVO983096 WLR983087:WLS983096 WBV983087:WBW983096 VRZ983087:VSA983096 VID983087:VIE983096 UYH983087:UYI983096 UOL983087:UOM983096 UEP983087:UEQ983096 TUT983087:TUU983096 TKX983087:TKY983096 TBB983087:TBC983096 SRF983087:SRG983096 SHJ983087:SHK983096 RXN983087:RXO983096 RNR983087:RNS983096 RDV983087:RDW983096 QTZ983087:QUA983096 QKD983087:QKE983096 QAH983087:QAI983096 PQL983087:PQM983096 PGP983087:PGQ983096 OWT983087:OWU983096 OMX983087:OMY983096 ODB983087:ODC983096 NTF983087:NTG983096 NJJ983087:NJK983096 MZN983087:MZO983096 MPR983087:MPS983096 MFV983087:MFW983096 LVZ983087:LWA983096 LMD983087:LME983096 LCH983087:LCI983096 KSL983087:KSM983096 KIP983087:KIQ983096 JYT983087:JYU983096 JOX983087:JOY983096 JFB983087:JFC983096 IVF983087:IVG983096 ILJ983087:ILK983096 IBN983087:IBO983096 HRR983087:HRS983096 HHV983087:HHW983096 GXZ983087:GYA983096 GOD983087:GOE983096 GEH983087:GEI983096 FUL983087:FUM983096 FKP983087:FKQ983096 FAT983087:FAU983096 EQX983087:EQY983096 EHB983087:EHC983096 DXF983087:DXG983096 DNJ983087:DNK983096 DDN983087:DDO983096 CTR983087:CTS983096 CJV983087:CJW983096 BZZ983087:CAA983096 BQD983087:BQE983096 BGH983087:BGI983096 AWL983087:AWM983096 AMP983087:AMQ983096 ACT983087:ACU983096 SX983087:SY983096 JB983087:JC983096 H983087:H983096 WVN917551:WVO917560 WLR917551:WLS917560 WBV917551:WBW917560 VRZ917551:VSA917560 VID917551:VIE917560 UYH917551:UYI917560 UOL917551:UOM917560 UEP917551:UEQ917560 TUT917551:TUU917560 TKX917551:TKY917560 TBB917551:TBC917560 SRF917551:SRG917560 SHJ917551:SHK917560 RXN917551:RXO917560 RNR917551:RNS917560 RDV917551:RDW917560 QTZ917551:QUA917560 QKD917551:QKE917560 QAH917551:QAI917560 PQL917551:PQM917560 PGP917551:PGQ917560 OWT917551:OWU917560 OMX917551:OMY917560 ODB917551:ODC917560 NTF917551:NTG917560 NJJ917551:NJK917560 MZN917551:MZO917560 MPR917551:MPS917560 MFV917551:MFW917560 LVZ917551:LWA917560 LMD917551:LME917560 LCH917551:LCI917560 KSL917551:KSM917560 KIP917551:KIQ917560 JYT917551:JYU917560 JOX917551:JOY917560 JFB917551:JFC917560 IVF917551:IVG917560 ILJ917551:ILK917560 IBN917551:IBO917560 HRR917551:HRS917560 HHV917551:HHW917560 GXZ917551:GYA917560 GOD917551:GOE917560 GEH917551:GEI917560 FUL917551:FUM917560 FKP917551:FKQ917560 FAT917551:FAU917560 EQX917551:EQY917560 EHB917551:EHC917560 DXF917551:DXG917560 DNJ917551:DNK917560 DDN917551:DDO917560 CTR917551:CTS917560 CJV917551:CJW917560 BZZ917551:CAA917560 BQD917551:BQE917560 BGH917551:BGI917560 AWL917551:AWM917560 AMP917551:AMQ917560 ACT917551:ACU917560 SX917551:SY917560 JB917551:JC917560 H917551:H917560 WVN852015:WVO852024 WLR852015:WLS852024 WBV852015:WBW852024 VRZ852015:VSA852024 VID852015:VIE852024 UYH852015:UYI852024 UOL852015:UOM852024 UEP852015:UEQ852024 TUT852015:TUU852024 TKX852015:TKY852024 TBB852015:TBC852024 SRF852015:SRG852024 SHJ852015:SHK852024 RXN852015:RXO852024 RNR852015:RNS852024 RDV852015:RDW852024 QTZ852015:QUA852024 QKD852015:QKE852024 QAH852015:QAI852024 PQL852015:PQM852024 PGP852015:PGQ852024 OWT852015:OWU852024 OMX852015:OMY852024 ODB852015:ODC852024 NTF852015:NTG852024 NJJ852015:NJK852024 MZN852015:MZO852024 MPR852015:MPS852024 MFV852015:MFW852024 LVZ852015:LWA852024 LMD852015:LME852024 LCH852015:LCI852024 KSL852015:KSM852024 KIP852015:KIQ852024 JYT852015:JYU852024 JOX852015:JOY852024 JFB852015:JFC852024 IVF852015:IVG852024 ILJ852015:ILK852024 IBN852015:IBO852024 HRR852015:HRS852024 HHV852015:HHW852024 GXZ852015:GYA852024 GOD852015:GOE852024 GEH852015:GEI852024 FUL852015:FUM852024 FKP852015:FKQ852024 FAT852015:FAU852024 EQX852015:EQY852024 EHB852015:EHC852024 DXF852015:DXG852024 DNJ852015:DNK852024 DDN852015:DDO852024 CTR852015:CTS852024 CJV852015:CJW852024 BZZ852015:CAA852024 BQD852015:BQE852024 BGH852015:BGI852024 AWL852015:AWM852024 AMP852015:AMQ852024 ACT852015:ACU852024 SX852015:SY852024 JB852015:JC852024 H852015:H852024 WVN786479:WVO786488 WLR786479:WLS786488 WBV786479:WBW786488 VRZ786479:VSA786488 VID786479:VIE786488 UYH786479:UYI786488 UOL786479:UOM786488 UEP786479:UEQ786488 TUT786479:TUU786488 TKX786479:TKY786488 TBB786479:TBC786488 SRF786479:SRG786488 SHJ786479:SHK786488 RXN786479:RXO786488 RNR786479:RNS786488 RDV786479:RDW786488 QTZ786479:QUA786488 QKD786479:QKE786488 QAH786479:QAI786488 PQL786479:PQM786488 PGP786479:PGQ786488 OWT786479:OWU786488 OMX786479:OMY786488 ODB786479:ODC786488 NTF786479:NTG786488 NJJ786479:NJK786488 MZN786479:MZO786488 MPR786479:MPS786488 MFV786479:MFW786488 LVZ786479:LWA786488 LMD786479:LME786488 LCH786479:LCI786488 KSL786479:KSM786488 KIP786479:KIQ786488 JYT786479:JYU786488 JOX786479:JOY786488 JFB786479:JFC786488 IVF786479:IVG786488 ILJ786479:ILK786488 IBN786479:IBO786488 HRR786479:HRS786488 HHV786479:HHW786488 GXZ786479:GYA786488 GOD786479:GOE786488 GEH786479:GEI786488 FUL786479:FUM786488 FKP786479:FKQ786488 FAT786479:FAU786488 EQX786479:EQY786488 EHB786479:EHC786488 DXF786479:DXG786488 DNJ786479:DNK786488 DDN786479:DDO786488 CTR786479:CTS786488 CJV786479:CJW786488 BZZ786479:CAA786488 BQD786479:BQE786488 BGH786479:BGI786488 AWL786479:AWM786488 AMP786479:AMQ786488 ACT786479:ACU786488 SX786479:SY786488 JB786479:JC786488 H786479:H786488 WVN720943:WVO720952 WLR720943:WLS720952 WBV720943:WBW720952 VRZ720943:VSA720952 VID720943:VIE720952 UYH720943:UYI720952 UOL720943:UOM720952 UEP720943:UEQ720952 TUT720943:TUU720952 TKX720943:TKY720952 TBB720943:TBC720952 SRF720943:SRG720952 SHJ720943:SHK720952 RXN720943:RXO720952 RNR720943:RNS720952 RDV720943:RDW720952 QTZ720943:QUA720952 QKD720943:QKE720952 QAH720943:QAI720952 PQL720943:PQM720952 PGP720943:PGQ720952 OWT720943:OWU720952 OMX720943:OMY720952 ODB720943:ODC720952 NTF720943:NTG720952 NJJ720943:NJK720952 MZN720943:MZO720952 MPR720943:MPS720952 MFV720943:MFW720952 LVZ720943:LWA720952 LMD720943:LME720952 LCH720943:LCI720952 KSL720943:KSM720952 KIP720943:KIQ720952 JYT720943:JYU720952 JOX720943:JOY720952 JFB720943:JFC720952 IVF720943:IVG720952 ILJ720943:ILK720952 IBN720943:IBO720952 HRR720943:HRS720952 HHV720943:HHW720952 GXZ720943:GYA720952 GOD720943:GOE720952 GEH720943:GEI720952 FUL720943:FUM720952 FKP720943:FKQ720952 FAT720943:FAU720952 EQX720943:EQY720952 EHB720943:EHC720952 DXF720943:DXG720952 DNJ720943:DNK720952 DDN720943:DDO720952 CTR720943:CTS720952 CJV720943:CJW720952 BZZ720943:CAA720952 BQD720943:BQE720952 BGH720943:BGI720952 AWL720943:AWM720952 AMP720943:AMQ720952 ACT720943:ACU720952 SX720943:SY720952 JB720943:JC720952 H720943:H720952 WVN655407:WVO655416 WLR655407:WLS655416 WBV655407:WBW655416 VRZ655407:VSA655416 VID655407:VIE655416 UYH655407:UYI655416 UOL655407:UOM655416 UEP655407:UEQ655416 TUT655407:TUU655416 TKX655407:TKY655416 TBB655407:TBC655416 SRF655407:SRG655416 SHJ655407:SHK655416 RXN655407:RXO655416 RNR655407:RNS655416 RDV655407:RDW655416 QTZ655407:QUA655416 QKD655407:QKE655416 QAH655407:QAI655416 PQL655407:PQM655416 PGP655407:PGQ655416 OWT655407:OWU655416 OMX655407:OMY655416 ODB655407:ODC655416 NTF655407:NTG655416 NJJ655407:NJK655416 MZN655407:MZO655416 MPR655407:MPS655416 MFV655407:MFW655416 LVZ655407:LWA655416 LMD655407:LME655416 LCH655407:LCI655416 KSL655407:KSM655416 KIP655407:KIQ655416 JYT655407:JYU655416 JOX655407:JOY655416 JFB655407:JFC655416 IVF655407:IVG655416 ILJ655407:ILK655416 IBN655407:IBO655416 HRR655407:HRS655416 HHV655407:HHW655416 GXZ655407:GYA655416 GOD655407:GOE655416 GEH655407:GEI655416 FUL655407:FUM655416 FKP655407:FKQ655416 FAT655407:FAU655416 EQX655407:EQY655416 EHB655407:EHC655416 DXF655407:DXG655416 DNJ655407:DNK655416 DDN655407:DDO655416 CTR655407:CTS655416 CJV655407:CJW655416 BZZ655407:CAA655416 BQD655407:BQE655416 BGH655407:BGI655416 AWL655407:AWM655416 AMP655407:AMQ655416 ACT655407:ACU655416 SX655407:SY655416 JB655407:JC655416 H655407:H655416 WVN589871:WVO589880 WLR589871:WLS589880 WBV589871:WBW589880 VRZ589871:VSA589880 VID589871:VIE589880 UYH589871:UYI589880 UOL589871:UOM589880 UEP589871:UEQ589880 TUT589871:TUU589880 TKX589871:TKY589880 TBB589871:TBC589880 SRF589871:SRG589880 SHJ589871:SHK589880 RXN589871:RXO589880 RNR589871:RNS589880 RDV589871:RDW589880 QTZ589871:QUA589880 QKD589871:QKE589880 QAH589871:QAI589880 PQL589871:PQM589880 PGP589871:PGQ589880 OWT589871:OWU589880 OMX589871:OMY589880 ODB589871:ODC589880 NTF589871:NTG589880 NJJ589871:NJK589880 MZN589871:MZO589880 MPR589871:MPS589880 MFV589871:MFW589880 LVZ589871:LWA589880 LMD589871:LME589880 LCH589871:LCI589880 KSL589871:KSM589880 KIP589871:KIQ589880 JYT589871:JYU589880 JOX589871:JOY589880 JFB589871:JFC589880 IVF589871:IVG589880 ILJ589871:ILK589880 IBN589871:IBO589880 HRR589871:HRS589880 HHV589871:HHW589880 GXZ589871:GYA589880 GOD589871:GOE589880 GEH589871:GEI589880 FUL589871:FUM589880 FKP589871:FKQ589880 FAT589871:FAU589880 EQX589871:EQY589880 EHB589871:EHC589880 DXF589871:DXG589880 DNJ589871:DNK589880 DDN589871:DDO589880 CTR589871:CTS589880 CJV589871:CJW589880 BZZ589871:CAA589880 BQD589871:BQE589880 BGH589871:BGI589880 AWL589871:AWM589880 AMP589871:AMQ589880 ACT589871:ACU589880 SX589871:SY589880 JB589871:JC589880 H589871:H589880 WVN524335:WVO524344 WLR524335:WLS524344 WBV524335:WBW524344 VRZ524335:VSA524344 VID524335:VIE524344 UYH524335:UYI524344 UOL524335:UOM524344 UEP524335:UEQ524344 TUT524335:TUU524344 TKX524335:TKY524344 TBB524335:TBC524344 SRF524335:SRG524344 SHJ524335:SHK524344 RXN524335:RXO524344 RNR524335:RNS524344 RDV524335:RDW524344 QTZ524335:QUA524344 QKD524335:QKE524344 QAH524335:QAI524344 PQL524335:PQM524344 PGP524335:PGQ524344 OWT524335:OWU524344 OMX524335:OMY524344 ODB524335:ODC524344 NTF524335:NTG524344 NJJ524335:NJK524344 MZN524335:MZO524344 MPR524335:MPS524344 MFV524335:MFW524344 LVZ524335:LWA524344 LMD524335:LME524344 LCH524335:LCI524344 KSL524335:KSM524344 KIP524335:KIQ524344 JYT524335:JYU524344 JOX524335:JOY524344 JFB524335:JFC524344 IVF524335:IVG524344 ILJ524335:ILK524344 IBN524335:IBO524344 HRR524335:HRS524344 HHV524335:HHW524344 GXZ524335:GYA524344 GOD524335:GOE524344 GEH524335:GEI524344 FUL524335:FUM524344 FKP524335:FKQ524344 FAT524335:FAU524344 EQX524335:EQY524344 EHB524335:EHC524344 DXF524335:DXG524344 DNJ524335:DNK524344 DDN524335:DDO524344 CTR524335:CTS524344 CJV524335:CJW524344 BZZ524335:CAA524344 BQD524335:BQE524344 BGH524335:BGI524344 AWL524335:AWM524344 AMP524335:AMQ524344 ACT524335:ACU524344 SX524335:SY524344 JB524335:JC524344 H524335:H524344 WVN458799:WVO458808 WLR458799:WLS458808 WBV458799:WBW458808 VRZ458799:VSA458808 VID458799:VIE458808 UYH458799:UYI458808 UOL458799:UOM458808 UEP458799:UEQ458808 TUT458799:TUU458808 TKX458799:TKY458808 TBB458799:TBC458808 SRF458799:SRG458808 SHJ458799:SHK458808 RXN458799:RXO458808 RNR458799:RNS458808 RDV458799:RDW458808 QTZ458799:QUA458808 QKD458799:QKE458808 QAH458799:QAI458808 PQL458799:PQM458808 PGP458799:PGQ458808 OWT458799:OWU458808 OMX458799:OMY458808 ODB458799:ODC458808 NTF458799:NTG458808 NJJ458799:NJK458808 MZN458799:MZO458808 MPR458799:MPS458808 MFV458799:MFW458808 LVZ458799:LWA458808 LMD458799:LME458808 LCH458799:LCI458808 KSL458799:KSM458808 KIP458799:KIQ458808 JYT458799:JYU458808 JOX458799:JOY458808 JFB458799:JFC458808 IVF458799:IVG458808 ILJ458799:ILK458808 IBN458799:IBO458808 HRR458799:HRS458808 HHV458799:HHW458808 GXZ458799:GYA458808 GOD458799:GOE458808 GEH458799:GEI458808 FUL458799:FUM458808 FKP458799:FKQ458808 FAT458799:FAU458808 EQX458799:EQY458808 EHB458799:EHC458808 DXF458799:DXG458808 DNJ458799:DNK458808 DDN458799:DDO458808 CTR458799:CTS458808 CJV458799:CJW458808 BZZ458799:CAA458808 BQD458799:BQE458808 BGH458799:BGI458808 AWL458799:AWM458808 AMP458799:AMQ458808 ACT458799:ACU458808 SX458799:SY458808 JB458799:JC458808 H458799:H458808 WVN393263:WVO393272 WLR393263:WLS393272 WBV393263:WBW393272 VRZ393263:VSA393272 VID393263:VIE393272 UYH393263:UYI393272 UOL393263:UOM393272 UEP393263:UEQ393272 TUT393263:TUU393272 TKX393263:TKY393272 TBB393263:TBC393272 SRF393263:SRG393272 SHJ393263:SHK393272 RXN393263:RXO393272 RNR393263:RNS393272 RDV393263:RDW393272 QTZ393263:QUA393272 QKD393263:QKE393272 QAH393263:QAI393272 PQL393263:PQM393272 PGP393263:PGQ393272 OWT393263:OWU393272 OMX393263:OMY393272 ODB393263:ODC393272 NTF393263:NTG393272 NJJ393263:NJK393272 MZN393263:MZO393272 MPR393263:MPS393272 MFV393263:MFW393272 LVZ393263:LWA393272 LMD393263:LME393272 LCH393263:LCI393272 KSL393263:KSM393272 KIP393263:KIQ393272 JYT393263:JYU393272 JOX393263:JOY393272 JFB393263:JFC393272 IVF393263:IVG393272 ILJ393263:ILK393272 IBN393263:IBO393272 HRR393263:HRS393272 HHV393263:HHW393272 GXZ393263:GYA393272 GOD393263:GOE393272 GEH393263:GEI393272 FUL393263:FUM393272 FKP393263:FKQ393272 FAT393263:FAU393272 EQX393263:EQY393272 EHB393263:EHC393272 DXF393263:DXG393272 DNJ393263:DNK393272 DDN393263:DDO393272 CTR393263:CTS393272 CJV393263:CJW393272 BZZ393263:CAA393272 BQD393263:BQE393272 BGH393263:BGI393272 AWL393263:AWM393272 AMP393263:AMQ393272 ACT393263:ACU393272 SX393263:SY393272 JB393263:JC393272 H393263:H393272 WVN327727:WVO327736 WLR327727:WLS327736 WBV327727:WBW327736 VRZ327727:VSA327736 VID327727:VIE327736 UYH327727:UYI327736 UOL327727:UOM327736 UEP327727:UEQ327736 TUT327727:TUU327736 TKX327727:TKY327736 TBB327727:TBC327736 SRF327727:SRG327736 SHJ327727:SHK327736 RXN327727:RXO327736 RNR327727:RNS327736 RDV327727:RDW327736 QTZ327727:QUA327736 QKD327727:QKE327736 QAH327727:QAI327736 PQL327727:PQM327736 PGP327727:PGQ327736 OWT327727:OWU327736 OMX327727:OMY327736 ODB327727:ODC327736 NTF327727:NTG327736 NJJ327727:NJK327736 MZN327727:MZO327736 MPR327727:MPS327736 MFV327727:MFW327736 LVZ327727:LWA327736 LMD327727:LME327736 LCH327727:LCI327736 KSL327727:KSM327736 KIP327727:KIQ327736 JYT327727:JYU327736 JOX327727:JOY327736 JFB327727:JFC327736 IVF327727:IVG327736 ILJ327727:ILK327736 IBN327727:IBO327736 HRR327727:HRS327736 HHV327727:HHW327736 GXZ327727:GYA327736 GOD327727:GOE327736 GEH327727:GEI327736 FUL327727:FUM327736 FKP327727:FKQ327736 FAT327727:FAU327736 EQX327727:EQY327736 EHB327727:EHC327736 DXF327727:DXG327736 DNJ327727:DNK327736 DDN327727:DDO327736 CTR327727:CTS327736 CJV327727:CJW327736 BZZ327727:CAA327736 BQD327727:BQE327736 BGH327727:BGI327736 AWL327727:AWM327736 AMP327727:AMQ327736 ACT327727:ACU327736 SX327727:SY327736 JB327727:JC327736 H327727:H327736 WVN262191:WVO262200 WLR262191:WLS262200 WBV262191:WBW262200 VRZ262191:VSA262200 VID262191:VIE262200 UYH262191:UYI262200 UOL262191:UOM262200 UEP262191:UEQ262200 TUT262191:TUU262200 TKX262191:TKY262200 TBB262191:TBC262200 SRF262191:SRG262200 SHJ262191:SHK262200 RXN262191:RXO262200 RNR262191:RNS262200 RDV262191:RDW262200 QTZ262191:QUA262200 QKD262191:QKE262200 QAH262191:QAI262200 PQL262191:PQM262200 PGP262191:PGQ262200 OWT262191:OWU262200 OMX262191:OMY262200 ODB262191:ODC262200 NTF262191:NTG262200 NJJ262191:NJK262200 MZN262191:MZO262200 MPR262191:MPS262200 MFV262191:MFW262200 LVZ262191:LWA262200 LMD262191:LME262200 LCH262191:LCI262200 KSL262191:KSM262200 KIP262191:KIQ262200 JYT262191:JYU262200 JOX262191:JOY262200 JFB262191:JFC262200 IVF262191:IVG262200 ILJ262191:ILK262200 IBN262191:IBO262200 HRR262191:HRS262200 HHV262191:HHW262200 GXZ262191:GYA262200 GOD262191:GOE262200 GEH262191:GEI262200 FUL262191:FUM262200 FKP262191:FKQ262200 FAT262191:FAU262200 EQX262191:EQY262200 EHB262191:EHC262200 DXF262191:DXG262200 DNJ262191:DNK262200 DDN262191:DDO262200 CTR262191:CTS262200 CJV262191:CJW262200 BZZ262191:CAA262200 BQD262191:BQE262200 BGH262191:BGI262200 AWL262191:AWM262200 AMP262191:AMQ262200 ACT262191:ACU262200 SX262191:SY262200 JB262191:JC262200 H262191:H262200 WVN196655:WVO196664 WLR196655:WLS196664 WBV196655:WBW196664 VRZ196655:VSA196664 VID196655:VIE196664 UYH196655:UYI196664 UOL196655:UOM196664 UEP196655:UEQ196664 TUT196655:TUU196664 TKX196655:TKY196664 TBB196655:TBC196664 SRF196655:SRG196664 SHJ196655:SHK196664 RXN196655:RXO196664 RNR196655:RNS196664 RDV196655:RDW196664 QTZ196655:QUA196664 QKD196655:QKE196664 QAH196655:QAI196664 PQL196655:PQM196664 PGP196655:PGQ196664 OWT196655:OWU196664 OMX196655:OMY196664 ODB196655:ODC196664 NTF196655:NTG196664 NJJ196655:NJK196664 MZN196655:MZO196664 MPR196655:MPS196664 MFV196655:MFW196664 LVZ196655:LWA196664 LMD196655:LME196664 LCH196655:LCI196664 KSL196655:KSM196664 KIP196655:KIQ196664 JYT196655:JYU196664 JOX196655:JOY196664 JFB196655:JFC196664 IVF196655:IVG196664 ILJ196655:ILK196664 IBN196655:IBO196664 HRR196655:HRS196664 HHV196655:HHW196664 GXZ196655:GYA196664 GOD196655:GOE196664 GEH196655:GEI196664 FUL196655:FUM196664 FKP196655:FKQ196664 FAT196655:FAU196664 EQX196655:EQY196664 EHB196655:EHC196664 DXF196655:DXG196664 DNJ196655:DNK196664 DDN196655:DDO196664 CTR196655:CTS196664 CJV196655:CJW196664 BZZ196655:CAA196664 BQD196655:BQE196664 BGH196655:BGI196664 AWL196655:AWM196664 AMP196655:AMQ196664 ACT196655:ACU196664 SX196655:SY196664 JB196655:JC196664 H196655:H196664 WVN131119:WVO131128 WLR131119:WLS131128 WBV131119:WBW131128 VRZ131119:VSA131128 VID131119:VIE131128 UYH131119:UYI131128 UOL131119:UOM131128 UEP131119:UEQ131128 TUT131119:TUU131128 TKX131119:TKY131128 TBB131119:TBC131128 SRF131119:SRG131128 SHJ131119:SHK131128 RXN131119:RXO131128 RNR131119:RNS131128 RDV131119:RDW131128 QTZ131119:QUA131128 QKD131119:QKE131128 QAH131119:QAI131128 PQL131119:PQM131128 PGP131119:PGQ131128 OWT131119:OWU131128 OMX131119:OMY131128 ODB131119:ODC131128 NTF131119:NTG131128 NJJ131119:NJK131128 MZN131119:MZO131128 MPR131119:MPS131128 MFV131119:MFW131128 LVZ131119:LWA131128 LMD131119:LME131128 LCH131119:LCI131128 KSL131119:KSM131128 KIP131119:KIQ131128 JYT131119:JYU131128 JOX131119:JOY131128 JFB131119:JFC131128 IVF131119:IVG131128 ILJ131119:ILK131128 IBN131119:IBO131128 HRR131119:HRS131128 HHV131119:HHW131128 GXZ131119:GYA131128 GOD131119:GOE131128 GEH131119:GEI131128 FUL131119:FUM131128 FKP131119:FKQ131128 FAT131119:FAU131128 EQX131119:EQY131128 EHB131119:EHC131128 DXF131119:DXG131128 DNJ131119:DNK131128 DDN131119:DDO131128 CTR131119:CTS131128 CJV131119:CJW131128 BZZ131119:CAA131128 BQD131119:BQE131128 BGH131119:BGI131128 AWL131119:AWM131128 AMP131119:AMQ131128 ACT131119:ACU131128 SX131119:SY131128 JB131119:JC131128 H131119:H131128 WVN65583:WVO65592 WLR65583:WLS65592 WBV65583:WBW65592 VRZ65583:VSA65592 VID65583:VIE65592 UYH65583:UYI65592 UOL65583:UOM65592 UEP65583:UEQ65592 TUT65583:TUU65592 TKX65583:TKY65592 TBB65583:TBC65592 SRF65583:SRG65592 SHJ65583:SHK65592 RXN65583:RXO65592 RNR65583:RNS65592 RDV65583:RDW65592 QTZ65583:QUA65592 QKD65583:QKE65592 QAH65583:QAI65592 PQL65583:PQM65592 PGP65583:PGQ65592 OWT65583:OWU65592 OMX65583:OMY65592 ODB65583:ODC65592 NTF65583:NTG65592 NJJ65583:NJK65592 MZN65583:MZO65592 MPR65583:MPS65592 MFV65583:MFW65592 LVZ65583:LWA65592 LMD65583:LME65592 LCH65583:LCI65592 KSL65583:KSM65592 KIP65583:KIQ65592 JYT65583:JYU65592 JOX65583:JOY65592 JFB65583:JFC65592 IVF65583:IVG65592 ILJ65583:ILK65592 IBN65583:IBO65592 HRR65583:HRS65592 HHV65583:HHW65592 GXZ65583:GYA65592 GOD65583:GOE65592 GEH65583:GEI65592 FUL65583:FUM65592 FKP65583:FKQ65592 FAT65583:FAU65592 EQX65583:EQY65592 EHB65583:EHC65592 DXF65583:DXG65592 DNJ65583:DNK65592 DDN65583:DDO65592 CTR65583:CTS65592 CJV65583:CJW65592 BZZ65583:CAA65592 BQD65583:BQE65592 BGH65583:BGI65592 AWL65583:AWM65592 AMP65583:AMQ65592 ACT65583:ACU65592 SX65583:SY65592 JB65583:JC65592 H65583:H65592 WVN983098:WVO983099 WLR983098:WLS983099 WBV983098:WBW983099 VRZ983098:VSA983099 VID983098:VIE983099 UYH983098:UYI983099 UOL983098:UOM983099 UEP983098:UEQ983099 TUT983098:TUU983099 TKX983098:TKY983099 TBB983098:TBC983099 SRF983098:SRG983099 SHJ983098:SHK983099 RXN983098:RXO983099 RNR983098:RNS983099 RDV983098:RDW983099 QTZ983098:QUA983099 QKD983098:QKE983099 QAH983098:QAI983099 PQL983098:PQM983099 PGP983098:PGQ983099 OWT983098:OWU983099 OMX983098:OMY983099 ODB983098:ODC983099 NTF983098:NTG983099 NJJ983098:NJK983099 MZN983098:MZO983099 MPR983098:MPS983099 MFV983098:MFW983099 LVZ983098:LWA983099 LMD983098:LME983099 LCH983098:LCI983099 KSL983098:KSM983099 KIP983098:KIQ983099 JYT983098:JYU983099 JOX983098:JOY983099 JFB983098:JFC983099 IVF983098:IVG983099 ILJ983098:ILK983099 IBN983098:IBO983099 HRR983098:HRS983099 HHV983098:HHW983099 GXZ983098:GYA983099 GOD983098:GOE983099 GEH983098:GEI983099 FUL983098:FUM983099 FKP983098:FKQ983099 FAT983098:FAU983099 EQX983098:EQY983099 EHB983098:EHC983099 DXF983098:DXG983099 DNJ983098:DNK983099 DDN983098:DDO983099 CTR983098:CTS983099 CJV983098:CJW983099 BZZ983098:CAA983099 BQD983098:BQE983099 BGH983098:BGI983099 AWL983098:AWM983099 AMP983098:AMQ983099 ACT983098:ACU983099 SX983098:SY983099 JB983098:JC983099 H983098:H983099 WVN917562:WVO917563 WLR917562:WLS917563 WBV917562:WBW917563 VRZ917562:VSA917563 VID917562:VIE917563 UYH917562:UYI917563 UOL917562:UOM917563 UEP917562:UEQ917563 TUT917562:TUU917563 TKX917562:TKY917563 TBB917562:TBC917563 SRF917562:SRG917563 SHJ917562:SHK917563 RXN917562:RXO917563 RNR917562:RNS917563 RDV917562:RDW917563 QTZ917562:QUA917563 QKD917562:QKE917563 QAH917562:QAI917563 PQL917562:PQM917563 PGP917562:PGQ917563 OWT917562:OWU917563 OMX917562:OMY917563 ODB917562:ODC917563 NTF917562:NTG917563 NJJ917562:NJK917563 MZN917562:MZO917563 MPR917562:MPS917563 MFV917562:MFW917563 LVZ917562:LWA917563 LMD917562:LME917563 LCH917562:LCI917563 KSL917562:KSM917563 KIP917562:KIQ917563 JYT917562:JYU917563 JOX917562:JOY917563 JFB917562:JFC917563 IVF917562:IVG917563 ILJ917562:ILK917563 IBN917562:IBO917563 HRR917562:HRS917563 HHV917562:HHW917563 GXZ917562:GYA917563 GOD917562:GOE917563 GEH917562:GEI917563 FUL917562:FUM917563 FKP917562:FKQ917563 FAT917562:FAU917563 EQX917562:EQY917563 EHB917562:EHC917563 DXF917562:DXG917563 DNJ917562:DNK917563 DDN917562:DDO917563 CTR917562:CTS917563 CJV917562:CJW917563 BZZ917562:CAA917563 BQD917562:BQE917563 BGH917562:BGI917563 AWL917562:AWM917563 AMP917562:AMQ917563 ACT917562:ACU917563 SX917562:SY917563 JB917562:JC917563 H917562:H917563 WVN852026:WVO852027 WLR852026:WLS852027 WBV852026:WBW852027 VRZ852026:VSA852027 VID852026:VIE852027 UYH852026:UYI852027 UOL852026:UOM852027 UEP852026:UEQ852027 TUT852026:TUU852027 TKX852026:TKY852027 TBB852026:TBC852027 SRF852026:SRG852027 SHJ852026:SHK852027 RXN852026:RXO852027 RNR852026:RNS852027 RDV852026:RDW852027 QTZ852026:QUA852027 QKD852026:QKE852027 QAH852026:QAI852027 PQL852026:PQM852027 PGP852026:PGQ852027 OWT852026:OWU852027 OMX852026:OMY852027 ODB852026:ODC852027 NTF852026:NTG852027 NJJ852026:NJK852027 MZN852026:MZO852027 MPR852026:MPS852027 MFV852026:MFW852027 LVZ852026:LWA852027 LMD852026:LME852027 LCH852026:LCI852027 KSL852026:KSM852027 KIP852026:KIQ852027 JYT852026:JYU852027 JOX852026:JOY852027 JFB852026:JFC852027 IVF852026:IVG852027 ILJ852026:ILK852027 IBN852026:IBO852027 HRR852026:HRS852027 HHV852026:HHW852027 GXZ852026:GYA852027 GOD852026:GOE852027 GEH852026:GEI852027 FUL852026:FUM852027 FKP852026:FKQ852027 FAT852026:FAU852027 EQX852026:EQY852027 EHB852026:EHC852027 DXF852026:DXG852027 DNJ852026:DNK852027 DDN852026:DDO852027 CTR852026:CTS852027 CJV852026:CJW852027 BZZ852026:CAA852027 BQD852026:BQE852027 BGH852026:BGI852027 AWL852026:AWM852027 AMP852026:AMQ852027 ACT852026:ACU852027 SX852026:SY852027 JB852026:JC852027 H852026:H852027 WVN786490:WVO786491 WLR786490:WLS786491 WBV786490:WBW786491 VRZ786490:VSA786491 VID786490:VIE786491 UYH786490:UYI786491 UOL786490:UOM786491 UEP786490:UEQ786491 TUT786490:TUU786491 TKX786490:TKY786491 TBB786490:TBC786491 SRF786490:SRG786491 SHJ786490:SHK786491 RXN786490:RXO786491 RNR786490:RNS786491 RDV786490:RDW786491 QTZ786490:QUA786491 QKD786490:QKE786491 QAH786490:QAI786491 PQL786490:PQM786491 PGP786490:PGQ786491 OWT786490:OWU786491 OMX786490:OMY786491 ODB786490:ODC786491 NTF786490:NTG786491 NJJ786490:NJK786491 MZN786490:MZO786491 MPR786490:MPS786491 MFV786490:MFW786491 LVZ786490:LWA786491 LMD786490:LME786491 LCH786490:LCI786491 KSL786490:KSM786491 KIP786490:KIQ786491 JYT786490:JYU786491 JOX786490:JOY786491 JFB786490:JFC786491 IVF786490:IVG786491 ILJ786490:ILK786491 IBN786490:IBO786491 HRR786490:HRS786491 HHV786490:HHW786491 GXZ786490:GYA786491 GOD786490:GOE786491 GEH786490:GEI786491 FUL786490:FUM786491 FKP786490:FKQ786491 FAT786490:FAU786491 EQX786490:EQY786491 EHB786490:EHC786491 DXF786490:DXG786491 DNJ786490:DNK786491 DDN786490:DDO786491 CTR786490:CTS786491 CJV786490:CJW786491 BZZ786490:CAA786491 BQD786490:BQE786491 BGH786490:BGI786491 AWL786490:AWM786491 AMP786490:AMQ786491 ACT786490:ACU786491 SX786490:SY786491 JB786490:JC786491 H786490:H786491 WVN720954:WVO720955 WLR720954:WLS720955 WBV720954:WBW720955 VRZ720954:VSA720955 VID720954:VIE720955 UYH720954:UYI720955 UOL720954:UOM720955 UEP720954:UEQ720955 TUT720954:TUU720955 TKX720954:TKY720955 TBB720954:TBC720955 SRF720954:SRG720955 SHJ720954:SHK720955 RXN720954:RXO720955 RNR720954:RNS720955 RDV720954:RDW720955 QTZ720954:QUA720955 QKD720954:QKE720955 QAH720954:QAI720955 PQL720954:PQM720955 PGP720954:PGQ720955 OWT720954:OWU720955 OMX720954:OMY720955 ODB720954:ODC720955 NTF720954:NTG720955 NJJ720954:NJK720955 MZN720954:MZO720955 MPR720954:MPS720955 MFV720954:MFW720955 LVZ720954:LWA720955 LMD720954:LME720955 LCH720954:LCI720955 KSL720954:KSM720955 KIP720954:KIQ720955 JYT720954:JYU720955 JOX720954:JOY720955 JFB720954:JFC720955 IVF720954:IVG720955 ILJ720954:ILK720955 IBN720954:IBO720955 HRR720954:HRS720955 HHV720954:HHW720955 GXZ720954:GYA720955 GOD720954:GOE720955 GEH720954:GEI720955 FUL720954:FUM720955 FKP720954:FKQ720955 FAT720954:FAU720955 EQX720954:EQY720955 EHB720954:EHC720955 DXF720954:DXG720955 DNJ720954:DNK720955 DDN720954:DDO720955 CTR720954:CTS720955 CJV720954:CJW720955 BZZ720954:CAA720955 BQD720954:BQE720955 BGH720954:BGI720955 AWL720954:AWM720955 AMP720954:AMQ720955 ACT720954:ACU720955 SX720954:SY720955 JB720954:JC720955 H720954:H720955 WVN655418:WVO655419 WLR655418:WLS655419 WBV655418:WBW655419 VRZ655418:VSA655419 VID655418:VIE655419 UYH655418:UYI655419 UOL655418:UOM655419 UEP655418:UEQ655419 TUT655418:TUU655419 TKX655418:TKY655419 TBB655418:TBC655419 SRF655418:SRG655419 SHJ655418:SHK655419 RXN655418:RXO655419 RNR655418:RNS655419 RDV655418:RDW655419 QTZ655418:QUA655419 QKD655418:QKE655419 QAH655418:QAI655419 PQL655418:PQM655419 PGP655418:PGQ655419 OWT655418:OWU655419 OMX655418:OMY655419 ODB655418:ODC655419 NTF655418:NTG655419 NJJ655418:NJK655419 MZN655418:MZO655419 MPR655418:MPS655419 MFV655418:MFW655419 LVZ655418:LWA655419 LMD655418:LME655419 LCH655418:LCI655419 KSL655418:KSM655419 KIP655418:KIQ655419 JYT655418:JYU655419 JOX655418:JOY655419 JFB655418:JFC655419 IVF655418:IVG655419 ILJ655418:ILK655419 IBN655418:IBO655419 HRR655418:HRS655419 HHV655418:HHW655419 GXZ655418:GYA655419 GOD655418:GOE655419 GEH655418:GEI655419 FUL655418:FUM655419 FKP655418:FKQ655419 FAT655418:FAU655419 EQX655418:EQY655419 EHB655418:EHC655419 DXF655418:DXG655419 DNJ655418:DNK655419 DDN655418:DDO655419 CTR655418:CTS655419 CJV655418:CJW655419 BZZ655418:CAA655419 BQD655418:BQE655419 BGH655418:BGI655419 AWL655418:AWM655419 AMP655418:AMQ655419 ACT655418:ACU655419 SX655418:SY655419 JB655418:JC655419 H655418:H655419 WVN589882:WVO589883 WLR589882:WLS589883 WBV589882:WBW589883 VRZ589882:VSA589883 VID589882:VIE589883 UYH589882:UYI589883 UOL589882:UOM589883 UEP589882:UEQ589883 TUT589882:TUU589883 TKX589882:TKY589883 TBB589882:TBC589883 SRF589882:SRG589883 SHJ589882:SHK589883 RXN589882:RXO589883 RNR589882:RNS589883 RDV589882:RDW589883 QTZ589882:QUA589883 QKD589882:QKE589883 QAH589882:QAI589883 PQL589882:PQM589883 PGP589882:PGQ589883 OWT589882:OWU589883 OMX589882:OMY589883 ODB589882:ODC589883 NTF589882:NTG589883 NJJ589882:NJK589883 MZN589882:MZO589883 MPR589882:MPS589883 MFV589882:MFW589883 LVZ589882:LWA589883 LMD589882:LME589883 LCH589882:LCI589883 KSL589882:KSM589883 KIP589882:KIQ589883 JYT589882:JYU589883 JOX589882:JOY589883 JFB589882:JFC589883 IVF589882:IVG589883 ILJ589882:ILK589883 IBN589882:IBO589883 HRR589882:HRS589883 HHV589882:HHW589883 GXZ589882:GYA589883 GOD589882:GOE589883 GEH589882:GEI589883 FUL589882:FUM589883 FKP589882:FKQ589883 FAT589882:FAU589883 EQX589882:EQY589883 EHB589882:EHC589883 DXF589882:DXG589883 DNJ589882:DNK589883 DDN589882:DDO589883 CTR589882:CTS589883 CJV589882:CJW589883 BZZ589882:CAA589883 BQD589882:BQE589883 BGH589882:BGI589883 AWL589882:AWM589883 AMP589882:AMQ589883 ACT589882:ACU589883 SX589882:SY589883 JB589882:JC589883 H589882:H589883 WVN524346:WVO524347 WLR524346:WLS524347 WBV524346:WBW524347 VRZ524346:VSA524347 VID524346:VIE524347 UYH524346:UYI524347 UOL524346:UOM524347 UEP524346:UEQ524347 TUT524346:TUU524347 TKX524346:TKY524347 TBB524346:TBC524347 SRF524346:SRG524347 SHJ524346:SHK524347 RXN524346:RXO524347 RNR524346:RNS524347 RDV524346:RDW524347 QTZ524346:QUA524347 QKD524346:QKE524347 QAH524346:QAI524347 PQL524346:PQM524347 PGP524346:PGQ524347 OWT524346:OWU524347 OMX524346:OMY524347 ODB524346:ODC524347 NTF524346:NTG524347 NJJ524346:NJK524347 MZN524346:MZO524347 MPR524346:MPS524347 MFV524346:MFW524347 LVZ524346:LWA524347 LMD524346:LME524347 LCH524346:LCI524347 KSL524346:KSM524347 KIP524346:KIQ524347 JYT524346:JYU524347 JOX524346:JOY524347 JFB524346:JFC524347 IVF524346:IVG524347 ILJ524346:ILK524347 IBN524346:IBO524347 HRR524346:HRS524347 HHV524346:HHW524347 GXZ524346:GYA524347 GOD524346:GOE524347 GEH524346:GEI524347 FUL524346:FUM524347 FKP524346:FKQ524347 FAT524346:FAU524347 EQX524346:EQY524347 EHB524346:EHC524347 DXF524346:DXG524347 DNJ524346:DNK524347 DDN524346:DDO524347 CTR524346:CTS524347 CJV524346:CJW524347 BZZ524346:CAA524347 BQD524346:BQE524347 BGH524346:BGI524347 AWL524346:AWM524347 AMP524346:AMQ524347 ACT524346:ACU524347 SX524346:SY524347 JB524346:JC524347 H524346:H524347 WVN458810:WVO458811 WLR458810:WLS458811 WBV458810:WBW458811 VRZ458810:VSA458811 VID458810:VIE458811 UYH458810:UYI458811 UOL458810:UOM458811 UEP458810:UEQ458811 TUT458810:TUU458811 TKX458810:TKY458811 TBB458810:TBC458811 SRF458810:SRG458811 SHJ458810:SHK458811 RXN458810:RXO458811 RNR458810:RNS458811 RDV458810:RDW458811 QTZ458810:QUA458811 QKD458810:QKE458811 QAH458810:QAI458811 PQL458810:PQM458811 PGP458810:PGQ458811 OWT458810:OWU458811 OMX458810:OMY458811 ODB458810:ODC458811 NTF458810:NTG458811 NJJ458810:NJK458811 MZN458810:MZO458811 MPR458810:MPS458811 MFV458810:MFW458811 LVZ458810:LWA458811 LMD458810:LME458811 LCH458810:LCI458811 KSL458810:KSM458811 KIP458810:KIQ458811 JYT458810:JYU458811 JOX458810:JOY458811 JFB458810:JFC458811 IVF458810:IVG458811 ILJ458810:ILK458811 IBN458810:IBO458811 HRR458810:HRS458811 HHV458810:HHW458811 GXZ458810:GYA458811 GOD458810:GOE458811 GEH458810:GEI458811 FUL458810:FUM458811 FKP458810:FKQ458811 FAT458810:FAU458811 EQX458810:EQY458811 EHB458810:EHC458811 DXF458810:DXG458811 DNJ458810:DNK458811 DDN458810:DDO458811 CTR458810:CTS458811 CJV458810:CJW458811 BZZ458810:CAA458811 BQD458810:BQE458811 BGH458810:BGI458811 AWL458810:AWM458811 AMP458810:AMQ458811 ACT458810:ACU458811 SX458810:SY458811 JB458810:JC458811 H458810:H458811 WVN393274:WVO393275 WLR393274:WLS393275 WBV393274:WBW393275 VRZ393274:VSA393275 VID393274:VIE393275 UYH393274:UYI393275 UOL393274:UOM393275 UEP393274:UEQ393275 TUT393274:TUU393275 TKX393274:TKY393275 TBB393274:TBC393275 SRF393274:SRG393275 SHJ393274:SHK393275 RXN393274:RXO393275 RNR393274:RNS393275 RDV393274:RDW393275 QTZ393274:QUA393275 QKD393274:QKE393275 QAH393274:QAI393275 PQL393274:PQM393275 PGP393274:PGQ393275 OWT393274:OWU393275 OMX393274:OMY393275 ODB393274:ODC393275 NTF393274:NTG393275 NJJ393274:NJK393275 MZN393274:MZO393275 MPR393274:MPS393275 MFV393274:MFW393275 LVZ393274:LWA393275 LMD393274:LME393275 LCH393274:LCI393275 KSL393274:KSM393275 KIP393274:KIQ393275 JYT393274:JYU393275 JOX393274:JOY393275 JFB393274:JFC393275 IVF393274:IVG393275 ILJ393274:ILK393275 IBN393274:IBO393275 HRR393274:HRS393275 HHV393274:HHW393275 GXZ393274:GYA393275 GOD393274:GOE393275 GEH393274:GEI393275 FUL393274:FUM393275 FKP393274:FKQ393275 FAT393274:FAU393275 EQX393274:EQY393275 EHB393274:EHC393275 DXF393274:DXG393275 DNJ393274:DNK393275 DDN393274:DDO393275 CTR393274:CTS393275 CJV393274:CJW393275 BZZ393274:CAA393275 BQD393274:BQE393275 BGH393274:BGI393275 AWL393274:AWM393275 AMP393274:AMQ393275 ACT393274:ACU393275 SX393274:SY393275 JB393274:JC393275 H393274:H393275 WVN327738:WVO327739 WLR327738:WLS327739 WBV327738:WBW327739 VRZ327738:VSA327739 VID327738:VIE327739 UYH327738:UYI327739 UOL327738:UOM327739 UEP327738:UEQ327739 TUT327738:TUU327739 TKX327738:TKY327739 TBB327738:TBC327739 SRF327738:SRG327739 SHJ327738:SHK327739 RXN327738:RXO327739 RNR327738:RNS327739 RDV327738:RDW327739 QTZ327738:QUA327739 QKD327738:QKE327739 QAH327738:QAI327739 PQL327738:PQM327739 PGP327738:PGQ327739 OWT327738:OWU327739 OMX327738:OMY327739 ODB327738:ODC327739 NTF327738:NTG327739 NJJ327738:NJK327739 MZN327738:MZO327739 MPR327738:MPS327739 MFV327738:MFW327739 LVZ327738:LWA327739 LMD327738:LME327739 LCH327738:LCI327739 KSL327738:KSM327739 KIP327738:KIQ327739 JYT327738:JYU327739 JOX327738:JOY327739 JFB327738:JFC327739 IVF327738:IVG327739 ILJ327738:ILK327739 IBN327738:IBO327739 HRR327738:HRS327739 HHV327738:HHW327739 GXZ327738:GYA327739 GOD327738:GOE327739 GEH327738:GEI327739 FUL327738:FUM327739 FKP327738:FKQ327739 FAT327738:FAU327739 EQX327738:EQY327739 EHB327738:EHC327739 DXF327738:DXG327739 DNJ327738:DNK327739 DDN327738:DDO327739 CTR327738:CTS327739 CJV327738:CJW327739 BZZ327738:CAA327739 BQD327738:BQE327739 BGH327738:BGI327739 AWL327738:AWM327739 AMP327738:AMQ327739 ACT327738:ACU327739 SX327738:SY327739 JB327738:JC327739 H327738:H327739 WVN262202:WVO262203 WLR262202:WLS262203 WBV262202:WBW262203 VRZ262202:VSA262203 VID262202:VIE262203 UYH262202:UYI262203 UOL262202:UOM262203 UEP262202:UEQ262203 TUT262202:TUU262203 TKX262202:TKY262203 TBB262202:TBC262203 SRF262202:SRG262203 SHJ262202:SHK262203 RXN262202:RXO262203 RNR262202:RNS262203 RDV262202:RDW262203 QTZ262202:QUA262203 QKD262202:QKE262203 QAH262202:QAI262203 PQL262202:PQM262203 PGP262202:PGQ262203 OWT262202:OWU262203 OMX262202:OMY262203 ODB262202:ODC262203 NTF262202:NTG262203 NJJ262202:NJK262203 MZN262202:MZO262203 MPR262202:MPS262203 MFV262202:MFW262203 LVZ262202:LWA262203 LMD262202:LME262203 LCH262202:LCI262203 KSL262202:KSM262203 KIP262202:KIQ262203 JYT262202:JYU262203 JOX262202:JOY262203 JFB262202:JFC262203 IVF262202:IVG262203 ILJ262202:ILK262203 IBN262202:IBO262203 HRR262202:HRS262203 HHV262202:HHW262203 GXZ262202:GYA262203 GOD262202:GOE262203 GEH262202:GEI262203 FUL262202:FUM262203 FKP262202:FKQ262203 FAT262202:FAU262203 EQX262202:EQY262203 EHB262202:EHC262203 DXF262202:DXG262203 DNJ262202:DNK262203 DDN262202:DDO262203 CTR262202:CTS262203 CJV262202:CJW262203 BZZ262202:CAA262203 BQD262202:BQE262203 BGH262202:BGI262203 AWL262202:AWM262203 AMP262202:AMQ262203 ACT262202:ACU262203 SX262202:SY262203 JB262202:JC262203 H262202:H262203 WVN196666:WVO196667 WLR196666:WLS196667 WBV196666:WBW196667 VRZ196666:VSA196667 VID196666:VIE196667 UYH196666:UYI196667 UOL196666:UOM196667 UEP196666:UEQ196667 TUT196666:TUU196667 TKX196666:TKY196667 TBB196666:TBC196667 SRF196666:SRG196667 SHJ196666:SHK196667 RXN196666:RXO196667 RNR196666:RNS196667 RDV196666:RDW196667 QTZ196666:QUA196667 QKD196666:QKE196667 QAH196666:QAI196667 PQL196666:PQM196667 PGP196666:PGQ196667 OWT196666:OWU196667 OMX196666:OMY196667 ODB196666:ODC196667 NTF196666:NTG196667 NJJ196666:NJK196667 MZN196666:MZO196667 MPR196666:MPS196667 MFV196666:MFW196667 LVZ196666:LWA196667 LMD196666:LME196667 LCH196666:LCI196667 KSL196666:KSM196667 KIP196666:KIQ196667 JYT196666:JYU196667 JOX196666:JOY196667 JFB196666:JFC196667 IVF196666:IVG196667 ILJ196666:ILK196667 IBN196666:IBO196667 HRR196666:HRS196667 HHV196666:HHW196667 GXZ196666:GYA196667 GOD196666:GOE196667 GEH196666:GEI196667 FUL196666:FUM196667 FKP196666:FKQ196667 FAT196666:FAU196667 EQX196666:EQY196667 EHB196666:EHC196667 DXF196666:DXG196667 DNJ196666:DNK196667 DDN196666:DDO196667 CTR196666:CTS196667 CJV196666:CJW196667 BZZ196666:CAA196667 BQD196666:BQE196667 BGH196666:BGI196667 AWL196666:AWM196667 AMP196666:AMQ196667 ACT196666:ACU196667 SX196666:SY196667 JB196666:JC196667 H196666:H196667 WVN131130:WVO131131 WLR131130:WLS131131 WBV131130:WBW131131 VRZ131130:VSA131131 VID131130:VIE131131 UYH131130:UYI131131 UOL131130:UOM131131 UEP131130:UEQ131131 TUT131130:TUU131131 TKX131130:TKY131131 TBB131130:TBC131131 SRF131130:SRG131131 SHJ131130:SHK131131 RXN131130:RXO131131 RNR131130:RNS131131 RDV131130:RDW131131 QTZ131130:QUA131131 QKD131130:QKE131131 QAH131130:QAI131131 PQL131130:PQM131131 PGP131130:PGQ131131 OWT131130:OWU131131 OMX131130:OMY131131 ODB131130:ODC131131 NTF131130:NTG131131 NJJ131130:NJK131131 MZN131130:MZO131131 MPR131130:MPS131131 MFV131130:MFW131131 LVZ131130:LWA131131 LMD131130:LME131131 LCH131130:LCI131131 KSL131130:KSM131131 KIP131130:KIQ131131 JYT131130:JYU131131 JOX131130:JOY131131 JFB131130:JFC131131 IVF131130:IVG131131 ILJ131130:ILK131131 IBN131130:IBO131131 HRR131130:HRS131131 HHV131130:HHW131131 GXZ131130:GYA131131 GOD131130:GOE131131 GEH131130:GEI131131 FUL131130:FUM131131 FKP131130:FKQ131131 FAT131130:FAU131131 EQX131130:EQY131131 EHB131130:EHC131131 DXF131130:DXG131131 DNJ131130:DNK131131 DDN131130:DDO131131 CTR131130:CTS131131 CJV131130:CJW131131 BZZ131130:CAA131131 BQD131130:BQE131131 BGH131130:BGI131131 AWL131130:AWM131131 AMP131130:AMQ131131 ACT131130:ACU131131 SX131130:SY131131 JB131130:JC131131 H131130:H131131 WVN65594:WVO65595 WLR65594:WLS65595 WBV65594:WBW65595 VRZ65594:VSA65595 VID65594:VIE65595 UYH65594:UYI65595 UOL65594:UOM65595 UEP65594:UEQ65595 TUT65594:TUU65595 TKX65594:TKY65595 TBB65594:TBC65595 SRF65594:SRG65595 SHJ65594:SHK65595 RXN65594:RXO65595 RNR65594:RNS65595 RDV65594:RDW65595 QTZ65594:QUA65595 QKD65594:QKE65595 QAH65594:QAI65595 PQL65594:PQM65595 PGP65594:PGQ65595 OWT65594:OWU65595 OMX65594:OMY65595 ODB65594:ODC65595 NTF65594:NTG65595 NJJ65594:NJK65595 MZN65594:MZO65595 MPR65594:MPS65595 MFV65594:MFW65595 LVZ65594:LWA65595 LMD65594:LME65595 LCH65594:LCI65595 KSL65594:KSM65595 KIP65594:KIQ65595 JYT65594:JYU65595 JOX65594:JOY65595 JFB65594:JFC65595 IVF65594:IVG65595 ILJ65594:ILK65595 IBN65594:IBO65595 HRR65594:HRS65595 HHV65594:HHW65595 GXZ65594:GYA65595 GOD65594:GOE65595 GEH65594:GEI65595 FUL65594:FUM65595 FKP65594:FKQ65595 FAT65594:FAU65595 EQX65594:EQY65595 EHB65594:EHC65595 DXF65594:DXG65595 DNJ65594:DNK65595 DDN65594:DDO65595 CTR65594:CTS65595 CJV65594:CJW65595 BZZ65594:CAA65595 BQD65594:BQE65595 BGH65594:BGI65595 AWL65594:AWM65595 AMP65594:AMQ65595 ACT65594:ACU65595 SX65594:SY65595 JB65594:JC65595 H65594:H65595 WVS57:WVT58 WLW57:WLX58 WCA57:WCB58 VSE57:VSF58 VII57:VIJ58 UYM57:UYN58 UOQ57:UOR58 UEU57:UEV58 TUY57:TUZ58 TLC57:TLD58 TBG57:TBH58 SRK57:SRL58 SHO57:SHP58 RXS57:RXT58 RNW57:RNX58 REA57:REB58 QUE57:QUF58 QKI57:QKJ58 QAM57:QAN58 PQQ57:PQR58 PGU57:PGV58 OWY57:OWZ58 ONC57:OND58 ODG57:ODH58 NTK57:NTL58 NJO57:NJP58 MZS57:MZT58 MPW57:MPX58 MGA57:MGB58 LWE57:LWF58 LMI57:LMJ58 LCM57:LCN58 KSQ57:KSR58 KIU57:KIV58 JYY57:JYZ58 JPC57:JPD58 JFG57:JFH58 IVK57:IVL58 ILO57:ILP58 IBS57:IBT58 HRW57:HRX58 HIA57:HIB58 GYE57:GYF58 GOI57:GOJ58 GEM57:GEN58 FUQ57:FUR58 FKU57:FKV58 FAY57:FAZ58 ERC57:ERD58 EHG57:EHH58 DXK57:DXL58 DNO57:DNP58 DDS57:DDT58 CTW57:CTX58 CKA57:CKB58 CAE57:CAF58 BQI57:BQJ58 BGM57:BGN58 AWQ57:AWR58 AMU57:AMV58 ACY57:ACZ58 TC57:TD58 JG57:JH58 AWR46:AWS55 WVN983101:WVO983102 WLR983101:WLS983102 WBV983101:WBW983102 VRZ983101:VSA983102 VID983101:VIE983102 UYH983101:UYI983102 UOL983101:UOM983102 UEP983101:UEQ983102 TUT983101:TUU983102 TKX983101:TKY983102 TBB983101:TBC983102 SRF983101:SRG983102 SHJ983101:SHK983102 RXN983101:RXO983102 RNR983101:RNS983102 RDV983101:RDW983102 QTZ983101:QUA983102 QKD983101:QKE983102 QAH983101:QAI983102 PQL983101:PQM983102 PGP983101:PGQ983102 OWT983101:OWU983102 OMX983101:OMY983102 ODB983101:ODC983102 NTF983101:NTG983102 NJJ983101:NJK983102 MZN983101:MZO983102 MPR983101:MPS983102 MFV983101:MFW983102 LVZ983101:LWA983102 LMD983101:LME983102 LCH983101:LCI983102 KSL983101:KSM983102 KIP983101:KIQ983102 JYT983101:JYU983102 JOX983101:JOY983102 JFB983101:JFC983102 IVF983101:IVG983102 ILJ983101:ILK983102 IBN983101:IBO983102 HRR983101:HRS983102 HHV983101:HHW983102 GXZ983101:GYA983102 GOD983101:GOE983102 GEH983101:GEI983102 FUL983101:FUM983102 FKP983101:FKQ983102 FAT983101:FAU983102 EQX983101:EQY983102 EHB983101:EHC983102 DXF983101:DXG983102 DNJ983101:DNK983102 DDN983101:DDO983102 CTR983101:CTS983102 CJV983101:CJW983102 BZZ983101:CAA983102 BQD983101:BQE983102 BGH983101:BGI983102 AWL983101:AWM983102 AMP983101:AMQ983102 ACT983101:ACU983102 SX983101:SY983102 JB983101:JC983102 H983101:H983102 WVN917565:WVO917566 WLR917565:WLS917566 WBV917565:WBW917566 VRZ917565:VSA917566 VID917565:VIE917566 UYH917565:UYI917566 UOL917565:UOM917566 UEP917565:UEQ917566 TUT917565:TUU917566 TKX917565:TKY917566 TBB917565:TBC917566 SRF917565:SRG917566 SHJ917565:SHK917566 RXN917565:RXO917566 RNR917565:RNS917566 RDV917565:RDW917566 QTZ917565:QUA917566 QKD917565:QKE917566 QAH917565:QAI917566 PQL917565:PQM917566 PGP917565:PGQ917566 OWT917565:OWU917566 OMX917565:OMY917566 ODB917565:ODC917566 NTF917565:NTG917566 NJJ917565:NJK917566 MZN917565:MZO917566 MPR917565:MPS917566 MFV917565:MFW917566 LVZ917565:LWA917566 LMD917565:LME917566 LCH917565:LCI917566 KSL917565:KSM917566 KIP917565:KIQ917566 JYT917565:JYU917566 JOX917565:JOY917566 JFB917565:JFC917566 IVF917565:IVG917566 ILJ917565:ILK917566 IBN917565:IBO917566 HRR917565:HRS917566 HHV917565:HHW917566 GXZ917565:GYA917566 GOD917565:GOE917566 GEH917565:GEI917566 FUL917565:FUM917566 FKP917565:FKQ917566 FAT917565:FAU917566 EQX917565:EQY917566 EHB917565:EHC917566 DXF917565:DXG917566 DNJ917565:DNK917566 DDN917565:DDO917566 CTR917565:CTS917566 CJV917565:CJW917566 BZZ917565:CAA917566 BQD917565:BQE917566 BGH917565:BGI917566 AWL917565:AWM917566 AMP917565:AMQ917566 ACT917565:ACU917566 SX917565:SY917566 JB917565:JC917566 H917565:H917566 WVN852029:WVO852030 WLR852029:WLS852030 WBV852029:WBW852030 VRZ852029:VSA852030 VID852029:VIE852030 UYH852029:UYI852030 UOL852029:UOM852030 UEP852029:UEQ852030 TUT852029:TUU852030 TKX852029:TKY852030 TBB852029:TBC852030 SRF852029:SRG852030 SHJ852029:SHK852030 RXN852029:RXO852030 RNR852029:RNS852030 RDV852029:RDW852030 QTZ852029:QUA852030 QKD852029:QKE852030 QAH852029:QAI852030 PQL852029:PQM852030 PGP852029:PGQ852030 OWT852029:OWU852030 OMX852029:OMY852030 ODB852029:ODC852030 NTF852029:NTG852030 NJJ852029:NJK852030 MZN852029:MZO852030 MPR852029:MPS852030 MFV852029:MFW852030 LVZ852029:LWA852030 LMD852029:LME852030 LCH852029:LCI852030 KSL852029:KSM852030 KIP852029:KIQ852030 JYT852029:JYU852030 JOX852029:JOY852030 JFB852029:JFC852030 IVF852029:IVG852030 ILJ852029:ILK852030 IBN852029:IBO852030 HRR852029:HRS852030 HHV852029:HHW852030 GXZ852029:GYA852030 GOD852029:GOE852030 GEH852029:GEI852030 FUL852029:FUM852030 FKP852029:FKQ852030 FAT852029:FAU852030 EQX852029:EQY852030 EHB852029:EHC852030 DXF852029:DXG852030 DNJ852029:DNK852030 DDN852029:DDO852030 CTR852029:CTS852030 CJV852029:CJW852030 BZZ852029:CAA852030 BQD852029:BQE852030 BGH852029:BGI852030 AWL852029:AWM852030 AMP852029:AMQ852030 ACT852029:ACU852030 SX852029:SY852030 JB852029:JC852030 H852029:H852030 WVN786493:WVO786494 WLR786493:WLS786494 WBV786493:WBW786494 VRZ786493:VSA786494 VID786493:VIE786494 UYH786493:UYI786494 UOL786493:UOM786494 UEP786493:UEQ786494 TUT786493:TUU786494 TKX786493:TKY786494 TBB786493:TBC786494 SRF786493:SRG786494 SHJ786493:SHK786494 RXN786493:RXO786494 RNR786493:RNS786494 RDV786493:RDW786494 QTZ786493:QUA786494 QKD786493:QKE786494 QAH786493:QAI786494 PQL786493:PQM786494 PGP786493:PGQ786494 OWT786493:OWU786494 OMX786493:OMY786494 ODB786493:ODC786494 NTF786493:NTG786494 NJJ786493:NJK786494 MZN786493:MZO786494 MPR786493:MPS786494 MFV786493:MFW786494 LVZ786493:LWA786494 LMD786493:LME786494 LCH786493:LCI786494 KSL786493:KSM786494 KIP786493:KIQ786494 JYT786493:JYU786494 JOX786493:JOY786494 JFB786493:JFC786494 IVF786493:IVG786494 ILJ786493:ILK786494 IBN786493:IBO786494 HRR786493:HRS786494 HHV786493:HHW786494 GXZ786493:GYA786494 GOD786493:GOE786494 GEH786493:GEI786494 FUL786493:FUM786494 FKP786493:FKQ786494 FAT786493:FAU786494 EQX786493:EQY786494 EHB786493:EHC786494 DXF786493:DXG786494 DNJ786493:DNK786494 DDN786493:DDO786494 CTR786493:CTS786494 CJV786493:CJW786494 BZZ786493:CAA786494 BQD786493:BQE786494 BGH786493:BGI786494 AWL786493:AWM786494 AMP786493:AMQ786494 ACT786493:ACU786494 SX786493:SY786494 JB786493:JC786494 H786493:H786494 WVN720957:WVO720958 WLR720957:WLS720958 WBV720957:WBW720958 VRZ720957:VSA720958 VID720957:VIE720958 UYH720957:UYI720958 UOL720957:UOM720958 UEP720957:UEQ720958 TUT720957:TUU720958 TKX720957:TKY720958 TBB720957:TBC720958 SRF720957:SRG720958 SHJ720957:SHK720958 RXN720957:RXO720958 RNR720957:RNS720958 RDV720957:RDW720958 QTZ720957:QUA720958 QKD720957:QKE720958 QAH720957:QAI720958 PQL720957:PQM720958 PGP720957:PGQ720958 OWT720957:OWU720958 OMX720957:OMY720958 ODB720957:ODC720958 NTF720957:NTG720958 NJJ720957:NJK720958 MZN720957:MZO720958 MPR720957:MPS720958 MFV720957:MFW720958 LVZ720957:LWA720958 LMD720957:LME720958 LCH720957:LCI720958 KSL720957:KSM720958 KIP720957:KIQ720958 JYT720957:JYU720958 JOX720957:JOY720958 JFB720957:JFC720958 IVF720957:IVG720958 ILJ720957:ILK720958 IBN720957:IBO720958 HRR720957:HRS720958 HHV720957:HHW720958 GXZ720957:GYA720958 GOD720957:GOE720958 GEH720957:GEI720958 FUL720957:FUM720958 FKP720957:FKQ720958 FAT720957:FAU720958 EQX720957:EQY720958 EHB720957:EHC720958 DXF720957:DXG720958 DNJ720957:DNK720958 DDN720957:DDO720958 CTR720957:CTS720958 CJV720957:CJW720958 BZZ720957:CAA720958 BQD720957:BQE720958 BGH720957:BGI720958 AWL720957:AWM720958 AMP720957:AMQ720958 ACT720957:ACU720958 SX720957:SY720958 JB720957:JC720958 H720957:H720958 WVN655421:WVO655422 WLR655421:WLS655422 WBV655421:WBW655422 VRZ655421:VSA655422 VID655421:VIE655422 UYH655421:UYI655422 UOL655421:UOM655422 UEP655421:UEQ655422 TUT655421:TUU655422 TKX655421:TKY655422 TBB655421:TBC655422 SRF655421:SRG655422 SHJ655421:SHK655422 RXN655421:RXO655422 RNR655421:RNS655422 RDV655421:RDW655422 QTZ655421:QUA655422 QKD655421:QKE655422 QAH655421:QAI655422 PQL655421:PQM655422 PGP655421:PGQ655422 OWT655421:OWU655422 OMX655421:OMY655422 ODB655421:ODC655422 NTF655421:NTG655422 NJJ655421:NJK655422 MZN655421:MZO655422 MPR655421:MPS655422 MFV655421:MFW655422 LVZ655421:LWA655422 LMD655421:LME655422 LCH655421:LCI655422 KSL655421:KSM655422 KIP655421:KIQ655422 JYT655421:JYU655422 JOX655421:JOY655422 JFB655421:JFC655422 IVF655421:IVG655422 ILJ655421:ILK655422 IBN655421:IBO655422 HRR655421:HRS655422 HHV655421:HHW655422 GXZ655421:GYA655422 GOD655421:GOE655422 GEH655421:GEI655422 FUL655421:FUM655422 FKP655421:FKQ655422 FAT655421:FAU655422 EQX655421:EQY655422 EHB655421:EHC655422 DXF655421:DXG655422 DNJ655421:DNK655422 DDN655421:DDO655422 CTR655421:CTS655422 CJV655421:CJW655422 BZZ655421:CAA655422 BQD655421:BQE655422 BGH655421:BGI655422 AWL655421:AWM655422 AMP655421:AMQ655422 ACT655421:ACU655422 SX655421:SY655422 JB655421:JC655422 H655421:H655422 WVN589885:WVO589886 WLR589885:WLS589886 WBV589885:WBW589886 VRZ589885:VSA589886 VID589885:VIE589886 UYH589885:UYI589886 UOL589885:UOM589886 UEP589885:UEQ589886 TUT589885:TUU589886 TKX589885:TKY589886 TBB589885:TBC589886 SRF589885:SRG589886 SHJ589885:SHK589886 RXN589885:RXO589886 RNR589885:RNS589886 RDV589885:RDW589886 QTZ589885:QUA589886 QKD589885:QKE589886 QAH589885:QAI589886 PQL589885:PQM589886 PGP589885:PGQ589886 OWT589885:OWU589886 OMX589885:OMY589886 ODB589885:ODC589886 NTF589885:NTG589886 NJJ589885:NJK589886 MZN589885:MZO589886 MPR589885:MPS589886 MFV589885:MFW589886 LVZ589885:LWA589886 LMD589885:LME589886 LCH589885:LCI589886 KSL589885:KSM589886 KIP589885:KIQ589886 JYT589885:JYU589886 JOX589885:JOY589886 JFB589885:JFC589886 IVF589885:IVG589886 ILJ589885:ILK589886 IBN589885:IBO589886 HRR589885:HRS589886 HHV589885:HHW589886 GXZ589885:GYA589886 GOD589885:GOE589886 GEH589885:GEI589886 FUL589885:FUM589886 FKP589885:FKQ589886 FAT589885:FAU589886 EQX589885:EQY589886 EHB589885:EHC589886 DXF589885:DXG589886 DNJ589885:DNK589886 DDN589885:DDO589886 CTR589885:CTS589886 CJV589885:CJW589886 BZZ589885:CAA589886 BQD589885:BQE589886 BGH589885:BGI589886 AWL589885:AWM589886 AMP589885:AMQ589886 ACT589885:ACU589886 SX589885:SY589886 JB589885:JC589886 H589885:H589886 WVN524349:WVO524350 WLR524349:WLS524350 WBV524349:WBW524350 VRZ524349:VSA524350 VID524349:VIE524350 UYH524349:UYI524350 UOL524349:UOM524350 UEP524349:UEQ524350 TUT524349:TUU524350 TKX524349:TKY524350 TBB524349:TBC524350 SRF524349:SRG524350 SHJ524349:SHK524350 RXN524349:RXO524350 RNR524349:RNS524350 RDV524349:RDW524350 QTZ524349:QUA524350 QKD524349:QKE524350 QAH524349:QAI524350 PQL524349:PQM524350 PGP524349:PGQ524350 OWT524349:OWU524350 OMX524349:OMY524350 ODB524349:ODC524350 NTF524349:NTG524350 NJJ524349:NJK524350 MZN524349:MZO524350 MPR524349:MPS524350 MFV524349:MFW524350 LVZ524349:LWA524350 LMD524349:LME524350 LCH524349:LCI524350 KSL524349:KSM524350 KIP524349:KIQ524350 JYT524349:JYU524350 JOX524349:JOY524350 JFB524349:JFC524350 IVF524349:IVG524350 ILJ524349:ILK524350 IBN524349:IBO524350 HRR524349:HRS524350 HHV524349:HHW524350 GXZ524349:GYA524350 GOD524349:GOE524350 GEH524349:GEI524350 FUL524349:FUM524350 FKP524349:FKQ524350 FAT524349:FAU524350 EQX524349:EQY524350 EHB524349:EHC524350 DXF524349:DXG524350 DNJ524349:DNK524350 DDN524349:DDO524350 CTR524349:CTS524350 CJV524349:CJW524350 BZZ524349:CAA524350 BQD524349:BQE524350 BGH524349:BGI524350 AWL524349:AWM524350 AMP524349:AMQ524350 ACT524349:ACU524350 SX524349:SY524350 JB524349:JC524350 H524349:H524350 WVN458813:WVO458814 WLR458813:WLS458814 WBV458813:WBW458814 VRZ458813:VSA458814 VID458813:VIE458814 UYH458813:UYI458814 UOL458813:UOM458814 UEP458813:UEQ458814 TUT458813:TUU458814 TKX458813:TKY458814 TBB458813:TBC458814 SRF458813:SRG458814 SHJ458813:SHK458814 RXN458813:RXO458814 RNR458813:RNS458814 RDV458813:RDW458814 QTZ458813:QUA458814 QKD458813:QKE458814 QAH458813:QAI458814 PQL458813:PQM458814 PGP458813:PGQ458814 OWT458813:OWU458814 OMX458813:OMY458814 ODB458813:ODC458814 NTF458813:NTG458814 NJJ458813:NJK458814 MZN458813:MZO458814 MPR458813:MPS458814 MFV458813:MFW458814 LVZ458813:LWA458814 LMD458813:LME458814 LCH458813:LCI458814 KSL458813:KSM458814 KIP458813:KIQ458814 JYT458813:JYU458814 JOX458813:JOY458814 JFB458813:JFC458814 IVF458813:IVG458814 ILJ458813:ILK458814 IBN458813:IBO458814 HRR458813:HRS458814 HHV458813:HHW458814 GXZ458813:GYA458814 GOD458813:GOE458814 GEH458813:GEI458814 FUL458813:FUM458814 FKP458813:FKQ458814 FAT458813:FAU458814 EQX458813:EQY458814 EHB458813:EHC458814 DXF458813:DXG458814 DNJ458813:DNK458814 DDN458813:DDO458814 CTR458813:CTS458814 CJV458813:CJW458814 BZZ458813:CAA458814 BQD458813:BQE458814 BGH458813:BGI458814 AWL458813:AWM458814 AMP458813:AMQ458814 ACT458813:ACU458814 SX458813:SY458814 JB458813:JC458814 H458813:H458814 WVN393277:WVO393278 WLR393277:WLS393278 WBV393277:WBW393278 VRZ393277:VSA393278 VID393277:VIE393278 UYH393277:UYI393278 UOL393277:UOM393278 UEP393277:UEQ393278 TUT393277:TUU393278 TKX393277:TKY393278 TBB393277:TBC393278 SRF393277:SRG393278 SHJ393277:SHK393278 RXN393277:RXO393278 RNR393277:RNS393278 RDV393277:RDW393278 QTZ393277:QUA393278 QKD393277:QKE393278 QAH393277:QAI393278 PQL393277:PQM393278 PGP393277:PGQ393278 OWT393277:OWU393278 OMX393277:OMY393278 ODB393277:ODC393278 NTF393277:NTG393278 NJJ393277:NJK393278 MZN393277:MZO393278 MPR393277:MPS393278 MFV393277:MFW393278 LVZ393277:LWA393278 LMD393277:LME393278 LCH393277:LCI393278 KSL393277:KSM393278 KIP393277:KIQ393278 JYT393277:JYU393278 JOX393277:JOY393278 JFB393277:JFC393278 IVF393277:IVG393278 ILJ393277:ILK393278 IBN393277:IBO393278 HRR393277:HRS393278 HHV393277:HHW393278 GXZ393277:GYA393278 GOD393277:GOE393278 GEH393277:GEI393278 FUL393277:FUM393278 FKP393277:FKQ393278 FAT393277:FAU393278 EQX393277:EQY393278 EHB393277:EHC393278 DXF393277:DXG393278 DNJ393277:DNK393278 DDN393277:DDO393278 CTR393277:CTS393278 CJV393277:CJW393278 BZZ393277:CAA393278 BQD393277:BQE393278 BGH393277:BGI393278 AWL393277:AWM393278 AMP393277:AMQ393278 ACT393277:ACU393278 SX393277:SY393278 JB393277:JC393278 H393277:H393278 WVN327741:WVO327742 WLR327741:WLS327742 WBV327741:WBW327742 VRZ327741:VSA327742 VID327741:VIE327742 UYH327741:UYI327742 UOL327741:UOM327742 UEP327741:UEQ327742 TUT327741:TUU327742 TKX327741:TKY327742 TBB327741:TBC327742 SRF327741:SRG327742 SHJ327741:SHK327742 RXN327741:RXO327742 RNR327741:RNS327742 RDV327741:RDW327742 QTZ327741:QUA327742 QKD327741:QKE327742 QAH327741:QAI327742 PQL327741:PQM327742 PGP327741:PGQ327742 OWT327741:OWU327742 OMX327741:OMY327742 ODB327741:ODC327742 NTF327741:NTG327742 NJJ327741:NJK327742 MZN327741:MZO327742 MPR327741:MPS327742 MFV327741:MFW327742 LVZ327741:LWA327742 LMD327741:LME327742 LCH327741:LCI327742 KSL327741:KSM327742 KIP327741:KIQ327742 JYT327741:JYU327742 JOX327741:JOY327742 JFB327741:JFC327742 IVF327741:IVG327742 ILJ327741:ILK327742 IBN327741:IBO327742 HRR327741:HRS327742 HHV327741:HHW327742 GXZ327741:GYA327742 GOD327741:GOE327742 GEH327741:GEI327742 FUL327741:FUM327742 FKP327741:FKQ327742 FAT327741:FAU327742 EQX327741:EQY327742 EHB327741:EHC327742 DXF327741:DXG327742 DNJ327741:DNK327742 DDN327741:DDO327742 CTR327741:CTS327742 CJV327741:CJW327742 BZZ327741:CAA327742 BQD327741:BQE327742 BGH327741:BGI327742 AWL327741:AWM327742 AMP327741:AMQ327742 ACT327741:ACU327742 SX327741:SY327742 JB327741:JC327742 H327741:H327742 WVN262205:WVO262206 WLR262205:WLS262206 WBV262205:WBW262206 VRZ262205:VSA262206 VID262205:VIE262206 UYH262205:UYI262206 UOL262205:UOM262206 UEP262205:UEQ262206 TUT262205:TUU262206 TKX262205:TKY262206 TBB262205:TBC262206 SRF262205:SRG262206 SHJ262205:SHK262206 RXN262205:RXO262206 RNR262205:RNS262206 RDV262205:RDW262206 QTZ262205:QUA262206 QKD262205:QKE262206 QAH262205:QAI262206 PQL262205:PQM262206 PGP262205:PGQ262206 OWT262205:OWU262206 OMX262205:OMY262206 ODB262205:ODC262206 NTF262205:NTG262206 NJJ262205:NJK262206 MZN262205:MZO262206 MPR262205:MPS262206 MFV262205:MFW262206 LVZ262205:LWA262206 LMD262205:LME262206 LCH262205:LCI262206 KSL262205:KSM262206 KIP262205:KIQ262206 JYT262205:JYU262206 JOX262205:JOY262206 JFB262205:JFC262206 IVF262205:IVG262206 ILJ262205:ILK262206 IBN262205:IBO262206 HRR262205:HRS262206 HHV262205:HHW262206 GXZ262205:GYA262206 GOD262205:GOE262206 GEH262205:GEI262206 FUL262205:FUM262206 FKP262205:FKQ262206 FAT262205:FAU262206 EQX262205:EQY262206 EHB262205:EHC262206 DXF262205:DXG262206 DNJ262205:DNK262206 DDN262205:DDO262206 CTR262205:CTS262206 CJV262205:CJW262206 BZZ262205:CAA262206 BQD262205:BQE262206 BGH262205:BGI262206 AWL262205:AWM262206 AMP262205:AMQ262206 ACT262205:ACU262206 SX262205:SY262206 JB262205:JC262206 H262205:H262206 WVN196669:WVO196670 WLR196669:WLS196670 WBV196669:WBW196670 VRZ196669:VSA196670 VID196669:VIE196670 UYH196669:UYI196670 UOL196669:UOM196670 UEP196669:UEQ196670 TUT196669:TUU196670 TKX196669:TKY196670 TBB196669:TBC196670 SRF196669:SRG196670 SHJ196669:SHK196670 RXN196669:RXO196670 RNR196669:RNS196670 RDV196669:RDW196670 QTZ196669:QUA196670 QKD196669:QKE196670 QAH196669:QAI196670 PQL196669:PQM196670 PGP196669:PGQ196670 OWT196669:OWU196670 OMX196669:OMY196670 ODB196669:ODC196670 NTF196669:NTG196670 NJJ196669:NJK196670 MZN196669:MZO196670 MPR196669:MPS196670 MFV196669:MFW196670 LVZ196669:LWA196670 LMD196669:LME196670 LCH196669:LCI196670 KSL196669:KSM196670 KIP196669:KIQ196670 JYT196669:JYU196670 JOX196669:JOY196670 JFB196669:JFC196670 IVF196669:IVG196670 ILJ196669:ILK196670 IBN196669:IBO196670 HRR196669:HRS196670 HHV196669:HHW196670 GXZ196669:GYA196670 GOD196669:GOE196670 GEH196669:GEI196670 FUL196669:FUM196670 FKP196669:FKQ196670 FAT196669:FAU196670 EQX196669:EQY196670 EHB196669:EHC196670 DXF196669:DXG196670 DNJ196669:DNK196670 DDN196669:DDO196670 CTR196669:CTS196670 CJV196669:CJW196670 BZZ196669:CAA196670 BQD196669:BQE196670 BGH196669:BGI196670 AWL196669:AWM196670 AMP196669:AMQ196670 ACT196669:ACU196670 SX196669:SY196670 JB196669:JC196670 H196669:H196670 WVN131133:WVO131134 WLR131133:WLS131134 WBV131133:WBW131134 VRZ131133:VSA131134 VID131133:VIE131134 UYH131133:UYI131134 UOL131133:UOM131134 UEP131133:UEQ131134 TUT131133:TUU131134 TKX131133:TKY131134 TBB131133:TBC131134 SRF131133:SRG131134 SHJ131133:SHK131134 RXN131133:RXO131134 RNR131133:RNS131134 RDV131133:RDW131134 QTZ131133:QUA131134 QKD131133:QKE131134 QAH131133:QAI131134 PQL131133:PQM131134 PGP131133:PGQ131134 OWT131133:OWU131134 OMX131133:OMY131134 ODB131133:ODC131134 NTF131133:NTG131134 NJJ131133:NJK131134 MZN131133:MZO131134 MPR131133:MPS131134 MFV131133:MFW131134 LVZ131133:LWA131134 LMD131133:LME131134 LCH131133:LCI131134 KSL131133:KSM131134 KIP131133:KIQ131134 JYT131133:JYU131134 JOX131133:JOY131134 JFB131133:JFC131134 IVF131133:IVG131134 ILJ131133:ILK131134 IBN131133:IBO131134 HRR131133:HRS131134 HHV131133:HHW131134 GXZ131133:GYA131134 GOD131133:GOE131134 GEH131133:GEI131134 FUL131133:FUM131134 FKP131133:FKQ131134 FAT131133:FAU131134 EQX131133:EQY131134 EHB131133:EHC131134 DXF131133:DXG131134 DNJ131133:DNK131134 DDN131133:DDO131134 CTR131133:CTS131134 CJV131133:CJW131134 BZZ131133:CAA131134 BQD131133:BQE131134 BGH131133:BGI131134 AWL131133:AWM131134 AMP131133:AMQ131134 ACT131133:ACU131134 SX131133:SY131134 JB131133:JC131134 H131133:H131134 WVN65597:WVO65598 WLR65597:WLS65598 WBV65597:WBW65598 VRZ65597:VSA65598 VID65597:VIE65598 UYH65597:UYI65598 UOL65597:UOM65598 UEP65597:UEQ65598 TUT65597:TUU65598 TKX65597:TKY65598 TBB65597:TBC65598 SRF65597:SRG65598 SHJ65597:SHK65598 RXN65597:RXO65598 RNR65597:RNS65598 RDV65597:RDW65598 QTZ65597:QUA65598 QKD65597:QKE65598 QAH65597:QAI65598 PQL65597:PQM65598 PGP65597:PGQ65598 OWT65597:OWU65598 OMX65597:OMY65598 ODB65597:ODC65598 NTF65597:NTG65598 NJJ65597:NJK65598 MZN65597:MZO65598 MPR65597:MPS65598 MFV65597:MFW65598 LVZ65597:LWA65598 LMD65597:LME65598 LCH65597:LCI65598 KSL65597:KSM65598 KIP65597:KIQ65598 JYT65597:JYU65598 JOX65597:JOY65598 JFB65597:JFC65598 IVF65597:IVG65598 ILJ65597:ILK65598 IBN65597:IBO65598 HRR65597:HRS65598 HHV65597:HHW65598 GXZ65597:GYA65598 GOD65597:GOE65598 GEH65597:GEI65598 FUL65597:FUM65598 FKP65597:FKQ65598 FAT65597:FAU65598 EQX65597:EQY65598 EHB65597:EHC65598 DXF65597:DXG65598 DNJ65597:DNK65598 DDN65597:DDO65598 CTR65597:CTS65598 CJV65597:CJW65598 BZZ65597:CAA65598 BQD65597:BQE65598 BGH65597:BGI65598 AWL65597:AWM65598 AMP65597:AMQ65598 ACT65597:ACU65598 SX65597:SY65598 JB65597:JC65598 H65597:H65598 WVS60:WVT61 WLW60:WLX61 WCA60:WCB61 VSE60:VSF61 VII60:VIJ61 UYM60:UYN61 UOQ60:UOR61 UEU60:UEV61 TUY60:TUZ61 TLC60:TLD61 TBG60:TBH61 SRK60:SRL61 SHO60:SHP61 RXS60:RXT61 RNW60:RNX61 REA60:REB61 QUE60:QUF61 QKI60:QKJ61 QAM60:QAN61 PQQ60:PQR61 PGU60:PGV61 OWY60:OWZ61 ONC60:OND61 ODG60:ODH61 NTK60:NTL61 NJO60:NJP61 MZS60:MZT61 MPW60:MPX61 MGA60:MGB61 LWE60:LWF61 LMI60:LMJ61 LCM60:LCN61 KSQ60:KSR61 KIU60:KIV61 JYY60:JYZ61 JPC60:JPD61 JFG60:JFH61 IVK60:IVL61 ILO60:ILP61 IBS60:IBT61 HRW60:HRX61 HIA60:HIB61 GYE60:GYF61 GOI60:GOJ61 GEM60:GEN61 FUQ60:FUR61 FKU60:FKV61 FAY60:FAZ61 ERC60:ERD61 EHG60:EHH61 DXK60:DXL61 DNO60:DNP61 DDS60:DDT61 CTW60:CTX61 CKA60:CKB61 CAE60:CAF61 BQI60:BQJ61 BGM60:BGN61 AWQ60:AWR61 AMU60:AMV61 ACY60:ACZ61 TC60:TD61 JG60:JH61 AMV46:AMW55 WVN983104:WVO983107 WLR983104:WLS983107 WBV983104:WBW983107 VRZ983104:VSA983107 VID983104:VIE983107 UYH983104:UYI983107 UOL983104:UOM983107 UEP983104:UEQ983107 TUT983104:TUU983107 TKX983104:TKY983107 TBB983104:TBC983107 SRF983104:SRG983107 SHJ983104:SHK983107 RXN983104:RXO983107 RNR983104:RNS983107 RDV983104:RDW983107 QTZ983104:QUA983107 QKD983104:QKE983107 QAH983104:QAI983107 PQL983104:PQM983107 PGP983104:PGQ983107 OWT983104:OWU983107 OMX983104:OMY983107 ODB983104:ODC983107 NTF983104:NTG983107 NJJ983104:NJK983107 MZN983104:MZO983107 MPR983104:MPS983107 MFV983104:MFW983107 LVZ983104:LWA983107 LMD983104:LME983107 LCH983104:LCI983107 KSL983104:KSM983107 KIP983104:KIQ983107 JYT983104:JYU983107 JOX983104:JOY983107 JFB983104:JFC983107 IVF983104:IVG983107 ILJ983104:ILK983107 IBN983104:IBO983107 HRR983104:HRS983107 HHV983104:HHW983107 GXZ983104:GYA983107 GOD983104:GOE983107 GEH983104:GEI983107 FUL983104:FUM983107 FKP983104:FKQ983107 FAT983104:FAU983107 EQX983104:EQY983107 EHB983104:EHC983107 DXF983104:DXG983107 DNJ983104:DNK983107 DDN983104:DDO983107 CTR983104:CTS983107 CJV983104:CJW983107 BZZ983104:CAA983107 BQD983104:BQE983107 BGH983104:BGI983107 AWL983104:AWM983107 AMP983104:AMQ983107 ACT983104:ACU983107 SX983104:SY983107 JB983104:JC983107 H983104:H983107 WVN917568:WVO917571 WLR917568:WLS917571 WBV917568:WBW917571 VRZ917568:VSA917571 VID917568:VIE917571 UYH917568:UYI917571 UOL917568:UOM917571 UEP917568:UEQ917571 TUT917568:TUU917571 TKX917568:TKY917571 TBB917568:TBC917571 SRF917568:SRG917571 SHJ917568:SHK917571 RXN917568:RXO917571 RNR917568:RNS917571 RDV917568:RDW917571 QTZ917568:QUA917571 QKD917568:QKE917571 QAH917568:QAI917571 PQL917568:PQM917571 PGP917568:PGQ917571 OWT917568:OWU917571 OMX917568:OMY917571 ODB917568:ODC917571 NTF917568:NTG917571 NJJ917568:NJK917571 MZN917568:MZO917571 MPR917568:MPS917571 MFV917568:MFW917571 LVZ917568:LWA917571 LMD917568:LME917571 LCH917568:LCI917571 KSL917568:KSM917571 KIP917568:KIQ917571 JYT917568:JYU917571 JOX917568:JOY917571 JFB917568:JFC917571 IVF917568:IVG917571 ILJ917568:ILK917571 IBN917568:IBO917571 HRR917568:HRS917571 HHV917568:HHW917571 GXZ917568:GYA917571 GOD917568:GOE917571 GEH917568:GEI917571 FUL917568:FUM917571 FKP917568:FKQ917571 FAT917568:FAU917571 EQX917568:EQY917571 EHB917568:EHC917571 DXF917568:DXG917571 DNJ917568:DNK917571 DDN917568:DDO917571 CTR917568:CTS917571 CJV917568:CJW917571 BZZ917568:CAA917571 BQD917568:BQE917571 BGH917568:BGI917571 AWL917568:AWM917571 AMP917568:AMQ917571 ACT917568:ACU917571 SX917568:SY917571 JB917568:JC917571 H917568:H917571 WVN852032:WVO852035 WLR852032:WLS852035 WBV852032:WBW852035 VRZ852032:VSA852035 VID852032:VIE852035 UYH852032:UYI852035 UOL852032:UOM852035 UEP852032:UEQ852035 TUT852032:TUU852035 TKX852032:TKY852035 TBB852032:TBC852035 SRF852032:SRG852035 SHJ852032:SHK852035 RXN852032:RXO852035 RNR852032:RNS852035 RDV852032:RDW852035 QTZ852032:QUA852035 QKD852032:QKE852035 QAH852032:QAI852035 PQL852032:PQM852035 PGP852032:PGQ852035 OWT852032:OWU852035 OMX852032:OMY852035 ODB852032:ODC852035 NTF852032:NTG852035 NJJ852032:NJK852035 MZN852032:MZO852035 MPR852032:MPS852035 MFV852032:MFW852035 LVZ852032:LWA852035 LMD852032:LME852035 LCH852032:LCI852035 KSL852032:KSM852035 KIP852032:KIQ852035 JYT852032:JYU852035 JOX852032:JOY852035 JFB852032:JFC852035 IVF852032:IVG852035 ILJ852032:ILK852035 IBN852032:IBO852035 HRR852032:HRS852035 HHV852032:HHW852035 GXZ852032:GYA852035 GOD852032:GOE852035 GEH852032:GEI852035 FUL852032:FUM852035 FKP852032:FKQ852035 FAT852032:FAU852035 EQX852032:EQY852035 EHB852032:EHC852035 DXF852032:DXG852035 DNJ852032:DNK852035 DDN852032:DDO852035 CTR852032:CTS852035 CJV852032:CJW852035 BZZ852032:CAA852035 BQD852032:BQE852035 BGH852032:BGI852035 AWL852032:AWM852035 AMP852032:AMQ852035 ACT852032:ACU852035 SX852032:SY852035 JB852032:JC852035 H852032:H852035 WVN786496:WVO786499 WLR786496:WLS786499 WBV786496:WBW786499 VRZ786496:VSA786499 VID786496:VIE786499 UYH786496:UYI786499 UOL786496:UOM786499 UEP786496:UEQ786499 TUT786496:TUU786499 TKX786496:TKY786499 TBB786496:TBC786499 SRF786496:SRG786499 SHJ786496:SHK786499 RXN786496:RXO786499 RNR786496:RNS786499 RDV786496:RDW786499 QTZ786496:QUA786499 QKD786496:QKE786499 QAH786496:QAI786499 PQL786496:PQM786499 PGP786496:PGQ786499 OWT786496:OWU786499 OMX786496:OMY786499 ODB786496:ODC786499 NTF786496:NTG786499 NJJ786496:NJK786499 MZN786496:MZO786499 MPR786496:MPS786499 MFV786496:MFW786499 LVZ786496:LWA786499 LMD786496:LME786499 LCH786496:LCI786499 KSL786496:KSM786499 KIP786496:KIQ786499 JYT786496:JYU786499 JOX786496:JOY786499 JFB786496:JFC786499 IVF786496:IVG786499 ILJ786496:ILK786499 IBN786496:IBO786499 HRR786496:HRS786499 HHV786496:HHW786499 GXZ786496:GYA786499 GOD786496:GOE786499 GEH786496:GEI786499 FUL786496:FUM786499 FKP786496:FKQ786499 FAT786496:FAU786499 EQX786496:EQY786499 EHB786496:EHC786499 DXF786496:DXG786499 DNJ786496:DNK786499 DDN786496:DDO786499 CTR786496:CTS786499 CJV786496:CJW786499 BZZ786496:CAA786499 BQD786496:BQE786499 BGH786496:BGI786499 AWL786496:AWM786499 AMP786496:AMQ786499 ACT786496:ACU786499 SX786496:SY786499 JB786496:JC786499 H786496:H786499 WVN720960:WVO720963 WLR720960:WLS720963 WBV720960:WBW720963 VRZ720960:VSA720963 VID720960:VIE720963 UYH720960:UYI720963 UOL720960:UOM720963 UEP720960:UEQ720963 TUT720960:TUU720963 TKX720960:TKY720963 TBB720960:TBC720963 SRF720960:SRG720963 SHJ720960:SHK720963 RXN720960:RXO720963 RNR720960:RNS720963 RDV720960:RDW720963 QTZ720960:QUA720963 QKD720960:QKE720963 QAH720960:QAI720963 PQL720960:PQM720963 PGP720960:PGQ720963 OWT720960:OWU720963 OMX720960:OMY720963 ODB720960:ODC720963 NTF720960:NTG720963 NJJ720960:NJK720963 MZN720960:MZO720963 MPR720960:MPS720963 MFV720960:MFW720963 LVZ720960:LWA720963 LMD720960:LME720963 LCH720960:LCI720963 KSL720960:KSM720963 KIP720960:KIQ720963 JYT720960:JYU720963 JOX720960:JOY720963 JFB720960:JFC720963 IVF720960:IVG720963 ILJ720960:ILK720963 IBN720960:IBO720963 HRR720960:HRS720963 HHV720960:HHW720963 GXZ720960:GYA720963 GOD720960:GOE720963 GEH720960:GEI720963 FUL720960:FUM720963 FKP720960:FKQ720963 FAT720960:FAU720963 EQX720960:EQY720963 EHB720960:EHC720963 DXF720960:DXG720963 DNJ720960:DNK720963 DDN720960:DDO720963 CTR720960:CTS720963 CJV720960:CJW720963 BZZ720960:CAA720963 BQD720960:BQE720963 BGH720960:BGI720963 AWL720960:AWM720963 AMP720960:AMQ720963 ACT720960:ACU720963 SX720960:SY720963 JB720960:JC720963 H720960:H720963 WVN655424:WVO655427 WLR655424:WLS655427 WBV655424:WBW655427 VRZ655424:VSA655427 VID655424:VIE655427 UYH655424:UYI655427 UOL655424:UOM655427 UEP655424:UEQ655427 TUT655424:TUU655427 TKX655424:TKY655427 TBB655424:TBC655427 SRF655424:SRG655427 SHJ655424:SHK655427 RXN655424:RXO655427 RNR655424:RNS655427 RDV655424:RDW655427 QTZ655424:QUA655427 QKD655424:QKE655427 QAH655424:QAI655427 PQL655424:PQM655427 PGP655424:PGQ655427 OWT655424:OWU655427 OMX655424:OMY655427 ODB655424:ODC655427 NTF655424:NTG655427 NJJ655424:NJK655427 MZN655424:MZO655427 MPR655424:MPS655427 MFV655424:MFW655427 LVZ655424:LWA655427 LMD655424:LME655427 LCH655424:LCI655427 KSL655424:KSM655427 KIP655424:KIQ655427 JYT655424:JYU655427 JOX655424:JOY655427 JFB655424:JFC655427 IVF655424:IVG655427 ILJ655424:ILK655427 IBN655424:IBO655427 HRR655424:HRS655427 HHV655424:HHW655427 GXZ655424:GYA655427 GOD655424:GOE655427 GEH655424:GEI655427 FUL655424:FUM655427 FKP655424:FKQ655427 FAT655424:FAU655427 EQX655424:EQY655427 EHB655424:EHC655427 DXF655424:DXG655427 DNJ655424:DNK655427 DDN655424:DDO655427 CTR655424:CTS655427 CJV655424:CJW655427 BZZ655424:CAA655427 BQD655424:BQE655427 BGH655424:BGI655427 AWL655424:AWM655427 AMP655424:AMQ655427 ACT655424:ACU655427 SX655424:SY655427 JB655424:JC655427 H655424:H655427 WVN589888:WVO589891 WLR589888:WLS589891 WBV589888:WBW589891 VRZ589888:VSA589891 VID589888:VIE589891 UYH589888:UYI589891 UOL589888:UOM589891 UEP589888:UEQ589891 TUT589888:TUU589891 TKX589888:TKY589891 TBB589888:TBC589891 SRF589888:SRG589891 SHJ589888:SHK589891 RXN589888:RXO589891 RNR589888:RNS589891 RDV589888:RDW589891 QTZ589888:QUA589891 QKD589888:QKE589891 QAH589888:QAI589891 PQL589888:PQM589891 PGP589888:PGQ589891 OWT589888:OWU589891 OMX589888:OMY589891 ODB589888:ODC589891 NTF589888:NTG589891 NJJ589888:NJK589891 MZN589888:MZO589891 MPR589888:MPS589891 MFV589888:MFW589891 LVZ589888:LWA589891 LMD589888:LME589891 LCH589888:LCI589891 KSL589888:KSM589891 KIP589888:KIQ589891 JYT589888:JYU589891 JOX589888:JOY589891 JFB589888:JFC589891 IVF589888:IVG589891 ILJ589888:ILK589891 IBN589888:IBO589891 HRR589888:HRS589891 HHV589888:HHW589891 GXZ589888:GYA589891 GOD589888:GOE589891 GEH589888:GEI589891 FUL589888:FUM589891 FKP589888:FKQ589891 FAT589888:FAU589891 EQX589888:EQY589891 EHB589888:EHC589891 DXF589888:DXG589891 DNJ589888:DNK589891 DDN589888:DDO589891 CTR589888:CTS589891 CJV589888:CJW589891 BZZ589888:CAA589891 BQD589888:BQE589891 BGH589888:BGI589891 AWL589888:AWM589891 AMP589888:AMQ589891 ACT589888:ACU589891 SX589888:SY589891 JB589888:JC589891 H589888:H589891 WVN524352:WVO524355 WLR524352:WLS524355 WBV524352:WBW524355 VRZ524352:VSA524355 VID524352:VIE524355 UYH524352:UYI524355 UOL524352:UOM524355 UEP524352:UEQ524355 TUT524352:TUU524355 TKX524352:TKY524355 TBB524352:TBC524355 SRF524352:SRG524355 SHJ524352:SHK524355 RXN524352:RXO524355 RNR524352:RNS524355 RDV524352:RDW524355 QTZ524352:QUA524355 QKD524352:QKE524355 QAH524352:QAI524355 PQL524352:PQM524355 PGP524352:PGQ524355 OWT524352:OWU524355 OMX524352:OMY524355 ODB524352:ODC524355 NTF524352:NTG524355 NJJ524352:NJK524355 MZN524352:MZO524355 MPR524352:MPS524355 MFV524352:MFW524355 LVZ524352:LWA524355 LMD524352:LME524355 LCH524352:LCI524355 KSL524352:KSM524355 KIP524352:KIQ524355 JYT524352:JYU524355 JOX524352:JOY524355 JFB524352:JFC524355 IVF524352:IVG524355 ILJ524352:ILK524355 IBN524352:IBO524355 HRR524352:HRS524355 HHV524352:HHW524355 GXZ524352:GYA524355 GOD524352:GOE524355 GEH524352:GEI524355 FUL524352:FUM524355 FKP524352:FKQ524355 FAT524352:FAU524355 EQX524352:EQY524355 EHB524352:EHC524355 DXF524352:DXG524355 DNJ524352:DNK524355 DDN524352:DDO524355 CTR524352:CTS524355 CJV524352:CJW524355 BZZ524352:CAA524355 BQD524352:BQE524355 BGH524352:BGI524355 AWL524352:AWM524355 AMP524352:AMQ524355 ACT524352:ACU524355 SX524352:SY524355 JB524352:JC524355 H524352:H524355 WVN458816:WVO458819 WLR458816:WLS458819 WBV458816:WBW458819 VRZ458816:VSA458819 VID458816:VIE458819 UYH458816:UYI458819 UOL458816:UOM458819 UEP458816:UEQ458819 TUT458816:TUU458819 TKX458816:TKY458819 TBB458816:TBC458819 SRF458816:SRG458819 SHJ458816:SHK458819 RXN458816:RXO458819 RNR458816:RNS458819 RDV458816:RDW458819 QTZ458816:QUA458819 QKD458816:QKE458819 QAH458816:QAI458819 PQL458816:PQM458819 PGP458816:PGQ458819 OWT458816:OWU458819 OMX458816:OMY458819 ODB458816:ODC458819 NTF458816:NTG458819 NJJ458816:NJK458819 MZN458816:MZO458819 MPR458816:MPS458819 MFV458816:MFW458819 LVZ458816:LWA458819 LMD458816:LME458819 LCH458816:LCI458819 KSL458816:KSM458819 KIP458816:KIQ458819 JYT458816:JYU458819 JOX458816:JOY458819 JFB458816:JFC458819 IVF458816:IVG458819 ILJ458816:ILK458819 IBN458816:IBO458819 HRR458816:HRS458819 HHV458816:HHW458819 GXZ458816:GYA458819 GOD458816:GOE458819 GEH458816:GEI458819 FUL458816:FUM458819 FKP458816:FKQ458819 FAT458816:FAU458819 EQX458816:EQY458819 EHB458816:EHC458819 DXF458816:DXG458819 DNJ458816:DNK458819 DDN458816:DDO458819 CTR458816:CTS458819 CJV458816:CJW458819 BZZ458816:CAA458819 BQD458816:BQE458819 BGH458816:BGI458819 AWL458816:AWM458819 AMP458816:AMQ458819 ACT458816:ACU458819 SX458816:SY458819 JB458816:JC458819 H458816:H458819 WVN393280:WVO393283 WLR393280:WLS393283 WBV393280:WBW393283 VRZ393280:VSA393283 VID393280:VIE393283 UYH393280:UYI393283 UOL393280:UOM393283 UEP393280:UEQ393283 TUT393280:TUU393283 TKX393280:TKY393283 TBB393280:TBC393283 SRF393280:SRG393283 SHJ393280:SHK393283 RXN393280:RXO393283 RNR393280:RNS393283 RDV393280:RDW393283 QTZ393280:QUA393283 QKD393280:QKE393283 QAH393280:QAI393283 PQL393280:PQM393283 PGP393280:PGQ393283 OWT393280:OWU393283 OMX393280:OMY393283 ODB393280:ODC393283 NTF393280:NTG393283 NJJ393280:NJK393283 MZN393280:MZO393283 MPR393280:MPS393283 MFV393280:MFW393283 LVZ393280:LWA393283 LMD393280:LME393283 LCH393280:LCI393283 KSL393280:KSM393283 KIP393280:KIQ393283 JYT393280:JYU393283 JOX393280:JOY393283 JFB393280:JFC393283 IVF393280:IVG393283 ILJ393280:ILK393283 IBN393280:IBO393283 HRR393280:HRS393283 HHV393280:HHW393283 GXZ393280:GYA393283 GOD393280:GOE393283 GEH393280:GEI393283 FUL393280:FUM393283 FKP393280:FKQ393283 FAT393280:FAU393283 EQX393280:EQY393283 EHB393280:EHC393283 DXF393280:DXG393283 DNJ393280:DNK393283 DDN393280:DDO393283 CTR393280:CTS393283 CJV393280:CJW393283 BZZ393280:CAA393283 BQD393280:BQE393283 BGH393280:BGI393283 AWL393280:AWM393283 AMP393280:AMQ393283 ACT393280:ACU393283 SX393280:SY393283 JB393280:JC393283 H393280:H393283 WVN327744:WVO327747 WLR327744:WLS327747 WBV327744:WBW327747 VRZ327744:VSA327747 VID327744:VIE327747 UYH327744:UYI327747 UOL327744:UOM327747 UEP327744:UEQ327747 TUT327744:TUU327747 TKX327744:TKY327747 TBB327744:TBC327747 SRF327744:SRG327747 SHJ327744:SHK327747 RXN327744:RXO327747 RNR327744:RNS327747 RDV327744:RDW327747 QTZ327744:QUA327747 QKD327744:QKE327747 QAH327744:QAI327747 PQL327744:PQM327747 PGP327744:PGQ327747 OWT327744:OWU327747 OMX327744:OMY327747 ODB327744:ODC327747 NTF327744:NTG327747 NJJ327744:NJK327747 MZN327744:MZO327747 MPR327744:MPS327747 MFV327744:MFW327747 LVZ327744:LWA327747 LMD327744:LME327747 LCH327744:LCI327747 KSL327744:KSM327747 KIP327744:KIQ327747 JYT327744:JYU327747 JOX327744:JOY327747 JFB327744:JFC327747 IVF327744:IVG327747 ILJ327744:ILK327747 IBN327744:IBO327747 HRR327744:HRS327747 HHV327744:HHW327747 GXZ327744:GYA327747 GOD327744:GOE327747 GEH327744:GEI327747 FUL327744:FUM327747 FKP327744:FKQ327747 FAT327744:FAU327747 EQX327744:EQY327747 EHB327744:EHC327747 DXF327744:DXG327747 DNJ327744:DNK327747 DDN327744:DDO327747 CTR327744:CTS327747 CJV327744:CJW327747 BZZ327744:CAA327747 BQD327744:BQE327747 BGH327744:BGI327747 AWL327744:AWM327747 AMP327744:AMQ327747 ACT327744:ACU327747 SX327744:SY327747 JB327744:JC327747 H327744:H327747 WVN262208:WVO262211 WLR262208:WLS262211 WBV262208:WBW262211 VRZ262208:VSA262211 VID262208:VIE262211 UYH262208:UYI262211 UOL262208:UOM262211 UEP262208:UEQ262211 TUT262208:TUU262211 TKX262208:TKY262211 TBB262208:TBC262211 SRF262208:SRG262211 SHJ262208:SHK262211 RXN262208:RXO262211 RNR262208:RNS262211 RDV262208:RDW262211 QTZ262208:QUA262211 QKD262208:QKE262211 QAH262208:QAI262211 PQL262208:PQM262211 PGP262208:PGQ262211 OWT262208:OWU262211 OMX262208:OMY262211 ODB262208:ODC262211 NTF262208:NTG262211 NJJ262208:NJK262211 MZN262208:MZO262211 MPR262208:MPS262211 MFV262208:MFW262211 LVZ262208:LWA262211 LMD262208:LME262211 LCH262208:LCI262211 KSL262208:KSM262211 KIP262208:KIQ262211 JYT262208:JYU262211 JOX262208:JOY262211 JFB262208:JFC262211 IVF262208:IVG262211 ILJ262208:ILK262211 IBN262208:IBO262211 HRR262208:HRS262211 HHV262208:HHW262211 GXZ262208:GYA262211 GOD262208:GOE262211 GEH262208:GEI262211 FUL262208:FUM262211 FKP262208:FKQ262211 FAT262208:FAU262211 EQX262208:EQY262211 EHB262208:EHC262211 DXF262208:DXG262211 DNJ262208:DNK262211 DDN262208:DDO262211 CTR262208:CTS262211 CJV262208:CJW262211 BZZ262208:CAA262211 BQD262208:BQE262211 BGH262208:BGI262211 AWL262208:AWM262211 AMP262208:AMQ262211 ACT262208:ACU262211 SX262208:SY262211 JB262208:JC262211 H262208:H262211 WVN196672:WVO196675 WLR196672:WLS196675 WBV196672:WBW196675 VRZ196672:VSA196675 VID196672:VIE196675 UYH196672:UYI196675 UOL196672:UOM196675 UEP196672:UEQ196675 TUT196672:TUU196675 TKX196672:TKY196675 TBB196672:TBC196675 SRF196672:SRG196675 SHJ196672:SHK196675 RXN196672:RXO196675 RNR196672:RNS196675 RDV196672:RDW196675 QTZ196672:QUA196675 QKD196672:QKE196675 QAH196672:QAI196675 PQL196672:PQM196675 PGP196672:PGQ196675 OWT196672:OWU196675 OMX196672:OMY196675 ODB196672:ODC196675 NTF196672:NTG196675 NJJ196672:NJK196675 MZN196672:MZO196675 MPR196672:MPS196675 MFV196672:MFW196675 LVZ196672:LWA196675 LMD196672:LME196675 LCH196672:LCI196675 KSL196672:KSM196675 KIP196672:KIQ196675 JYT196672:JYU196675 JOX196672:JOY196675 JFB196672:JFC196675 IVF196672:IVG196675 ILJ196672:ILK196675 IBN196672:IBO196675 HRR196672:HRS196675 HHV196672:HHW196675 GXZ196672:GYA196675 GOD196672:GOE196675 GEH196672:GEI196675 FUL196672:FUM196675 FKP196672:FKQ196675 FAT196672:FAU196675 EQX196672:EQY196675 EHB196672:EHC196675 DXF196672:DXG196675 DNJ196672:DNK196675 DDN196672:DDO196675 CTR196672:CTS196675 CJV196672:CJW196675 BZZ196672:CAA196675 BQD196672:BQE196675 BGH196672:BGI196675 AWL196672:AWM196675 AMP196672:AMQ196675 ACT196672:ACU196675 SX196672:SY196675 JB196672:JC196675 H196672:H196675 WVN131136:WVO131139 WLR131136:WLS131139 WBV131136:WBW131139 VRZ131136:VSA131139 VID131136:VIE131139 UYH131136:UYI131139 UOL131136:UOM131139 UEP131136:UEQ131139 TUT131136:TUU131139 TKX131136:TKY131139 TBB131136:TBC131139 SRF131136:SRG131139 SHJ131136:SHK131139 RXN131136:RXO131139 RNR131136:RNS131139 RDV131136:RDW131139 QTZ131136:QUA131139 QKD131136:QKE131139 QAH131136:QAI131139 PQL131136:PQM131139 PGP131136:PGQ131139 OWT131136:OWU131139 OMX131136:OMY131139 ODB131136:ODC131139 NTF131136:NTG131139 NJJ131136:NJK131139 MZN131136:MZO131139 MPR131136:MPS131139 MFV131136:MFW131139 LVZ131136:LWA131139 LMD131136:LME131139 LCH131136:LCI131139 KSL131136:KSM131139 KIP131136:KIQ131139 JYT131136:JYU131139 JOX131136:JOY131139 JFB131136:JFC131139 IVF131136:IVG131139 ILJ131136:ILK131139 IBN131136:IBO131139 HRR131136:HRS131139 HHV131136:HHW131139 GXZ131136:GYA131139 GOD131136:GOE131139 GEH131136:GEI131139 FUL131136:FUM131139 FKP131136:FKQ131139 FAT131136:FAU131139 EQX131136:EQY131139 EHB131136:EHC131139 DXF131136:DXG131139 DNJ131136:DNK131139 DDN131136:DDO131139 CTR131136:CTS131139 CJV131136:CJW131139 BZZ131136:CAA131139 BQD131136:BQE131139 BGH131136:BGI131139 AWL131136:AWM131139 AMP131136:AMQ131139 ACT131136:ACU131139 SX131136:SY131139 JB131136:JC131139 H131136:H131139 WVN65600:WVO65603 WLR65600:WLS65603 WBV65600:WBW65603 VRZ65600:VSA65603 VID65600:VIE65603 UYH65600:UYI65603 UOL65600:UOM65603 UEP65600:UEQ65603 TUT65600:TUU65603 TKX65600:TKY65603 TBB65600:TBC65603 SRF65600:SRG65603 SHJ65600:SHK65603 RXN65600:RXO65603 RNR65600:RNS65603 RDV65600:RDW65603 QTZ65600:QUA65603 QKD65600:QKE65603 QAH65600:QAI65603 PQL65600:PQM65603 PGP65600:PGQ65603 OWT65600:OWU65603 OMX65600:OMY65603 ODB65600:ODC65603 NTF65600:NTG65603 NJJ65600:NJK65603 MZN65600:MZO65603 MPR65600:MPS65603 MFV65600:MFW65603 LVZ65600:LWA65603 LMD65600:LME65603 LCH65600:LCI65603 KSL65600:KSM65603 KIP65600:KIQ65603 JYT65600:JYU65603 JOX65600:JOY65603 JFB65600:JFC65603 IVF65600:IVG65603 ILJ65600:ILK65603 IBN65600:IBO65603 HRR65600:HRS65603 HHV65600:HHW65603 GXZ65600:GYA65603 GOD65600:GOE65603 GEH65600:GEI65603 FUL65600:FUM65603 FKP65600:FKQ65603 FAT65600:FAU65603 EQX65600:EQY65603 EHB65600:EHC65603 DXF65600:DXG65603 DNJ65600:DNK65603 DDN65600:DDO65603 CTR65600:CTS65603 CJV65600:CJW65603 BZZ65600:CAA65603 BQD65600:BQE65603 BGH65600:BGI65603 AWL65600:AWM65603 AMP65600:AMQ65603 ACT65600:ACU65603 SX65600:SY65603 JB65600:JC65603 H65600:H65603 WVS64:WVT67 WLW64:WLX67 WCA64:WCB67 VSE64:VSF67 VII64:VIJ67 UYM64:UYN67 UOQ64:UOR67 UEU64:UEV67 TUY64:TUZ67 TLC64:TLD67 TBG64:TBH67 SRK64:SRL67 SHO64:SHP67 RXS64:RXT67 RNW64:RNX67 REA64:REB67 QUE64:QUF67 QKI64:QKJ67 QAM64:QAN67 PQQ64:PQR67 PGU64:PGV67 OWY64:OWZ67 ONC64:OND67 ODG64:ODH67 NTK64:NTL67 NJO64:NJP67 MZS64:MZT67 MPW64:MPX67 MGA64:MGB67 LWE64:LWF67 LMI64:LMJ67 LCM64:LCN67 KSQ64:KSR67 KIU64:KIV67 JYY64:JYZ67 JPC64:JPD67 JFG64:JFH67 IVK64:IVL67 ILO64:ILP67 IBS64:IBT67 HRW64:HRX67 HIA64:HIB67 GYE64:GYF67 GOI64:GOJ67 GEM64:GEN67 FUQ64:FUR67 FKU64:FKV67 FAY64:FAZ67 ERC64:ERD67 EHG64:EHH67 DXK64:DXL67 DNO64:DNP67 DDS64:DDT67 CTW64:CTX67 CKA64:CKB67 CAE64:CAF67 BQI64:BQJ67 BGM64:BGN67 AWQ64:AWR67 AMU64:AMV67 ACY64:ACZ67 TC64:TD67 JG64:JH67 ACZ46:ADA55 WVO983113 WLS983113 WBW983113 VSA983113 VIE983113 UYI983113 UOM983113 UEQ983113 TUU983113 TKY983113 TBC983113 SRG983113 SHK983113 RXO983113 RNS983113 RDW983113 QUA983113 QKE983113 QAI983113 PQM983113 PGQ983113 OWU983113 OMY983113 ODC983113 NTG983113 NJK983113 MZO983113 MPS983113 MFW983113 LWA983113 LME983113 LCI983113 KSM983113 KIQ983113 JYU983113 JOY983113 JFC983113 IVG983113 ILK983113 IBO983113 HRS983113 HHW983113 GYA983113 GOE983113 GEI983113 FUM983113 FKQ983113 FAU983113 EQY983113 EHC983113 DXG983113 DNK983113 DDO983113 CTS983113 CJW983113 CAA983113 BQE983113 BGI983113 AWM983113 AMQ983113 ACU983113 SY983113 JC983113 H983109:H983113 WVO917577 WLS917577 WBW917577 VSA917577 VIE917577 UYI917577 UOM917577 UEQ917577 TUU917577 TKY917577 TBC917577 SRG917577 SHK917577 RXO917577 RNS917577 RDW917577 QUA917577 QKE917577 QAI917577 PQM917577 PGQ917577 OWU917577 OMY917577 ODC917577 NTG917577 NJK917577 MZO917577 MPS917577 MFW917577 LWA917577 LME917577 LCI917577 KSM917577 KIQ917577 JYU917577 JOY917577 JFC917577 IVG917577 ILK917577 IBO917577 HRS917577 HHW917577 GYA917577 GOE917577 GEI917577 FUM917577 FKQ917577 FAU917577 EQY917577 EHC917577 DXG917577 DNK917577 DDO917577 CTS917577 CJW917577 CAA917577 BQE917577 BGI917577 AWM917577 AMQ917577 ACU917577 SY917577 JC917577 H917573:H917577 WVO852041 WLS852041 WBW852041 VSA852041 VIE852041 UYI852041 UOM852041 UEQ852041 TUU852041 TKY852041 TBC852041 SRG852041 SHK852041 RXO852041 RNS852041 RDW852041 QUA852041 QKE852041 QAI852041 PQM852041 PGQ852041 OWU852041 OMY852041 ODC852041 NTG852041 NJK852041 MZO852041 MPS852041 MFW852041 LWA852041 LME852041 LCI852041 KSM852041 KIQ852041 JYU852041 JOY852041 JFC852041 IVG852041 ILK852041 IBO852041 HRS852041 HHW852041 GYA852041 GOE852041 GEI852041 FUM852041 FKQ852041 FAU852041 EQY852041 EHC852041 DXG852041 DNK852041 DDO852041 CTS852041 CJW852041 CAA852041 BQE852041 BGI852041 AWM852041 AMQ852041 ACU852041 SY852041 JC852041 H852037:H852041 WVO786505 WLS786505 WBW786505 VSA786505 VIE786505 UYI786505 UOM786505 UEQ786505 TUU786505 TKY786505 TBC786505 SRG786505 SHK786505 RXO786505 RNS786505 RDW786505 QUA786505 QKE786505 QAI786505 PQM786505 PGQ786505 OWU786505 OMY786505 ODC786505 NTG786505 NJK786505 MZO786505 MPS786505 MFW786505 LWA786505 LME786505 LCI786505 KSM786505 KIQ786505 JYU786505 JOY786505 JFC786505 IVG786505 ILK786505 IBO786505 HRS786505 HHW786505 GYA786505 GOE786505 GEI786505 FUM786505 FKQ786505 FAU786505 EQY786505 EHC786505 DXG786505 DNK786505 DDO786505 CTS786505 CJW786505 CAA786505 BQE786505 BGI786505 AWM786505 AMQ786505 ACU786505 SY786505 JC786505 H786501:H786505 WVO720969 WLS720969 WBW720969 VSA720969 VIE720969 UYI720969 UOM720969 UEQ720969 TUU720969 TKY720969 TBC720969 SRG720969 SHK720969 RXO720969 RNS720969 RDW720969 QUA720969 QKE720969 QAI720969 PQM720969 PGQ720969 OWU720969 OMY720969 ODC720969 NTG720969 NJK720969 MZO720969 MPS720969 MFW720969 LWA720969 LME720969 LCI720969 KSM720969 KIQ720969 JYU720969 JOY720969 JFC720969 IVG720969 ILK720969 IBO720969 HRS720969 HHW720969 GYA720969 GOE720969 GEI720969 FUM720969 FKQ720969 FAU720969 EQY720969 EHC720969 DXG720969 DNK720969 DDO720969 CTS720969 CJW720969 CAA720969 BQE720969 BGI720969 AWM720969 AMQ720969 ACU720969 SY720969 JC720969 H720965:H720969 WVO655433 WLS655433 WBW655433 VSA655433 VIE655433 UYI655433 UOM655433 UEQ655433 TUU655433 TKY655433 TBC655433 SRG655433 SHK655433 RXO655433 RNS655433 RDW655433 QUA655433 QKE655433 QAI655433 PQM655433 PGQ655433 OWU655433 OMY655433 ODC655433 NTG655433 NJK655433 MZO655433 MPS655433 MFW655433 LWA655433 LME655433 LCI655433 KSM655433 KIQ655433 JYU655433 JOY655433 JFC655433 IVG655433 ILK655433 IBO655433 HRS655433 HHW655433 GYA655433 GOE655433 GEI655433 FUM655433 FKQ655433 FAU655433 EQY655433 EHC655433 DXG655433 DNK655433 DDO655433 CTS655433 CJW655433 CAA655433 BQE655433 BGI655433 AWM655433 AMQ655433 ACU655433 SY655433 JC655433 H655429:H655433 WVO589897 WLS589897 WBW589897 VSA589897 VIE589897 UYI589897 UOM589897 UEQ589897 TUU589897 TKY589897 TBC589897 SRG589897 SHK589897 RXO589897 RNS589897 RDW589897 QUA589897 QKE589897 QAI589897 PQM589897 PGQ589897 OWU589897 OMY589897 ODC589897 NTG589897 NJK589897 MZO589897 MPS589897 MFW589897 LWA589897 LME589897 LCI589897 KSM589897 KIQ589897 JYU589897 JOY589897 JFC589897 IVG589897 ILK589897 IBO589897 HRS589897 HHW589897 GYA589897 GOE589897 GEI589897 FUM589897 FKQ589897 FAU589897 EQY589897 EHC589897 DXG589897 DNK589897 DDO589897 CTS589897 CJW589897 CAA589897 BQE589897 BGI589897 AWM589897 AMQ589897 ACU589897 SY589897 JC589897 H589893:H589897 WVO524361 WLS524361 WBW524361 VSA524361 VIE524361 UYI524361 UOM524361 UEQ524361 TUU524361 TKY524361 TBC524361 SRG524361 SHK524361 RXO524361 RNS524361 RDW524361 QUA524361 QKE524361 QAI524361 PQM524361 PGQ524361 OWU524361 OMY524361 ODC524361 NTG524361 NJK524361 MZO524361 MPS524361 MFW524361 LWA524361 LME524361 LCI524361 KSM524361 KIQ524361 JYU524361 JOY524361 JFC524361 IVG524361 ILK524361 IBO524361 HRS524361 HHW524361 GYA524361 GOE524361 GEI524361 FUM524361 FKQ524361 FAU524361 EQY524361 EHC524361 DXG524361 DNK524361 DDO524361 CTS524361 CJW524361 CAA524361 BQE524361 BGI524361 AWM524361 AMQ524361 ACU524361 SY524361 JC524361 H524357:H524361 WVO458825 WLS458825 WBW458825 VSA458825 VIE458825 UYI458825 UOM458825 UEQ458825 TUU458825 TKY458825 TBC458825 SRG458825 SHK458825 RXO458825 RNS458825 RDW458825 QUA458825 QKE458825 QAI458825 PQM458825 PGQ458825 OWU458825 OMY458825 ODC458825 NTG458825 NJK458825 MZO458825 MPS458825 MFW458825 LWA458825 LME458825 LCI458825 KSM458825 KIQ458825 JYU458825 JOY458825 JFC458825 IVG458825 ILK458825 IBO458825 HRS458825 HHW458825 GYA458825 GOE458825 GEI458825 FUM458825 FKQ458825 FAU458825 EQY458825 EHC458825 DXG458825 DNK458825 DDO458825 CTS458825 CJW458825 CAA458825 BQE458825 BGI458825 AWM458825 AMQ458825 ACU458825 SY458825 JC458825 H458821:H458825 WVO393289 WLS393289 WBW393289 VSA393289 VIE393289 UYI393289 UOM393289 UEQ393289 TUU393289 TKY393289 TBC393289 SRG393289 SHK393289 RXO393289 RNS393289 RDW393289 QUA393289 QKE393289 QAI393289 PQM393289 PGQ393289 OWU393289 OMY393289 ODC393289 NTG393289 NJK393289 MZO393289 MPS393289 MFW393289 LWA393289 LME393289 LCI393289 KSM393289 KIQ393289 JYU393289 JOY393289 JFC393289 IVG393289 ILK393289 IBO393289 HRS393289 HHW393289 GYA393289 GOE393289 GEI393289 FUM393289 FKQ393289 FAU393289 EQY393289 EHC393289 DXG393289 DNK393289 DDO393289 CTS393289 CJW393289 CAA393289 BQE393289 BGI393289 AWM393289 AMQ393289 ACU393289 SY393289 JC393289 H393285:H393289 WVO327753 WLS327753 WBW327753 VSA327753 VIE327753 UYI327753 UOM327753 UEQ327753 TUU327753 TKY327753 TBC327753 SRG327753 SHK327753 RXO327753 RNS327753 RDW327753 QUA327753 QKE327753 QAI327753 PQM327753 PGQ327753 OWU327753 OMY327753 ODC327753 NTG327753 NJK327753 MZO327753 MPS327753 MFW327753 LWA327753 LME327753 LCI327753 KSM327753 KIQ327753 JYU327753 JOY327753 JFC327753 IVG327753 ILK327753 IBO327753 HRS327753 HHW327753 GYA327753 GOE327753 GEI327753 FUM327753 FKQ327753 FAU327753 EQY327753 EHC327753 DXG327753 DNK327753 DDO327753 CTS327753 CJW327753 CAA327753 BQE327753 BGI327753 AWM327753 AMQ327753 ACU327753 SY327753 JC327753 H327749:H327753 WVO262217 WLS262217 WBW262217 VSA262217 VIE262217 UYI262217 UOM262217 UEQ262217 TUU262217 TKY262217 TBC262217 SRG262217 SHK262217 RXO262217 RNS262217 RDW262217 QUA262217 QKE262217 QAI262217 PQM262217 PGQ262217 OWU262217 OMY262217 ODC262217 NTG262217 NJK262217 MZO262217 MPS262217 MFW262217 LWA262217 LME262217 LCI262217 KSM262217 KIQ262217 JYU262217 JOY262217 JFC262217 IVG262217 ILK262217 IBO262217 HRS262217 HHW262217 GYA262217 GOE262217 GEI262217 FUM262217 FKQ262217 FAU262217 EQY262217 EHC262217 DXG262217 DNK262217 DDO262217 CTS262217 CJW262217 CAA262217 BQE262217 BGI262217 AWM262217 AMQ262217 ACU262217 SY262217 JC262217 H262213:H262217 WVO196681 WLS196681 WBW196681 VSA196681 VIE196681 UYI196681 UOM196681 UEQ196681 TUU196681 TKY196681 TBC196681 SRG196681 SHK196681 RXO196681 RNS196681 RDW196681 QUA196681 QKE196681 QAI196681 PQM196681 PGQ196681 OWU196681 OMY196681 ODC196681 NTG196681 NJK196681 MZO196681 MPS196681 MFW196681 LWA196681 LME196681 LCI196681 KSM196681 KIQ196681 JYU196681 JOY196681 JFC196681 IVG196681 ILK196681 IBO196681 HRS196681 HHW196681 GYA196681 GOE196681 GEI196681 FUM196681 FKQ196681 FAU196681 EQY196681 EHC196681 DXG196681 DNK196681 DDO196681 CTS196681 CJW196681 CAA196681 BQE196681 BGI196681 AWM196681 AMQ196681 ACU196681 SY196681 JC196681 H196677:H196681 WVO131145 WLS131145 WBW131145 VSA131145 VIE131145 UYI131145 UOM131145 UEQ131145 TUU131145 TKY131145 TBC131145 SRG131145 SHK131145 RXO131145 RNS131145 RDW131145 QUA131145 QKE131145 QAI131145 PQM131145 PGQ131145 OWU131145 OMY131145 ODC131145 NTG131145 NJK131145 MZO131145 MPS131145 MFW131145 LWA131145 LME131145 LCI131145 KSM131145 KIQ131145 JYU131145 JOY131145 JFC131145 IVG131145 ILK131145 IBO131145 HRS131145 HHW131145 GYA131145 GOE131145 GEI131145 FUM131145 FKQ131145 FAU131145 EQY131145 EHC131145 DXG131145 DNK131145 DDO131145 CTS131145 CJW131145 CAA131145 BQE131145 BGI131145 AWM131145 AMQ131145 ACU131145 SY131145 JC131145 H131141:H131145 WVO65609 WLS65609 WBW65609 VSA65609 VIE65609 UYI65609 UOM65609 UEQ65609 TUU65609 TKY65609 TBC65609 SRG65609 SHK65609 RXO65609 RNS65609 RDW65609 QUA65609 QKE65609 QAI65609 PQM65609 PGQ65609 OWU65609 OMY65609 ODC65609 NTG65609 NJK65609 MZO65609 MPS65609 MFW65609 LWA65609 LME65609 LCI65609 KSM65609 KIQ65609 JYU65609 JOY65609 JFC65609 IVG65609 ILK65609 IBO65609 HRS65609 HHW65609 GYA65609 GOE65609 GEI65609 FUM65609 FKQ65609 FAU65609 EQY65609 EHC65609 DXG65609 DNK65609 DDO65609 CTS65609 CJW65609 CAA65609 BQE65609 BGI65609 AWM65609 AMQ65609 ACU65609 SY65609 JC65609 H65605:H65609 WVT73 WLX73 WCB73 VSF73 VIJ73 UYN73 UOR73 UEV73 TUZ73 TLD73 TBH73 SRL73 SHP73 RXT73 RNX73 REB73 QUF73 QKJ73 QAN73 PQR73 PGV73 OWZ73 OND73 ODH73 NTL73 NJP73 MZT73 MPX73 MGB73 LWF73 LMJ73 LCN73 KSR73 KIV73 JYZ73 JPD73 JFH73 IVL73 ILP73 IBT73 HRX73 HIB73 GYF73 GOJ73 GEN73 FUR73 FKV73 FAZ73 ERD73 EHH73 DXL73 DNP73 DDT73 CTX73 CKB73 CAF73 BQJ73 BGN73 AWR73 AMV73 ACZ73 TD73 JH73 WVN983115:WVO983115 WLR983115:WLS983115 WBV983115:WBW983115 VRZ983115:VSA983115 VID983115:VIE983115 UYH983115:UYI983115 UOL983115:UOM983115 UEP983115:UEQ983115 TUT983115:TUU983115 TKX983115:TKY983115 TBB983115:TBC983115 SRF983115:SRG983115 SHJ983115:SHK983115 RXN983115:RXO983115 RNR983115:RNS983115 RDV983115:RDW983115 QTZ983115:QUA983115 QKD983115:QKE983115 QAH983115:QAI983115 PQL983115:PQM983115 PGP983115:PGQ983115 OWT983115:OWU983115 OMX983115:OMY983115 ODB983115:ODC983115 NTF983115:NTG983115 NJJ983115:NJK983115 MZN983115:MZO983115 MPR983115:MPS983115 MFV983115:MFW983115 LVZ983115:LWA983115 LMD983115:LME983115 LCH983115:LCI983115 KSL983115:KSM983115 KIP983115:KIQ983115 JYT983115:JYU983115 JOX983115:JOY983115 JFB983115:JFC983115 IVF983115:IVG983115 ILJ983115:ILK983115 IBN983115:IBO983115 HRR983115:HRS983115 HHV983115:HHW983115 GXZ983115:GYA983115 GOD983115:GOE983115 GEH983115:GEI983115 FUL983115:FUM983115 FKP983115:FKQ983115 FAT983115:FAU983115 EQX983115:EQY983115 EHB983115:EHC983115 DXF983115:DXG983115 DNJ983115:DNK983115 DDN983115:DDO983115 CTR983115:CTS983115 CJV983115:CJW983115 BZZ983115:CAA983115 BQD983115:BQE983115 BGH983115:BGI983115 AWL983115:AWM983115 AMP983115:AMQ983115 ACT983115:ACU983115 SX983115:SY983115 JB983115:JC983115 H983115:H983118 WVN917579:WVO917579 WLR917579:WLS917579 WBV917579:WBW917579 VRZ917579:VSA917579 VID917579:VIE917579 UYH917579:UYI917579 UOL917579:UOM917579 UEP917579:UEQ917579 TUT917579:TUU917579 TKX917579:TKY917579 TBB917579:TBC917579 SRF917579:SRG917579 SHJ917579:SHK917579 RXN917579:RXO917579 RNR917579:RNS917579 RDV917579:RDW917579 QTZ917579:QUA917579 QKD917579:QKE917579 QAH917579:QAI917579 PQL917579:PQM917579 PGP917579:PGQ917579 OWT917579:OWU917579 OMX917579:OMY917579 ODB917579:ODC917579 NTF917579:NTG917579 NJJ917579:NJK917579 MZN917579:MZO917579 MPR917579:MPS917579 MFV917579:MFW917579 LVZ917579:LWA917579 LMD917579:LME917579 LCH917579:LCI917579 KSL917579:KSM917579 KIP917579:KIQ917579 JYT917579:JYU917579 JOX917579:JOY917579 JFB917579:JFC917579 IVF917579:IVG917579 ILJ917579:ILK917579 IBN917579:IBO917579 HRR917579:HRS917579 HHV917579:HHW917579 GXZ917579:GYA917579 GOD917579:GOE917579 GEH917579:GEI917579 FUL917579:FUM917579 FKP917579:FKQ917579 FAT917579:FAU917579 EQX917579:EQY917579 EHB917579:EHC917579 DXF917579:DXG917579 DNJ917579:DNK917579 DDN917579:DDO917579 CTR917579:CTS917579 CJV917579:CJW917579 BZZ917579:CAA917579 BQD917579:BQE917579 BGH917579:BGI917579 AWL917579:AWM917579 AMP917579:AMQ917579 ACT917579:ACU917579 SX917579:SY917579 JB917579:JC917579 H917579:H917582 WVN852043:WVO852043 WLR852043:WLS852043 WBV852043:WBW852043 VRZ852043:VSA852043 VID852043:VIE852043 UYH852043:UYI852043 UOL852043:UOM852043 UEP852043:UEQ852043 TUT852043:TUU852043 TKX852043:TKY852043 TBB852043:TBC852043 SRF852043:SRG852043 SHJ852043:SHK852043 RXN852043:RXO852043 RNR852043:RNS852043 RDV852043:RDW852043 QTZ852043:QUA852043 QKD852043:QKE852043 QAH852043:QAI852043 PQL852043:PQM852043 PGP852043:PGQ852043 OWT852043:OWU852043 OMX852043:OMY852043 ODB852043:ODC852043 NTF852043:NTG852043 NJJ852043:NJK852043 MZN852043:MZO852043 MPR852043:MPS852043 MFV852043:MFW852043 LVZ852043:LWA852043 LMD852043:LME852043 LCH852043:LCI852043 KSL852043:KSM852043 KIP852043:KIQ852043 JYT852043:JYU852043 JOX852043:JOY852043 JFB852043:JFC852043 IVF852043:IVG852043 ILJ852043:ILK852043 IBN852043:IBO852043 HRR852043:HRS852043 HHV852043:HHW852043 GXZ852043:GYA852043 GOD852043:GOE852043 GEH852043:GEI852043 FUL852043:FUM852043 FKP852043:FKQ852043 FAT852043:FAU852043 EQX852043:EQY852043 EHB852043:EHC852043 DXF852043:DXG852043 DNJ852043:DNK852043 DDN852043:DDO852043 CTR852043:CTS852043 CJV852043:CJW852043 BZZ852043:CAA852043 BQD852043:BQE852043 BGH852043:BGI852043 AWL852043:AWM852043 AMP852043:AMQ852043 ACT852043:ACU852043 SX852043:SY852043 JB852043:JC852043 H852043:H852046 WVN786507:WVO786507 WLR786507:WLS786507 WBV786507:WBW786507 VRZ786507:VSA786507 VID786507:VIE786507 UYH786507:UYI786507 UOL786507:UOM786507 UEP786507:UEQ786507 TUT786507:TUU786507 TKX786507:TKY786507 TBB786507:TBC786507 SRF786507:SRG786507 SHJ786507:SHK786507 RXN786507:RXO786507 RNR786507:RNS786507 RDV786507:RDW786507 QTZ786507:QUA786507 QKD786507:QKE786507 QAH786507:QAI786507 PQL786507:PQM786507 PGP786507:PGQ786507 OWT786507:OWU786507 OMX786507:OMY786507 ODB786507:ODC786507 NTF786507:NTG786507 NJJ786507:NJK786507 MZN786507:MZO786507 MPR786507:MPS786507 MFV786507:MFW786507 LVZ786507:LWA786507 LMD786507:LME786507 LCH786507:LCI786507 KSL786507:KSM786507 KIP786507:KIQ786507 JYT786507:JYU786507 JOX786507:JOY786507 JFB786507:JFC786507 IVF786507:IVG786507 ILJ786507:ILK786507 IBN786507:IBO786507 HRR786507:HRS786507 HHV786507:HHW786507 GXZ786507:GYA786507 GOD786507:GOE786507 GEH786507:GEI786507 FUL786507:FUM786507 FKP786507:FKQ786507 FAT786507:FAU786507 EQX786507:EQY786507 EHB786507:EHC786507 DXF786507:DXG786507 DNJ786507:DNK786507 DDN786507:DDO786507 CTR786507:CTS786507 CJV786507:CJW786507 BZZ786507:CAA786507 BQD786507:BQE786507 BGH786507:BGI786507 AWL786507:AWM786507 AMP786507:AMQ786507 ACT786507:ACU786507 SX786507:SY786507 JB786507:JC786507 H786507:H786510 WVN720971:WVO720971 WLR720971:WLS720971 WBV720971:WBW720971 VRZ720971:VSA720971 VID720971:VIE720971 UYH720971:UYI720971 UOL720971:UOM720971 UEP720971:UEQ720971 TUT720971:TUU720971 TKX720971:TKY720971 TBB720971:TBC720971 SRF720971:SRG720971 SHJ720971:SHK720971 RXN720971:RXO720971 RNR720971:RNS720971 RDV720971:RDW720971 QTZ720971:QUA720971 QKD720971:QKE720971 QAH720971:QAI720971 PQL720971:PQM720971 PGP720971:PGQ720971 OWT720971:OWU720971 OMX720971:OMY720971 ODB720971:ODC720971 NTF720971:NTG720971 NJJ720971:NJK720971 MZN720971:MZO720971 MPR720971:MPS720971 MFV720971:MFW720971 LVZ720971:LWA720971 LMD720971:LME720971 LCH720971:LCI720971 KSL720971:KSM720971 KIP720971:KIQ720971 JYT720971:JYU720971 JOX720971:JOY720971 JFB720971:JFC720971 IVF720971:IVG720971 ILJ720971:ILK720971 IBN720971:IBO720971 HRR720971:HRS720971 HHV720971:HHW720971 GXZ720971:GYA720971 GOD720971:GOE720971 GEH720971:GEI720971 FUL720971:FUM720971 FKP720971:FKQ720971 FAT720971:FAU720971 EQX720971:EQY720971 EHB720971:EHC720971 DXF720971:DXG720971 DNJ720971:DNK720971 DDN720971:DDO720971 CTR720971:CTS720971 CJV720971:CJW720971 BZZ720971:CAA720971 BQD720971:BQE720971 BGH720971:BGI720971 AWL720971:AWM720971 AMP720971:AMQ720971 ACT720971:ACU720971 SX720971:SY720971 JB720971:JC720971 H720971:H720974 WVN655435:WVO655435 WLR655435:WLS655435 WBV655435:WBW655435 VRZ655435:VSA655435 VID655435:VIE655435 UYH655435:UYI655435 UOL655435:UOM655435 UEP655435:UEQ655435 TUT655435:TUU655435 TKX655435:TKY655435 TBB655435:TBC655435 SRF655435:SRG655435 SHJ655435:SHK655435 RXN655435:RXO655435 RNR655435:RNS655435 RDV655435:RDW655435 QTZ655435:QUA655435 QKD655435:QKE655435 QAH655435:QAI655435 PQL655435:PQM655435 PGP655435:PGQ655435 OWT655435:OWU655435 OMX655435:OMY655435 ODB655435:ODC655435 NTF655435:NTG655435 NJJ655435:NJK655435 MZN655435:MZO655435 MPR655435:MPS655435 MFV655435:MFW655435 LVZ655435:LWA655435 LMD655435:LME655435 LCH655435:LCI655435 KSL655435:KSM655435 KIP655435:KIQ655435 JYT655435:JYU655435 JOX655435:JOY655435 JFB655435:JFC655435 IVF655435:IVG655435 ILJ655435:ILK655435 IBN655435:IBO655435 HRR655435:HRS655435 HHV655435:HHW655435 GXZ655435:GYA655435 GOD655435:GOE655435 GEH655435:GEI655435 FUL655435:FUM655435 FKP655435:FKQ655435 FAT655435:FAU655435 EQX655435:EQY655435 EHB655435:EHC655435 DXF655435:DXG655435 DNJ655435:DNK655435 DDN655435:DDO655435 CTR655435:CTS655435 CJV655435:CJW655435 BZZ655435:CAA655435 BQD655435:BQE655435 BGH655435:BGI655435 AWL655435:AWM655435 AMP655435:AMQ655435 ACT655435:ACU655435 SX655435:SY655435 JB655435:JC655435 H655435:H655438 WVN589899:WVO589899 WLR589899:WLS589899 WBV589899:WBW589899 VRZ589899:VSA589899 VID589899:VIE589899 UYH589899:UYI589899 UOL589899:UOM589899 UEP589899:UEQ589899 TUT589899:TUU589899 TKX589899:TKY589899 TBB589899:TBC589899 SRF589899:SRG589899 SHJ589899:SHK589899 RXN589899:RXO589899 RNR589899:RNS589899 RDV589899:RDW589899 QTZ589899:QUA589899 QKD589899:QKE589899 QAH589899:QAI589899 PQL589899:PQM589899 PGP589899:PGQ589899 OWT589899:OWU589899 OMX589899:OMY589899 ODB589899:ODC589899 NTF589899:NTG589899 NJJ589899:NJK589899 MZN589899:MZO589899 MPR589899:MPS589899 MFV589899:MFW589899 LVZ589899:LWA589899 LMD589899:LME589899 LCH589899:LCI589899 KSL589899:KSM589899 KIP589899:KIQ589899 JYT589899:JYU589899 JOX589899:JOY589899 JFB589899:JFC589899 IVF589899:IVG589899 ILJ589899:ILK589899 IBN589899:IBO589899 HRR589899:HRS589899 HHV589899:HHW589899 GXZ589899:GYA589899 GOD589899:GOE589899 GEH589899:GEI589899 FUL589899:FUM589899 FKP589899:FKQ589899 FAT589899:FAU589899 EQX589899:EQY589899 EHB589899:EHC589899 DXF589899:DXG589899 DNJ589899:DNK589899 DDN589899:DDO589899 CTR589899:CTS589899 CJV589899:CJW589899 BZZ589899:CAA589899 BQD589899:BQE589899 BGH589899:BGI589899 AWL589899:AWM589899 AMP589899:AMQ589899 ACT589899:ACU589899 SX589899:SY589899 JB589899:JC589899 H589899:H589902 WVN524363:WVO524363 WLR524363:WLS524363 WBV524363:WBW524363 VRZ524363:VSA524363 VID524363:VIE524363 UYH524363:UYI524363 UOL524363:UOM524363 UEP524363:UEQ524363 TUT524363:TUU524363 TKX524363:TKY524363 TBB524363:TBC524363 SRF524363:SRG524363 SHJ524363:SHK524363 RXN524363:RXO524363 RNR524363:RNS524363 RDV524363:RDW524363 QTZ524363:QUA524363 QKD524363:QKE524363 QAH524363:QAI524363 PQL524363:PQM524363 PGP524363:PGQ524363 OWT524363:OWU524363 OMX524363:OMY524363 ODB524363:ODC524363 NTF524363:NTG524363 NJJ524363:NJK524363 MZN524363:MZO524363 MPR524363:MPS524363 MFV524363:MFW524363 LVZ524363:LWA524363 LMD524363:LME524363 LCH524363:LCI524363 KSL524363:KSM524363 KIP524363:KIQ524363 JYT524363:JYU524363 JOX524363:JOY524363 JFB524363:JFC524363 IVF524363:IVG524363 ILJ524363:ILK524363 IBN524363:IBO524363 HRR524363:HRS524363 HHV524363:HHW524363 GXZ524363:GYA524363 GOD524363:GOE524363 GEH524363:GEI524363 FUL524363:FUM524363 FKP524363:FKQ524363 FAT524363:FAU524363 EQX524363:EQY524363 EHB524363:EHC524363 DXF524363:DXG524363 DNJ524363:DNK524363 DDN524363:DDO524363 CTR524363:CTS524363 CJV524363:CJW524363 BZZ524363:CAA524363 BQD524363:BQE524363 BGH524363:BGI524363 AWL524363:AWM524363 AMP524363:AMQ524363 ACT524363:ACU524363 SX524363:SY524363 JB524363:JC524363 H524363:H524366 WVN458827:WVO458827 WLR458827:WLS458827 WBV458827:WBW458827 VRZ458827:VSA458827 VID458827:VIE458827 UYH458827:UYI458827 UOL458827:UOM458827 UEP458827:UEQ458827 TUT458827:TUU458827 TKX458827:TKY458827 TBB458827:TBC458827 SRF458827:SRG458827 SHJ458827:SHK458827 RXN458827:RXO458827 RNR458827:RNS458827 RDV458827:RDW458827 QTZ458827:QUA458827 QKD458827:QKE458827 QAH458827:QAI458827 PQL458827:PQM458827 PGP458827:PGQ458827 OWT458827:OWU458827 OMX458827:OMY458827 ODB458827:ODC458827 NTF458827:NTG458827 NJJ458827:NJK458827 MZN458827:MZO458827 MPR458827:MPS458827 MFV458827:MFW458827 LVZ458827:LWA458827 LMD458827:LME458827 LCH458827:LCI458827 KSL458827:KSM458827 KIP458827:KIQ458827 JYT458827:JYU458827 JOX458827:JOY458827 JFB458827:JFC458827 IVF458827:IVG458827 ILJ458827:ILK458827 IBN458827:IBO458827 HRR458827:HRS458827 HHV458827:HHW458827 GXZ458827:GYA458827 GOD458827:GOE458827 GEH458827:GEI458827 FUL458827:FUM458827 FKP458827:FKQ458827 FAT458827:FAU458827 EQX458827:EQY458827 EHB458827:EHC458827 DXF458827:DXG458827 DNJ458827:DNK458827 DDN458827:DDO458827 CTR458827:CTS458827 CJV458827:CJW458827 BZZ458827:CAA458827 BQD458827:BQE458827 BGH458827:BGI458827 AWL458827:AWM458827 AMP458827:AMQ458827 ACT458827:ACU458827 SX458827:SY458827 JB458827:JC458827 H458827:H458830 WVN393291:WVO393291 WLR393291:WLS393291 WBV393291:WBW393291 VRZ393291:VSA393291 VID393291:VIE393291 UYH393291:UYI393291 UOL393291:UOM393291 UEP393291:UEQ393291 TUT393291:TUU393291 TKX393291:TKY393291 TBB393291:TBC393291 SRF393291:SRG393291 SHJ393291:SHK393291 RXN393291:RXO393291 RNR393291:RNS393291 RDV393291:RDW393291 QTZ393291:QUA393291 QKD393291:QKE393291 QAH393291:QAI393291 PQL393291:PQM393291 PGP393291:PGQ393291 OWT393291:OWU393291 OMX393291:OMY393291 ODB393291:ODC393291 NTF393291:NTG393291 NJJ393291:NJK393291 MZN393291:MZO393291 MPR393291:MPS393291 MFV393291:MFW393291 LVZ393291:LWA393291 LMD393291:LME393291 LCH393291:LCI393291 KSL393291:KSM393291 KIP393291:KIQ393291 JYT393291:JYU393291 JOX393291:JOY393291 JFB393291:JFC393291 IVF393291:IVG393291 ILJ393291:ILK393291 IBN393291:IBO393291 HRR393291:HRS393291 HHV393291:HHW393291 GXZ393291:GYA393291 GOD393291:GOE393291 GEH393291:GEI393291 FUL393291:FUM393291 FKP393291:FKQ393291 FAT393291:FAU393291 EQX393291:EQY393291 EHB393291:EHC393291 DXF393291:DXG393291 DNJ393291:DNK393291 DDN393291:DDO393291 CTR393291:CTS393291 CJV393291:CJW393291 BZZ393291:CAA393291 BQD393291:BQE393291 BGH393291:BGI393291 AWL393291:AWM393291 AMP393291:AMQ393291 ACT393291:ACU393291 SX393291:SY393291 JB393291:JC393291 H393291:H393294 WVN327755:WVO327755 WLR327755:WLS327755 WBV327755:WBW327755 VRZ327755:VSA327755 VID327755:VIE327755 UYH327755:UYI327755 UOL327755:UOM327755 UEP327755:UEQ327755 TUT327755:TUU327755 TKX327755:TKY327755 TBB327755:TBC327755 SRF327755:SRG327755 SHJ327755:SHK327755 RXN327755:RXO327755 RNR327755:RNS327755 RDV327755:RDW327755 QTZ327755:QUA327755 QKD327755:QKE327755 QAH327755:QAI327755 PQL327755:PQM327755 PGP327755:PGQ327755 OWT327755:OWU327755 OMX327755:OMY327755 ODB327755:ODC327755 NTF327755:NTG327755 NJJ327755:NJK327755 MZN327755:MZO327755 MPR327755:MPS327755 MFV327755:MFW327755 LVZ327755:LWA327755 LMD327755:LME327755 LCH327755:LCI327755 KSL327755:KSM327755 KIP327755:KIQ327755 JYT327755:JYU327755 JOX327755:JOY327755 JFB327755:JFC327755 IVF327755:IVG327755 ILJ327755:ILK327755 IBN327755:IBO327755 HRR327755:HRS327755 HHV327755:HHW327755 GXZ327755:GYA327755 GOD327755:GOE327755 GEH327755:GEI327755 FUL327755:FUM327755 FKP327755:FKQ327755 FAT327755:FAU327755 EQX327755:EQY327755 EHB327755:EHC327755 DXF327755:DXG327755 DNJ327755:DNK327755 DDN327755:DDO327755 CTR327755:CTS327755 CJV327755:CJW327755 BZZ327755:CAA327755 BQD327755:BQE327755 BGH327755:BGI327755 AWL327755:AWM327755 AMP327755:AMQ327755 ACT327755:ACU327755 SX327755:SY327755 JB327755:JC327755 H327755:H327758 WVN262219:WVO262219 WLR262219:WLS262219 WBV262219:WBW262219 VRZ262219:VSA262219 VID262219:VIE262219 UYH262219:UYI262219 UOL262219:UOM262219 UEP262219:UEQ262219 TUT262219:TUU262219 TKX262219:TKY262219 TBB262219:TBC262219 SRF262219:SRG262219 SHJ262219:SHK262219 RXN262219:RXO262219 RNR262219:RNS262219 RDV262219:RDW262219 QTZ262219:QUA262219 QKD262219:QKE262219 QAH262219:QAI262219 PQL262219:PQM262219 PGP262219:PGQ262219 OWT262219:OWU262219 OMX262219:OMY262219 ODB262219:ODC262219 NTF262219:NTG262219 NJJ262219:NJK262219 MZN262219:MZO262219 MPR262219:MPS262219 MFV262219:MFW262219 LVZ262219:LWA262219 LMD262219:LME262219 LCH262219:LCI262219 KSL262219:KSM262219 KIP262219:KIQ262219 JYT262219:JYU262219 JOX262219:JOY262219 JFB262219:JFC262219 IVF262219:IVG262219 ILJ262219:ILK262219 IBN262219:IBO262219 HRR262219:HRS262219 HHV262219:HHW262219 GXZ262219:GYA262219 GOD262219:GOE262219 GEH262219:GEI262219 FUL262219:FUM262219 FKP262219:FKQ262219 FAT262219:FAU262219 EQX262219:EQY262219 EHB262219:EHC262219 DXF262219:DXG262219 DNJ262219:DNK262219 DDN262219:DDO262219 CTR262219:CTS262219 CJV262219:CJW262219 BZZ262219:CAA262219 BQD262219:BQE262219 BGH262219:BGI262219 AWL262219:AWM262219 AMP262219:AMQ262219 ACT262219:ACU262219 SX262219:SY262219 JB262219:JC262219 H262219:H262222 WVN196683:WVO196683 WLR196683:WLS196683 WBV196683:WBW196683 VRZ196683:VSA196683 VID196683:VIE196683 UYH196683:UYI196683 UOL196683:UOM196683 UEP196683:UEQ196683 TUT196683:TUU196683 TKX196683:TKY196683 TBB196683:TBC196683 SRF196683:SRG196683 SHJ196683:SHK196683 RXN196683:RXO196683 RNR196683:RNS196683 RDV196683:RDW196683 QTZ196683:QUA196683 QKD196683:QKE196683 QAH196683:QAI196683 PQL196683:PQM196683 PGP196683:PGQ196683 OWT196683:OWU196683 OMX196683:OMY196683 ODB196683:ODC196683 NTF196683:NTG196683 NJJ196683:NJK196683 MZN196683:MZO196683 MPR196683:MPS196683 MFV196683:MFW196683 LVZ196683:LWA196683 LMD196683:LME196683 LCH196683:LCI196683 KSL196683:KSM196683 KIP196683:KIQ196683 JYT196683:JYU196683 JOX196683:JOY196683 JFB196683:JFC196683 IVF196683:IVG196683 ILJ196683:ILK196683 IBN196683:IBO196683 HRR196683:HRS196683 HHV196683:HHW196683 GXZ196683:GYA196683 GOD196683:GOE196683 GEH196683:GEI196683 FUL196683:FUM196683 FKP196683:FKQ196683 FAT196683:FAU196683 EQX196683:EQY196683 EHB196683:EHC196683 DXF196683:DXG196683 DNJ196683:DNK196683 DDN196683:DDO196683 CTR196683:CTS196683 CJV196683:CJW196683 BZZ196683:CAA196683 BQD196683:BQE196683 BGH196683:BGI196683 AWL196683:AWM196683 AMP196683:AMQ196683 ACT196683:ACU196683 SX196683:SY196683 JB196683:JC196683 H196683:H196686 WVN131147:WVO131147 WLR131147:WLS131147 WBV131147:WBW131147 VRZ131147:VSA131147 VID131147:VIE131147 UYH131147:UYI131147 UOL131147:UOM131147 UEP131147:UEQ131147 TUT131147:TUU131147 TKX131147:TKY131147 TBB131147:TBC131147 SRF131147:SRG131147 SHJ131147:SHK131147 RXN131147:RXO131147 RNR131147:RNS131147 RDV131147:RDW131147 QTZ131147:QUA131147 QKD131147:QKE131147 QAH131147:QAI131147 PQL131147:PQM131147 PGP131147:PGQ131147 OWT131147:OWU131147 OMX131147:OMY131147 ODB131147:ODC131147 NTF131147:NTG131147 NJJ131147:NJK131147 MZN131147:MZO131147 MPR131147:MPS131147 MFV131147:MFW131147 LVZ131147:LWA131147 LMD131147:LME131147 LCH131147:LCI131147 KSL131147:KSM131147 KIP131147:KIQ131147 JYT131147:JYU131147 JOX131147:JOY131147 JFB131147:JFC131147 IVF131147:IVG131147 ILJ131147:ILK131147 IBN131147:IBO131147 HRR131147:HRS131147 HHV131147:HHW131147 GXZ131147:GYA131147 GOD131147:GOE131147 GEH131147:GEI131147 FUL131147:FUM131147 FKP131147:FKQ131147 FAT131147:FAU131147 EQX131147:EQY131147 EHB131147:EHC131147 DXF131147:DXG131147 DNJ131147:DNK131147 DDN131147:DDO131147 CTR131147:CTS131147 CJV131147:CJW131147 BZZ131147:CAA131147 BQD131147:BQE131147 BGH131147:BGI131147 AWL131147:AWM131147 AMP131147:AMQ131147 ACT131147:ACU131147 SX131147:SY131147 JB131147:JC131147 H131147:H131150 WVN65611:WVO65611 WLR65611:WLS65611 WBV65611:WBW65611 VRZ65611:VSA65611 VID65611:VIE65611 UYH65611:UYI65611 UOL65611:UOM65611 UEP65611:UEQ65611 TUT65611:TUU65611 TKX65611:TKY65611 TBB65611:TBC65611 SRF65611:SRG65611 SHJ65611:SHK65611 RXN65611:RXO65611 RNR65611:RNS65611 RDV65611:RDW65611 QTZ65611:QUA65611 QKD65611:QKE65611 QAH65611:QAI65611 PQL65611:PQM65611 PGP65611:PGQ65611 OWT65611:OWU65611 OMX65611:OMY65611 ODB65611:ODC65611 NTF65611:NTG65611 NJJ65611:NJK65611 MZN65611:MZO65611 MPR65611:MPS65611 MFV65611:MFW65611 LVZ65611:LWA65611 LMD65611:LME65611 LCH65611:LCI65611 KSL65611:KSM65611 KIP65611:KIQ65611 JYT65611:JYU65611 JOX65611:JOY65611 JFB65611:JFC65611 IVF65611:IVG65611 ILJ65611:ILK65611 IBN65611:IBO65611 HRR65611:HRS65611 HHV65611:HHW65611 GXZ65611:GYA65611 GOD65611:GOE65611 GEH65611:GEI65611 FUL65611:FUM65611 FKP65611:FKQ65611 FAT65611:FAU65611 EQX65611:EQY65611 EHB65611:EHC65611 DXF65611:DXG65611 DNJ65611:DNK65611 DDN65611:DDO65611 CTR65611:CTS65611 CJV65611:CJW65611 BZZ65611:CAA65611 BQD65611:BQE65611 BGH65611:BGI65611 AWL65611:AWM65611 AMP65611:AMQ65611 ACT65611:ACU65611 SX65611:SY65611 JB65611:JC65611 H65611:H65614 WVS75:WVT76 WLW75:WLX76 WCA75:WCB76 VSE75:VSF76 VII75:VIJ76 UYM75:UYN76 UOQ75:UOR76 UEU75:UEV76 TUY75:TUZ76 TLC75:TLD76 TBG75:TBH76 SRK75:SRL76 SHO75:SHP76 RXS75:RXT76 RNW75:RNX76 REA75:REB76 QUE75:QUF76 QKI75:QKJ76 QAM75:QAN76 PQQ75:PQR76 PGU75:PGV76 OWY75:OWZ76 ONC75:OND76 ODG75:ODH76 NTK75:NTL76 NJO75:NJP76 MZS75:MZT76 MPW75:MPX76 MGA75:MGB76 LWE75:LWF76 LMI75:LMJ76 LCM75:LCN76 KSQ75:KSR76 KIU75:KIV76 JYY75:JYZ76 JPC75:JPD76 JFG75:JFH76 IVK75:IVL76 ILO75:ILP76 IBS75:IBT76 HRW75:HRX76 HIA75:HIB76 GYE75:GYF76 GOI75:GOJ76 GEM75:GEN76 FUQ75:FUR76 FKU75:FKV76 FAY75:FAZ76 ERC75:ERD76 EHG75:EHH76 DXK75:DXL76 DNO75:DNP76 DDS75:DDT76 CTW75:CTX76 CKA75:CKB76 CAE75:CAF76 BQI75:BQJ76 BGM75:BGN76 AWQ75:AWR76 AMU75:AMV76 ACY75:ACZ76 TC75:TD76 JG75:JH76 JH46:JI55 WVO983116:WVO983118 WLS983116:WLS983118 WBW983116:WBW983118 VSA983116:VSA983118 VIE983116:VIE983118 UYI983116:UYI983118 UOM983116:UOM983118 UEQ983116:UEQ983118 TUU983116:TUU983118 TKY983116:TKY983118 TBC983116:TBC983118 SRG983116:SRG983118 SHK983116:SHK983118 RXO983116:RXO983118 RNS983116:RNS983118 RDW983116:RDW983118 QUA983116:QUA983118 QKE983116:QKE983118 QAI983116:QAI983118 PQM983116:PQM983118 PGQ983116:PGQ983118 OWU983116:OWU983118 OMY983116:OMY983118 ODC983116:ODC983118 NTG983116:NTG983118 NJK983116:NJK983118 MZO983116:MZO983118 MPS983116:MPS983118 MFW983116:MFW983118 LWA983116:LWA983118 LME983116:LME983118 LCI983116:LCI983118 KSM983116:KSM983118 KIQ983116:KIQ983118 JYU983116:JYU983118 JOY983116:JOY983118 JFC983116:JFC983118 IVG983116:IVG983118 ILK983116:ILK983118 IBO983116:IBO983118 HRS983116:HRS983118 HHW983116:HHW983118 GYA983116:GYA983118 GOE983116:GOE983118 GEI983116:GEI983118 FUM983116:FUM983118 FKQ983116:FKQ983118 FAU983116:FAU983118 EQY983116:EQY983118 EHC983116:EHC983118 DXG983116:DXG983118 DNK983116:DNK983118 DDO983116:DDO983118 CTS983116:CTS983118 CJW983116:CJW983118 CAA983116:CAA983118 BQE983116:BQE983118 BGI983116:BGI983118 AWM983116:AWM983118 AMQ983116:AMQ983118 ACU983116:ACU983118 SY983116:SY983118 JC983116:JC983118 WVO917580:WVO917582 WLS917580:WLS917582 WBW917580:WBW917582 VSA917580:VSA917582 VIE917580:VIE917582 UYI917580:UYI917582 UOM917580:UOM917582 UEQ917580:UEQ917582 TUU917580:TUU917582 TKY917580:TKY917582 TBC917580:TBC917582 SRG917580:SRG917582 SHK917580:SHK917582 RXO917580:RXO917582 RNS917580:RNS917582 RDW917580:RDW917582 QUA917580:QUA917582 QKE917580:QKE917582 QAI917580:QAI917582 PQM917580:PQM917582 PGQ917580:PGQ917582 OWU917580:OWU917582 OMY917580:OMY917582 ODC917580:ODC917582 NTG917580:NTG917582 NJK917580:NJK917582 MZO917580:MZO917582 MPS917580:MPS917582 MFW917580:MFW917582 LWA917580:LWA917582 LME917580:LME917582 LCI917580:LCI917582 KSM917580:KSM917582 KIQ917580:KIQ917582 JYU917580:JYU917582 JOY917580:JOY917582 JFC917580:JFC917582 IVG917580:IVG917582 ILK917580:ILK917582 IBO917580:IBO917582 HRS917580:HRS917582 HHW917580:HHW917582 GYA917580:GYA917582 GOE917580:GOE917582 GEI917580:GEI917582 FUM917580:FUM917582 FKQ917580:FKQ917582 FAU917580:FAU917582 EQY917580:EQY917582 EHC917580:EHC917582 DXG917580:DXG917582 DNK917580:DNK917582 DDO917580:DDO917582 CTS917580:CTS917582 CJW917580:CJW917582 CAA917580:CAA917582 BQE917580:BQE917582 BGI917580:BGI917582 AWM917580:AWM917582 AMQ917580:AMQ917582 ACU917580:ACU917582 SY917580:SY917582 JC917580:JC917582 WVO852044:WVO852046 WLS852044:WLS852046 WBW852044:WBW852046 VSA852044:VSA852046 VIE852044:VIE852046 UYI852044:UYI852046 UOM852044:UOM852046 UEQ852044:UEQ852046 TUU852044:TUU852046 TKY852044:TKY852046 TBC852044:TBC852046 SRG852044:SRG852046 SHK852044:SHK852046 RXO852044:RXO852046 RNS852044:RNS852046 RDW852044:RDW852046 QUA852044:QUA852046 QKE852044:QKE852046 QAI852044:QAI852046 PQM852044:PQM852046 PGQ852044:PGQ852046 OWU852044:OWU852046 OMY852044:OMY852046 ODC852044:ODC852046 NTG852044:NTG852046 NJK852044:NJK852046 MZO852044:MZO852046 MPS852044:MPS852046 MFW852044:MFW852046 LWA852044:LWA852046 LME852044:LME852046 LCI852044:LCI852046 KSM852044:KSM852046 KIQ852044:KIQ852046 JYU852044:JYU852046 JOY852044:JOY852046 JFC852044:JFC852046 IVG852044:IVG852046 ILK852044:ILK852046 IBO852044:IBO852046 HRS852044:HRS852046 HHW852044:HHW852046 GYA852044:GYA852046 GOE852044:GOE852046 GEI852044:GEI852046 FUM852044:FUM852046 FKQ852044:FKQ852046 FAU852044:FAU852046 EQY852044:EQY852046 EHC852044:EHC852046 DXG852044:DXG852046 DNK852044:DNK852046 DDO852044:DDO852046 CTS852044:CTS852046 CJW852044:CJW852046 CAA852044:CAA852046 BQE852044:BQE852046 BGI852044:BGI852046 AWM852044:AWM852046 AMQ852044:AMQ852046 ACU852044:ACU852046 SY852044:SY852046 JC852044:JC852046 WVO786508:WVO786510 WLS786508:WLS786510 WBW786508:WBW786510 VSA786508:VSA786510 VIE786508:VIE786510 UYI786508:UYI786510 UOM786508:UOM786510 UEQ786508:UEQ786510 TUU786508:TUU786510 TKY786508:TKY786510 TBC786508:TBC786510 SRG786508:SRG786510 SHK786508:SHK786510 RXO786508:RXO786510 RNS786508:RNS786510 RDW786508:RDW786510 QUA786508:QUA786510 QKE786508:QKE786510 QAI786508:QAI786510 PQM786508:PQM786510 PGQ786508:PGQ786510 OWU786508:OWU786510 OMY786508:OMY786510 ODC786508:ODC786510 NTG786508:NTG786510 NJK786508:NJK786510 MZO786508:MZO786510 MPS786508:MPS786510 MFW786508:MFW786510 LWA786508:LWA786510 LME786508:LME786510 LCI786508:LCI786510 KSM786508:KSM786510 KIQ786508:KIQ786510 JYU786508:JYU786510 JOY786508:JOY786510 JFC786508:JFC786510 IVG786508:IVG786510 ILK786508:ILK786510 IBO786508:IBO786510 HRS786508:HRS786510 HHW786508:HHW786510 GYA786508:GYA786510 GOE786508:GOE786510 GEI786508:GEI786510 FUM786508:FUM786510 FKQ786508:FKQ786510 FAU786508:FAU786510 EQY786508:EQY786510 EHC786508:EHC786510 DXG786508:DXG786510 DNK786508:DNK786510 DDO786508:DDO786510 CTS786508:CTS786510 CJW786508:CJW786510 CAA786508:CAA786510 BQE786508:BQE786510 BGI786508:BGI786510 AWM786508:AWM786510 AMQ786508:AMQ786510 ACU786508:ACU786510 SY786508:SY786510 JC786508:JC786510 WVO720972:WVO720974 WLS720972:WLS720974 WBW720972:WBW720974 VSA720972:VSA720974 VIE720972:VIE720974 UYI720972:UYI720974 UOM720972:UOM720974 UEQ720972:UEQ720974 TUU720972:TUU720974 TKY720972:TKY720974 TBC720972:TBC720974 SRG720972:SRG720974 SHK720972:SHK720974 RXO720972:RXO720974 RNS720972:RNS720974 RDW720972:RDW720974 QUA720972:QUA720974 QKE720972:QKE720974 QAI720972:QAI720974 PQM720972:PQM720974 PGQ720972:PGQ720974 OWU720972:OWU720974 OMY720972:OMY720974 ODC720972:ODC720974 NTG720972:NTG720974 NJK720972:NJK720974 MZO720972:MZO720974 MPS720972:MPS720974 MFW720972:MFW720974 LWA720972:LWA720974 LME720972:LME720974 LCI720972:LCI720974 KSM720972:KSM720974 KIQ720972:KIQ720974 JYU720972:JYU720974 JOY720972:JOY720974 JFC720972:JFC720974 IVG720972:IVG720974 ILK720972:ILK720974 IBO720972:IBO720974 HRS720972:HRS720974 HHW720972:HHW720974 GYA720972:GYA720974 GOE720972:GOE720974 GEI720972:GEI720974 FUM720972:FUM720974 FKQ720972:FKQ720974 FAU720972:FAU720974 EQY720972:EQY720974 EHC720972:EHC720974 DXG720972:DXG720974 DNK720972:DNK720974 DDO720972:DDO720974 CTS720972:CTS720974 CJW720972:CJW720974 CAA720972:CAA720974 BQE720972:BQE720974 BGI720972:BGI720974 AWM720972:AWM720974 AMQ720972:AMQ720974 ACU720972:ACU720974 SY720972:SY720974 JC720972:JC720974 WVO655436:WVO655438 WLS655436:WLS655438 WBW655436:WBW655438 VSA655436:VSA655438 VIE655436:VIE655438 UYI655436:UYI655438 UOM655436:UOM655438 UEQ655436:UEQ655438 TUU655436:TUU655438 TKY655436:TKY655438 TBC655436:TBC655438 SRG655436:SRG655438 SHK655436:SHK655438 RXO655436:RXO655438 RNS655436:RNS655438 RDW655436:RDW655438 QUA655436:QUA655438 QKE655436:QKE655438 QAI655436:QAI655438 PQM655436:PQM655438 PGQ655436:PGQ655438 OWU655436:OWU655438 OMY655436:OMY655438 ODC655436:ODC655438 NTG655436:NTG655438 NJK655436:NJK655438 MZO655436:MZO655438 MPS655436:MPS655438 MFW655436:MFW655438 LWA655436:LWA655438 LME655436:LME655438 LCI655436:LCI655438 KSM655436:KSM655438 KIQ655436:KIQ655438 JYU655436:JYU655438 JOY655436:JOY655438 JFC655436:JFC655438 IVG655436:IVG655438 ILK655436:ILK655438 IBO655436:IBO655438 HRS655436:HRS655438 HHW655436:HHW655438 GYA655436:GYA655438 GOE655436:GOE655438 GEI655436:GEI655438 FUM655436:FUM655438 FKQ655436:FKQ655438 FAU655436:FAU655438 EQY655436:EQY655438 EHC655436:EHC655438 DXG655436:DXG655438 DNK655436:DNK655438 DDO655436:DDO655438 CTS655436:CTS655438 CJW655436:CJW655438 CAA655436:CAA655438 BQE655436:BQE655438 BGI655436:BGI655438 AWM655436:AWM655438 AMQ655436:AMQ655438 ACU655436:ACU655438 SY655436:SY655438 JC655436:JC655438 WVO589900:WVO589902 WLS589900:WLS589902 WBW589900:WBW589902 VSA589900:VSA589902 VIE589900:VIE589902 UYI589900:UYI589902 UOM589900:UOM589902 UEQ589900:UEQ589902 TUU589900:TUU589902 TKY589900:TKY589902 TBC589900:TBC589902 SRG589900:SRG589902 SHK589900:SHK589902 RXO589900:RXO589902 RNS589900:RNS589902 RDW589900:RDW589902 QUA589900:QUA589902 QKE589900:QKE589902 QAI589900:QAI589902 PQM589900:PQM589902 PGQ589900:PGQ589902 OWU589900:OWU589902 OMY589900:OMY589902 ODC589900:ODC589902 NTG589900:NTG589902 NJK589900:NJK589902 MZO589900:MZO589902 MPS589900:MPS589902 MFW589900:MFW589902 LWA589900:LWA589902 LME589900:LME589902 LCI589900:LCI589902 KSM589900:KSM589902 KIQ589900:KIQ589902 JYU589900:JYU589902 JOY589900:JOY589902 JFC589900:JFC589902 IVG589900:IVG589902 ILK589900:ILK589902 IBO589900:IBO589902 HRS589900:HRS589902 HHW589900:HHW589902 GYA589900:GYA589902 GOE589900:GOE589902 GEI589900:GEI589902 FUM589900:FUM589902 FKQ589900:FKQ589902 FAU589900:FAU589902 EQY589900:EQY589902 EHC589900:EHC589902 DXG589900:DXG589902 DNK589900:DNK589902 DDO589900:DDO589902 CTS589900:CTS589902 CJW589900:CJW589902 CAA589900:CAA589902 BQE589900:BQE589902 BGI589900:BGI589902 AWM589900:AWM589902 AMQ589900:AMQ589902 ACU589900:ACU589902 SY589900:SY589902 JC589900:JC589902 WVO524364:WVO524366 WLS524364:WLS524366 WBW524364:WBW524366 VSA524364:VSA524366 VIE524364:VIE524366 UYI524364:UYI524366 UOM524364:UOM524366 UEQ524364:UEQ524366 TUU524364:TUU524366 TKY524364:TKY524366 TBC524364:TBC524366 SRG524364:SRG524366 SHK524364:SHK524366 RXO524364:RXO524366 RNS524364:RNS524366 RDW524364:RDW524366 QUA524364:QUA524366 QKE524364:QKE524366 QAI524364:QAI524366 PQM524364:PQM524366 PGQ524364:PGQ524366 OWU524364:OWU524366 OMY524364:OMY524366 ODC524364:ODC524366 NTG524364:NTG524366 NJK524364:NJK524366 MZO524364:MZO524366 MPS524364:MPS524366 MFW524364:MFW524366 LWA524364:LWA524366 LME524364:LME524366 LCI524364:LCI524366 KSM524364:KSM524366 KIQ524364:KIQ524366 JYU524364:JYU524366 JOY524364:JOY524366 JFC524364:JFC524366 IVG524364:IVG524366 ILK524364:ILK524366 IBO524364:IBO524366 HRS524364:HRS524366 HHW524364:HHW524366 GYA524364:GYA524366 GOE524364:GOE524366 GEI524364:GEI524366 FUM524364:FUM524366 FKQ524364:FKQ524366 FAU524364:FAU524366 EQY524364:EQY524366 EHC524364:EHC524366 DXG524364:DXG524366 DNK524364:DNK524366 DDO524364:DDO524366 CTS524364:CTS524366 CJW524364:CJW524366 CAA524364:CAA524366 BQE524364:BQE524366 BGI524364:BGI524366 AWM524364:AWM524366 AMQ524364:AMQ524366 ACU524364:ACU524366 SY524364:SY524366 JC524364:JC524366 WVO458828:WVO458830 WLS458828:WLS458830 WBW458828:WBW458830 VSA458828:VSA458830 VIE458828:VIE458830 UYI458828:UYI458830 UOM458828:UOM458830 UEQ458828:UEQ458830 TUU458828:TUU458830 TKY458828:TKY458830 TBC458828:TBC458830 SRG458828:SRG458830 SHK458828:SHK458830 RXO458828:RXO458830 RNS458828:RNS458830 RDW458828:RDW458830 QUA458828:QUA458830 QKE458828:QKE458830 QAI458828:QAI458830 PQM458828:PQM458830 PGQ458828:PGQ458830 OWU458828:OWU458830 OMY458828:OMY458830 ODC458828:ODC458830 NTG458828:NTG458830 NJK458828:NJK458830 MZO458828:MZO458830 MPS458828:MPS458830 MFW458828:MFW458830 LWA458828:LWA458830 LME458828:LME458830 LCI458828:LCI458830 KSM458828:KSM458830 KIQ458828:KIQ458830 JYU458828:JYU458830 JOY458828:JOY458830 JFC458828:JFC458830 IVG458828:IVG458830 ILK458828:ILK458830 IBO458828:IBO458830 HRS458828:HRS458830 HHW458828:HHW458830 GYA458828:GYA458830 GOE458828:GOE458830 GEI458828:GEI458830 FUM458828:FUM458830 FKQ458828:FKQ458830 FAU458828:FAU458830 EQY458828:EQY458830 EHC458828:EHC458830 DXG458828:DXG458830 DNK458828:DNK458830 DDO458828:DDO458830 CTS458828:CTS458830 CJW458828:CJW458830 CAA458828:CAA458830 BQE458828:BQE458830 BGI458828:BGI458830 AWM458828:AWM458830 AMQ458828:AMQ458830 ACU458828:ACU458830 SY458828:SY458830 JC458828:JC458830 WVO393292:WVO393294 WLS393292:WLS393294 WBW393292:WBW393294 VSA393292:VSA393294 VIE393292:VIE393294 UYI393292:UYI393294 UOM393292:UOM393294 UEQ393292:UEQ393294 TUU393292:TUU393294 TKY393292:TKY393294 TBC393292:TBC393294 SRG393292:SRG393294 SHK393292:SHK393294 RXO393292:RXO393294 RNS393292:RNS393294 RDW393292:RDW393294 QUA393292:QUA393294 QKE393292:QKE393294 QAI393292:QAI393294 PQM393292:PQM393294 PGQ393292:PGQ393294 OWU393292:OWU393294 OMY393292:OMY393294 ODC393292:ODC393294 NTG393292:NTG393294 NJK393292:NJK393294 MZO393292:MZO393294 MPS393292:MPS393294 MFW393292:MFW393294 LWA393292:LWA393294 LME393292:LME393294 LCI393292:LCI393294 KSM393292:KSM393294 KIQ393292:KIQ393294 JYU393292:JYU393294 JOY393292:JOY393294 JFC393292:JFC393294 IVG393292:IVG393294 ILK393292:ILK393294 IBO393292:IBO393294 HRS393292:HRS393294 HHW393292:HHW393294 GYA393292:GYA393294 GOE393292:GOE393294 GEI393292:GEI393294 FUM393292:FUM393294 FKQ393292:FKQ393294 FAU393292:FAU393294 EQY393292:EQY393294 EHC393292:EHC393294 DXG393292:DXG393294 DNK393292:DNK393294 DDO393292:DDO393294 CTS393292:CTS393294 CJW393292:CJW393294 CAA393292:CAA393294 BQE393292:BQE393294 BGI393292:BGI393294 AWM393292:AWM393294 AMQ393292:AMQ393294 ACU393292:ACU393294 SY393292:SY393294 JC393292:JC393294 WVO327756:WVO327758 WLS327756:WLS327758 WBW327756:WBW327758 VSA327756:VSA327758 VIE327756:VIE327758 UYI327756:UYI327758 UOM327756:UOM327758 UEQ327756:UEQ327758 TUU327756:TUU327758 TKY327756:TKY327758 TBC327756:TBC327758 SRG327756:SRG327758 SHK327756:SHK327758 RXO327756:RXO327758 RNS327756:RNS327758 RDW327756:RDW327758 QUA327756:QUA327758 QKE327756:QKE327758 QAI327756:QAI327758 PQM327756:PQM327758 PGQ327756:PGQ327758 OWU327756:OWU327758 OMY327756:OMY327758 ODC327756:ODC327758 NTG327756:NTG327758 NJK327756:NJK327758 MZO327756:MZO327758 MPS327756:MPS327758 MFW327756:MFW327758 LWA327756:LWA327758 LME327756:LME327758 LCI327756:LCI327758 KSM327756:KSM327758 KIQ327756:KIQ327758 JYU327756:JYU327758 JOY327756:JOY327758 JFC327756:JFC327758 IVG327756:IVG327758 ILK327756:ILK327758 IBO327756:IBO327758 HRS327756:HRS327758 HHW327756:HHW327758 GYA327756:GYA327758 GOE327756:GOE327758 GEI327756:GEI327758 FUM327756:FUM327758 FKQ327756:FKQ327758 FAU327756:FAU327758 EQY327756:EQY327758 EHC327756:EHC327758 DXG327756:DXG327758 DNK327756:DNK327758 DDO327756:DDO327758 CTS327756:CTS327758 CJW327756:CJW327758 CAA327756:CAA327758 BQE327756:BQE327758 BGI327756:BGI327758 AWM327756:AWM327758 AMQ327756:AMQ327758 ACU327756:ACU327758 SY327756:SY327758 JC327756:JC327758 WVO262220:WVO262222 WLS262220:WLS262222 WBW262220:WBW262222 VSA262220:VSA262222 VIE262220:VIE262222 UYI262220:UYI262222 UOM262220:UOM262222 UEQ262220:UEQ262222 TUU262220:TUU262222 TKY262220:TKY262222 TBC262220:TBC262222 SRG262220:SRG262222 SHK262220:SHK262222 RXO262220:RXO262222 RNS262220:RNS262222 RDW262220:RDW262222 QUA262220:QUA262222 QKE262220:QKE262222 QAI262220:QAI262222 PQM262220:PQM262222 PGQ262220:PGQ262222 OWU262220:OWU262222 OMY262220:OMY262222 ODC262220:ODC262222 NTG262220:NTG262222 NJK262220:NJK262222 MZO262220:MZO262222 MPS262220:MPS262222 MFW262220:MFW262222 LWA262220:LWA262222 LME262220:LME262222 LCI262220:LCI262222 KSM262220:KSM262222 KIQ262220:KIQ262222 JYU262220:JYU262222 JOY262220:JOY262222 JFC262220:JFC262222 IVG262220:IVG262222 ILK262220:ILK262222 IBO262220:IBO262222 HRS262220:HRS262222 HHW262220:HHW262222 GYA262220:GYA262222 GOE262220:GOE262222 GEI262220:GEI262222 FUM262220:FUM262222 FKQ262220:FKQ262222 FAU262220:FAU262222 EQY262220:EQY262222 EHC262220:EHC262222 DXG262220:DXG262222 DNK262220:DNK262222 DDO262220:DDO262222 CTS262220:CTS262222 CJW262220:CJW262222 CAA262220:CAA262222 BQE262220:BQE262222 BGI262220:BGI262222 AWM262220:AWM262222 AMQ262220:AMQ262222 ACU262220:ACU262222 SY262220:SY262222 JC262220:JC262222 WVO196684:WVO196686 WLS196684:WLS196686 WBW196684:WBW196686 VSA196684:VSA196686 VIE196684:VIE196686 UYI196684:UYI196686 UOM196684:UOM196686 UEQ196684:UEQ196686 TUU196684:TUU196686 TKY196684:TKY196686 TBC196684:TBC196686 SRG196684:SRG196686 SHK196684:SHK196686 RXO196684:RXO196686 RNS196684:RNS196686 RDW196684:RDW196686 QUA196684:QUA196686 QKE196684:QKE196686 QAI196684:QAI196686 PQM196684:PQM196686 PGQ196684:PGQ196686 OWU196684:OWU196686 OMY196684:OMY196686 ODC196684:ODC196686 NTG196684:NTG196686 NJK196684:NJK196686 MZO196684:MZO196686 MPS196684:MPS196686 MFW196684:MFW196686 LWA196684:LWA196686 LME196684:LME196686 LCI196684:LCI196686 KSM196684:KSM196686 KIQ196684:KIQ196686 JYU196684:JYU196686 JOY196684:JOY196686 JFC196684:JFC196686 IVG196684:IVG196686 ILK196684:ILK196686 IBO196684:IBO196686 HRS196684:HRS196686 HHW196684:HHW196686 GYA196684:GYA196686 GOE196684:GOE196686 GEI196684:GEI196686 FUM196684:FUM196686 FKQ196684:FKQ196686 FAU196684:FAU196686 EQY196684:EQY196686 EHC196684:EHC196686 DXG196684:DXG196686 DNK196684:DNK196686 DDO196684:DDO196686 CTS196684:CTS196686 CJW196684:CJW196686 CAA196684:CAA196686 BQE196684:BQE196686 BGI196684:BGI196686 AWM196684:AWM196686 AMQ196684:AMQ196686 ACU196684:ACU196686 SY196684:SY196686 JC196684:JC196686 WVO131148:WVO131150 WLS131148:WLS131150 WBW131148:WBW131150 VSA131148:VSA131150 VIE131148:VIE131150 UYI131148:UYI131150 UOM131148:UOM131150 UEQ131148:UEQ131150 TUU131148:TUU131150 TKY131148:TKY131150 TBC131148:TBC131150 SRG131148:SRG131150 SHK131148:SHK131150 RXO131148:RXO131150 RNS131148:RNS131150 RDW131148:RDW131150 QUA131148:QUA131150 QKE131148:QKE131150 QAI131148:QAI131150 PQM131148:PQM131150 PGQ131148:PGQ131150 OWU131148:OWU131150 OMY131148:OMY131150 ODC131148:ODC131150 NTG131148:NTG131150 NJK131148:NJK131150 MZO131148:MZO131150 MPS131148:MPS131150 MFW131148:MFW131150 LWA131148:LWA131150 LME131148:LME131150 LCI131148:LCI131150 KSM131148:KSM131150 KIQ131148:KIQ131150 JYU131148:JYU131150 JOY131148:JOY131150 JFC131148:JFC131150 IVG131148:IVG131150 ILK131148:ILK131150 IBO131148:IBO131150 HRS131148:HRS131150 HHW131148:HHW131150 GYA131148:GYA131150 GOE131148:GOE131150 GEI131148:GEI131150 FUM131148:FUM131150 FKQ131148:FKQ131150 FAU131148:FAU131150 EQY131148:EQY131150 EHC131148:EHC131150 DXG131148:DXG131150 DNK131148:DNK131150 DDO131148:DDO131150 CTS131148:CTS131150 CJW131148:CJW131150 CAA131148:CAA131150 BQE131148:BQE131150 BGI131148:BGI131150 AWM131148:AWM131150 AMQ131148:AMQ131150 ACU131148:ACU131150 SY131148:SY131150 JC131148:JC131150 WVO65612:WVO65614 WLS65612:WLS65614 WBW65612:WBW65614 VSA65612:VSA65614 VIE65612:VIE65614 UYI65612:UYI65614 UOM65612:UOM65614 UEQ65612:UEQ65614 TUU65612:TUU65614 TKY65612:TKY65614 TBC65612:TBC65614 SRG65612:SRG65614 SHK65612:SHK65614 RXO65612:RXO65614 RNS65612:RNS65614 RDW65612:RDW65614 QUA65612:QUA65614 QKE65612:QKE65614 QAI65612:QAI65614 PQM65612:PQM65614 PGQ65612:PGQ65614 OWU65612:OWU65614 OMY65612:OMY65614 ODC65612:ODC65614 NTG65612:NTG65614 NJK65612:NJK65614 MZO65612:MZO65614 MPS65612:MPS65614 MFW65612:MFW65614 LWA65612:LWA65614 LME65612:LME65614 LCI65612:LCI65614 KSM65612:KSM65614 KIQ65612:KIQ65614 JYU65612:JYU65614 JOY65612:JOY65614 JFC65612:JFC65614 IVG65612:IVG65614 ILK65612:ILK65614 IBO65612:IBO65614 HRS65612:HRS65614 HHW65612:HHW65614 GYA65612:GYA65614 GOE65612:GOE65614 GEI65612:GEI65614 FUM65612:FUM65614 FKQ65612:FKQ65614 FAU65612:FAU65614 EQY65612:EQY65614 EHC65612:EHC65614 DXG65612:DXG65614 DNK65612:DNK65614 DDO65612:DDO65614 CTS65612:CTS65614 CJW65612:CJW65614 CAA65612:CAA65614 BQE65612:BQE65614 BGI65612:BGI65614 AWM65612:AWM65614 AMQ65612:AMQ65614 ACU65612:ACU65614 SY65612:SY65614 JC65612:JC65614 WVT77:WVT79 WLX77:WLX79 WCB77:WCB79 VSF77:VSF79 VIJ77:VIJ79 UYN77:UYN79 UOR77:UOR79 UEV77:UEV79 TUZ77:TUZ79 TLD77:TLD79 TBH77:TBH79 SRL77:SRL79 SHP77:SHP79 RXT77:RXT79 RNX77:RNX79 REB77:REB79 QUF77:QUF79 QKJ77:QKJ79 QAN77:QAN79 PQR77:PQR79 PGV77:PGV79 OWZ77:OWZ79 OND77:OND79 ODH77:ODH79 NTL77:NTL79 NJP77:NJP79 MZT77:MZT79 MPX77:MPX79 MGB77:MGB79 LWF77:LWF79 LMJ77:LMJ79 LCN77:LCN79 KSR77:KSR79 KIV77:KIV79 JYZ77:JYZ79 JPD77:JPD79 JFH77:JFH79 IVL77:IVL79 ILP77:ILP79 IBT77:IBT79 HRX77:HRX79 HIB77:HIB79 GYF77:GYF79 GOJ77:GOJ79 GEN77:GEN79 FUR77:FUR79 FKV77:FKV79 FAZ77:FAZ79 ERD77:ERD79 EHH77:EHH79 DXL77:DXL79 DNP77:DNP79 DDT77:DDT79 CTX77:CTX79 CKB77:CKB79 CAF77:CAF79 BQJ77:BQJ79 BGN77:BGN79 AWR77:AWR79 AMV77:AMV79 ACZ77:ACZ79 TD77:TD79 JH77:JH79 WVN983120:WVO983120 WLR983120:WLS983120 WBV983120:WBW983120 VRZ983120:VSA983120 VID983120:VIE983120 UYH983120:UYI983120 UOL983120:UOM983120 UEP983120:UEQ983120 TUT983120:TUU983120 TKX983120:TKY983120 TBB983120:TBC983120 SRF983120:SRG983120 SHJ983120:SHK983120 RXN983120:RXO983120 RNR983120:RNS983120 RDV983120:RDW983120 QTZ983120:QUA983120 QKD983120:QKE983120 QAH983120:QAI983120 PQL983120:PQM983120 PGP983120:PGQ983120 OWT983120:OWU983120 OMX983120:OMY983120 ODB983120:ODC983120 NTF983120:NTG983120 NJJ983120:NJK983120 MZN983120:MZO983120 MPR983120:MPS983120 MFV983120:MFW983120 LVZ983120:LWA983120 LMD983120:LME983120 LCH983120:LCI983120 KSL983120:KSM983120 KIP983120:KIQ983120 JYT983120:JYU983120 JOX983120:JOY983120 JFB983120:JFC983120 IVF983120:IVG983120 ILJ983120:ILK983120 IBN983120:IBO983120 HRR983120:HRS983120 HHV983120:HHW983120 GXZ983120:GYA983120 GOD983120:GOE983120 GEH983120:GEI983120 FUL983120:FUM983120 FKP983120:FKQ983120 FAT983120:FAU983120 EQX983120:EQY983120 EHB983120:EHC983120 DXF983120:DXG983120 DNJ983120:DNK983120 DDN983120:DDO983120 CTR983120:CTS983120 CJV983120:CJW983120 BZZ983120:CAA983120 BQD983120:BQE983120 BGH983120:BGI983120 AWL983120:AWM983120 AMP983120:AMQ983120 ACT983120:ACU983120 SX983120:SY983120 JB983120:JC983120 H983120:H983123 WVN917584:WVO917584 WLR917584:WLS917584 WBV917584:WBW917584 VRZ917584:VSA917584 VID917584:VIE917584 UYH917584:UYI917584 UOL917584:UOM917584 UEP917584:UEQ917584 TUT917584:TUU917584 TKX917584:TKY917584 TBB917584:TBC917584 SRF917584:SRG917584 SHJ917584:SHK917584 RXN917584:RXO917584 RNR917584:RNS917584 RDV917584:RDW917584 QTZ917584:QUA917584 QKD917584:QKE917584 QAH917584:QAI917584 PQL917584:PQM917584 PGP917584:PGQ917584 OWT917584:OWU917584 OMX917584:OMY917584 ODB917584:ODC917584 NTF917584:NTG917584 NJJ917584:NJK917584 MZN917584:MZO917584 MPR917584:MPS917584 MFV917584:MFW917584 LVZ917584:LWA917584 LMD917584:LME917584 LCH917584:LCI917584 KSL917584:KSM917584 KIP917584:KIQ917584 JYT917584:JYU917584 JOX917584:JOY917584 JFB917584:JFC917584 IVF917584:IVG917584 ILJ917584:ILK917584 IBN917584:IBO917584 HRR917584:HRS917584 HHV917584:HHW917584 GXZ917584:GYA917584 GOD917584:GOE917584 GEH917584:GEI917584 FUL917584:FUM917584 FKP917584:FKQ917584 FAT917584:FAU917584 EQX917584:EQY917584 EHB917584:EHC917584 DXF917584:DXG917584 DNJ917584:DNK917584 DDN917584:DDO917584 CTR917584:CTS917584 CJV917584:CJW917584 BZZ917584:CAA917584 BQD917584:BQE917584 BGH917584:BGI917584 AWL917584:AWM917584 AMP917584:AMQ917584 ACT917584:ACU917584 SX917584:SY917584 JB917584:JC917584 H917584:H917587 WVN852048:WVO852048 WLR852048:WLS852048 WBV852048:WBW852048 VRZ852048:VSA852048 VID852048:VIE852048 UYH852048:UYI852048 UOL852048:UOM852048 UEP852048:UEQ852048 TUT852048:TUU852048 TKX852048:TKY852048 TBB852048:TBC852048 SRF852048:SRG852048 SHJ852048:SHK852048 RXN852048:RXO852048 RNR852048:RNS852048 RDV852048:RDW852048 QTZ852048:QUA852048 QKD852048:QKE852048 QAH852048:QAI852048 PQL852048:PQM852048 PGP852048:PGQ852048 OWT852048:OWU852048 OMX852048:OMY852048 ODB852048:ODC852048 NTF852048:NTG852048 NJJ852048:NJK852048 MZN852048:MZO852048 MPR852048:MPS852048 MFV852048:MFW852048 LVZ852048:LWA852048 LMD852048:LME852048 LCH852048:LCI852048 KSL852048:KSM852048 KIP852048:KIQ852048 JYT852048:JYU852048 JOX852048:JOY852048 JFB852048:JFC852048 IVF852048:IVG852048 ILJ852048:ILK852048 IBN852048:IBO852048 HRR852048:HRS852048 HHV852048:HHW852048 GXZ852048:GYA852048 GOD852048:GOE852048 GEH852048:GEI852048 FUL852048:FUM852048 FKP852048:FKQ852048 FAT852048:FAU852048 EQX852048:EQY852048 EHB852048:EHC852048 DXF852048:DXG852048 DNJ852048:DNK852048 DDN852048:DDO852048 CTR852048:CTS852048 CJV852048:CJW852048 BZZ852048:CAA852048 BQD852048:BQE852048 BGH852048:BGI852048 AWL852048:AWM852048 AMP852048:AMQ852048 ACT852048:ACU852048 SX852048:SY852048 JB852048:JC852048 H852048:H852051 WVN786512:WVO786512 WLR786512:WLS786512 WBV786512:WBW786512 VRZ786512:VSA786512 VID786512:VIE786512 UYH786512:UYI786512 UOL786512:UOM786512 UEP786512:UEQ786512 TUT786512:TUU786512 TKX786512:TKY786512 TBB786512:TBC786512 SRF786512:SRG786512 SHJ786512:SHK786512 RXN786512:RXO786512 RNR786512:RNS786512 RDV786512:RDW786512 QTZ786512:QUA786512 QKD786512:QKE786512 QAH786512:QAI786512 PQL786512:PQM786512 PGP786512:PGQ786512 OWT786512:OWU786512 OMX786512:OMY786512 ODB786512:ODC786512 NTF786512:NTG786512 NJJ786512:NJK786512 MZN786512:MZO786512 MPR786512:MPS786512 MFV786512:MFW786512 LVZ786512:LWA786512 LMD786512:LME786512 LCH786512:LCI786512 KSL786512:KSM786512 KIP786512:KIQ786512 JYT786512:JYU786512 JOX786512:JOY786512 JFB786512:JFC786512 IVF786512:IVG786512 ILJ786512:ILK786512 IBN786512:IBO786512 HRR786512:HRS786512 HHV786512:HHW786512 GXZ786512:GYA786512 GOD786512:GOE786512 GEH786512:GEI786512 FUL786512:FUM786512 FKP786512:FKQ786512 FAT786512:FAU786512 EQX786512:EQY786512 EHB786512:EHC786512 DXF786512:DXG786512 DNJ786512:DNK786512 DDN786512:DDO786512 CTR786512:CTS786512 CJV786512:CJW786512 BZZ786512:CAA786512 BQD786512:BQE786512 BGH786512:BGI786512 AWL786512:AWM786512 AMP786512:AMQ786512 ACT786512:ACU786512 SX786512:SY786512 JB786512:JC786512 H786512:H786515 WVN720976:WVO720976 WLR720976:WLS720976 WBV720976:WBW720976 VRZ720976:VSA720976 VID720976:VIE720976 UYH720976:UYI720976 UOL720976:UOM720976 UEP720976:UEQ720976 TUT720976:TUU720976 TKX720976:TKY720976 TBB720976:TBC720976 SRF720976:SRG720976 SHJ720976:SHK720976 RXN720976:RXO720976 RNR720976:RNS720976 RDV720976:RDW720976 QTZ720976:QUA720976 QKD720976:QKE720976 QAH720976:QAI720976 PQL720976:PQM720976 PGP720976:PGQ720976 OWT720976:OWU720976 OMX720976:OMY720976 ODB720976:ODC720976 NTF720976:NTG720976 NJJ720976:NJK720976 MZN720976:MZO720976 MPR720976:MPS720976 MFV720976:MFW720976 LVZ720976:LWA720976 LMD720976:LME720976 LCH720976:LCI720976 KSL720976:KSM720976 KIP720976:KIQ720976 JYT720976:JYU720976 JOX720976:JOY720976 JFB720976:JFC720976 IVF720976:IVG720976 ILJ720976:ILK720976 IBN720976:IBO720976 HRR720976:HRS720976 HHV720976:HHW720976 GXZ720976:GYA720976 GOD720976:GOE720976 GEH720976:GEI720976 FUL720976:FUM720976 FKP720976:FKQ720976 FAT720976:FAU720976 EQX720976:EQY720976 EHB720976:EHC720976 DXF720976:DXG720976 DNJ720976:DNK720976 DDN720976:DDO720976 CTR720976:CTS720976 CJV720976:CJW720976 BZZ720976:CAA720976 BQD720976:BQE720976 BGH720976:BGI720976 AWL720976:AWM720976 AMP720976:AMQ720976 ACT720976:ACU720976 SX720976:SY720976 JB720976:JC720976 H720976:H720979 WVN655440:WVO655440 WLR655440:WLS655440 WBV655440:WBW655440 VRZ655440:VSA655440 VID655440:VIE655440 UYH655440:UYI655440 UOL655440:UOM655440 UEP655440:UEQ655440 TUT655440:TUU655440 TKX655440:TKY655440 TBB655440:TBC655440 SRF655440:SRG655440 SHJ655440:SHK655440 RXN655440:RXO655440 RNR655440:RNS655440 RDV655440:RDW655440 QTZ655440:QUA655440 QKD655440:QKE655440 QAH655440:QAI655440 PQL655440:PQM655440 PGP655440:PGQ655440 OWT655440:OWU655440 OMX655440:OMY655440 ODB655440:ODC655440 NTF655440:NTG655440 NJJ655440:NJK655440 MZN655440:MZO655440 MPR655440:MPS655440 MFV655440:MFW655440 LVZ655440:LWA655440 LMD655440:LME655440 LCH655440:LCI655440 KSL655440:KSM655440 KIP655440:KIQ655440 JYT655440:JYU655440 JOX655440:JOY655440 JFB655440:JFC655440 IVF655440:IVG655440 ILJ655440:ILK655440 IBN655440:IBO655440 HRR655440:HRS655440 HHV655440:HHW655440 GXZ655440:GYA655440 GOD655440:GOE655440 GEH655440:GEI655440 FUL655440:FUM655440 FKP655440:FKQ655440 FAT655440:FAU655440 EQX655440:EQY655440 EHB655440:EHC655440 DXF655440:DXG655440 DNJ655440:DNK655440 DDN655440:DDO655440 CTR655440:CTS655440 CJV655440:CJW655440 BZZ655440:CAA655440 BQD655440:BQE655440 BGH655440:BGI655440 AWL655440:AWM655440 AMP655440:AMQ655440 ACT655440:ACU655440 SX655440:SY655440 JB655440:JC655440 H655440:H655443 WVN589904:WVO589904 WLR589904:WLS589904 WBV589904:WBW589904 VRZ589904:VSA589904 VID589904:VIE589904 UYH589904:UYI589904 UOL589904:UOM589904 UEP589904:UEQ589904 TUT589904:TUU589904 TKX589904:TKY589904 TBB589904:TBC589904 SRF589904:SRG589904 SHJ589904:SHK589904 RXN589904:RXO589904 RNR589904:RNS589904 RDV589904:RDW589904 QTZ589904:QUA589904 QKD589904:QKE589904 QAH589904:QAI589904 PQL589904:PQM589904 PGP589904:PGQ589904 OWT589904:OWU589904 OMX589904:OMY589904 ODB589904:ODC589904 NTF589904:NTG589904 NJJ589904:NJK589904 MZN589904:MZO589904 MPR589904:MPS589904 MFV589904:MFW589904 LVZ589904:LWA589904 LMD589904:LME589904 LCH589904:LCI589904 KSL589904:KSM589904 KIP589904:KIQ589904 JYT589904:JYU589904 JOX589904:JOY589904 JFB589904:JFC589904 IVF589904:IVG589904 ILJ589904:ILK589904 IBN589904:IBO589904 HRR589904:HRS589904 HHV589904:HHW589904 GXZ589904:GYA589904 GOD589904:GOE589904 GEH589904:GEI589904 FUL589904:FUM589904 FKP589904:FKQ589904 FAT589904:FAU589904 EQX589904:EQY589904 EHB589904:EHC589904 DXF589904:DXG589904 DNJ589904:DNK589904 DDN589904:DDO589904 CTR589904:CTS589904 CJV589904:CJW589904 BZZ589904:CAA589904 BQD589904:BQE589904 BGH589904:BGI589904 AWL589904:AWM589904 AMP589904:AMQ589904 ACT589904:ACU589904 SX589904:SY589904 JB589904:JC589904 H589904:H589907 WVN524368:WVO524368 WLR524368:WLS524368 WBV524368:WBW524368 VRZ524368:VSA524368 VID524368:VIE524368 UYH524368:UYI524368 UOL524368:UOM524368 UEP524368:UEQ524368 TUT524368:TUU524368 TKX524368:TKY524368 TBB524368:TBC524368 SRF524368:SRG524368 SHJ524368:SHK524368 RXN524368:RXO524368 RNR524368:RNS524368 RDV524368:RDW524368 QTZ524368:QUA524368 QKD524368:QKE524368 QAH524368:QAI524368 PQL524368:PQM524368 PGP524368:PGQ524368 OWT524368:OWU524368 OMX524368:OMY524368 ODB524368:ODC524368 NTF524368:NTG524368 NJJ524368:NJK524368 MZN524368:MZO524368 MPR524368:MPS524368 MFV524368:MFW524368 LVZ524368:LWA524368 LMD524368:LME524368 LCH524368:LCI524368 KSL524368:KSM524368 KIP524368:KIQ524368 JYT524368:JYU524368 JOX524368:JOY524368 JFB524368:JFC524368 IVF524368:IVG524368 ILJ524368:ILK524368 IBN524368:IBO524368 HRR524368:HRS524368 HHV524368:HHW524368 GXZ524368:GYA524368 GOD524368:GOE524368 GEH524368:GEI524368 FUL524368:FUM524368 FKP524368:FKQ524368 FAT524368:FAU524368 EQX524368:EQY524368 EHB524368:EHC524368 DXF524368:DXG524368 DNJ524368:DNK524368 DDN524368:DDO524368 CTR524368:CTS524368 CJV524368:CJW524368 BZZ524368:CAA524368 BQD524368:BQE524368 BGH524368:BGI524368 AWL524368:AWM524368 AMP524368:AMQ524368 ACT524368:ACU524368 SX524368:SY524368 JB524368:JC524368 H524368:H524371 WVN458832:WVO458832 WLR458832:WLS458832 WBV458832:WBW458832 VRZ458832:VSA458832 VID458832:VIE458832 UYH458832:UYI458832 UOL458832:UOM458832 UEP458832:UEQ458832 TUT458832:TUU458832 TKX458832:TKY458832 TBB458832:TBC458832 SRF458832:SRG458832 SHJ458832:SHK458832 RXN458832:RXO458832 RNR458832:RNS458832 RDV458832:RDW458832 QTZ458832:QUA458832 QKD458832:QKE458832 QAH458832:QAI458832 PQL458832:PQM458832 PGP458832:PGQ458832 OWT458832:OWU458832 OMX458832:OMY458832 ODB458832:ODC458832 NTF458832:NTG458832 NJJ458832:NJK458832 MZN458832:MZO458832 MPR458832:MPS458832 MFV458832:MFW458832 LVZ458832:LWA458832 LMD458832:LME458832 LCH458832:LCI458832 KSL458832:KSM458832 KIP458832:KIQ458832 JYT458832:JYU458832 JOX458832:JOY458832 JFB458832:JFC458832 IVF458832:IVG458832 ILJ458832:ILK458832 IBN458832:IBO458832 HRR458832:HRS458832 HHV458832:HHW458832 GXZ458832:GYA458832 GOD458832:GOE458832 GEH458832:GEI458832 FUL458832:FUM458832 FKP458832:FKQ458832 FAT458832:FAU458832 EQX458832:EQY458832 EHB458832:EHC458832 DXF458832:DXG458832 DNJ458832:DNK458832 DDN458832:DDO458832 CTR458832:CTS458832 CJV458832:CJW458832 BZZ458832:CAA458832 BQD458832:BQE458832 BGH458832:BGI458832 AWL458832:AWM458832 AMP458832:AMQ458832 ACT458832:ACU458832 SX458832:SY458832 JB458832:JC458832 H458832:H458835 WVN393296:WVO393296 WLR393296:WLS393296 WBV393296:WBW393296 VRZ393296:VSA393296 VID393296:VIE393296 UYH393296:UYI393296 UOL393296:UOM393296 UEP393296:UEQ393296 TUT393296:TUU393296 TKX393296:TKY393296 TBB393296:TBC393296 SRF393296:SRG393296 SHJ393296:SHK393296 RXN393296:RXO393296 RNR393296:RNS393296 RDV393296:RDW393296 QTZ393296:QUA393296 QKD393296:QKE393296 QAH393296:QAI393296 PQL393296:PQM393296 PGP393296:PGQ393296 OWT393296:OWU393296 OMX393296:OMY393296 ODB393296:ODC393296 NTF393296:NTG393296 NJJ393296:NJK393296 MZN393296:MZO393296 MPR393296:MPS393296 MFV393296:MFW393296 LVZ393296:LWA393296 LMD393296:LME393296 LCH393296:LCI393296 KSL393296:KSM393296 KIP393296:KIQ393296 JYT393296:JYU393296 JOX393296:JOY393296 JFB393296:JFC393296 IVF393296:IVG393296 ILJ393296:ILK393296 IBN393296:IBO393296 HRR393296:HRS393296 HHV393296:HHW393296 GXZ393296:GYA393296 GOD393296:GOE393296 GEH393296:GEI393296 FUL393296:FUM393296 FKP393296:FKQ393296 FAT393296:FAU393296 EQX393296:EQY393296 EHB393296:EHC393296 DXF393296:DXG393296 DNJ393296:DNK393296 DDN393296:DDO393296 CTR393296:CTS393296 CJV393296:CJW393296 BZZ393296:CAA393296 BQD393296:BQE393296 BGH393296:BGI393296 AWL393296:AWM393296 AMP393296:AMQ393296 ACT393296:ACU393296 SX393296:SY393296 JB393296:JC393296 H393296:H393299 WVN327760:WVO327760 WLR327760:WLS327760 WBV327760:WBW327760 VRZ327760:VSA327760 VID327760:VIE327760 UYH327760:UYI327760 UOL327760:UOM327760 UEP327760:UEQ327760 TUT327760:TUU327760 TKX327760:TKY327760 TBB327760:TBC327760 SRF327760:SRG327760 SHJ327760:SHK327760 RXN327760:RXO327760 RNR327760:RNS327760 RDV327760:RDW327760 QTZ327760:QUA327760 QKD327760:QKE327760 QAH327760:QAI327760 PQL327760:PQM327760 PGP327760:PGQ327760 OWT327760:OWU327760 OMX327760:OMY327760 ODB327760:ODC327760 NTF327760:NTG327760 NJJ327760:NJK327760 MZN327760:MZO327760 MPR327760:MPS327760 MFV327760:MFW327760 LVZ327760:LWA327760 LMD327760:LME327760 LCH327760:LCI327760 KSL327760:KSM327760 KIP327760:KIQ327760 JYT327760:JYU327760 JOX327760:JOY327760 JFB327760:JFC327760 IVF327760:IVG327760 ILJ327760:ILK327760 IBN327760:IBO327760 HRR327760:HRS327760 HHV327760:HHW327760 GXZ327760:GYA327760 GOD327760:GOE327760 GEH327760:GEI327760 FUL327760:FUM327760 FKP327760:FKQ327760 FAT327760:FAU327760 EQX327760:EQY327760 EHB327760:EHC327760 DXF327760:DXG327760 DNJ327760:DNK327760 DDN327760:DDO327760 CTR327760:CTS327760 CJV327760:CJW327760 BZZ327760:CAA327760 BQD327760:BQE327760 BGH327760:BGI327760 AWL327760:AWM327760 AMP327760:AMQ327760 ACT327760:ACU327760 SX327760:SY327760 JB327760:JC327760 H327760:H327763 WVN262224:WVO262224 WLR262224:WLS262224 WBV262224:WBW262224 VRZ262224:VSA262224 VID262224:VIE262224 UYH262224:UYI262224 UOL262224:UOM262224 UEP262224:UEQ262224 TUT262224:TUU262224 TKX262224:TKY262224 TBB262224:TBC262224 SRF262224:SRG262224 SHJ262224:SHK262224 RXN262224:RXO262224 RNR262224:RNS262224 RDV262224:RDW262224 QTZ262224:QUA262224 QKD262224:QKE262224 QAH262224:QAI262224 PQL262224:PQM262224 PGP262224:PGQ262224 OWT262224:OWU262224 OMX262224:OMY262224 ODB262224:ODC262224 NTF262224:NTG262224 NJJ262224:NJK262224 MZN262224:MZO262224 MPR262224:MPS262224 MFV262224:MFW262224 LVZ262224:LWA262224 LMD262224:LME262224 LCH262224:LCI262224 KSL262224:KSM262224 KIP262224:KIQ262224 JYT262224:JYU262224 JOX262224:JOY262224 JFB262224:JFC262224 IVF262224:IVG262224 ILJ262224:ILK262224 IBN262224:IBO262224 HRR262224:HRS262224 HHV262224:HHW262224 GXZ262224:GYA262224 GOD262224:GOE262224 GEH262224:GEI262224 FUL262224:FUM262224 FKP262224:FKQ262224 FAT262224:FAU262224 EQX262224:EQY262224 EHB262224:EHC262224 DXF262224:DXG262224 DNJ262224:DNK262224 DDN262224:DDO262224 CTR262224:CTS262224 CJV262224:CJW262224 BZZ262224:CAA262224 BQD262224:BQE262224 BGH262224:BGI262224 AWL262224:AWM262224 AMP262224:AMQ262224 ACT262224:ACU262224 SX262224:SY262224 JB262224:JC262224 H262224:H262227 WVN196688:WVO196688 WLR196688:WLS196688 WBV196688:WBW196688 VRZ196688:VSA196688 VID196688:VIE196688 UYH196688:UYI196688 UOL196688:UOM196688 UEP196688:UEQ196688 TUT196688:TUU196688 TKX196688:TKY196688 TBB196688:TBC196688 SRF196688:SRG196688 SHJ196688:SHK196688 RXN196688:RXO196688 RNR196688:RNS196688 RDV196688:RDW196688 QTZ196688:QUA196688 QKD196688:QKE196688 QAH196688:QAI196688 PQL196688:PQM196688 PGP196688:PGQ196688 OWT196688:OWU196688 OMX196688:OMY196688 ODB196688:ODC196688 NTF196688:NTG196688 NJJ196688:NJK196688 MZN196688:MZO196688 MPR196688:MPS196688 MFV196688:MFW196688 LVZ196688:LWA196688 LMD196688:LME196688 LCH196688:LCI196688 KSL196688:KSM196688 KIP196688:KIQ196688 JYT196688:JYU196688 JOX196688:JOY196688 JFB196688:JFC196688 IVF196688:IVG196688 ILJ196688:ILK196688 IBN196688:IBO196688 HRR196688:HRS196688 HHV196688:HHW196688 GXZ196688:GYA196688 GOD196688:GOE196688 GEH196688:GEI196688 FUL196688:FUM196688 FKP196688:FKQ196688 FAT196688:FAU196688 EQX196688:EQY196688 EHB196688:EHC196688 DXF196688:DXG196688 DNJ196688:DNK196688 DDN196688:DDO196688 CTR196688:CTS196688 CJV196688:CJW196688 BZZ196688:CAA196688 BQD196688:BQE196688 BGH196688:BGI196688 AWL196688:AWM196688 AMP196688:AMQ196688 ACT196688:ACU196688 SX196688:SY196688 JB196688:JC196688 H196688:H196691 WVN131152:WVO131152 WLR131152:WLS131152 WBV131152:WBW131152 VRZ131152:VSA131152 VID131152:VIE131152 UYH131152:UYI131152 UOL131152:UOM131152 UEP131152:UEQ131152 TUT131152:TUU131152 TKX131152:TKY131152 TBB131152:TBC131152 SRF131152:SRG131152 SHJ131152:SHK131152 RXN131152:RXO131152 RNR131152:RNS131152 RDV131152:RDW131152 QTZ131152:QUA131152 QKD131152:QKE131152 QAH131152:QAI131152 PQL131152:PQM131152 PGP131152:PGQ131152 OWT131152:OWU131152 OMX131152:OMY131152 ODB131152:ODC131152 NTF131152:NTG131152 NJJ131152:NJK131152 MZN131152:MZO131152 MPR131152:MPS131152 MFV131152:MFW131152 LVZ131152:LWA131152 LMD131152:LME131152 LCH131152:LCI131152 KSL131152:KSM131152 KIP131152:KIQ131152 JYT131152:JYU131152 JOX131152:JOY131152 JFB131152:JFC131152 IVF131152:IVG131152 ILJ131152:ILK131152 IBN131152:IBO131152 HRR131152:HRS131152 HHV131152:HHW131152 GXZ131152:GYA131152 GOD131152:GOE131152 GEH131152:GEI131152 FUL131152:FUM131152 FKP131152:FKQ131152 FAT131152:FAU131152 EQX131152:EQY131152 EHB131152:EHC131152 DXF131152:DXG131152 DNJ131152:DNK131152 DDN131152:DDO131152 CTR131152:CTS131152 CJV131152:CJW131152 BZZ131152:CAA131152 BQD131152:BQE131152 BGH131152:BGI131152 AWL131152:AWM131152 AMP131152:AMQ131152 ACT131152:ACU131152 SX131152:SY131152 JB131152:JC131152 H131152:H131155 WVN65616:WVO65616 WLR65616:WLS65616 WBV65616:WBW65616 VRZ65616:VSA65616 VID65616:VIE65616 UYH65616:UYI65616 UOL65616:UOM65616 UEP65616:UEQ65616 TUT65616:TUU65616 TKX65616:TKY65616 TBB65616:TBC65616 SRF65616:SRG65616 SHJ65616:SHK65616 RXN65616:RXO65616 RNR65616:RNS65616 RDV65616:RDW65616 QTZ65616:QUA65616 QKD65616:QKE65616 QAH65616:QAI65616 PQL65616:PQM65616 PGP65616:PGQ65616 OWT65616:OWU65616 OMX65616:OMY65616 ODB65616:ODC65616 NTF65616:NTG65616 NJJ65616:NJK65616 MZN65616:MZO65616 MPR65616:MPS65616 MFV65616:MFW65616 LVZ65616:LWA65616 LMD65616:LME65616 LCH65616:LCI65616 KSL65616:KSM65616 KIP65616:KIQ65616 JYT65616:JYU65616 JOX65616:JOY65616 JFB65616:JFC65616 IVF65616:IVG65616 ILJ65616:ILK65616 IBN65616:IBO65616 HRR65616:HRS65616 HHV65616:HHW65616 GXZ65616:GYA65616 GOD65616:GOE65616 GEH65616:GEI65616 FUL65616:FUM65616 FKP65616:FKQ65616 FAT65616:FAU65616 EQX65616:EQY65616 EHB65616:EHC65616 DXF65616:DXG65616 DNJ65616:DNK65616 DDN65616:DDO65616 CTR65616:CTS65616 CJV65616:CJW65616 BZZ65616:CAA65616 BQD65616:BQE65616 BGH65616:BGI65616 AWL65616:AWM65616 AMP65616:AMQ65616 ACT65616:ACU65616 SX65616:SY65616 JB65616:JC65616 H65616:H65619 WVS81:WVT81 WLW81:WLX81 WCA81:WCB81 VSE81:VSF81 VII81:VIJ81 UYM81:UYN81 UOQ81:UOR81 UEU81:UEV81 TUY81:TUZ81 TLC81:TLD81 TBG81:TBH81 SRK81:SRL81 SHO81:SHP81 RXS81:RXT81 RNW81:RNX81 REA81:REB81 QUE81:QUF81 QKI81:QKJ81 QAM81:QAN81 PQQ81:PQR81 PGU81:PGV81 OWY81:OWZ81 ONC81:OND81 ODG81:ODH81 NTK81:NTL81 NJO81:NJP81 MZS81:MZT81 MPW81:MPX81 MGA81:MGB81 LWE81:LWF81 LMI81:LMJ81 LCM81:LCN81 KSQ81:KSR81 KIU81:KIV81 JYY81:JYZ81 JPC81:JPD81 JFG81:JFH81 IVK81:IVL81 ILO81:ILP81 IBS81:IBT81 HRW81:HRX81 HIA81:HIB81 GYE81:GYF81 GOI81:GOJ81 GEM81:GEN81 FUQ81:FUR81 FKU81:FKV81 FAY81:FAZ81 ERC81:ERD81 EHG81:EHH81 DXK81:DXL81 DNO81:DNP81 DDS81:DDT81 CTW81:CTX81 CKA81:CKB81 CAE81:CAF81 BQI81:BQJ81 BGM81:BGN81 AWQ81:AWR81 AMU81:AMV81 ACY81:ACZ81 TC81:TD81 JG81:JH81 L25:L40 WVO983121:WVO983123 WLS983121:WLS983123 WBW983121:WBW983123 VSA983121:VSA983123 VIE983121:VIE983123 UYI983121:UYI983123 UOM983121:UOM983123 UEQ983121:UEQ983123 TUU983121:TUU983123 TKY983121:TKY983123 TBC983121:TBC983123 SRG983121:SRG983123 SHK983121:SHK983123 RXO983121:RXO983123 RNS983121:RNS983123 RDW983121:RDW983123 QUA983121:QUA983123 QKE983121:QKE983123 QAI983121:QAI983123 PQM983121:PQM983123 PGQ983121:PGQ983123 OWU983121:OWU983123 OMY983121:OMY983123 ODC983121:ODC983123 NTG983121:NTG983123 NJK983121:NJK983123 MZO983121:MZO983123 MPS983121:MPS983123 MFW983121:MFW983123 LWA983121:LWA983123 LME983121:LME983123 LCI983121:LCI983123 KSM983121:KSM983123 KIQ983121:KIQ983123 JYU983121:JYU983123 JOY983121:JOY983123 JFC983121:JFC983123 IVG983121:IVG983123 ILK983121:ILK983123 IBO983121:IBO983123 HRS983121:HRS983123 HHW983121:HHW983123 GYA983121:GYA983123 GOE983121:GOE983123 GEI983121:GEI983123 FUM983121:FUM983123 FKQ983121:FKQ983123 FAU983121:FAU983123 EQY983121:EQY983123 EHC983121:EHC983123 DXG983121:DXG983123 DNK983121:DNK983123 DDO983121:DDO983123 CTS983121:CTS983123 CJW983121:CJW983123 CAA983121:CAA983123 BQE983121:BQE983123 BGI983121:BGI983123 AWM983121:AWM983123 AMQ983121:AMQ983123 ACU983121:ACU983123 SY983121:SY983123 JC983121:JC983123 WVO917585:WVO917587 WLS917585:WLS917587 WBW917585:WBW917587 VSA917585:VSA917587 VIE917585:VIE917587 UYI917585:UYI917587 UOM917585:UOM917587 UEQ917585:UEQ917587 TUU917585:TUU917587 TKY917585:TKY917587 TBC917585:TBC917587 SRG917585:SRG917587 SHK917585:SHK917587 RXO917585:RXO917587 RNS917585:RNS917587 RDW917585:RDW917587 QUA917585:QUA917587 QKE917585:QKE917587 QAI917585:QAI917587 PQM917585:PQM917587 PGQ917585:PGQ917587 OWU917585:OWU917587 OMY917585:OMY917587 ODC917585:ODC917587 NTG917585:NTG917587 NJK917585:NJK917587 MZO917585:MZO917587 MPS917585:MPS917587 MFW917585:MFW917587 LWA917585:LWA917587 LME917585:LME917587 LCI917585:LCI917587 KSM917585:KSM917587 KIQ917585:KIQ917587 JYU917585:JYU917587 JOY917585:JOY917587 JFC917585:JFC917587 IVG917585:IVG917587 ILK917585:ILK917587 IBO917585:IBO917587 HRS917585:HRS917587 HHW917585:HHW917587 GYA917585:GYA917587 GOE917585:GOE917587 GEI917585:GEI917587 FUM917585:FUM917587 FKQ917585:FKQ917587 FAU917585:FAU917587 EQY917585:EQY917587 EHC917585:EHC917587 DXG917585:DXG917587 DNK917585:DNK917587 DDO917585:DDO917587 CTS917585:CTS917587 CJW917585:CJW917587 CAA917585:CAA917587 BQE917585:BQE917587 BGI917585:BGI917587 AWM917585:AWM917587 AMQ917585:AMQ917587 ACU917585:ACU917587 SY917585:SY917587 JC917585:JC917587 WVO852049:WVO852051 WLS852049:WLS852051 WBW852049:WBW852051 VSA852049:VSA852051 VIE852049:VIE852051 UYI852049:UYI852051 UOM852049:UOM852051 UEQ852049:UEQ852051 TUU852049:TUU852051 TKY852049:TKY852051 TBC852049:TBC852051 SRG852049:SRG852051 SHK852049:SHK852051 RXO852049:RXO852051 RNS852049:RNS852051 RDW852049:RDW852051 QUA852049:QUA852051 QKE852049:QKE852051 QAI852049:QAI852051 PQM852049:PQM852051 PGQ852049:PGQ852051 OWU852049:OWU852051 OMY852049:OMY852051 ODC852049:ODC852051 NTG852049:NTG852051 NJK852049:NJK852051 MZO852049:MZO852051 MPS852049:MPS852051 MFW852049:MFW852051 LWA852049:LWA852051 LME852049:LME852051 LCI852049:LCI852051 KSM852049:KSM852051 KIQ852049:KIQ852051 JYU852049:JYU852051 JOY852049:JOY852051 JFC852049:JFC852051 IVG852049:IVG852051 ILK852049:ILK852051 IBO852049:IBO852051 HRS852049:HRS852051 HHW852049:HHW852051 GYA852049:GYA852051 GOE852049:GOE852051 GEI852049:GEI852051 FUM852049:FUM852051 FKQ852049:FKQ852051 FAU852049:FAU852051 EQY852049:EQY852051 EHC852049:EHC852051 DXG852049:DXG852051 DNK852049:DNK852051 DDO852049:DDO852051 CTS852049:CTS852051 CJW852049:CJW852051 CAA852049:CAA852051 BQE852049:BQE852051 BGI852049:BGI852051 AWM852049:AWM852051 AMQ852049:AMQ852051 ACU852049:ACU852051 SY852049:SY852051 JC852049:JC852051 WVO786513:WVO786515 WLS786513:WLS786515 WBW786513:WBW786515 VSA786513:VSA786515 VIE786513:VIE786515 UYI786513:UYI786515 UOM786513:UOM786515 UEQ786513:UEQ786515 TUU786513:TUU786515 TKY786513:TKY786515 TBC786513:TBC786515 SRG786513:SRG786515 SHK786513:SHK786515 RXO786513:RXO786515 RNS786513:RNS786515 RDW786513:RDW786515 QUA786513:QUA786515 QKE786513:QKE786515 QAI786513:QAI786515 PQM786513:PQM786515 PGQ786513:PGQ786515 OWU786513:OWU786515 OMY786513:OMY786515 ODC786513:ODC786515 NTG786513:NTG786515 NJK786513:NJK786515 MZO786513:MZO786515 MPS786513:MPS786515 MFW786513:MFW786515 LWA786513:LWA786515 LME786513:LME786515 LCI786513:LCI786515 KSM786513:KSM786515 KIQ786513:KIQ786515 JYU786513:JYU786515 JOY786513:JOY786515 JFC786513:JFC786515 IVG786513:IVG786515 ILK786513:ILK786515 IBO786513:IBO786515 HRS786513:HRS786515 HHW786513:HHW786515 GYA786513:GYA786515 GOE786513:GOE786515 GEI786513:GEI786515 FUM786513:FUM786515 FKQ786513:FKQ786515 FAU786513:FAU786515 EQY786513:EQY786515 EHC786513:EHC786515 DXG786513:DXG786515 DNK786513:DNK786515 DDO786513:DDO786515 CTS786513:CTS786515 CJW786513:CJW786515 CAA786513:CAA786515 BQE786513:BQE786515 BGI786513:BGI786515 AWM786513:AWM786515 AMQ786513:AMQ786515 ACU786513:ACU786515 SY786513:SY786515 JC786513:JC786515 WVO720977:WVO720979 WLS720977:WLS720979 WBW720977:WBW720979 VSA720977:VSA720979 VIE720977:VIE720979 UYI720977:UYI720979 UOM720977:UOM720979 UEQ720977:UEQ720979 TUU720977:TUU720979 TKY720977:TKY720979 TBC720977:TBC720979 SRG720977:SRG720979 SHK720977:SHK720979 RXO720977:RXO720979 RNS720977:RNS720979 RDW720977:RDW720979 QUA720977:QUA720979 QKE720977:QKE720979 QAI720977:QAI720979 PQM720977:PQM720979 PGQ720977:PGQ720979 OWU720977:OWU720979 OMY720977:OMY720979 ODC720977:ODC720979 NTG720977:NTG720979 NJK720977:NJK720979 MZO720977:MZO720979 MPS720977:MPS720979 MFW720977:MFW720979 LWA720977:LWA720979 LME720977:LME720979 LCI720977:LCI720979 KSM720977:KSM720979 KIQ720977:KIQ720979 JYU720977:JYU720979 JOY720977:JOY720979 JFC720977:JFC720979 IVG720977:IVG720979 ILK720977:ILK720979 IBO720977:IBO720979 HRS720977:HRS720979 HHW720977:HHW720979 GYA720977:GYA720979 GOE720977:GOE720979 GEI720977:GEI720979 FUM720977:FUM720979 FKQ720977:FKQ720979 FAU720977:FAU720979 EQY720977:EQY720979 EHC720977:EHC720979 DXG720977:DXG720979 DNK720977:DNK720979 DDO720977:DDO720979 CTS720977:CTS720979 CJW720977:CJW720979 CAA720977:CAA720979 BQE720977:BQE720979 BGI720977:BGI720979 AWM720977:AWM720979 AMQ720977:AMQ720979 ACU720977:ACU720979 SY720977:SY720979 JC720977:JC720979 WVO655441:WVO655443 WLS655441:WLS655443 WBW655441:WBW655443 VSA655441:VSA655443 VIE655441:VIE655443 UYI655441:UYI655443 UOM655441:UOM655443 UEQ655441:UEQ655443 TUU655441:TUU655443 TKY655441:TKY655443 TBC655441:TBC655443 SRG655441:SRG655443 SHK655441:SHK655443 RXO655441:RXO655443 RNS655441:RNS655443 RDW655441:RDW655443 QUA655441:QUA655443 QKE655441:QKE655443 QAI655441:QAI655443 PQM655441:PQM655443 PGQ655441:PGQ655443 OWU655441:OWU655443 OMY655441:OMY655443 ODC655441:ODC655443 NTG655441:NTG655443 NJK655441:NJK655443 MZO655441:MZO655443 MPS655441:MPS655443 MFW655441:MFW655443 LWA655441:LWA655443 LME655441:LME655443 LCI655441:LCI655443 KSM655441:KSM655443 KIQ655441:KIQ655443 JYU655441:JYU655443 JOY655441:JOY655443 JFC655441:JFC655443 IVG655441:IVG655443 ILK655441:ILK655443 IBO655441:IBO655443 HRS655441:HRS655443 HHW655441:HHW655443 GYA655441:GYA655443 GOE655441:GOE655443 GEI655441:GEI655443 FUM655441:FUM655443 FKQ655441:FKQ655443 FAU655441:FAU655443 EQY655441:EQY655443 EHC655441:EHC655443 DXG655441:DXG655443 DNK655441:DNK655443 DDO655441:DDO655443 CTS655441:CTS655443 CJW655441:CJW655443 CAA655441:CAA655443 BQE655441:BQE655443 BGI655441:BGI655443 AWM655441:AWM655443 AMQ655441:AMQ655443 ACU655441:ACU655443 SY655441:SY655443 JC655441:JC655443 WVO589905:WVO589907 WLS589905:WLS589907 WBW589905:WBW589907 VSA589905:VSA589907 VIE589905:VIE589907 UYI589905:UYI589907 UOM589905:UOM589907 UEQ589905:UEQ589907 TUU589905:TUU589907 TKY589905:TKY589907 TBC589905:TBC589907 SRG589905:SRG589907 SHK589905:SHK589907 RXO589905:RXO589907 RNS589905:RNS589907 RDW589905:RDW589907 QUA589905:QUA589907 QKE589905:QKE589907 QAI589905:QAI589907 PQM589905:PQM589907 PGQ589905:PGQ589907 OWU589905:OWU589907 OMY589905:OMY589907 ODC589905:ODC589907 NTG589905:NTG589907 NJK589905:NJK589907 MZO589905:MZO589907 MPS589905:MPS589907 MFW589905:MFW589907 LWA589905:LWA589907 LME589905:LME589907 LCI589905:LCI589907 KSM589905:KSM589907 KIQ589905:KIQ589907 JYU589905:JYU589907 JOY589905:JOY589907 JFC589905:JFC589907 IVG589905:IVG589907 ILK589905:ILK589907 IBO589905:IBO589907 HRS589905:HRS589907 HHW589905:HHW589907 GYA589905:GYA589907 GOE589905:GOE589907 GEI589905:GEI589907 FUM589905:FUM589907 FKQ589905:FKQ589907 FAU589905:FAU589907 EQY589905:EQY589907 EHC589905:EHC589907 DXG589905:DXG589907 DNK589905:DNK589907 DDO589905:DDO589907 CTS589905:CTS589907 CJW589905:CJW589907 CAA589905:CAA589907 BQE589905:BQE589907 BGI589905:BGI589907 AWM589905:AWM589907 AMQ589905:AMQ589907 ACU589905:ACU589907 SY589905:SY589907 JC589905:JC589907 WVO524369:WVO524371 WLS524369:WLS524371 WBW524369:WBW524371 VSA524369:VSA524371 VIE524369:VIE524371 UYI524369:UYI524371 UOM524369:UOM524371 UEQ524369:UEQ524371 TUU524369:TUU524371 TKY524369:TKY524371 TBC524369:TBC524371 SRG524369:SRG524371 SHK524369:SHK524371 RXO524369:RXO524371 RNS524369:RNS524371 RDW524369:RDW524371 QUA524369:QUA524371 QKE524369:QKE524371 QAI524369:QAI524371 PQM524369:PQM524371 PGQ524369:PGQ524371 OWU524369:OWU524371 OMY524369:OMY524371 ODC524369:ODC524371 NTG524369:NTG524371 NJK524369:NJK524371 MZO524369:MZO524371 MPS524369:MPS524371 MFW524369:MFW524371 LWA524369:LWA524371 LME524369:LME524371 LCI524369:LCI524371 KSM524369:KSM524371 KIQ524369:KIQ524371 JYU524369:JYU524371 JOY524369:JOY524371 JFC524369:JFC524371 IVG524369:IVG524371 ILK524369:ILK524371 IBO524369:IBO524371 HRS524369:HRS524371 HHW524369:HHW524371 GYA524369:GYA524371 GOE524369:GOE524371 GEI524369:GEI524371 FUM524369:FUM524371 FKQ524369:FKQ524371 FAU524369:FAU524371 EQY524369:EQY524371 EHC524369:EHC524371 DXG524369:DXG524371 DNK524369:DNK524371 DDO524369:DDO524371 CTS524369:CTS524371 CJW524369:CJW524371 CAA524369:CAA524371 BQE524369:BQE524371 BGI524369:BGI524371 AWM524369:AWM524371 AMQ524369:AMQ524371 ACU524369:ACU524371 SY524369:SY524371 JC524369:JC524371 WVO458833:WVO458835 WLS458833:WLS458835 WBW458833:WBW458835 VSA458833:VSA458835 VIE458833:VIE458835 UYI458833:UYI458835 UOM458833:UOM458835 UEQ458833:UEQ458835 TUU458833:TUU458835 TKY458833:TKY458835 TBC458833:TBC458835 SRG458833:SRG458835 SHK458833:SHK458835 RXO458833:RXO458835 RNS458833:RNS458835 RDW458833:RDW458835 QUA458833:QUA458835 QKE458833:QKE458835 QAI458833:QAI458835 PQM458833:PQM458835 PGQ458833:PGQ458835 OWU458833:OWU458835 OMY458833:OMY458835 ODC458833:ODC458835 NTG458833:NTG458835 NJK458833:NJK458835 MZO458833:MZO458835 MPS458833:MPS458835 MFW458833:MFW458835 LWA458833:LWA458835 LME458833:LME458835 LCI458833:LCI458835 KSM458833:KSM458835 KIQ458833:KIQ458835 JYU458833:JYU458835 JOY458833:JOY458835 JFC458833:JFC458835 IVG458833:IVG458835 ILK458833:ILK458835 IBO458833:IBO458835 HRS458833:HRS458835 HHW458833:HHW458835 GYA458833:GYA458835 GOE458833:GOE458835 GEI458833:GEI458835 FUM458833:FUM458835 FKQ458833:FKQ458835 FAU458833:FAU458835 EQY458833:EQY458835 EHC458833:EHC458835 DXG458833:DXG458835 DNK458833:DNK458835 DDO458833:DDO458835 CTS458833:CTS458835 CJW458833:CJW458835 CAA458833:CAA458835 BQE458833:BQE458835 BGI458833:BGI458835 AWM458833:AWM458835 AMQ458833:AMQ458835 ACU458833:ACU458835 SY458833:SY458835 JC458833:JC458835 WVO393297:WVO393299 WLS393297:WLS393299 WBW393297:WBW393299 VSA393297:VSA393299 VIE393297:VIE393299 UYI393297:UYI393299 UOM393297:UOM393299 UEQ393297:UEQ393299 TUU393297:TUU393299 TKY393297:TKY393299 TBC393297:TBC393299 SRG393297:SRG393299 SHK393297:SHK393299 RXO393297:RXO393299 RNS393297:RNS393299 RDW393297:RDW393299 QUA393297:QUA393299 QKE393297:QKE393299 QAI393297:QAI393299 PQM393297:PQM393299 PGQ393297:PGQ393299 OWU393297:OWU393299 OMY393297:OMY393299 ODC393297:ODC393299 NTG393297:NTG393299 NJK393297:NJK393299 MZO393297:MZO393299 MPS393297:MPS393299 MFW393297:MFW393299 LWA393297:LWA393299 LME393297:LME393299 LCI393297:LCI393299 KSM393297:KSM393299 KIQ393297:KIQ393299 JYU393297:JYU393299 JOY393297:JOY393299 JFC393297:JFC393299 IVG393297:IVG393299 ILK393297:ILK393299 IBO393297:IBO393299 HRS393297:HRS393299 HHW393297:HHW393299 GYA393297:GYA393299 GOE393297:GOE393299 GEI393297:GEI393299 FUM393297:FUM393299 FKQ393297:FKQ393299 FAU393297:FAU393299 EQY393297:EQY393299 EHC393297:EHC393299 DXG393297:DXG393299 DNK393297:DNK393299 DDO393297:DDO393299 CTS393297:CTS393299 CJW393297:CJW393299 CAA393297:CAA393299 BQE393297:BQE393299 BGI393297:BGI393299 AWM393297:AWM393299 AMQ393297:AMQ393299 ACU393297:ACU393299 SY393297:SY393299 JC393297:JC393299 WVO327761:WVO327763 WLS327761:WLS327763 WBW327761:WBW327763 VSA327761:VSA327763 VIE327761:VIE327763 UYI327761:UYI327763 UOM327761:UOM327763 UEQ327761:UEQ327763 TUU327761:TUU327763 TKY327761:TKY327763 TBC327761:TBC327763 SRG327761:SRG327763 SHK327761:SHK327763 RXO327761:RXO327763 RNS327761:RNS327763 RDW327761:RDW327763 QUA327761:QUA327763 QKE327761:QKE327763 QAI327761:QAI327763 PQM327761:PQM327763 PGQ327761:PGQ327763 OWU327761:OWU327763 OMY327761:OMY327763 ODC327761:ODC327763 NTG327761:NTG327763 NJK327761:NJK327763 MZO327761:MZO327763 MPS327761:MPS327763 MFW327761:MFW327763 LWA327761:LWA327763 LME327761:LME327763 LCI327761:LCI327763 KSM327761:KSM327763 KIQ327761:KIQ327763 JYU327761:JYU327763 JOY327761:JOY327763 JFC327761:JFC327763 IVG327761:IVG327763 ILK327761:ILK327763 IBO327761:IBO327763 HRS327761:HRS327763 HHW327761:HHW327763 GYA327761:GYA327763 GOE327761:GOE327763 GEI327761:GEI327763 FUM327761:FUM327763 FKQ327761:FKQ327763 FAU327761:FAU327763 EQY327761:EQY327763 EHC327761:EHC327763 DXG327761:DXG327763 DNK327761:DNK327763 DDO327761:DDO327763 CTS327761:CTS327763 CJW327761:CJW327763 CAA327761:CAA327763 BQE327761:BQE327763 BGI327761:BGI327763 AWM327761:AWM327763 AMQ327761:AMQ327763 ACU327761:ACU327763 SY327761:SY327763 JC327761:JC327763 WVO262225:WVO262227 WLS262225:WLS262227 WBW262225:WBW262227 VSA262225:VSA262227 VIE262225:VIE262227 UYI262225:UYI262227 UOM262225:UOM262227 UEQ262225:UEQ262227 TUU262225:TUU262227 TKY262225:TKY262227 TBC262225:TBC262227 SRG262225:SRG262227 SHK262225:SHK262227 RXO262225:RXO262227 RNS262225:RNS262227 RDW262225:RDW262227 QUA262225:QUA262227 QKE262225:QKE262227 QAI262225:QAI262227 PQM262225:PQM262227 PGQ262225:PGQ262227 OWU262225:OWU262227 OMY262225:OMY262227 ODC262225:ODC262227 NTG262225:NTG262227 NJK262225:NJK262227 MZO262225:MZO262227 MPS262225:MPS262227 MFW262225:MFW262227 LWA262225:LWA262227 LME262225:LME262227 LCI262225:LCI262227 KSM262225:KSM262227 KIQ262225:KIQ262227 JYU262225:JYU262227 JOY262225:JOY262227 JFC262225:JFC262227 IVG262225:IVG262227 ILK262225:ILK262227 IBO262225:IBO262227 HRS262225:HRS262227 HHW262225:HHW262227 GYA262225:GYA262227 GOE262225:GOE262227 GEI262225:GEI262227 FUM262225:FUM262227 FKQ262225:FKQ262227 FAU262225:FAU262227 EQY262225:EQY262227 EHC262225:EHC262227 DXG262225:DXG262227 DNK262225:DNK262227 DDO262225:DDO262227 CTS262225:CTS262227 CJW262225:CJW262227 CAA262225:CAA262227 BQE262225:BQE262227 BGI262225:BGI262227 AWM262225:AWM262227 AMQ262225:AMQ262227 ACU262225:ACU262227 SY262225:SY262227 JC262225:JC262227 WVO196689:WVO196691 WLS196689:WLS196691 WBW196689:WBW196691 VSA196689:VSA196691 VIE196689:VIE196691 UYI196689:UYI196691 UOM196689:UOM196691 UEQ196689:UEQ196691 TUU196689:TUU196691 TKY196689:TKY196691 TBC196689:TBC196691 SRG196689:SRG196691 SHK196689:SHK196691 RXO196689:RXO196691 RNS196689:RNS196691 RDW196689:RDW196691 QUA196689:QUA196691 QKE196689:QKE196691 QAI196689:QAI196691 PQM196689:PQM196691 PGQ196689:PGQ196691 OWU196689:OWU196691 OMY196689:OMY196691 ODC196689:ODC196691 NTG196689:NTG196691 NJK196689:NJK196691 MZO196689:MZO196691 MPS196689:MPS196691 MFW196689:MFW196691 LWA196689:LWA196691 LME196689:LME196691 LCI196689:LCI196691 KSM196689:KSM196691 KIQ196689:KIQ196691 JYU196689:JYU196691 JOY196689:JOY196691 JFC196689:JFC196691 IVG196689:IVG196691 ILK196689:ILK196691 IBO196689:IBO196691 HRS196689:HRS196691 HHW196689:HHW196691 GYA196689:GYA196691 GOE196689:GOE196691 GEI196689:GEI196691 FUM196689:FUM196691 FKQ196689:FKQ196691 FAU196689:FAU196691 EQY196689:EQY196691 EHC196689:EHC196691 DXG196689:DXG196691 DNK196689:DNK196691 DDO196689:DDO196691 CTS196689:CTS196691 CJW196689:CJW196691 CAA196689:CAA196691 BQE196689:BQE196691 BGI196689:BGI196691 AWM196689:AWM196691 AMQ196689:AMQ196691 ACU196689:ACU196691 SY196689:SY196691 JC196689:JC196691 WVO131153:WVO131155 WLS131153:WLS131155 WBW131153:WBW131155 VSA131153:VSA131155 VIE131153:VIE131155 UYI131153:UYI131155 UOM131153:UOM131155 UEQ131153:UEQ131155 TUU131153:TUU131155 TKY131153:TKY131155 TBC131153:TBC131155 SRG131153:SRG131155 SHK131153:SHK131155 RXO131153:RXO131155 RNS131153:RNS131155 RDW131153:RDW131155 QUA131153:QUA131155 QKE131153:QKE131155 QAI131153:QAI131155 PQM131153:PQM131155 PGQ131153:PGQ131155 OWU131153:OWU131155 OMY131153:OMY131155 ODC131153:ODC131155 NTG131153:NTG131155 NJK131153:NJK131155 MZO131153:MZO131155 MPS131153:MPS131155 MFW131153:MFW131155 LWA131153:LWA131155 LME131153:LME131155 LCI131153:LCI131155 KSM131153:KSM131155 KIQ131153:KIQ131155 JYU131153:JYU131155 JOY131153:JOY131155 JFC131153:JFC131155 IVG131153:IVG131155 ILK131153:ILK131155 IBO131153:IBO131155 HRS131153:HRS131155 HHW131153:HHW131155 GYA131153:GYA131155 GOE131153:GOE131155 GEI131153:GEI131155 FUM131153:FUM131155 FKQ131153:FKQ131155 FAU131153:FAU131155 EQY131153:EQY131155 EHC131153:EHC131155 DXG131153:DXG131155 DNK131153:DNK131155 DDO131153:DDO131155 CTS131153:CTS131155 CJW131153:CJW131155 CAA131153:CAA131155 BQE131153:BQE131155 BGI131153:BGI131155 AWM131153:AWM131155 AMQ131153:AMQ131155 ACU131153:ACU131155 SY131153:SY131155 JC131153:JC131155 WVO65617:WVO65619 WLS65617:WLS65619 WBW65617:WBW65619 VSA65617:VSA65619 VIE65617:VIE65619 UYI65617:UYI65619 UOM65617:UOM65619 UEQ65617:UEQ65619 TUU65617:TUU65619 TKY65617:TKY65619 TBC65617:TBC65619 SRG65617:SRG65619 SHK65617:SHK65619 RXO65617:RXO65619 RNS65617:RNS65619 RDW65617:RDW65619 QUA65617:QUA65619 QKE65617:QKE65619 QAI65617:QAI65619 PQM65617:PQM65619 PGQ65617:PGQ65619 OWU65617:OWU65619 OMY65617:OMY65619 ODC65617:ODC65619 NTG65617:NTG65619 NJK65617:NJK65619 MZO65617:MZO65619 MPS65617:MPS65619 MFW65617:MFW65619 LWA65617:LWA65619 LME65617:LME65619 LCI65617:LCI65619 KSM65617:KSM65619 KIQ65617:KIQ65619 JYU65617:JYU65619 JOY65617:JOY65619 JFC65617:JFC65619 IVG65617:IVG65619 ILK65617:ILK65619 IBO65617:IBO65619 HRS65617:HRS65619 HHW65617:HHW65619 GYA65617:GYA65619 GOE65617:GOE65619 GEI65617:GEI65619 FUM65617:FUM65619 FKQ65617:FKQ65619 FAU65617:FAU65619 EQY65617:EQY65619 EHC65617:EHC65619 DXG65617:DXG65619 DNK65617:DNK65619 DDO65617:DDO65619 CTS65617:CTS65619 CJW65617:CJW65619 CAA65617:CAA65619 BQE65617:BQE65619 BGI65617:BGI65619 AWM65617:AWM65619 AMQ65617:AMQ65619 ACU65617:ACU65619 SY65617:SY65619 JC65617:JC65619 WVT82:WVT84 WLX82:WLX84 WCB82:WCB84 VSF82:VSF84 VIJ82:VIJ84 UYN82:UYN84 UOR82:UOR84 UEV82:UEV84 TUZ82:TUZ84 TLD82:TLD84 TBH82:TBH84 SRL82:SRL84 SHP82:SHP84 RXT82:RXT84 RNX82:RNX84 REB82:REB84 QUF82:QUF84 QKJ82:QKJ84 QAN82:QAN84 PQR82:PQR84 PGV82:PGV84 OWZ82:OWZ84 OND82:OND84 ODH82:ODH84 NTL82:NTL84 NJP82:NJP84 MZT82:MZT84 MPX82:MPX84 MGB82:MGB84 LWF82:LWF84 LMJ82:LMJ84 LCN82:LCN84 KSR82:KSR84 KIV82:KIV84 JYZ82:JYZ84 JPD82:JPD84 JFH82:JFH84 IVL82:IVL84 ILP82:ILP84 IBT82:IBT84 HRX82:HRX84 HIB82:HIB84 GYF82:GYF84 GOJ82:GOJ84 GEN82:GEN84 FUR82:FUR84 FKV82:FKV84 FAZ82:FAZ84 ERD82:ERD84 EHH82:EHH84 DXL82:DXL84 DNP82:DNP84 DDT82:DDT84 CTX82:CTX84 CKB82:CKB84 CAF82:CAF84 BQJ82:BQJ84 BGN82:BGN84 AWR82:AWR84 AMV82:AMV84 ACZ82:ACZ84 TD82:TD84 JH82:JH84 WVN983109:WVO983112 WLR983109:WLS983112 WBV983109:WBW983112 VRZ983109:VSA983112 VID983109:VIE983112 UYH983109:UYI983112 UOL983109:UOM983112 UEP983109:UEQ983112 TUT983109:TUU983112 TKX983109:TKY983112 TBB983109:TBC983112 SRF983109:SRG983112 SHJ983109:SHK983112 RXN983109:RXO983112 RNR983109:RNS983112 RDV983109:RDW983112 QTZ983109:QUA983112 QKD983109:QKE983112 QAH983109:QAI983112 PQL983109:PQM983112 PGP983109:PGQ983112 OWT983109:OWU983112 OMX983109:OMY983112 ODB983109:ODC983112 NTF983109:NTG983112 NJJ983109:NJK983112 MZN983109:MZO983112 MPR983109:MPS983112 MFV983109:MFW983112 LVZ983109:LWA983112 LMD983109:LME983112 LCH983109:LCI983112 KSL983109:KSM983112 KIP983109:KIQ983112 JYT983109:JYU983112 JOX983109:JOY983112 JFB983109:JFC983112 IVF983109:IVG983112 ILJ983109:ILK983112 IBN983109:IBO983112 HRR983109:HRS983112 HHV983109:HHW983112 GXZ983109:GYA983112 GOD983109:GOE983112 GEH983109:GEI983112 FUL983109:FUM983112 FKP983109:FKQ983112 FAT983109:FAU983112 EQX983109:EQY983112 EHB983109:EHC983112 DXF983109:DXG983112 DNJ983109:DNK983112 DDN983109:DDO983112 CTR983109:CTS983112 CJV983109:CJW983112 BZZ983109:CAA983112 BQD983109:BQE983112 BGH983109:BGI983112 AWL983109:AWM983112 AMP983109:AMQ983112 ACT983109:ACU983112 SX983109:SY983112 JB983109:JC983112 WVN917573:WVO917576 WLR917573:WLS917576 WBV917573:WBW917576 VRZ917573:VSA917576 VID917573:VIE917576 UYH917573:UYI917576 UOL917573:UOM917576 UEP917573:UEQ917576 TUT917573:TUU917576 TKX917573:TKY917576 TBB917573:TBC917576 SRF917573:SRG917576 SHJ917573:SHK917576 RXN917573:RXO917576 RNR917573:RNS917576 RDV917573:RDW917576 QTZ917573:QUA917576 QKD917573:QKE917576 QAH917573:QAI917576 PQL917573:PQM917576 PGP917573:PGQ917576 OWT917573:OWU917576 OMX917573:OMY917576 ODB917573:ODC917576 NTF917573:NTG917576 NJJ917573:NJK917576 MZN917573:MZO917576 MPR917573:MPS917576 MFV917573:MFW917576 LVZ917573:LWA917576 LMD917573:LME917576 LCH917573:LCI917576 KSL917573:KSM917576 KIP917573:KIQ917576 JYT917573:JYU917576 JOX917573:JOY917576 JFB917573:JFC917576 IVF917573:IVG917576 ILJ917573:ILK917576 IBN917573:IBO917576 HRR917573:HRS917576 HHV917573:HHW917576 GXZ917573:GYA917576 GOD917573:GOE917576 GEH917573:GEI917576 FUL917573:FUM917576 FKP917573:FKQ917576 FAT917573:FAU917576 EQX917573:EQY917576 EHB917573:EHC917576 DXF917573:DXG917576 DNJ917573:DNK917576 DDN917573:DDO917576 CTR917573:CTS917576 CJV917573:CJW917576 BZZ917573:CAA917576 BQD917573:BQE917576 BGH917573:BGI917576 AWL917573:AWM917576 AMP917573:AMQ917576 ACT917573:ACU917576 SX917573:SY917576 JB917573:JC917576 WVN852037:WVO852040 WLR852037:WLS852040 WBV852037:WBW852040 VRZ852037:VSA852040 VID852037:VIE852040 UYH852037:UYI852040 UOL852037:UOM852040 UEP852037:UEQ852040 TUT852037:TUU852040 TKX852037:TKY852040 TBB852037:TBC852040 SRF852037:SRG852040 SHJ852037:SHK852040 RXN852037:RXO852040 RNR852037:RNS852040 RDV852037:RDW852040 QTZ852037:QUA852040 QKD852037:QKE852040 QAH852037:QAI852040 PQL852037:PQM852040 PGP852037:PGQ852040 OWT852037:OWU852040 OMX852037:OMY852040 ODB852037:ODC852040 NTF852037:NTG852040 NJJ852037:NJK852040 MZN852037:MZO852040 MPR852037:MPS852040 MFV852037:MFW852040 LVZ852037:LWA852040 LMD852037:LME852040 LCH852037:LCI852040 KSL852037:KSM852040 KIP852037:KIQ852040 JYT852037:JYU852040 JOX852037:JOY852040 JFB852037:JFC852040 IVF852037:IVG852040 ILJ852037:ILK852040 IBN852037:IBO852040 HRR852037:HRS852040 HHV852037:HHW852040 GXZ852037:GYA852040 GOD852037:GOE852040 GEH852037:GEI852040 FUL852037:FUM852040 FKP852037:FKQ852040 FAT852037:FAU852040 EQX852037:EQY852040 EHB852037:EHC852040 DXF852037:DXG852040 DNJ852037:DNK852040 DDN852037:DDO852040 CTR852037:CTS852040 CJV852037:CJW852040 BZZ852037:CAA852040 BQD852037:BQE852040 BGH852037:BGI852040 AWL852037:AWM852040 AMP852037:AMQ852040 ACT852037:ACU852040 SX852037:SY852040 JB852037:JC852040 WVN786501:WVO786504 WLR786501:WLS786504 WBV786501:WBW786504 VRZ786501:VSA786504 VID786501:VIE786504 UYH786501:UYI786504 UOL786501:UOM786504 UEP786501:UEQ786504 TUT786501:TUU786504 TKX786501:TKY786504 TBB786501:TBC786504 SRF786501:SRG786504 SHJ786501:SHK786504 RXN786501:RXO786504 RNR786501:RNS786504 RDV786501:RDW786504 QTZ786501:QUA786504 QKD786501:QKE786504 QAH786501:QAI786504 PQL786501:PQM786504 PGP786501:PGQ786504 OWT786501:OWU786504 OMX786501:OMY786504 ODB786501:ODC786504 NTF786501:NTG786504 NJJ786501:NJK786504 MZN786501:MZO786504 MPR786501:MPS786504 MFV786501:MFW786504 LVZ786501:LWA786504 LMD786501:LME786504 LCH786501:LCI786504 KSL786501:KSM786504 KIP786501:KIQ786504 JYT786501:JYU786504 JOX786501:JOY786504 JFB786501:JFC786504 IVF786501:IVG786504 ILJ786501:ILK786504 IBN786501:IBO786504 HRR786501:HRS786504 HHV786501:HHW786504 GXZ786501:GYA786504 GOD786501:GOE786504 GEH786501:GEI786504 FUL786501:FUM786504 FKP786501:FKQ786504 FAT786501:FAU786504 EQX786501:EQY786504 EHB786501:EHC786504 DXF786501:DXG786504 DNJ786501:DNK786504 DDN786501:DDO786504 CTR786501:CTS786504 CJV786501:CJW786504 BZZ786501:CAA786504 BQD786501:BQE786504 BGH786501:BGI786504 AWL786501:AWM786504 AMP786501:AMQ786504 ACT786501:ACU786504 SX786501:SY786504 JB786501:JC786504 WVN720965:WVO720968 WLR720965:WLS720968 WBV720965:WBW720968 VRZ720965:VSA720968 VID720965:VIE720968 UYH720965:UYI720968 UOL720965:UOM720968 UEP720965:UEQ720968 TUT720965:TUU720968 TKX720965:TKY720968 TBB720965:TBC720968 SRF720965:SRG720968 SHJ720965:SHK720968 RXN720965:RXO720968 RNR720965:RNS720968 RDV720965:RDW720968 QTZ720965:QUA720968 QKD720965:QKE720968 QAH720965:QAI720968 PQL720965:PQM720968 PGP720965:PGQ720968 OWT720965:OWU720968 OMX720965:OMY720968 ODB720965:ODC720968 NTF720965:NTG720968 NJJ720965:NJK720968 MZN720965:MZO720968 MPR720965:MPS720968 MFV720965:MFW720968 LVZ720965:LWA720968 LMD720965:LME720968 LCH720965:LCI720968 KSL720965:KSM720968 KIP720965:KIQ720968 JYT720965:JYU720968 JOX720965:JOY720968 JFB720965:JFC720968 IVF720965:IVG720968 ILJ720965:ILK720968 IBN720965:IBO720968 HRR720965:HRS720968 HHV720965:HHW720968 GXZ720965:GYA720968 GOD720965:GOE720968 GEH720965:GEI720968 FUL720965:FUM720968 FKP720965:FKQ720968 FAT720965:FAU720968 EQX720965:EQY720968 EHB720965:EHC720968 DXF720965:DXG720968 DNJ720965:DNK720968 DDN720965:DDO720968 CTR720965:CTS720968 CJV720965:CJW720968 BZZ720965:CAA720968 BQD720965:BQE720968 BGH720965:BGI720968 AWL720965:AWM720968 AMP720965:AMQ720968 ACT720965:ACU720968 SX720965:SY720968 JB720965:JC720968 WVN655429:WVO655432 WLR655429:WLS655432 WBV655429:WBW655432 VRZ655429:VSA655432 VID655429:VIE655432 UYH655429:UYI655432 UOL655429:UOM655432 UEP655429:UEQ655432 TUT655429:TUU655432 TKX655429:TKY655432 TBB655429:TBC655432 SRF655429:SRG655432 SHJ655429:SHK655432 RXN655429:RXO655432 RNR655429:RNS655432 RDV655429:RDW655432 QTZ655429:QUA655432 QKD655429:QKE655432 QAH655429:QAI655432 PQL655429:PQM655432 PGP655429:PGQ655432 OWT655429:OWU655432 OMX655429:OMY655432 ODB655429:ODC655432 NTF655429:NTG655432 NJJ655429:NJK655432 MZN655429:MZO655432 MPR655429:MPS655432 MFV655429:MFW655432 LVZ655429:LWA655432 LMD655429:LME655432 LCH655429:LCI655432 KSL655429:KSM655432 KIP655429:KIQ655432 JYT655429:JYU655432 JOX655429:JOY655432 JFB655429:JFC655432 IVF655429:IVG655432 ILJ655429:ILK655432 IBN655429:IBO655432 HRR655429:HRS655432 HHV655429:HHW655432 GXZ655429:GYA655432 GOD655429:GOE655432 GEH655429:GEI655432 FUL655429:FUM655432 FKP655429:FKQ655432 FAT655429:FAU655432 EQX655429:EQY655432 EHB655429:EHC655432 DXF655429:DXG655432 DNJ655429:DNK655432 DDN655429:DDO655432 CTR655429:CTS655432 CJV655429:CJW655432 BZZ655429:CAA655432 BQD655429:BQE655432 BGH655429:BGI655432 AWL655429:AWM655432 AMP655429:AMQ655432 ACT655429:ACU655432 SX655429:SY655432 JB655429:JC655432 WVN589893:WVO589896 WLR589893:WLS589896 WBV589893:WBW589896 VRZ589893:VSA589896 VID589893:VIE589896 UYH589893:UYI589896 UOL589893:UOM589896 UEP589893:UEQ589896 TUT589893:TUU589896 TKX589893:TKY589896 TBB589893:TBC589896 SRF589893:SRG589896 SHJ589893:SHK589896 RXN589893:RXO589896 RNR589893:RNS589896 RDV589893:RDW589896 QTZ589893:QUA589896 QKD589893:QKE589896 QAH589893:QAI589896 PQL589893:PQM589896 PGP589893:PGQ589896 OWT589893:OWU589896 OMX589893:OMY589896 ODB589893:ODC589896 NTF589893:NTG589896 NJJ589893:NJK589896 MZN589893:MZO589896 MPR589893:MPS589896 MFV589893:MFW589896 LVZ589893:LWA589896 LMD589893:LME589896 LCH589893:LCI589896 KSL589893:KSM589896 KIP589893:KIQ589896 JYT589893:JYU589896 JOX589893:JOY589896 JFB589893:JFC589896 IVF589893:IVG589896 ILJ589893:ILK589896 IBN589893:IBO589896 HRR589893:HRS589896 HHV589893:HHW589896 GXZ589893:GYA589896 GOD589893:GOE589896 GEH589893:GEI589896 FUL589893:FUM589896 FKP589893:FKQ589896 FAT589893:FAU589896 EQX589893:EQY589896 EHB589893:EHC589896 DXF589893:DXG589896 DNJ589893:DNK589896 DDN589893:DDO589896 CTR589893:CTS589896 CJV589893:CJW589896 BZZ589893:CAA589896 BQD589893:BQE589896 BGH589893:BGI589896 AWL589893:AWM589896 AMP589893:AMQ589896 ACT589893:ACU589896 SX589893:SY589896 JB589893:JC589896 WVN524357:WVO524360 WLR524357:WLS524360 WBV524357:WBW524360 VRZ524357:VSA524360 VID524357:VIE524360 UYH524357:UYI524360 UOL524357:UOM524360 UEP524357:UEQ524360 TUT524357:TUU524360 TKX524357:TKY524360 TBB524357:TBC524360 SRF524357:SRG524360 SHJ524357:SHK524360 RXN524357:RXO524360 RNR524357:RNS524360 RDV524357:RDW524360 QTZ524357:QUA524360 QKD524357:QKE524360 QAH524357:QAI524360 PQL524357:PQM524360 PGP524357:PGQ524360 OWT524357:OWU524360 OMX524357:OMY524360 ODB524357:ODC524360 NTF524357:NTG524360 NJJ524357:NJK524360 MZN524357:MZO524360 MPR524357:MPS524360 MFV524357:MFW524360 LVZ524357:LWA524360 LMD524357:LME524360 LCH524357:LCI524360 KSL524357:KSM524360 KIP524357:KIQ524360 JYT524357:JYU524360 JOX524357:JOY524360 JFB524357:JFC524360 IVF524357:IVG524360 ILJ524357:ILK524360 IBN524357:IBO524360 HRR524357:HRS524360 HHV524357:HHW524360 GXZ524357:GYA524360 GOD524357:GOE524360 GEH524357:GEI524360 FUL524357:FUM524360 FKP524357:FKQ524360 FAT524357:FAU524360 EQX524357:EQY524360 EHB524357:EHC524360 DXF524357:DXG524360 DNJ524357:DNK524360 DDN524357:DDO524360 CTR524357:CTS524360 CJV524357:CJW524360 BZZ524357:CAA524360 BQD524357:BQE524360 BGH524357:BGI524360 AWL524357:AWM524360 AMP524357:AMQ524360 ACT524357:ACU524360 SX524357:SY524360 JB524357:JC524360 WVN458821:WVO458824 WLR458821:WLS458824 WBV458821:WBW458824 VRZ458821:VSA458824 VID458821:VIE458824 UYH458821:UYI458824 UOL458821:UOM458824 UEP458821:UEQ458824 TUT458821:TUU458824 TKX458821:TKY458824 TBB458821:TBC458824 SRF458821:SRG458824 SHJ458821:SHK458824 RXN458821:RXO458824 RNR458821:RNS458824 RDV458821:RDW458824 QTZ458821:QUA458824 QKD458821:QKE458824 QAH458821:QAI458824 PQL458821:PQM458824 PGP458821:PGQ458824 OWT458821:OWU458824 OMX458821:OMY458824 ODB458821:ODC458824 NTF458821:NTG458824 NJJ458821:NJK458824 MZN458821:MZO458824 MPR458821:MPS458824 MFV458821:MFW458824 LVZ458821:LWA458824 LMD458821:LME458824 LCH458821:LCI458824 KSL458821:KSM458824 KIP458821:KIQ458824 JYT458821:JYU458824 JOX458821:JOY458824 JFB458821:JFC458824 IVF458821:IVG458824 ILJ458821:ILK458824 IBN458821:IBO458824 HRR458821:HRS458824 HHV458821:HHW458824 GXZ458821:GYA458824 GOD458821:GOE458824 GEH458821:GEI458824 FUL458821:FUM458824 FKP458821:FKQ458824 FAT458821:FAU458824 EQX458821:EQY458824 EHB458821:EHC458824 DXF458821:DXG458824 DNJ458821:DNK458824 DDN458821:DDO458824 CTR458821:CTS458824 CJV458821:CJW458824 BZZ458821:CAA458824 BQD458821:BQE458824 BGH458821:BGI458824 AWL458821:AWM458824 AMP458821:AMQ458824 ACT458821:ACU458824 SX458821:SY458824 JB458821:JC458824 WVN393285:WVO393288 WLR393285:WLS393288 WBV393285:WBW393288 VRZ393285:VSA393288 VID393285:VIE393288 UYH393285:UYI393288 UOL393285:UOM393288 UEP393285:UEQ393288 TUT393285:TUU393288 TKX393285:TKY393288 TBB393285:TBC393288 SRF393285:SRG393288 SHJ393285:SHK393288 RXN393285:RXO393288 RNR393285:RNS393288 RDV393285:RDW393288 QTZ393285:QUA393288 QKD393285:QKE393288 QAH393285:QAI393288 PQL393285:PQM393288 PGP393285:PGQ393288 OWT393285:OWU393288 OMX393285:OMY393288 ODB393285:ODC393288 NTF393285:NTG393288 NJJ393285:NJK393288 MZN393285:MZO393288 MPR393285:MPS393288 MFV393285:MFW393288 LVZ393285:LWA393288 LMD393285:LME393288 LCH393285:LCI393288 KSL393285:KSM393288 KIP393285:KIQ393288 JYT393285:JYU393288 JOX393285:JOY393288 JFB393285:JFC393288 IVF393285:IVG393288 ILJ393285:ILK393288 IBN393285:IBO393288 HRR393285:HRS393288 HHV393285:HHW393288 GXZ393285:GYA393288 GOD393285:GOE393288 GEH393285:GEI393288 FUL393285:FUM393288 FKP393285:FKQ393288 FAT393285:FAU393288 EQX393285:EQY393288 EHB393285:EHC393288 DXF393285:DXG393288 DNJ393285:DNK393288 DDN393285:DDO393288 CTR393285:CTS393288 CJV393285:CJW393288 BZZ393285:CAA393288 BQD393285:BQE393288 BGH393285:BGI393288 AWL393285:AWM393288 AMP393285:AMQ393288 ACT393285:ACU393288 SX393285:SY393288 JB393285:JC393288 WVN327749:WVO327752 WLR327749:WLS327752 WBV327749:WBW327752 VRZ327749:VSA327752 VID327749:VIE327752 UYH327749:UYI327752 UOL327749:UOM327752 UEP327749:UEQ327752 TUT327749:TUU327752 TKX327749:TKY327752 TBB327749:TBC327752 SRF327749:SRG327752 SHJ327749:SHK327752 RXN327749:RXO327752 RNR327749:RNS327752 RDV327749:RDW327752 QTZ327749:QUA327752 QKD327749:QKE327752 QAH327749:QAI327752 PQL327749:PQM327752 PGP327749:PGQ327752 OWT327749:OWU327752 OMX327749:OMY327752 ODB327749:ODC327752 NTF327749:NTG327752 NJJ327749:NJK327752 MZN327749:MZO327752 MPR327749:MPS327752 MFV327749:MFW327752 LVZ327749:LWA327752 LMD327749:LME327752 LCH327749:LCI327752 KSL327749:KSM327752 KIP327749:KIQ327752 JYT327749:JYU327752 JOX327749:JOY327752 JFB327749:JFC327752 IVF327749:IVG327752 ILJ327749:ILK327752 IBN327749:IBO327752 HRR327749:HRS327752 HHV327749:HHW327752 GXZ327749:GYA327752 GOD327749:GOE327752 GEH327749:GEI327752 FUL327749:FUM327752 FKP327749:FKQ327752 FAT327749:FAU327752 EQX327749:EQY327752 EHB327749:EHC327752 DXF327749:DXG327752 DNJ327749:DNK327752 DDN327749:DDO327752 CTR327749:CTS327752 CJV327749:CJW327752 BZZ327749:CAA327752 BQD327749:BQE327752 BGH327749:BGI327752 AWL327749:AWM327752 AMP327749:AMQ327752 ACT327749:ACU327752 SX327749:SY327752 JB327749:JC327752 WVN262213:WVO262216 WLR262213:WLS262216 WBV262213:WBW262216 VRZ262213:VSA262216 VID262213:VIE262216 UYH262213:UYI262216 UOL262213:UOM262216 UEP262213:UEQ262216 TUT262213:TUU262216 TKX262213:TKY262216 TBB262213:TBC262216 SRF262213:SRG262216 SHJ262213:SHK262216 RXN262213:RXO262216 RNR262213:RNS262216 RDV262213:RDW262216 QTZ262213:QUA262216 QKD262213:QKE262216 QAH262213:QAI262216 PQL262213:PQM262216 PGP262213:PGQ262216 OWT262213:OWU262216 OMX262213:OMY262216 ODB262213:ODC262216 NTF262213:NTG262216 NJJ262213:NJK262216 MZN262213:MZO262216 MPR262213:MPS262216 MFV262213:MFW262216 LVZ262213:LWA262216 LMD262213:LME262216 LCH262213:LCI262216 KSL262213:KSM262216 KIP262213:KIQ262216 JYT262213:JYU262216 JOX262213:JOY262216 JFB262213:JFC262216 IVF262213:IVG262216 ILJ262213:ILK262216 IBN262213:IBO262216 HRR262213:HRS262216 HHV262213:HHW262216 GXZ262213:GYA262216 GOD262213:GOE262216 GEH262213:GEI262216 FUL262213:FUM262216 FKP262213:FKQ262216 FAT262213:FAU262216 EQX262213:EQY262216 EHB262213:EHC262216 DXF262213:DXG262216 DNJ262213:DNK262216 DDN262213:DDO262216 CTR262213:CTS262216 CJV262213:CJW262216 BZZ262213:CAA262216 BQD262213:BQE262216 BGH262213:BGI262216 AWL262213:AWM262216 AMP262213:AMQ262216 ACT262213:ACU262216 SX262213:SY262216 JB262213:JC262216 WVN196677:WVO196680 WLR196677:WLS196680 WBV196677:WBW196680 VRZ196677:VSA196680 VID196677:VIE196680 UYH196677:UYI196680 UOL196677:UOM196680 UEP196677:UEQ196680 TUT196677:TUU196680 TKX196677:TKY196680 TBB196677:TBC196680 SRF196677:SRG196680 SHJ196677:SHK196680 RXN196677:RXO196680 RNR196677:RNS196680 RDV196677:RDW196680 QTZ196677:QUA196680 QKD196677:QKE196680 QAH196677:QAI196680 PQL196677:PQM196680 PGP196677:PGQ196680 OWT196677:OWU196680 OMX196677:OMY196680 ODB196677:ODC196680 NTF196677:NTG196680 NJJ196677:NJK196680 MZN196677:MZO196680 MPR196677:MPS196680 MFV196677:MFW196680 LVZ196677:LWA196680 LMD196677:LME196680 LCH196677:LCI196680 KSL196677:KSM196680 KIP196677:KIQ196680 JYT196677:JYU196680 JOX196677:JOY196680 JFB196677:JFC196680 IVF196677:IVG196680 ILJ196677:ILK196680 IBN196677:IBO196680 HRR196677:HRS196680 HHV196677:HHW196680 GXZ196677:GYA196680 GOD196677:GOE196680 GEH196677:GEI196680 FUL196677:FUM196680 FKP196677:FKQ196680 FAT196677:FAU196680 EQX196677:EQY196680 EHB196677:EHC196680 DXF196677:DXG196680 DNJ196677:DNK196680 DDN196677:DDO196680 CTR196677:CTS196680 CJV196677:CJW196680 BZZ196677:CAA196680 BQD196677:BQE196680 BGH196677:BGI196680 AWL196677:AWM196680 AMP196677:AMQ196680 ACT196677:ACU196680 SX196677:SY196680 JB196677:JC196680 WVN131141:WVO131144 WLR131141:WLS131144 WBV131141:WBW131144 VRZ131141:VSA131144 VID131141:VIE131144 UYH131141:UYI131144 UOL131141:UOM131144 UEP131141:UEQ131144 TUT131141:TUU131144 TKX131141:TKY131144 TBB131141:TBC131144 SRF131141:SRG131144 SHJ131141:SHK131144 RXN131141:RXO131144 RNR131141:RNS131144 RDV131141:RDW131144 QTZ131141:QUA131144 QKD131141:QKE131144 QAH131141:QAI131144 PQL131141:PQM131144 PGP131141:PGQ131144 OWT131141:OWU131144 OMX131141:OMY131144 ODB131141:ODC131144 NTF131141:NTG131144 NJJ131141:NJK131144 MZN131141:MZO131144 MPR131141:MPS131144 MFV131141:MFW131144 LVZ131141:LWA131144 LMD131141:LME131144 LCH131141:LCI131144 KSL131141:KSM131144 KIP131141:KIQ131144 JYT131141:JYU131144 JOX131141:JOY131144 JFB131141:JFC131144 IVF131141:IVG131144 ILJ131141:ILK131144 IBN131141:IBO131144 HRR131141:HRS131144 HHV131141:HHW131144 GXZ131141:GYA131144 GOD131141:GOE131144 GEH131141:GEI131144 FUL131141:FUM131144 FKP131141:FKQ131144 FAT131141:FAU131144 EQX131141:EQY131144 EHB131141:EHC131144 DXF131141:DXG131144 DNJ131141:DNK131144 DDN131141:DDO131144 CTR131141:CTS131144 CJV131141:CJW131144 BZZ131141:CAA131144 BQD131141:BQE131144 BGH131141:BGI131144 AWL131141:AWM131144 AMP131141:AMQ131144 ACT131141:ACU131144 SX131141:SY131144 JB131141:JC131144 WVN65605:WVO65608 WLR65605:WLS65608 WBV65605:WBW65608 VRZ65605:VSA65608 VID65605:VIE65608 UYH65605:UYI65608 UOL65605:UOM65608 UEP65605:UEQ65608 TUT65605:TUU65608 TKX65605:TKY65608 TBB65605:TBC65608 SRF65605:SRG65608 SHJ65605:SHK65608 RXN65605:RXO65608 RNR65605:RNS65608 RDV65605:RDW65608 QTZ65605:QUA65608 QKD65605:QKE65608 QAH65605:QAI65608 PQL65605:PQM65608 PGP65605:PGQ65608 OWT65605:OWU65608 OMX65605:OMY65608 ODB65605:ODC65608 NTF65605:NTG65608 NJJ65605:NJK65608 MZN65605:MZO65608 MPR65605:MPS65608 MFV65605:MFW65608 LVZ65605:LWA65608 LMD65605:LME65608 LCH65605:LCI65608 KSL65605:KSM65608 KIP65605:KIQ65608 JYT65605:JYU65608 JOX65605:JOY65608 JFB65605:JFC65608 IVF65605:IVG65608 ILJ65605:ILK65608 IBN65605:IBO65608 HRR65605:HRS65608 HHV65605:HHW65608 GXZ65605:GYA65608 GOD65605:GOE65608 GEH65605:GEI65608 FUL65605:FUM65608 FKP65605:FKQ65608 FAT65605:FAU65608 EQX65605:EQY65608 EHB65605:EHC65608 DXF65605:DXG65608 DNJ65605:DNK65608 DDN65605:DDO65608 CTR65605:CTS65608 CJV65605:CJW65608 BZZ65605:CAA65608 BQD65605:BQE65608 BGH65605:BGI65608 AWL65605:AWM65608 AMP65605:AMQ65608 ACT65605:ACU65608 SX65605:SY65608 JB65605:JC65608 WVS69:WVT72 WLW69:WLX72 WCA69:WCB72 VSE69:VSF72 VII69:VIJ72 UYM69:UYN72 UOQ69:UOR72 UEU69:UEV72 TUY69:TUZ72 TLC69:TLD72 TBG69:TBH72 SRK69:SRL72 SHO69:SHP72 RXS69:RXT72 RNW69:RNX72 REA69:REB72 QUE69:QUF72 QKI69:QKJ72 QAM69:QAN72 PQQ69:PQR72 PGU69:PGV72 OWY69:OWZ72 ONC69:OND72 ODG69:ODH72 NTK69:NTL72 NJO69:NJP72 MZS69:MZT72 MPW69:MPX72 MGA69:MGB72 LWE69:LWF72 LMI69:LMJ72 LCM69:LCN72 KSQ69:KSR72 KIU69:KIV72 JYY69:JYZ72 JPC69:JPD72 JFG69:JFH72 IVK69:IVL72 ILO69:ILP72 IBS69:IBT72 HRW69:HRX72 HIA69:HIB72 GYE69:GYF72 GOI69:GOJ72 GEM69:GEN72 FUQ69:FUR72 FKU69:FKV72 FAY69:FAZ72 ERC69:ERD72 EHG69:EHH72 DXK69:DXL72 DNO69:DNP72 DDS69:DDT72 CTW69:CTX72 CKA69:CKB72 CAE69:CAF72 BQI69:BQJ72 BGM69:BGN72 AWQ69:AWR72 AMU69:AMV72 ACY69:ACZ72 TC69:TD72 JG69:JH72 WVL983066:WVL983081 WVT44:WVU44 WLX44:WLY44 WCB44:WCC44 VSF44:VSG44 VIJ44:VIK44 UYN44:UYO44 UOR44:UOS44 UEV44:UEW44 TUZ44:TVA44 TLD44:TLE44 TBH44:TBI44 SRL44:SRM44 SHP44:SHQ44 RXT44:RXU44 RNX44:RNY44 REB44:REC44 QUF44:QUG44 QKJ44:QKK44 QAN44:QAO44 PQR44:PQS44 PGV44:PGW44 OWZ44:OXA44 OND44:ONE44 ODH44:ODI44 NTL44:NTM44 NJP44:NJQ44 MZT44:MZU44 MPX44:MPY44 MGB44:MGC44 LWF44:LWG44 LMJ44:LMK44 LCN44:LCO44 KSR44:KSS44 KIV44:KIW44 JYZ44:JZA44 JPD44:JPE44 JFH44:JFI44 IVL44:IVM44 ILP44:ILQ44 IBT44:IBU44 HRX44:HRY44 HIB44:HIC44 GYF44:GYG44 GOJ44:GOK44 GEN44:GEO44 FUR44:FUS44 FKV44:FKW44 FAZ44:FBA44 ERD44:ERE44 EHH44:EHI44 DXL44:DXM44 DNP44:DNQ44 DDT44:DDU44 CTX44:CTY44 CKB44:CKC44 CAF44:CAG44 BQJ44:BQK44 BGN44:BGO44 AWR44:AWS44 AMV44:AMW44 ACZ44:ADA44 TD44:TE44 JH44:JI44 BQJ46:BQK55 WVT46:WVU55 WLX46:WLY55 WCB46:WCC55 VSF46:VSG55 VIJ46:VIK55 UYN46:UYO55 UOR46:UOS55 UEV46:UEW55 TUZ46:TVA55 TLD46:TLE55 TBH46:TBI55 SRL46:SRM55 SHP46:SHQ55 RXT46:RXU55 RNX46:RNY55 REB46:REC55 QUF46:QUG55 QKJ46:QKK55 QAN46:QAO55 PQR46:PQS55 PGV46:PGW55 OWZ46:OXA55 OND46:ONE55 ODH46:ODI55 NTL46:NTM55 NJP46:NJQ55 MZT46:MZU55 MPX46:MPY55 MGB46:MGC55 LWF46:LWG55 LMJ46:LMK55 LCN46:LCO55 KSR46:KSS55 KIV46:KIW55 JYZ46:JZA55 JPD46:JPE55 JFH46:JFI55 IVL46:IVM55 ILP46:ILQ55 IBT46:IBU55 HRX46:HRY55 HIB46:HIC55 GYF46:GYG55 GOJ46:GOK55 GEN46:GEO55 FUR46:FUS55 FKV46:FKW55 FAZ46:FBA55 ERD46:ERE55 EHH46:EHI55 DXL46:DXM55 DNP46:DNQ55 DDT46:DDU55 CTX46:CTY55 CKB46:CKC55 CAF46:CAG55">
      <formula1>$N$98:$N$101</formula1>
    </dataValidation>
    <dataValidation type="list" allowBlank="1" showInputMessage="1" showErrorMessage="1" sqref="M25:M40">
      <formula1>"Yes, No, N/A"</formula1>
    </dataValidation>
    <dataValidation type="list" allowBlank="1" showInputMessage="1" showErrorMessage="1" sqref="M44 M46:M55 M57:M58 M60:M61 M64:M67 M69:M73 M75:M79 M81:M84">
      <formula1>"Yes,No, N/A"</formula1>
    </dataValidation>
  </dataValidations>
  <hyperlinks>
    <hyperlink ref="A1" location="'T&amp;V TOC'!A1" display="TOC"/>
  </hyperlinks>
  <pageMargins left="0.25" right="0.25" top="0.75" bottom="0.75" header="0.3" footer="0.3"/>
  <pageSetup scale="65" fitToHeight="4" orientation="landscape" r:id="rId1"/>
  <headerFooter alignWithMargins="0"/>
</worksheet>
</file>

<file path=xl/worksheets/sheet22.xml><?xml version="1.0" encoding="utf-8"?>
<worksheet xmlns="http://schemas.openxmlformats.org/spreadsheetml/2006/main" xmlns:r="http://schemas.openxmlformats.org/officeDocument/2006/relationships">
  <sheetPr>
    <tabColor theme="3" tint="0.79998168889431442"/>
    <pageSetUpPr fitToPage="1"/>
  </sheetPr>
  <dimension ref="A1:BB50"/>
  <sheetViews>
    <sheetView showGridLines="0" view="pageBreakPreview" zoomScaleNormal="100" zoomScaleSheetLayoutView="100" workbookViewId="0"/>
  </sheetViews>
  <sheetFormatPr defaultRowHeight="12"/>
  <cols>
    <col min="1" max="1" width="4.7109375" style="1120" customWidth="1"/>
    <col min="2" max="2" width="20" style="1119" customWidth="1"/>
    <col min="3" max="4" width="15.7109375" style="1119" customWidth="1"/>
    <col min="5" max="5" width="21.42578125" style="1119" customWidth="1"/>
    <col min="6" max="6" width="20.140625" style="1119" customWidth="1"/>
    <col min="7" max="7" width="16.140625" style="1119" customWidth="1"/>
    <col min="8" max="8" width="4.7109375" style="1119" customWidth="1"/>
    <col min="9" max="9" width="11" style="1119" customWidth="1"/>
    <col min="10" max="10" width="33.5703125" style="1119" customWidth="1"/>
    <col min="11" max="11" width="9.7109375" style="1120" customWidth="1"/>
    <col min="12" max="12" width="58.85546875" style="1121" bestFit="1" customWidth="1"/>
    <col min="13" max="13" width="24.7109375" style="1121" customWidth="1"/>
    <col min="14" max="14" width="16.28515625" style="1121" bestFit="1" customWidth="1"/>
    <col min="15" max="17" width="9.7109375" style="1121" customWidth="1"/>
    <col min="18" max="18" width="9.7109375" style="1121" hidden="1" customWidth="1"/>
    <col min="19" max="19" width="9.7109375" style="1121" customWidth="1"/>
    <col min="20" max="256" width="9.140625" style="1121"/>
    <col min="257" max="257" width="15.7109375" style="1121" customWidth="1"/>
    <col min="258" max="258" width="20" style="1121" customWidth="1"/>
    <col min="259" max="260" width="15.7109375" style="1121" customWidth="1"/>
    <col min="261" max="261" width="18" style="1121" customWidth="1"/>
    <col min="262" max="262" width="30.7109375" style="1121" customWidth="1"/>
    <col min="263" max="263" width="10.7109375" style="1121" customWidth="1"/>
    <col min="264" max="264" width="6.28515625" style="1121" customWidth="1"/>
    <col min="265" max="265" width="11" style="1121" customWidth="1"/>
    <col min="266" max="266" width="33.5703125" style="1121" customWidth="1"/>
    <col min="267" max="267" width="9.7109375" style="1121" customWidth="1"/>
    <col min="268" max="268" width="65.28515625" style="1121" customWidth="1"/>
    <col min="269" max="269" width="24.7109375" style="1121" customWidth="1"/>
    <col min="270" max="270" width="16.28515625" style="1121" bestFit="1" customWidth="1"/>
    <col min="271" max="273" width="9.7109375" style="1121" customWidth="1"/>
    <col min="274" max="274" width="0" style="1121" hidden="1" customWidth="1"/>
    <col min="275" max="275" width="9.7109375" style="1121" customWidth="1"/>
    <col min="276" max="512" width="9.140625" style="1121"/>
    <col min="513" max="513" width="15.7109375" style="1121" customWidth="1"/>
    <col min="514" max="514" width="20" style="1121" customWidth="1"/>
    <col min="515" max="516" width="15.7109375" style="1121" customWidth="1"/>
    <col min="517" max="517" width="18" style="1121" customWidth="1"/>
    <col min="518" max="518" width="30.7109375" style="1121" customWidth="1"/>
    <col min="519" max="519" width="10.7109375" style="1121" customWidth="1"/>
    <col min="520" max="520" width="6.28515625" style="1121" customWidth="1"/>
    <col min="521" max="521" width="11" style="1121" customWidth="1"/>
    <col min="522" max="522" width="33.5703125" style="1121" customWidth="1"/>
    <col min="523" max="523" width="9.7109375" style="1121" customWidth="1"/>
    <col min="524" max="524" width="65.28515625" style="1121" customWidth="1"/>
    <col min="525" max="525" width="24.7109375" style="1121" customWidth="1"/>
    <col min="526" max="526" width="16.28515625" style="1121" bestFit="1" customWidth="1"/>
    <col min="527" max="529" width="9.7109375" style="1121" customWidth="1"/>
    <col min="530" max="530" width="0" style="1121" hidden="1" customWidth="1"/>
    <col min="531" max="531" width="9.7109375" style="1121" customWidth="1"/>
    <col min="532" max="768" width="9.140625" style="1121"/>
    <col min="769" max="769" width="15.7109375" style="1121" customWidth="1"/>
    <col min="770" max="770" width="20" style="1121" customWidth="1"/>
    <col min="771" max="772" width="15.7109375" style="1121" customWidth="1"/>
    <col min="773" max="773" width="18" style="1121" customWidth="1"/>
    <col min="774" max="774" width="30.7109375" style="1121" customWidth="1"/>
    <col min="775" max="775" width="10.7109375" style="1121" customWidth="1"/>
    <col min="776" max="776" width="6.28515625" style="1121" customWidth="1"/>
    <col min="777" max="777" width="11" style="1121" customWidth="1"/>
    <col min="778" max="778" width="33.5703125" style="1121" customWidth="1"/>
    <col min="779" max="779" width="9.7109375" style="1121" customWidth="1"/>
    <col min="780" max="780" width="65.28515625" style="1121" customWidth="1"/>
    <col min="781" max="781" width="24.7109375" style="1121" customWidth="1"/>
    <col min="782" max="782" width="16.28515625" style="1121" bestFit="1" customWidth="1"/>
    <col min="783" max="785" width="9.7109375" style="1121" customWidth="1"/>
    <col min="786" max="786" width="0" style="1121" hidden="1" customWidth="1"/>
    <col min="787" max="787" width="9.7109375" style="1121" customWidth="1"/>
    <col min="788" max="1024" width="9.140625" style="1121"/>
    <col min="1025" max="1025" width="15.7109375" style="1121" customWidth="1"/>
    <col min="1026" max="1026" width="20" style="1121" customWidth="1"/>
    <col min="1027" max="1028" width="15.7109375" style="1121" customWidth="1"/>
    <col min="1029" max="1029" width="18" style="1121" customWidth="1"/>
    <col min="1030" max="1030" width="30.7109375" style="1121" customWidth="1"/>
    <col min="1031" max="1031" width="10.7109375" style="1121" customWidth="1"/>
    <col min="1032" max="1032" width="6.28515625" style="1121" customWidth="1"/>
    <col min="1033" max="1033" width="11" style="1121" customWidth="1"/>
    <col min="1034" max="1034" width="33.5703125" style="1121" customWidth="1"/>
    <col min="1035" max="1035" width="9.7109375" style="1121" customWidth="1"/>
    <col min="1036" max="1036" width="65.28515625" style="1121" customWidth="1"/>
    <col min="1037" max="1037" width="24.7109375" style="1121" customWidth="1"/>
    <col min="1038" max="1038" width="16.28515625" style="1121" bestFit="1" customWidth="1"/>
    <col min="1039" max="1041" width="9.7109375" style="1121" customWidth="1"/>
    <col min="1042" max="1042" width="0" style="1121" hidden="1" customWidth="1"/>
    <col min="1043" max="1043" width="9.7109375" style="1121" customWidth="1"/>
    <col min="1044" max="1280" width="9.140625" style="1121"/>
    <col min="1281" max="1281" width="15.7109375" style="1121" customWidth="1"/>
    <col min="1282" max="1282" width="20" style="1121" customWidth="1"/>
    <col min="1283" max="1284" width="15.7109375" style="1121" customWidth="1"/>
    <col min="1285" max="1285" width="18" style="1121" customWidth="1"/>
    <col min="1286" max="1286" width="30.7109375" style="1121" customWidth="1"/>
    <col min="1287" max="1287" width="10.7109375" style="1121" customWidth="1"/>
    <col min="1288" max="1288" width="6.28515625" style="1121" customWidth="1"/>
    <col min="1289" max="1289" width="11" style="1121" customWidth="1"/>
    <col min="1290" max="1290" width="33.5703125" style="1121" customWidth="1"/>
    <col min="1291" max="1291" width="9.7109375" style="1121" customWidth="1"/>
    <col min="1292" max="1292" width="65.28515625" style="1121" customWidth="1"/>
    <col min="1293" max="1293" width="24.7109375" style="1121" customWidth="1"/>
    <col min="1294" max="1294" width="16.28515625" style="1121" bestFit="1" customWidth="1"/>
    <col min="1295" max="1297" width="9.7109375" style="1121" customWidth="1"/>
    <col min="1298" max="1298" width="0" style="1121" hidden="1" customWidth="1"/>
    <col min="1299" max="1299" width="9.7109375" style="1121" customWidth="1"/>
    <col min="1300" max="1536" width="9.140625" style="1121"/>
    <col min="1537" max="1537" width="15.7109375" style="1121" customWidth="1"/>
    <col min="1538" max="1538" width="20" style="1121" customWidth="1"/>
    <col min="1539" max="1540" width="15.7109375" style="1121" customWidth="1"/>
    <col min="1541" max="1541" width="18" style="1121" customWidth="1"/>
    <col min="1542" max="1542" width="30.7109375" style="1121" customWidth="1"/>
    <col min="1543" max="1543" width="10.7109375" style="1121" customWidth="1"/>
    <col min="1544" max="1544" width="6.28515625" style="1121" customWidth="1"/>
    <col min="1545" max="1545" width="11" style="1121" customWidth="1"/>
    <col min="1546" max="1546" width="33.5703125" style="1121" customWidth="1"/>
    <col min="1547" max="1547" width="9.7109375" style="1121" customWidth="1"/>
    <col min="1548" max="1548" width="65.28515625" style="1121" customWidth="1"/>
    <col min="1549" max="1549" width="24.7109375" style="1121" customWidth="1"/>
    <col min="1550" max="1550" width="16.28515625" style="1121" bestFit="1" customWidth="1"/>
    <col min="1551" max="1553" width="9.7109375" style="1121" customWidth="1"/>
    <col min="1554" max="1554" width="0" style="1121" hidden="1" customWidth="1"/>
    <col min="1555" max="1555" width="9.7109375" style="1121" customWidth="1"/>
    <col min="1556" max="1792" width="9.140625" style="1121"/>
    <col min="1793" max="1793" width="15.7109375" style="1121" customWidth="1"/>
    <col min="1794" max="1794" width="20" style="1121" customWidth="1"/>
    <col min="1795" max="1796" width="15.7109375" style="1121" customWidth="1"/>
    <col min="1797" max="1797" width="18" style="1121" customWidth="1"/>
    <col min="1798" max="1798" width="30.7109375" style="1121" customWidth="1"/>
    <col min="1799" max="1799" width="10.7109375" style="1121" customWidth="1"/>
    <col min="1800" max="1800" width="6.28515625" style="1121" customWidth="1"/>
    <col min="1801" max="1801" width="11" style="1121" customWidth="1"/>
    <col min="1802" max="1802" width="33.5703125" style="1121" customWidth="1"/>
    <col min="1803" max="1803" width="9.7109375" style="1121" customWidth="1"/>
    <col min="1804" max="1804" width="65.28515625" style="1121" customWidth="1"/>
    <col min="1805" max="1805" width="24.7109375" style="1121" customWidth="1"/>
    <col min="1806" max="1806" width="16.28515625" style="1121" bestFit="1" customWidth="1"/>
    <col min="1807" max="1809" width="9.7109375" style="1121" customWidth="1"/>
    <col min="1810" max="1810" width="0" style="1121" hidden="1" customWidth="1"/>
    <col min="1811" max="1811" width="9.7109375" style="1121" customWidth="1"/>
    <col min="1812" max="2048" width="9.140625" style="1121"/>
    <col min="2049" max="2049" width="15.7109375" style="1121" customWidth="1"/>
    <col min="2050" max="2050" width="20" style="1121" customWidth="1"/>
    <col min="2051" max="2052" width="15.7109375" style="1121" customWidth="1"/>
    <col min="2053" max="2053" width="18" style="1121" customWidth="1"/>
    <col min="2054" max="2054" width="30.7109375" style="1121" customWidth="1"/>
    <col min="2055" max="2055" width="10.7109375" style="1121" customWidth="1"/>
    <col min="2056" max="2056" width="6.28515625" style="1121" customWidth="1"/>
    <col min="2057" max="2057" width="11" style="1121" customWidth="1"/>
    <col min="2058" max="2058" width="33.5703125" style="1121" customWidth="1"/>
    <col min="2059" max="2059" width="9.7109375" style="1121" customWidth="1"/>
    <col min="2060" max="2060" width="65.28515625" style="1121" customWidth="1"/>
    <col min="2061" max="2061" width="24.7109375" style="1121" customWidth="1"/>
    <col min="2062" max="2062" width="16.28515625" style="1121" bestFit="1" customWidth="1"/>
    <col min="2063" max="2065" width="9.7109375" style="1121" customWidth="1"/>
    <col min="2066" max="2066" width="0" style="1121" hidden="1" customWidth="1"/>
    <col min="2067" max="2067" width="9.7109375" style="1121" customWidth="1"/>
    <col min="2068" max="2304" width="9.140625" style="1121"/>
    <col min="2305" max="2305" width="15.7109375" style="1121" customWidth="1"/>
    <col min="2306" max="2306" width="20" style="1121" customWidth="1"/>
    <col min="2307" max="2308" width="15.7109375" style="1121" customWidth="1"/>
    <col min="2309" max="2309" width="18" style="1121" customWidth="1"/>
    <col min="2310" max="2310" width="30.7109375" style="1121" customWidth="1"/>
    <col min="2311" max="2311" width="10.7109375" style="1121" customWidth="1"/>
    <col min="2312" max="2312" width="6.28515625" style="1121" customWidth="1"/>
    <col min="2313" max="2313" width="11" style="1121" customWidth="1"/>
    <col min="2314" max="2314" width="33.5703125" style="1121" customWidth="1"/>
    <col min="2315" max="2315" width="9.7109375" style="1121" customWidth="1"/>
    <col min="2316" max="2316" width="65.28515625" style="1121" customWidth="1"/>
    <col min="2317" max="2317" width="24.7109375" style="1121" customWidth="1"/>
    <col min="2318" max="2318" width="16.28515625" style="1121" bestFit="1" customWidth="1"/>
    <col min="2319" max="2321" width="9.7109375" style="1121" customWidth="1"/>
    <col min="2322" max="2322" width="0" style="1121" hidden="1" customWidth="1"/>
    <col min="2323" max="2323" width="9.7109375" style="1121" customWidth="1"/>
    <col min="2324" max="2560" width="9.140625" style="1121"/>
    <col min="2561" max="2561" width="15.7109375" style="1121" customWidth="1"/>
    <col min="2562" max="2562" width="20" style="1121" customWidth="1"/>
    <col min="2563" max="2564" width="15.7109375" style="1121" customWidth="1"/>
    <col min="2565" max="2565" width="18" style="1121" customWidth="1"/>
    <col min="2566" max="2566" width="30.7109375" style="1121" customWidth="1"/>
    <col min="2567" max="2567" width="10.7109375" style="1121" customWidth="1"/>
    <col min="2568" max="2568" width="6.28515625" style="1121" customWidth="1"/>
    <col min="2569" max="2569" width="11" style="1121" customWidth="1"/>
    <col min="2570" max="2570" width="33.5703125" style="1121" customWidth="1"/>
    <col min="2571" max="2571" width="9.7109375" style="1121" customWidth="1"/>
    <col min="2572" max="2572" width="65.28515625" style="1121" customWidth="1"/>
    <col min="2573" max="2573" width="24.7109375" style="1121" customWidth="1"/>
    <col min="2574" max="2574" width="16.28515625" style="1121" bestFit="1" customWidth="1"/>
    <col min="2575" max="2577" width="9.7109375" style="1121" customWidth="1"/>
    <col min="2578" max="2578" width="0" style="1121" hidden="1" customWidth="1"/>
    <col min="2579" max="2579" width="9.7109375" style="1121" customWidth="1"/>
    <col min="2580" max="2816" width="9.140625" style="1121"/>
    <col min="2817" max="2817" width="15.7109375" style="1121" customWidth="1"/>
    <col min="2818" max="2818" width="20" style="1121" customWidth="1"/>
    <col min="2819" max="2820" width="15.7109375" style="1121" customWidth="1"/>
    <col min="2821" max="2821" width="18" style="1121" customWidth="1"/>
    <col min="2822" max="2822" width="30.7109375" style="1121" customWidth="1"/>
    <col min="2823" max="2823" width="10.7109375" style="1121" customWidth="1"/>
    <col min="2824" max="2824" width="6.28515625" style="1121" customWidth="1"/>
    <col min="2825" max="2825" width="11" style="1121" customWidth="1"/>
    <col min="2826" max="2826" width="33.5703125" style="1121" customWidth="1"/>
    <col min="2827" max="2827" width="9.7109375" style="1121" customWidth="1"/>
    <col min="2828" max="2828" width="65.28515625" style="1121" customWidth="1"/>
    <col min="2829" max="2829" width="24.7109375" style="1121" customWidth="1"/>
    <col min="2830" max="2830" width="16.28515625" style="1121" bestFit="1" customWidth="1"/>
    <col min="2831" max="2833" width="9.7109375" style="1121" customWidth="1"/>
    <col min="2834" max="2834" width="0" style="1121" hidden="1" customWidth="1"/>
    <col min="2835" max="2835" width="9.7109375" style="1121" customWidth="1"/>
    <col min="2836" max="3072" width="9.140625" style="1121"/>
    <col min="3073" max="3073" width="15.7109375" style="1121" customWidth="1"/>
    <col min="3074" max="3074" width="20" style="1121" customWidth="1"/>
    <col min="3075" max="3076" width="15.7109375" style="1121" customWidth="1"/>
    <col min="3077" max="3077" width="18" style="1121" customWidth="1"/>
    <col min="3078" max="3078" width="30.7109375" style="1121" customWidth="1"/>
    <col min="3079" max="3079" width="10.7109375" style="1121" customWidth="1"/>
    <col min="3080" max="3080" width="6.28515625" style="1121" customWidth="1"/>
    <col min="3081" max="3081" width="11" style="1121" customWidth="1"/>
    <col min="3082" max="3082" width="33.5703125" style="1121" customWidth="1"/>
    <col min="3083" max="3083" width="9.7109375" style="1121" customWidth="1"/>
    <col min="3084" max="3084" width="65.28515625" style="1121" customWidth="1"/>
    <col min="3085" max="3085" width="24.7109375" style="1121" customWidth="1"/>
    <col min="3086" max="3086" width="16.28515625" style="1121" bestFit="1" customWidth="1"/>
    <col min="3087" max="3089" width="9.7109375" style="1121" customWidth="1"/>
    <col min="3090" max="3090" width="0" style="1121" hidden="1" customWidth="1"/>
    <col min="3091" max="3091" width="9.7109375" style="1121" customWidth="1"/>
    <col min="3092" max="3328" width="9.140625" style="1121"/>
    <col min="3329" max="3329" width="15.7109375" style="1121" customWidth="1"/>
    <col min="3330" max="3330" width="20" style="1121" customWidth="1"/>
    <col min="3331" max="3332" width="15.7109375" style="1121" customWidth="1"/>
    <col min="3333" max="3333" width="18" style="1121" customWidth="1"/>
    <col min="3334" max="3334" width="30.7109375" style="1121" customWidth="1"/>
    <col min="3335" max="3335" width="10.7109375" style="1121" customWidth="1"/>
    <col min="3336" max="3336" width="6.28515625" style="1121" customWidth="1"/>
    <col min="3337" max="3337" width="11" style="1121" customWidth="1"/>
    <col min="3338" max="3338" width="33.5703125" style="1121" customWidth="1"/>
    <col min="3339" max="3339" width="9.7109375" style="1121" customWidth="1"/>
    <col min="3340" max="3340" width="65.28515625" style="1121" customWidth="1"/>
    <col min="3341" max="3341" width="24.7109375" style="1121" customWidth="1"/>
    <col min="3342" max="3342" width="16.28515625" style="1121" bestFit="1" customWidth="1"/>
    <col min="3343" max="3345" width="9.7109375" style="1121" customWidth="1"/>
    <col min="3346" max="3346" width="0" style="1121" hidden="1" customWidth="1"/>
    <col min="3347" max="3347" width="9.7109375" style="1121" customWidth="1"/>
    <col min="3348" max="3584" width="9.140625" style="1121"/>
    <col min="3585" max="3585" width="15.7109375" style="1121" customWidth="1"/>
    <col min="3586" max="3586" width="20" style="1121" customWidth="1"/>
    <col min="3587" max="3588" width="15.7109375" style="1121" customWidth="1"/>
    <col min="3589" max="3589" width="18" style="1121" customWidth="1"/>
    <col min="3590" max="3590" width="30.7109375" style="1121" customWidth="1"/>
    <col min="3591" max="3591" width="10.7109375" style="1121" customWidth="1"/>
    <col min="3592" max="3592" width="6.28515625" style="1121" customWidth="1"/>
    <col min="3593" max="3593" width="11" style="1121" customWidth="1"/>
    <col min="3594" max="3594" width="33.5703125" style="1121" customWidth="1"/>
    <col min="3595" max="3595" width="9.7109375" style="1121" customWidth="1"/>
    <col min="3596" max="3596" width="65.28515625" style="1121" customWidth="1"/>
    <col min="3597" max="3597" width="24.7109375" style="1121" customWidth="1"/>
    <col min="3598" max="3598" width="16.28515625" style="1121" bestFit="1" customWidth="1"/>
    <col min="3599" max="3601" width="9.7109375" style="1121" customWidth="1"/>
    <col min="3602" max="3602" width="0" style="1121" hidden="1" customWidth="1"/>
    <col min="3603" max="3603" width="9.7109375" style="1121" customWidth="1"/>
    <col min="3604" max="3840" width="9.140625" style="1121"/>
    <col min="3841" max="3841" width="15.7109375" style="1121" customWidth="1"/>
    <col min="3842" max="3842" width="20" style="1121" customWidth="1"/>
    <col min="3843" max="3844" width="15.7109375" style="1121" customWidth="1"/>
    <col min="3845" max="3845" width="18" style="1121" customWidth="1"/>
    <col min="3846" max="3846" width="30.7109375" style="1121" customWidth="1"/>
    <col min="3847" max="3847" width="10.7109375" style="1121" customWidth="1"/>
    <col min="3848" max="3848" width="6.28515625" style="1121" customWidth="1"/>
    <col min="3849" max="3849" width="11" style="1121" customWidth="1"/>
    <col min="3850" max="3850" width="33.5703125" style="1121" customWidth="1"/>
    <col min="3851" max="3851" width="9.7109375" style="1121" customWidth="1"/>
    <col min="3852" max="3852" width="65.28515625" style="1121" customWidth="1"/>
    <col min="3853" max="3853" width="24.7109375" style="1121" customWidth="1"/>
    <col min="3854" max="3854" width="16.28515625" style="1121" bestFit="1" customWidth="1"/>
    <col min="3855" max="3857" width="9.7109375" style="1121" customWidth="1"/>
    <col min="3858" max="3858" width="0" style="1121" hidden="1" customWidth="1"/>
    <col min="3859" max="3859" width="9.7109375" style="1121" customWidth="1"/>
    <col min="3860" max="4096" width="9.140625" style="1121"/>
    <col min="4097" max="4097" width="15.7109375" style="1121" customWidth="1"/>
    <col min="4098" max="4098" width="20" style="1121" customWidth="1"/>
    <col min="4099" max="4100" width="15.7109375" style="1121" customWidth="1"/>
    <col min="4101" max="4101" width="18" style="1121" customWidth="1"/>
    <col min="4102" max="4102" width="30.7109375" style="1121" customWidth="1"/>
    <col min="4103" max="4103" width="10.7109375" style="1121" customWidth="1"/>
    <col min="4104" max="4104" width="6.28515625" style="1121" customWidth="1"/>
    <col min="4105" max="4105" width="11" style="1121" customWidth="1"/>
    <col min="4106" max="4106" width="33.5703125" style="1121" customWidth="1"/>
    <col min="4107" max="4107" width="9.7109375" style="1121" customWidth="1"/>
    <col min="4108" max="4108" width="65.28515625" style="1121" customWidth="1"/>
    <col min="4109" max="4109" width="24.7109375" style="1121" customWidth="1"/>
    <col min="4110" max="4110" width="16.28515625" style="1121" bestFit="1" customWidth="1"/>
    <col min="4111" max="4113" width="9.7109375" style="1121" customWidth="1"/>
    <col min="4114" max="4114" width="0" style="1121" hidden="1" customWidth="1"/>
    <col min="4115" max="4115" width="9.7109375" style="1121" customWidth="1"/>
    <col min="4116" max="4352" width="9.140625" style="1121"/>
    <col min="4353" max="4353" width="15.7109375" style="1121" customWidth="1"/>
    <col min="4354" max="4354" width="20" style="1121" customWidth="1"/>
    <col min="4355" max="4356" width="15.7109375" style="1121" customWidth="1"/>
    <col min="4357" max="4357" width="18" style="1121" customWidth="1"/>
    <col min="4358" max="4358" width="30.7109375" style="1121" customWidth="1"/>
    <col min="4359" max="4359" width="10.7109375" style="1121" customWidth="1"/>
    <col min="4360" max="4360" width="6.28515625" style="1121" customWidth="1"/>
    <col min="4361" max="4361" width="11" style="1121" customWidth="1"/>
    <col min="4362" max="4362" width="33.5703125" style="1121" customWidth="1"/>
    <col min="4363" max="4363" width="9.7109375" style="1121" customWidth="1"/>
    <col min="4364" max="4364" width="65.28515625" style="1121" customWidth="1"/>
    <col min="4365" max="4365" width="24.7109375" style="1121" customWidth="1"/>
    <col min="4366" max="4366" width="16.28515625" style="1121" bestFit="1" customWidth="1"/>
    <col min="4367" max="4369" width="9.7109375" style="1121" customWidth="1"/>
    <col min="4370" max="4370" width="0" style="1121" hidden="1" customWidth="1"/>
    <col min="4371" max="4371" width="9.7109375" style="1121" customWidth="1"/>
    <col min="4372" max="4608" width="9.140625" style="1121"/>
    <col min="4609" max="4609" width="15.7109375" style="1121" customWidth="1"/>
    <col min="4610" max="4610" width="20" style="1121" customWidth="1"/>
    <col min="4611" max="4612" width="15.7109375" style="1121" customWidth="1"/>
    <col min="4613" max="4613" width="18" style="1121" customWidth="1"/>
    <col min="4614" max="4614" width="30.7109375" style="1121" customWidth="1"/>
    <col min="4615" max="4615" width="10.7109375" style="1121" customWidth="1"/>
    <col min="4616" max="4616" width="6.28515625" style="1121" customWidth="1"/>
    <col min="4617" max="4617" width="11" style="1121" customWidth="1"/>
    <col min="4618" max="4618" width="33.5703125" style="1121" customWidth="1"/>
    <col min="4619" max="4619" width="9.7109375" style="1121" customWidth="1"/>
    <col min="4620" max="4620" width="65.28515625" style="1121" customWidth="1"/>
    <col min="4621" max="4621" width="24.7109375" style="1121" customWidth="1"/>
    <col min="4622" max="4622" width="16.28515625" style="1121" bestFit="1" customWidth="1"/>
    <col min="4623" max="4625" width="9.7109375" style="1121" customWidth="1"/>
    <col min="4626" max="4626" width="0" style="1121" hidden="1" customWidth="1"/>
    <col min="4627" max="4627" width="9.7109375" style="1121" customWidth="1"/>
    <col min="4628" max="4864" width="9.140625" style="1121"/>
    <col min="4865" max="4865" width="15.7109375" style="1121" customWidth="1"/>
    <col min="4866" max="4866" width="20" style="1121" customWidth="1"/>
    <col min="4867" max="4868" width="15.7109375" style="1121" customWidth="1"/>
    <col min="4869" max="4869" width="18" style="1121" customWidth="1"/>
    <col min="4870" max="4870" width="30.7109375" style="1121" customWidth="1"/>
    <col min="4871" max="4871" width="10.7109375" style="1121" customWidth="1"/>
    <col min="4872" max="4872" width="6.28515625" style="1121" customWidth="1"/>
    <col min="4873" max="4873" width="11" style="1121" customWidth="1"/>
    <col min="4874" max="4874" width="33.5703125" style="1121" customWidth="1"/>
    <col min="4875" max="4875" width="9.7109375" style="1121" customWidth="1"/>
    <col min="4876" max="4876" width="65.28515625" style="1121" customWidth="1"/>
    <col min="4877" max="4877" width="24.7109375" style="1121" customWidth="1"/>
    <col min="4878" max="4878" width="16.28515625" style="1121" bestFit="1" customWidth="1"/>
    <col min="4879" max="4881" width="9.7109375" style="1121" customWidth="1"/>
    <col min="4882" max="4882" width="0" style="1121" hidden="1" customWidth="1"/>
    <col min="4883" max="4883" width="9.7109375" style="1121" customWidth="1"/>
    <col min="4884" max="5120" width="9.140625" style="1121"/>
    <col min="5121" max="5121" width="15.7109375" style="1121" customWidth="1"/>
    <col min="5122" max="5122" width="20" style="1121" customWidth="1"/>
    <col min="5123" max="5124" width="15.7109375" style="1121" customWidth="1"/>
    <col min="5125" max="5125" width="18" style="1121" customWidth="1"/>
    <col min="5126" max="5126" width="30.7109375" style="1121" customWidth="1"/>
    <col min="5127" max="5127" width="10.7109375" style="1121" customWidth="1"/>
    <col min="5128" max="5128" width="6.28515625" style="1121" customWidth="1"/>
    <col min="5129" max="5129" width="11" style="1121" customWidth="1"/>
    <col min="5130" max="5130" width="33.5703125" style="1121" customWidth="1"/>
    <col min="5131" max="5131" width="9.7109375" style="1121" customWidth="1"/>
    <col min="5132" max="5132" width="65.28515625" style="1121" customWidth="1"/>
    <col min="5133" max="5133" width="24.7109375" style="1121" customWidth="1"/>
    <col min="5134" max="5134" width="16.28515625" style="1121" bestFit="1" customWidth="1"/>
    <col min="5135" max="5137" width="9.7109375" style="1121" customWidth="1"/>
    <col min="5138" max="5138" width="0" style="1121" hidden="1" customWidth="1"/>
    <col min="5139" max="5139" width="9.7109375" style="1121" customWidth="1"/>
    <col min="5140" max="5376" width="9.140625" style="1121"/>
    <col min="5377" max="5377" width="15.7109375" style="1121" customWidth="1"/>
    <col min="5378" max="5378" width="20" style="1121" customWidth="1"/>
    <col min="5379" max="5380" width="15.7109375" style="1121" customWidth="1"/>
    <col min="5381" max="5381" width="18" style="1121" customWidth="1"/>
    <col min="5382" max="5382" width="30.7109375" style="1121" customWidth="1"/>
    <col min="5383" max="5383" width="10.7109375" style="1121" customWidth="1"/>
    <col min="5384" max="5384" width="6.28515625" style="1121" customWidth="1"/>
    <col min="5385" max="5385" width="11" style="1121" customWidth="1"/>
    <col min="5386" max="5386" width="33.5703125" style="1121" customWidth="1"/>
    <col min="5387" max="5387" width="9.7109375" style="1121" customWidth="1"/>
    <col min="5388" max="5388" width="65.28515625" style="1121" customWidth="1"/>
    <col min="5389" max="5389" width="24.7109375" style="1121" customWidth="1"/>
    <col min="5390" max="5390" width="16.28515625" style="1121" bestFit="1" customWidth="1"/>
    <col min="5391" max="5393" width="9.7109375" style="1121" customWidth="1"/>
    <col min="5394" max="5394" width="0" style="1121" hidden="1" customWidth="1"/>
    <col min="5395" max="5395" width="9.7109375" style="1121" customWidth="1"/>
    <col min="5396" max="5632" width="9.140625" style="1121"/>
    <col min="5633" max="5633" width="15.7109375" style="1121" customWidth="1"/>
    <col min="5634" max="5634" width="20" style="1121" customWidth="1"/>
    <col min="5635" max="5636" width="15.7109375" style="1121" customWidth="1"/>
    <col min="5637" max="5637" width="18" style="1121" customWidth="1"/>
    <col min="5638" max="5638" width="30.7109375" style="1121" customWidth="1"/>
    <col min="5639" max="5639" width="10.7109375" style="1121" customWidth="1"/>
    <col min="5640" max="5640" width="6.28515625" style="1121" customWidth="1"/>
    <col min="5641" max="5641" width="11" style="1121" customWidth="1"/>
    <col min="5642" max="5642" width="33.5703125" style="1121" customWidth="1"/>
    <col min="5643" max="5643" width="9.7109375" style="1121" customWidth="1"/>
    <col min="5644" max="5644" width="65.28515625" style="1121" customWidth="1"/>
    <col min="5645" max="5645" width="24.7109375" style="1121" customWidth="1"/>
    <col min="5646" max="5646" width="16.28515625" style="1121" bestFit="1" customWidth="1"/>
    <col min="5647" max="5649" width="9.7109375" style="1121" customWidth="1"/>
    <col min="5650" max="5650" width="0" style="1121" hidden="1" customWidth="1"/>
    <col min="5651" max="5651" width="9.7109375" style="1121" customWidth="1"/>
    <col min="5652" max="5888" width="9.140625" style="1121"/>
    <col min="5889" max="5889" width="15.7109375" style="1121" customWidth="1"/>
    <col min="5890" max="5890" width="20" style="1121" customWidth="1"/>
    <col min="5891" max="5892" width="15.7109375" style="1121" customWidth="1"/>
    <col min="5893" max="5893" width="18" style="1121" customWidth="1"/>
    <col min="5894" max="5894" width="30.7109375" style="1121" customWidth="1"/>
    <col min="5895" max="5895" width="10.7109375" style="1121" customWidth="1"/>
    <col min="5896" max="5896" width="6.28515625" style="1121" customWidth="1"/>
    <col min="5897" max="5897" width="11" style="1121" customWidth="1"/>
    <col min="5898" max="5898" width="33.5703125" style="1121" customWidth="1"/>
    <col min="5899" max="5899" width="9.7109375" style="1121" customWidth="1"/>
    <col min="5900" max="5900" width="65.28515625" style="1121" customWidth="1"/>
    <col min="5901" max="5901" width="24.7109375" style="1121" customWidth="1"/>
    <col min="5902" max="5902" width="16.28515625" style="1121" bestFit="1" customWidth="1"/>
    <col min="5903" max="5905" width="9.7109375" style="1121" customWidth="1"/>
    <col min="5906" max="5906" width="0" style="1121" hidden="1" customWidth="1"/>
    <col min="5907" max="5907" width="9.7109375" style="1121" customWidth="1"/>
    <col min="5908" max="6144" width="9.140625" style="1121"/>
    <col min="6145" max="6145" width="15.7109375" style="1121" customWidth="1"/>
    <col min="6146" max="6146" width="20" style="1121" customWidth="1"/>
    <col min="6147" max="6148" width="15.7109375" style="1121" customWidth="1"/>
    <col min="6149" max="6149" width="18" style="1121" customWidth="1"/>
    <col min="6150" max="6150" width="30.7109375" style="1121" customWidth="1"/>
    <col min="6151" max="6151" width="10.7109375" style="1121" customWidth="1"/>
    <col min="6152" max="6152" width="6.28515625" style="1121" customWidth="1"/>
    <col min="6153" max="6153" width="11" style="1121" customWidth="1"/>
    <col min="6154" max="6154" width="33.5703125" style="1121" customWidth="1"/>
    <col min="6155" max="6155" width="9.7109375" style="1121" customWidth="1"/>
    <col min="6156" max="6156" width="65.28515625" style="1121" customWidth="1"/>
    <col min="6157" max="6157" width="24.7109375" style="1121" customWidth="1"/>
    <col min="6158" max="6158" width="16.28515625" style="1121" bestFit="1" customWidth="1"/>
    <col min="6159" max="6161" width="9.7109375" style="1121" customWidth="1"/>
    <col min="6162" max="6162" width="0" style="1121" hidden="1" customWidth="1"/>
    <col min="6163" max="6163" width="9.7109375" style="1121" customWidth="1"/>
    <col min="6164" max="6400" width="9.140625" style="1121"/>
    <col min="6401" max="6401" width="15.7109375" style="1121" customWidth="1"/>
    <col min="6402" max="6402" width="20" style="1121" customWidth="1"/>
    <col min="6403" max="6404" width="15.7109375" style="1121" customWidth="1"/>
    <col min="6405" max="6405" width="18" style="1121" customWidth="1"/>
    <col min="6406" max="6406" width="30.7109375" style="1121" customWidth="1"/>
    <col min="6407" max="6407" width="10.7109375" style="1121" customWidth="1"/>
    <col min="6408" max="6408" width="6.28515625" style="1121" customWidth="1"/>
    <col min="6409" max="6409" width="11" style="1121" customWidth="1"/>
    <col min="6410" max="6410" width="33.5703125" style="1121" customWidth="1"/>
    <col min="6411" max="6411" width="9.7109375" style="1121" customWidth="1"/>
    <col min="6412" max="6412" width="65.28515625" style="1121" customWidth="1"/>
    <col min="6413" max="6413" width="24.7109375" style="1121" customWidth="1"/>
    <col min="6414" max="6414" width="16.28515625" style="1121" bestFit="1" customWidth="1"/>
    <col min="6415" max="6417" width="9.7109375" style="1121" customWidth="1"/>
    <col min="6418" max="6418" width="0" style="1121" hidden="1" customWidth="1"/>
    <col min="6419" max="6419" width="9.7109375" style="1121" customWidth="1"/>
    <col min="6420" max="6656" width="9.140625" style="1121"/>
    <col min="6657" max="6657" width="15.7109375" style="1121" customWidth="1"/>
    <col min="6658" max="6658" width="20" style="1121" customWidth="1"/>
    <col min="6659" max="6660" width="15.7109375" style="1121" customWidth="1"/>
    <col min="6661" max="6661" width="18" style="1121" customWidth="1"/>
    <col min="6662" max="6662" width="30.7109375" style="1121" customWidth="1"/>
    <col min="6663" max="6663" width="10.7109375" style="1121" customWidth="1"/>
    <col min="6664" max="6664" width="6.28515625" style="1121" customWidth="1"/>
    <col min="6665" max="6665" width="11" style="1121" customWidth="1"/>
    <col min="6666" max="6666" width="33.5703125" style="1121" customWidth="1"/>
    <col min="6667" max="6667" width="9.7109375" style="1121" customWidth="1"/>
    <col min="6668" max="6668" width="65.28515625" style="1121" customWidth="1"/>
    <col min="6669" max="6669" width="24.7109375" style="1121" customWidth="1"/>
    <col min="6670" max="6670" width="16.28515625" style="1121" bestFit="1" customWidth="1"/>
    <col min="6671" max="6673" width="9.7109375" style="1121" customWidth="1"/>
    <col min="6674" max="6674" width="0" style="1121" hidden="1" customWidth="1"/>
    <col min="6675" max="6675" width="9.7109375" style="1121" customWidth="1"/>
    <col min="6676" max="6912" width="9.140625" style="1121"/>
    <col min="6913" max="6913" width="15.7109375" style="1121" customWidth="1"/>
    <col min="6914" max="6914" width="20" style="1121" customWidth="1"/>
    <col min="6915" max="6916" width="15.7109375" style="1121" customWidth="1"/>
    <col min="6917" max="6917" width="18" style="1121" customWidth="1"/>
    <col min="6918" max="6918" width="30.7109375" style="1121" customWidth="1"/>
    <col min="6919" max="6919" width="10.7109375" style="1121" customWidth="1"/>
    <col min="6920" max="6920" width="6.28515625" style="1121" customWidth="1"/>
    <col min="6921" max="6921" width="11" style="1121" customWidth="1"/>
    <col min="6922" max="6922" width="33.5703125" style="1121" customWidth="1"/>
    <col min="6923" max="6923" width="9.7109375" style="1121" customWidth="1"/>
    <col min="6924" max="6924" width="65.28515625" style="1121" customWidth="1"/>
    <col min="6925" max="6925" width="24.7109375" style="1121" customWidth="1"/>
    <col min="6926" max="6926" width="16.28515625" style="1121" bestFit="1" customWidth="1"/>
    <col min="6927" max="6929" width="9.7109375" style="1121" customWidth="1"/>
    <col min="6930" max="6930" width="0" style="1121" hidden="1" customWidth="1"/>
    <col min="6931" max="6931" width="9.7109375" style="1121" customWidth="1"/>
    <col min="6932" max="7168" width="9.140625" style="1121"/>
    <col min="7169" max="7169" width="15.7109375" style="1121" customWidth="1"/>
    <col min="7170" max="7170" width="20" style="1121" customWidth="1"/>
    <col min="7171" max="7172" width="15.7109375" style="1121" customWidth="1"/>
    <col min="7173" max="7173" width="18" style="1121" customWidth="1"/>
    <col min="7174" max="7174" width="30.7109375" style="1121" customWidth="1"/>
    <col min="7175" max="7175" width="10.7109375" style="1121" customWidth="1"/>
    <col min="7176" max="7176" width="6.28515625" style="1121" customWidth="1"/>
    <col min="7177" max="7177" width="11" style="1121" customWidth="1"/>
    <col min="7178" max="7178" width="33.5703125" style="1121" customWidth="1"/>
    <col min="7179" max="7179" width="9.7109375" style="1121" customWidth="1"/>
    <col min="7180" max="7180" width="65.28515625" style="1121" customWidth="1"/>
    <col min="7181" max="7181" width="24.7109375" style="1121" customWidth="1"/>
    <col min="7182" max="7182" width="16.28515625" style="1121" bestFit="1" customWidth="1"/>
    <col min="7183" max="7185" width="9.7109375" style="1121" customWidth="1"/>
    <col min="7186" max="7186" width="0" style="1121" hidden="1" customWidth="1"/>
    <col min="7187" max="7187" width="9.7109375" style="1121" customWidth="1"/>
    <col min="7188" max="7424" width="9.140625" style="1121"/>
    <col min="7425" max="7425" width="15.7109375" style="1121" customWidth="1"/>
    <col min="7426" max="7426" width="20" style="1121" customWidth="1"/>
    <col min="7427" max="7428" width="15.7109375" style="1121" customWidth="1"/>
    <col min="7429" max="7429" width="18" style="1121" customWidth="1"/>
    <col min="7430" max="7430" width="30.7109375" style="1121" customWidth="1"/>
    <col min="7431" max="7431" width="10.7109375" style="1121" customWidth="1"/>
    <col min="7432" max="7432" width="6.28515625" style="1121" customWidth="1"/>
    <col min="7433" max="7433" width="11" style="1121" customWidth="1"/>
    <col min="7434" max="7434" width="33.5703125" style="1121" customWidth="1"/>
    <col min="7435" max="7435" width="9.7109375" style="1121" customWidth="1"/>
    <col min="7436" max="7436" width="65.28515625" style="1121" customWidth="1"/>
    <col min="7437" max="7437" width="24.7109375" style="1121" customWidth="1"/>
    <col min="7438" max="7438" width="16.28515625" style="1121" bestFit="1" customWidth="1"/>
    <col min="7439" max="7441" width="9.7109375" style="1121" customWidth="1"/>
    <col min="7442" max="7442" width="0" style="1121" hidden="1" customWidth="1"/>
    <col min="7443" max="7443" width="9.7109375" style="1121" customWidth="1"/>
    <col min="7444" max="7680" width="9.140625" style="1121"/>
    <col min="7681" max="7681" width="15.7109375" style="1121" customWidth="1"/>
    <col min="7682" max="7682" width="20" style="1121" customWidth="1"/>
    <col min="7683" max="7684" width="15.7109375" style="1121" customWidth="1"/>
    <col min="7685" max="7685" width="18" style="1121" customWidth="1"/>
    <col min="7686" max="7686" width="30.7109375" style="1121" customWidth="1"/>
    <col min="7687" max="7687" width="10.7109375" style="1121" customWidth="1"/>
    <col min="7688" max="7688" width="6.28515625" style="1121" customWidth="1"/>
    <col min="7689" max="7689" width="11" style="1121" customWidth="1"/>
    <col min="7690" max="7690" width="33.5703125" style="1121" customWidth="1"/>
    <col min="7691" max="7691" width="9.7109375" style="1121" customWidth="1"/>
    <col min="7692" max="7692" width="65.28515625" style="1121" customWidth="1"/>
    <col min="7693" max="7693" width="24.7109375" style="1121" customWidth="1"/>
    <col min="7694" max="7694" width="16.28515625" style="1121" bestFit="1" customWidth="1"/>
    <col min="7695" max="7697" width="9.7109375" style="1121" customWidth="1"/>
    <col min="7698" max="7698" width="0" style="1121" hidden="1" customWidth="1"/>
    <col min="7699" max="7699" width="9.7109375" style="1121" customWidth="1"/>
    <col min="7700" max="7936" width="9.140625" style="1121"/>
    <col min="7937" max="7937" width="15.7109375" style="1121" customWidth="1"/>
    <col min="7938" max="7938" width="20" style="1121" customWidth="1"/>
    <col min="7939" max="7940" width="15.7109375" style="1121" customWidth="1"/>
    <col min="7941" max="7941" width="18" style="1121" customWidth="1"/>
    <col min="7942" max="7942" width="30.7109375" style="1121" customWidth="1"/>
    <col min="7943" max="7943" width="10.7109375" style="1121" customWidth="1"/>
    <col min="7944" max="7944" width="6.28515625" style="1121" customWidth="1"/>
    <col min="7945" max="7945" width="11" style="1121" customWidth="1"/>
    <col min="7946" max="7946" width="33.5703125" style="1121" customWidth="1"/>
    <col min="7947" max="7947" width="9.7109375" style="1121" customWidth="1"/>
    <col min="7948" max="7948" width="65.28515625" style="1121" customWidth="1"/>
    <col min="7949" max="7949" width="24.7109375" style="1121" customWidth="1"/>
    <col min="7950" max="7950" width="16.28515625" style="1121" bestFit="1" customWidth="1"/>
    <col min="7951" max="7953" width="9.7109375" style="1121" customWidth="1"/>
    <col min="7954" max="7954" width="0" style="1121" hidden="1" customWidth="1"/>
    <col min="7955" max="7955" width="9.7109375" style="1121" customWidth="1"/>
    <col min="7956" max="8192" width="9.140625" style="1121"/>
    <col min="8193" max="8193" width="15.7109375" style="1121" customWidth="1"/>
    <col min="8194" max="8194" width="20" style="1121" customWidth="1"/>
    <col min="8195" max="8196" width="15.7109375" style="1121" customWidth="1"/>
    <col min="8197" max="8197" width="18" style="1121" customWidth="1"/>
    <col min="8198" max="8198" width="30.7109375" style="1121" customWidth="1"/>
    <col min="8199" max="8199" width="10.7109375" style="1121" customWidth="1"/>
    <col min="8200" max="8200" width="6.28515625" style="1121" customWidth="1"/>
    <col min="8201" max="8201" width="11" style="1121" customWidth="1"/>
    <col min="8202" max="8202" width="33.5703125" style="1121" customWidth="1"/>
    <col min="8203" max="8203" width="9.7109375" style="1121" customWidth="1"/>
    <col min="8204" max="8204" width="65.28515625" style="1121" customWidth="1"/>
    <col min="8205" max="8205" width="24.7109375" style="1121" customWidth="1"/>
    <col min="8206" max="8206" width="16.28515625" style="1121" bestFit="1" customWidth="1"/>
    <col min="8207" max="8209" width="9.7109375" style="1121" customWidth="1"/>
    <col min="8210" max="8210" width="0" style="1121" hidden="1" customWidth="1"/>
    <col min="8211" max="8211" width="9.7109375" style="1121" customWidth="1"/>
    <col min="8212" max="8448" width="9.140625" style="1121"/>
    <col min="8449" max="8449" width="15.7109375" style="1121" customWidth="1"/>
    <col min="8450" max="8450" width="20" style="1121" customWidth="1"/>
    <col min="8451" max="8452" width="15.7109375" style="1121" customWidth="1"/>
    <col min="8453" max="8453" width="18" style="1121" customWidth="1"/>
    <col min="8454" max="8454" width="30.7109375" style="1121" customWidth="1"/>
    <col min="8455" max="8455" width="10.7109375" style="1121" customWidth="1"/>
    <col min="8456" max="8456" width="6.28515625" style="1121" customWidth="1"/>
    <col min="8457" max="8457" width="11" style="1121" customWidth="1"/>
    <col min="8458" max="8458" width="33.5703125" style="1121" customWidth="1"/>
    <col min="8459" max="8459" width="9.7109375" style="1121" customWidth="1"/>
    <col min="8460" max="8460" width="65.28515625" style="1121" customWidth="1"/>
    <col min="8461" max="8461" width="24.7109375" style="1121" customWidth="1"/>
    <col min="8462" max="8462" width="16.28515625" style="1121" bestFit="1" customWidth="1"/>
    <col min="8463" max="8465" width="9.7109375" style="1121" customWidth="1"/>
    <col min="8466" max="8466" width="0" style="1121" hidden="1" customWidth="1"/>
    <col min="8467" max="8467" width="9.7109375" style="1121" customWidth="1"/>
    <col min="8468" max="8704" width="9.140625" style="1121"/>
    <col min="8705" max="8705" width="15.7109375" style="1121" customWidth="1"/>
    <col min="8706" max="8706" width="20" style="1121" customWidth="1"/>
    <col min="8707" max="8708" width="15.7109375" style="1121" customWidth="1"/>
    <col min="8709" max="8709" width="18" style="1121" customWidth="1"/>
    <col min="8710" max="8710" width="30.7109375" style="1121" customWidth="1"/>
    <col min="8711" max="8711" width="10.7109375" style="1121" customWidth="1"/>
    <col min="8712" max="8712" width="6.28515625" style="1121" customWidth="1"/>
    <col min="8713" max="8713" width="11" style="1121" customWidth="1"/>
    <col min="8714" max="8714" width="33.5703125" style="1121" customWidth="1"/>
    <col min="8715" max="8715" width="9.7109375" style="1121" customWidth="1"/>
    <col min="8716" max="8716" width="65.28515625" style="1121" customWidth="1"/>
    <col min="8717" max="8717" width="24.7109375" style="1121" customWidth="1"/>
    <col min="8718" max="8718" width="16.28515625" style="1121" bestFit="1" customWidth="1"/>
    <col min="8719" max="8721" width="9.7109375" style="1121" customWidth="1"/>
    <col min="8722" max="8722" width="0" style="1121" hidden="1" customWidth="1"/>
    <col min="8723" max="8723" width="9.7109375" style="1121" customWidth="1"/>
    <col min="8724" max="8960" width="9.140625" style="1121"/>
    <col min="8961" max="8961" width="15.7109375" style="1121" customWidth="1"/>
    <col min="8962" max="8962" width="20" style="1121" customWidth="1"/>
    <col min="8963" max="8964" width="15.7109375" style="1121" customWidth="1"/>
    <col min="8965" max="8965" width="18" style="1121" customWidth="1"/>
    <col min="8966" max="8966" width="30.7109375" style="1121" customWidth="1"/>
    <col min="8967" max="8967" width="10.7109375" style="1121" customWidth="1"/>
    <col min="8968" max="8968" width="6.28515625" style="1121" customWidth="1"/>
    <col min="8969" max="8969" width="11" style="1121" customWidth="1"/>
    <col min="8970" max="8970" width="33.5703125" style="1121" customWidth="1"/>
    <col min="8971" max="8971" width="9.7109375" style="1121" customWidth="1"/>
    <col min="8972" max="8972" width="65.28515625" style="1121" customWidth="1"/>
    <col min="8973" max="8973" width="24.7109375" style="1121" customWidth="1"/>
    <col min="8974" max="8974" width="16.28515625" style="1121" bestFit="1" customWidth="1"/>
    <col min="8975" max="8977" width="9.7109375" style="1121" customWidth="1"/>
    <col min="8978" max="8978" width="0" style="1121" hidden="1" customWidth="1"/>
    <col min="8979" max="8979" width="9.7109375" style="1121" customWidth="1"/>
    <col min="8980" max="9216" width="9.140625" style="1121"/>
    <col min="9217" max="9217" width="15.7109375" style="1121" customWidth="1"/>
    <col min="9218" max="9218" width="20" style="1121" customWidth="1"/>
    <col min="9219" max="9220" width="15.7109375" style="1121" customWidth="1"/>
    <col min="9221" max="9221" width="18" style="1121" customWidth="1"/>
    <col min="9222" max="9222" width="30.7109375" style="1121" customWidth="1"/>
    <col min="9223" max="9223" width="10.7109375" style="1121" customWidth="1"/>
    <col min="9224" max="9224" width="6.28515625" style="1121" customWidth="1"/>
    <col min="9225" max="9225" width="11" style="1121" customWidth="1"/>
    <col min="9226" max="9226" width="33.5703125" style="1121" customWidth="1"/>
    <col min="9227" max="9227" width="9.7109375" style="1121" customWidth="1"/>
    <col min="9228" max="9228" width="65.28515625" style="1121" customWidth="1"/>
    <col min="9229" max="9229" width="24.7109375" style="1121" customWidth="1"/>
    <col min="9230" max="9230" width="16.28515625" style="1121" bestFit="1" customWidth="1"/>
    <col min="9231" max="9233" width="9.7109375" style="1121" customWidth="1"/>
    <col min="9234" max="9234" width="0" style="1121" hidden="1" customWidth="1"/>
    <col min="9235" max="9235" width="9.7109375" style="1121" customWidth="1"/>
    <col min="9236" max="9472" width="9.140625" style="1121"/>
    <col min="9473" max="9473" width="15.7109375" style="1121" customWidth="1"/>
    <col min="9474" max="9474" width="20" style="1121" customWidth="1"/>
    <col min="9475" max="9476" width="15.7109375" style="1121" customWidth="1"/>
    <col min="9477" max="9477" width="18" style="1121" customWidth="1"/>
    <col min="9478" max="9478" width="30.7109375" style="1121" customWidth="1"/>
    <col min="9479" max="9479" width="10.7109375" style="1121" customWidth="1"/>
    <col min="9480" max="9480" width="6.28515625" style="1121" customWidth="1"/>
    <col min="9481" max="9481" width="11" style="1121" customWidth="1"/>
    <col min="9482" max="9482" width="33.5703125" style="1121" customWidth="1"/>
    <col min="9483" max="9483" width="9.7109375" style="1121" customWidth="1"/>
    <col min="9484" max="9484" width="65.28515625" style="1121" customWidth="1"/>
    <col min="9485" max="9485" width="24.7109375" style="1121" customWidth="1"/>
    <col min="9486" max="9486" width="16.28515625" style="1121" bestFit="1" customWidth="1"/>
    <col min="9487" max="9489" width="9.7109375" style="1121" customWidth="1"/>
    <col min="9490" max="9490" width="0" style="1121" hidden="1" customWidth="1"/>
    <col min="9491" max="9491" width="9.7109375" style="1121" customWidth="1"/>
    <col min="9492" max="9728" width="9.140625" style="1121"/>
    <col min="9729" max="9729" width="15.7109375" style="1121" customWidth="1"/>
    <col min="9730" max="9730" width="20" style="1121" customWidth="1"/>
    <col min="9731" max="9732" width="15.7109375" style="1121" customWidth="1"/>
    <col min="9733" max="9733" width="18" style="1121" customWidth="1"/>
    <col min="9734" max="9734" width="30.7109375" style="1121" customWidth="1"/>
    <col min="9735" max="9735" width="10.7109375" style="1121" customWidth="1"/>
    <col min="9736" max="9736" width="6.28515625" style="1121" customWidth="1"/>
    <col min="9737" max="9737" width="11" style="1121" customWidth="1"/>
    <col min="9738" max="9738" width="33.5703125" style="1121" customWidth="1"/>
    <col min="9739" max="9739" width="9.7109375" style="1121" customWidth="1"/>
    <col min="9740" max="9740" width="65.28515625" style="1121" customWidth="1"/>
    <col min="9741" max="9741" width="24.7109375" style="1121" customWidth="1"/>
    <col min="9742" max="9742" width="16.28515625" style="1121" bestFit="1" customWidth="1"/>
    <col min="9743" max="9745" width="9.7109375" style="1121" customWidth="1"/>
    <col min="9746" max="9746" width="0" style="1121" hidden="1" customWidth="1"/>
    <col min="9747" max="9747" width="9.7109375" style="1121" customWidth="1"/>
    <col min="9748" max="9984" width="9.140625" style="1121"/>
    <col min="9985" max="9985" width="15.7109375" style="1121" customWidth="1"/>
    <col min="9986" max="9986" width="20" style="1121" customWidth="1"/>
    <col min="9987" max="9988" width="15.7109375" style="1121" customWidth="1"/>
    <col min="9989" max="9989" width="18" style="1121" customWidth="1"/>
    <col min="9990" max="9990" width="30.7109375" style="1121" customWidth="1"/>
    <col min="9991" max="9991" width="10.7109375" style="1121" customWidth="1"/>
    <col min="9992" max="9992" width="6.28515625" style="1121" customWidth="1"/>
    <col min="9993" max="9993" width="11" style="1121" customWidth="1"/>
    <col min="9994" max="9994" width="33.5703125" style="1121" customWidth="1"/>
    <col min="9995" max="9995" width="9.7109375" style="1121" customWidth="1"/>
    <col min="9996" max="9996" width="65.28515625" style="1121" customWidth="1"/>
    <col min="9997" max="9997" width="24.7109375" style="1121" customWidth="1"/>
    <col min="9998" max="9998" width="16.28515625" style="1121" bestFit="1" customWidth="1"/>
    <col min="9999" max="10001" width="9.7109375" style="1121" customWidth="1"/>
    <col min="10002" max="10002" width="0" style="1121" hidden="1" customWidth="1"/>
    <col min="10003" max="10003" width="9.7109375" style="1121" customWidth="1"/>
    <col min="10004" max="10240" width="9.140625" style="1121"/>
    <col min="10241" max="10241" width="15.7109375" style="1121" customWidth="1"/>
    <col min="10242" max="10242" width="20" style="1121" customWidth="1"/>
    <col min="10243" max="10244" width="15.7109375" style="1121" customWidth="1"/>
    <col min="10245" max="10245" width="18" style="1121" customWidth="1"/>
    <col min="10246" max="10246" width="30.7109375" style="1121" customWidth="1"/>
    <col min="10247" max="10247" width="10.7109375" style="1121" customWidth="1"/>
    <col min="10248" max="10248" width="6.28515625" style="1121" customWidth="1"/>
    <col min="10249" max="10249" width="11" style="1121" customWidth="1"/>
    <col min="10250" max="10250" width="33.5703125" style="1121" customWidth="1"/>
    <col min="10251" max="10251" width="9.7109375" style="1121" customWidth="1"/>
    <col min="10252" max="10252" width="65.28515625" style="1121" customWidth="1"/>
    <col min="10253" max="10253" width="24.7109375" style="1121" customWidth="1"/>
    <col min="10254" max="10254" width="16.28515625" style="1121" bestFit="1" customWidth="1"/>
    <col min="10255" max="10257" width="9.7109375" style="1121" customWidth="1"/>
    <col min="10258" max="10258" width="0" style="1121" hidden="1" customWidth="1"/>
    <col min="10259" max="10259" width="9.7109375" style="1121" customWidth="1"/>
    <col min="10260" max="10496" width="9.140625" style="1121"/>
    <col min="10497" max="10497" width="15.7109375" style="1121" customWidth="1"/>
    <col min="10498" max="10498" width="20" style="1121" customWidth="1"/>
    <col min="10499" max="10500" width="15.7109375" style="1121" customWidth="1"/>
    <col min="10501" max="10501" width="18" style="1121" customWidth="1"/>
    <col min="10502" max="10502" width="30.7109375" style="1121" customWidth="1"/>
    <col min="10503" max="10503" width="10.7109375" style="1121" customWidth="1"/>
    <col min="10504" max="10504" width="6.28515625" style="1121" customWidth="1"/>
    <col min="10505" max="10505" width="11" style="1121" customWidth="1"/>
    <col min="10506" max="10506" width="33.5703125" style="1121" customWidth="1"/>
    <col min="10507" max="10507" width="9.7109375" style="1121" customWidth="1"/>
    <col min="10508" max="10508" width="65.28515625" style="1121" customWidth="1"/>
    <col min="10509" max="10509" width="24.7109375" style="1121" customWidth="1"/>
    <col min="10510" max="10510" width="16.28515625" style="1121" bestFit="1" customWidth="1"/>
    <col min="10511" max="10513" width="9.7109375" style="1121" customWidth="1"/>
    <col min="10514" max="10514" width="0" style="1121" hidden="1" customWidth="1"/>
    <col min="10515" max="10515" width="9.7109375" style="1121" customWidth="1"/>
    <col min="10516" max="10752" width="9.140625" style="1121"/>
    <col min="10753" max="10753" width="15.7109375" style="1121" customWidth="1"/>
    <col min="10754" max="10754" width="20" style="1121" customWidth="1"/>
    <col min="10755" max="10756" width="15.7109375" style="1121" customWidth="1"/>
    <col min="10757" max="10757" width="18" style="1121" customWidth="1"/>
    <col min="10758" max="10758" width="30.7109375" style="1121" customWidth="1"/>
    <col min="10759" max="10759" width="10.7109375" style="1121" customWidth="1"/>
    <col min="10760" max="10760" width="6.28515625" style="1121" customWidth="1"/>
    <col min="10761" max="10761" width="11" style="1121" customWidth="1"/>
    <col min="10762" max="10762" width="33.5703125" style="1121" customWidth="1"/>
    <col min="10763" max="10763" width="9.7109375" style="1121" customWidth="1"/>
    <col min="10764" max="10764" width="65.28515625" style="1121" customWidth="1"/>
    <col min="10765" max="10765" width="24.7109375" style="1121" customWidth="1"/>
    <col min="10766" max="10766" width="16.28515625" style="1121" bestFit="1" customWidth="1"/>
    <col min="10767" max="10769" width="9.7109375" style="1121" customWidth="1"/>
    <col min="10770" max="10770" width="0" style="1121" hidden="1" customWidth="1"/>
    <col min="10771" max="10771" width="9.7109375" style="1121" customWidth="1"/>
    <col min="10772" max="11008" width="9.140625" style="1121"/>
    <col min="11009" max="11009" width="15.7109375" style="1121" customWidth="1"/>
    <col min="11010" max="11010" width="20" style="1121" customWidth="1"/>
    <col min="11011" max="11012" width="15.7109375" style="1121" customWidth="1"/>
    <col min="11013" max="11013" width="18" style="1121" customWidth="1"/>
    <col min="11014" max="11014" width="30.7109375" style="1121" customWidth="1"/>
    <col min="11015" max="11015" width="10.7109375" style="1121" customWidth="1"/>
    <col min="11016" max="11016" width="6.28515625" style="1121" customWidth="1"/>
    <col min="11017" max="11017" width="11" style="1121" customWidth="1"/>
    <col min="11018" max="11018" width="33.5703125" style="1121" customWidth="1"/>
    <col min="11019" max="11019" width="9.7109375" style="1121" customWidth="1"/>
    <col min="11020" max="11020" width="65.28515625" style="1121" customWidth="1"/>
    <col min="11021" max="11021" width="24.7109375" style="1121" customWidth="1"/>
    <col min="11022" max="11022" width="16.28515625" style="1121" bestFit="1" customWidth="1"/>
    <col min="11023" max="11025" width="9.7109375" style="1121" customWidth="1"/>
    <col min="11026" max="11026" width="0" style="1121" hidden="1" customWidth="1"/>
    <col min="11027" max="11027" width="9.7109375" style="1121" customWidth="1"/>
    <col min="11028" max="11264" width="9.140625" style="1121"/>
    <col min="11265" max="11265" width="15.7109375" style="1121" customWidth="1"/>
    <col min="11266" max="11266" width="20" style="1121" customWidth="1"/>
    <col min="11267" max="11268" width="15.7109375" style="1121" customWidth="1"/>
    <col min="11269" max="11269" width="18" style="1121" customWidth="1"/>
    <col min="11270" max="11270" width="30.7109375" style="1121" customWidth="1"/>
    <col min="11271" max="11271" width="10.7109375" style="1121" customWidth="1"/>
    <col min="11272" max="11272" width="6.28515625" style="1121" customWidth="1"/>
    <col min="11273" max="11273" width="11" style="1121" customWidth="1"/>
    <col min="11274" max="11274" width="33.5703125" style="1121" customWidth="1"/>
    <col min="11275" max="11275" width="9.7109375" style="1121" customWidth="1"/>
    <col min="11276" max="11276" width="65.28515625" style="1121" customWidth="1"/>
    <col min="11277" max="11277" width="24.7109375" style="1121" customWidth="1"/>
    <col min="11278" max="11278" width="16.28515625" style="1121" bestFit="1" customWidth="1"/>
    <col min="11279" max="11281" width="9.7109375" style="1121" customWidth="1"/>
    <col min="11282" max="11282" width="0" style="1121" hidden="1" customWidth="1"/>
    <col min="11283" max="11283" width="9.7109375" style="1121" customWidth="1"/>
    <col min="11284" max="11520" width="9.140625" style="1121"/>
    <col min="11521" max="11521" width="15.7109375" style="1121" customWidth="1"/>
    <col min="11522" max="11522" width="20" style="1121" customWidth="1"/>
    <col min="11523" max="11524" width="15.7109375" style="1121" customWidth="1"/>
    <col min="11525" max="11525" width="18" style="1121" customWidth="1"/>
    <col min="11526" max="11526" width="30.7109375" style="1121" customWidth="1"/>
    <col min="11527" max="11527" width="10.7109375" style="1121" customWidth="1"/>
    <col min="11528" max="11528" width="6.28515625" style="1121" customWidth="1"/>
    <col min="11529" max="11529" width="11" style="1121" customWidth="1"/>
    <col min="11530" max="11530" width="33.5703125" style="1121" customWidth="1"/>
    <col min="11531" max="11531" width="9.7109375" style="1121" customWidth="1"/>
    <col min="11532" max="11532" width="65.28515625" style="1121" customWidth="1"/>
    <col min="11533" max="11533" width="24.7109375" style="1121" customWidth="1"/>
    <col min="11534" max="11534" width="16.28515625" style="1121" bestFit="1" customWidth="1"/>
    <col min="11535" max="11537" width="9.7109375" style="1121" customWidth="1"/>
    <col min="11538" max="11538" width="0" style="1121" hidden="1" customWidth="1"/>
    <col min="11539" max="11539" width="9.7109375" style="1121" customWidth="1"/>
    <col min="11540" max="11776" width="9.140625" style="1121"/>
    <col min="11777" max="11777" width="15.7109375" style="1121" customWidth="1"/>
    <col min="11778" max="11778" width="20" style="1121" customWidth="1"/>
    <col min="11779" max="11780" width="15.7109375" style="1121" customWidth="1"/>
    <col min="11781" max="11781" width="18" style="1121" customWidth="1"/>
    <col min="11782" max="11782" width="30.7109375" style="1121" customWidth="1"/>
    <col min="11783" max="11783" width="10.7109375" style="1121" customWidth="1"/>
    <col min="11784" max="11784" width="6.28515625" style="1121" customWidth="1"/>
    <col min="11785" max="11785" width="11" style="1121" customWidth="1"/>
    <col min="11786" max="11786" width="33.5703125" style="1121" customWidth="1"/>
    <col min="11787" max="11787" width="9.7109375" style="1121" customWidth="1"/>
    <col min="11788" max="11788" width="65.28515625" style="1121" customWidth="1"/>
    <col min="11789" max="11789" width="24.7109375" style="1121" customWidth="1"/>
    <col min="11790" max="11790" width="16.28515625" style="1121" bestFit="1" customWidth="1"/>
    <col min="11791" max="11793" width="9.7109375" style="1121" customWidth="1"/>
    <col min="11794" max="11794" width="0" style="1121" hidden="1" customWidth="1"/>
    <col min="11795" max="11795" width="9.7109375" style="1121" customWidth="1"/>
    <col min="11796" max="12032" width="9.140625" style="1121"/>
    <col min="12033" max="12033" width="15.7109375" style="1121" customWidth="1"/>
    <col min="12034" max="12034" width="20" style="1121" customWidth="1"/>
    <col min="12035" max="12036" width="15.7109375" style="1121" customWidth="1"/>
    <col min="12037" max="12037" width="18" style="1121" customWidth="1"/>
    <col min="12038" max="12038" width="30.7109375" style="1121" customWidth="1"/>
    <col min="12039" max="12039" width="10.7109375" style="1121" customWidth="1"/>
    <col min="12040" max="12040" width="6.28515625" style="1121" customWidth="1"/>
    <col min="12041" max="12041" width="11" style="1121" customWidth="1"/>
    <col min="12042" max="12042" width="33.5703125" style="1121" customWidth="1"/>
    <col min="12043" max="12043" width="9.7109375" style="1121" customWidth="1"/>
    <col min="12044" max="12044" width="65.28515625" style="1121" customWidth="1"/>
    <col min="12045" max="12045" width="24.7109375" style="1121" customWidth="1"/>
    <col min="12046" max="12046" width="16.28515625" style="1121" bestFit="1" customWidth="1"/>
    <col min="12047" max="12049" width="9.7109375" style="1121" customWidth="1"/>
    <col min="12050" max="12050" width="0" style="1121" hidden="1" customWidth="1"/>
    <col min="12051" max="12051" width="9.7109375" style="1121" customWidth="1"/>
    <col min="12052" max="12288" width="9.140625" style="1121"/>
    <col min="12289" max="12289" width="15.7109375" style="1121" customWidth="1"/>
    <col min="12290" max="12290" width="20" style="1121" customWidth="1"/>
    <col min="12291" max="12292" width="15.7109375" style="1121" customWidth="1"/>
    <col min="12293" max="12293" width="18" style="1121" customWidth="1"/>
    <col min="12294" max="12294" width="30.7109375" style="1121" customWidth="1"/>
    <col min="12295" max="12295" width="10.7109375" style="1121" customWidth="1"/>
    <col min="12296" max="12296" width="6.28515625" style="1121" customWidth="1"/>
    <col min="12297" max="12297" width="11" style="1121" customWidth="1"/>
    <col min="12298" max="12298" width="33.5703125" style="1121" customWidth="1"/>
    <col min="12299" max="12299" width="9.7109375" style="1121" customWidth="1"/>
    <col min="12300" max="12300" width="65.28515625" style="1121" customWidth="1"/>
    <col min="12301" max="12301" width="24.7109375" style="1121" customWidth="1"/>
    <col min="12302" max="12302" width="16.28515625" style="1121" bestFit="1" customWidth="1"/>
    <col min="12303" max="12305" width="9.7109375" style="1121" customWidth="1"/>
    <col min="12306" max="12306" width="0" style="1121" hidden="1" customWidth="1"/>
    <col min="12307" max="12307" width="9.7109375" style="1121" customWidth="1"/>
    <col min="12308" max="12544" width="9.140625" style="1121"/>
    <col min="12545" max="12545" width="15.7109375" style="1121" customWidth="1"/>
    <col min="12546" max="12546" width="20" style="1121" customWidth="1"/>
    <col min="12547" max="12548" width="15.7109375" style="1121" customWidth="1"/>
    <col min="12549" max="12549" width="18" style="1121" customWidth="1"/>
    <col min="12550" max="12550" width="30.7109375" style="1121" customWidth="1"/>
    <col min="12551" max="12551" width="10.7109375" style="1121" customWidth="1"/>
    <col min="12552" max="12552" width="6.28515625" style="1121" customWidth="1"/>
    <col min="12553" max="12553" width="11" style="1121" customWidth="1"/>
    <col min="12554" max="12554" width="33.5703125" style="1121" customWidth="1"/>
    <col min="12555" max="12555" width="9.7109375" style="1121" customWidth="1"/>
    <col min="12556" max="12556" width="65.28515625" style="1121" customWidth="1"/>
    <col min="12557" max="12557" width="24.7109375" style="1121" customWidth="1"/>
    <col min="12558" max="12558" width="16.28515625" style="1121" bestFit="1" customWidth="1"/>
    <col min="12559" max="12561" width="9.7109375" style="1121" customWidth="1"/>
    <col min="12562" max="12562" width="0" style="1121" hidden="1" customWidth="1"/>
    <col min="12563" max="12563" width="9.7109375" style="1121" customWidth="1"/>
    <col min="12564" max="12800" width="9.140625" style="1121"/>
    <col min="12801" max="12801" width="15.7109375" style="1121" customWidth="1"/>
    <col min="12802" max="12802" width="20" style="1121" customWidth="1"/>
    <col min="12803" max="12804" width="15.7109375" style="1121" customWidth="1"/>
    <col min="12805" max="12805" width="18" style="1121" customWidth="1"/>
    <col min="12806" max="12806" width="30.7109375" style="1121" customWidth="1"/>
    <col min="12807" max="12807" width="10.7109375" style="1121" customWidth="1"/>
    <col min="12808" max="12808" width="6.28515625" style="1121" customWidth="1"/>
    <col min="12809" max="12809" width="11" style="1121" customWidth="1"/>
    <col min="12810" max="12810" width="33.5703125" style="1121" customWidth="1"/>
    <col min="12811" max="12811" width="9.7109375" style="1121" customWidth="1"/>
    <col min="12812" max="12812" width="65.28515625" style="1121" customWidth="1"/>
    <col min="12813" max="12813" width="24.7109375" style="1121" customWidth="1"/>
    <col min="12814" max="12814" width="16.28515625" style="1121" bestFit="1" customWidth="1"/>
    <col min="12815" max="12817" width="9.7109375" style="1121" customWidth="1"/>
    <col min="12818" max="12818" width="0" style="1121" hidden="1" customWidth="1"/>
    <col min="12819" max="12819" width="9.7109375" style="1121" customWidth="1"/>
    <col min="12820" max="13056" width="9.140625" style="1121"/>
    <col min="13057" max="13057" width="15.7109375" style="1121" customWidth="1"/>
    <col min="13058" max="13058" width="20" style="1121" customWidth="1"/>
    <col min="13059" max="13060" width="15.7109375" style="1121" customWidth="1"/>
    <col min="13061" max="13061" width="18" style="1121" customWidth="1"/>
    <col min="13062" max="13062" width="30.7109375" style="1121" customWidth="1"/>
    <col min="13063" max="13063" width="10.7109375" style="1121" customWidth="1"/>
    <col min="13064" max="13064" width="6.28515625" style="1121" customWidth="1"/>
    <col min="13065" max="13065" width="11" style="1121" customWidth="1"/>
    <col min="13066" max="13066" width="33.5703125" style="1121" customWidth="1"/>
    <col min="13067" max="13067" width="9.7109375" style="1121" customWidth="1"/>
    <col min="13068" max="13068" width="65.28515625" style="1121" customWidth="1"/>
    <col min="13069" max="13069" width="24.7109375" style="1121" customWidth="1"/>
    <col min="13070" max="13070" width="16.28515625" style="1121" bestFit="1" customWidth="1"/>
    <col min="13071" max="13073" width="9.7109375" style="1121" customWidth="1"/>
    <col min="13074" max="13074" width="0" style="1121" hidden="1" customWidth="1"/>
    <col min="13075" max="13075" width="9.7109375" style="1121" customWidth="1"/>
    <col min="13076" max="13312" width="9.140625" style="1121"/>
    <col min="13313" max="13313" width="15.7109375" style="1121" customWidth="1"/>
    <col min="13314" max="13314" width="20" style="1121" customWidth="1"/>
    <col min="13315" max="13316" width="15.7109375" style="1121" customWidth="1"/>
    <col min="13317" max="13317" width="18" style="1121" customWidth="1"/>
    <col min="13318" max="13318" width="30.7109375" style="1121" customWidth="1"/>
    <col min="13319" max="13319" width="10.7109375" style="1121" customWidth="1"/>
    <col min="13320" max="13320" width="6.28515625" style="1121" customWidth="1"/>
    <col min="13321" max="13321" width="11" style="1121" customWidth="1"/>
    <col min="13322" max="13322" width="33.5703125" style="1121" customWidth="1"/>
    <col min="13323" max="13323" width="9.7109375" style="1121" customWidth="1"/>
    <col min="13324" max="13324" width="65.28515625" style="1121" customWidth="1"/>
    <col min="13325" max="13325" width="24.7109375" style="1121" customWidth="1"/>
    <col min="13326" max="13326" width="16.28515625" style="1121" bestFit="1" customWidth="1"/>
    <col min="13327" max="13329" width="9.7109375" style="1121" customWidth="1"/>
    <col min="13330" max="13330" width="0" style="1121" hidden="1" customWidth="1"/>
    <col min="13331" max="13331" width="9.7109375" style="1121" customWidth="1"/>
    <col min="13332" max="13568" width="9.140625" style="1121"/>
    <col min="13569" max="13569" width="15.7109375" style="1121" customWidth="1"/>
    <col min="13570" max="13570" width="20" style="1121" customWidth="1"/>
    <col min="13571" max="13572" width="15.7109375" style="1121" customWidth="1"/>
    <col min="13573" max="13573" width="18" style="1121" customWidth="1"/>
    <col min="13574" max="13574" width="30.7109375" style="1121" customWidth="1"/>
    <col min="13575" max="13575" width="10.7109375" style="1121" customWidth="1"/>
    <col min="13576" max="13576" width="6.28515625" style="1121" customWidth="1"/>
    <col min="13577" max="13577" width="11" style="1121" customWidth="1"/>
    <col min="13578" max="13578" width="33.5703125" style="1121" customWidth="1"/>
    <col min="13579" max="13579" width="9.7109375" style="1121" customWidth="1"/>
    <col min="13580" max="13580" width="65.28515625" style="1121" customWidth="1"/>
    <col min="13581" max="13581" width="24.7109375" style="1121" customWidth="1"/>
    <col min="13582" max="13582" width="16.28515625" style="1121" bestFit="1" customWidth="1"/>
    <col min="13583" max="13585" width="9.7109375" style="1121" customWidth="1"/>
    <col min="13586" max="13586" width="0" style="1121" hidden="1" customWidth="1"/>
    <col min="13587" max="13587" width="9.7109375" style="1121" customWidth="1"/>
    <col min="13588" max="13824" width="9.140625" style="1121"/>
    <col min="13825" max="13825" width="15.7109375" style="1121" customWidth="1"/>
    <col min="13826" max="13826" width="20" style="1121" customWidth="1"/>
    <col min="13827" max="13828" width="15.7109375" style="1121" customWidth="1"/>
    <col min="13829" max="13829" width="18" style="1121" customWidth="1"/>
    <col min="13830" max="13830" width="30.7109375" style="1121" customWidth="1"/>
    <col min="13831" max="13831" width="10.7109375" style="1121" customWidth="1"/>
    <col min="13832" max="13832" width="6.28515625" style="1121" customWidth="1"/>
    <col min="13833" max="13833" width="11" style="1121" customWidth="1"/>
    <col min="13834" max="13834" width="33.5703125" style="1121" customWidth="1"/>
    <col min="13835" max="13835" width="9.7109375" style="1121" customWidth="1"/>
    <col min="13836" max="13836" width="65.28515625" style="1121" customWidth="1"/>
    <col min="13837" max="13837" width="24.7109375" style="1121" customWidth="1"/>
    <col min="13838" max="13838" width="16.28515625" style="1121" bestFit="1" customWidth="1"/>
    <col min="13839" max="13841" width="9.7109375" style="1121" customWidth="1"/>
    <col min="13842" max="13842" width="0" style="1121" hidden="1" customWidth="1"/>
    <col min="13843" max="13843" width="9.7109375" style="1121" customWidth="1"/>
    <col min="13844" max="14080" width="9.140625" style="1121"/>
    <col min="14081" max="14081" width="15.7109375" style="1121" customWidth="1"/>
    <col min="14082" max="14082" width="20" style="1121" customWidth="1"/>
    <col min="14083" max="14084" width="15.7109375" style="1121" customWidth="1"/>
    <col min="14085" max="14085" width="18" style="1121" customWidth="1"/>
    <col min="14086" max="14086" width="30.7109375" style="1121" customWidth="1"/>
    <col min="14087" max="14087" width="10.7109375" style="1121" customWidth="1"/>
    <col min="14088" max="14088" width="6.28515625" style="1121" customWidth="1"/>
    <col min="14089" max="14089" width="11" style="1121" customWidth="1"/>
    <col min="14090" max="14090" width="33.5703125" style="1121" customWidth="1"/>
    <col min="14091" max="14091" width="9.7109375" style="1121" customWidth="1"/>
    <col min="14092" max="14092" width="65.28515625" style="1121" customWidth="1"/>
    <col min="14093" max="14093" width="24.7109375" style="1121" customWidth="1"/>
    <col min="14094" max="14094" width="16.28515625" style="1121" bestFit="1" customWidth="1"/>
    <col min="14095" max="14097" width="9.7109375" style="1121" customWidth="1"/>
    <col min="14098" max="14098" width="0" style="1121" hidden="1" customWidth="1"/>
    <col min="14099" max="14099" width="9.7109375" style="1121" customWidth="1"/>
    <col min="14100" max="14336" width="9.140625" style="1121"/>
    <col min="14337" max="14337" width="15.7109375" style="1121" customWidth="1"/>
    <col min="14338" max="14338" width="20" style="1121" customWidth="1"/>
    <col min="14339" max="14340" width="15.7109375" style="1121" customWidth="1"/>
    <col min="14341" max="14341" width="18" style="1121" customWidth="1"/>
    <col min="14342" max="14342" width="30.7109375" style="1121" customWidth="1"/>
    <col min="14343" max="14343" width="10.7109375" style="1121" customWidth="1"/>
    <col min="14344" max="14344" width="6.28515625" style="1121" customWidth="1"/>
    <col min="14345" max="14345" width="11" style="1121" customWidth="1"/>
    <col min="14346" max="14346" width="33.5703125" style="1121" customWidth="1"/>
    <col min="14347" max="14347" width="9.7109375" style="1121" customWidth="1"/>
    <col min="14348" max="14348" width="65.28515625" style="1121" customWidth="1"/>
    <col min="14349" max="14349" width="24.7109375" style="1121" customWidth="1"/>
    <col min="14350" max="14350" width="16.28515625" style="1121" bestFit="1" customWidth="1"/>
    <col min="14351" max="14353" width="9.7109375" style="1121" customWidth="1"/>
    <col min="14354" max="14354" width="0" style="1121" hidden="1" customWidth="1"/>
    <col min="14355" max="14355" width="9.7109375" style="1121" customWidth="1"/>
    <col min="14356" max="14592" width="9.140625" style="1121"/>
    <col min="14593" max="14593" width="15.7109375" style="1121" customWidth="1"/>
    <col min="14594" max="14594" width="20" style="1121" customWidth="1"/>
    <col min="14595" max="14596" width="15.7109375" style="1121" customWidth="1"/>
    <col min="14597" max="14597" width="18" style="1121" customWidth="1"/>
    <col min="14598" max="14598" width="30.7109375" style="1121" customWidth="1"/>
    <col min="14599" max="14599" width="10.7109375" style="1121" customWidth="1"/>
    <col min="14600" max="14600" width="6.28515625" style="1121" customWidth="1"/>
    <col min="14601" max="14601" width="11" style="1121" customWidth="1"/>
    <col min="14602" max="14602" width="33.5703125" style="1121" customWidth="1"/>
    <col min="14603" max="14603" width="9.7109375" style="1121" customWidth="1"/>
    <col min="14604" max="14604" width="65.28515625" style="1121" customWidth="1"/>
    <col min="14605" max="14605" width="24.7109375" style="1121" customWidth="1"/>
    <col min="14606" max="14606" width="16.28515625" style="1121" bestFit="1" customWidth="1"/>
    <col min="14607" max="14609" width="9.7109375" style="1121" customWidth="1"/>
    <col min="14610" max="14610" width="0" style="1121" hidden="1" customWidth="1"/>
    <col min="14611" max="14611" width="9.7109375" style="1121" customWidth="1"/>
    <col min="14612" max="14848" width="9.140625" style="1121"/>
    <col min="14849" max="14849" width="15.7109375" style="1121" customWidth="1"/>
    <col min="14850" max="14850" width="20" style="1121" customWidth="1"/>
    <col min="14851" max="14852" width="15.7109375" style="1121" customWidth="1"/>
    <col min="14853" max="14853" width="18" style="1121" customWidth="1"/>
    <col min="14854" max="14854" width="30.7109375" style="1121" customWidth="1"/>
    <col min="14855" max="14855" width="10.7109375" style="1121" customWidth="1"/>
    <col min="14856" max="14856" width="6.28515625" style="1121" customWidth="1"/>
    <col min="14857" max="14857" width="11" style="1121" customWidth="1"/>
    <col min="14858" max="14858" width="33.5703125" style="1121" customWidth="1"/>
    <col min="14859" max="14859" width="9.7109375" style="1121" customWidth="1"/>
    <col min="14860" max="14860" width="65.28515625" style="1121" customWidth="1"/>
    <col min="14861" max="14861" width="24.7109375" style="1121" customWidth="1"/>
    <col min="14862" max="14862" width="16.28515625" style="1121" bestFit="1" customWidth="1"/>
    <col min="14863" max="14865" width="9.7109375" style="1121" customWidth="1"/>
    <col min="14866" max="14866" width="0" style="1121" hidden="1" customWidth="1"/>
    <col min="14867" max="14867" width="9.7109375" style="1121" customWidth="1"/>
    <col min="14868" max="15104" width="9.140625" style="1121"/>
    <col min="15105" max="15105" width="15.7109375" style="1121" customWidth="1"/>
    <col min="15106" max="15106" width="20" style="1121" customWidth="1"/>
    <col min="15107" max="15108" width="15.7109375" style="1121" customWidth="1"/>
    <col min="15109" max="15109" width="18" style="1121" customWidth="1"/>
    <col min="15110" max="15110" width="30.7109375" style="1121" customWidth="1"/>
    <col min="15111" max="15111" width="10.7109375" style="1121" customWidth="1"/>
    <col min="15112" max="15112" width="6.28515625" style="1121" customWidth="1"/>
    <col min="15113" max="15113" width="11" style="1121" customWidth="1"/>
    <col min="15114" max="15114" width="33.5703125" style="1121" customWidth="1"/>
    <col min="15115" max="15115" width="9.7109375" style="1121" customWidth="1"/>
    <col min="15116" max="15116" width="65.28515625" style="1121" customWidth="1"/>
    <col min="15117" max="15117" width="24.7109375" style="1121" customWidth="1"/>
    <col min="15118" max="15118" width="16.28515625" style="1121" bestFit="1" customWidth="1"/>
    <col min="15119" max="15121" width="9.7109375" style="1121" customWidth="1"/>
    <col min="15122" max="15122" width="0" style="1121" hidden="1" customWidth="1"/>
    <col min="15123" max="15123" width="9.7109375" style="1121" customWidth="1"/>
    <col min="15124" max="15360" width="9.140625" style="1121"/>
    <col min="15361" max="15361" width="15.7109375" style="1121" customWidth="1"/>
    <col min="15362" max="15362" width="20" style="1121" customWidth="1"/>
    <col min="15363" max="15364" width="15.7109375" style="1121" customWidth="1"/>
    <col min="15365" max="15365" width="18" style="1121" customWidth="1"/>
    <col min="15366" max="15366" width="30.7109375" style="1121" customWidth="1"/>
    <col min="15367" max="15367" width="10.7109375" style="1121" customWidth="1"/>
    <col min="15368" max="15368" width="6.28515625" style="1121" customWidth="1"/>
    <col min="15369" max="15369" width="11" style="1121" customWidth="1"/>
    <col min="15370" max="15370" width="33.5703125" style="1121" customWidth="1"/>
    <col min="15371" max="15371" width="9.7109375" style="1121" customWidth="1"/>
    <col min="15372" max="15372" width="65.28515625" style="1121" customWidth="1"/>
    <col min="15373" max="15373" width="24.7109375" style="1121" customWidth="1"/>
    <col min="15374" max="15374" width="16.28515625" style="1121" bestFit="1" customWidth="1"/>
    <col min="15375" max="15377" width="9.7109375" style="1121" customWidth="1"/>
    <col min="15378" max="15378" width="0" style="1121" hidden="1" customWidth="1"/>
    <col min="15379" max="15379" width="9.7109375" style="1121" customWidth="1"/>
    <col min="15380" max="15616" width="9.140625" style="1121"/>
    <col min="15617" max="15617" width="15.7109375" style="1121" customWidth="1"/>
    <col min="15618" max="15618" width="20" style="1121" customWidth="1"/>
    <col min="15619" max="15620" width="15.7109375" style="1121" customWidth="1"/>
    <col min="15621" max="15621" width="18" style="1121" customWidth="1"/>
    <col min="15622" max="15622" width="30.7109375" style="1121" customWidth="1"/>
    <col min="15623" max="15623" width="10.7109375" style="1121" customWidth="1"/>
    <col min="15624" max="15624" width="6.28515625" style="1121" customWidth="1"/>
    <col min="15625" max="15625" width="11" style="1121" customWidth="1"/>
    <col min="15626" max="15626" width="33.5703125" style="1121" customWidth="1"/>
    <col min="15627" max="15627" width="9.7109375" style="1121" customWidth="1"/>
    <col min="15628" max="15628" width="65.28515625" style="1121" customWidth="1"/>
    <col min="15629" max="15629" width="24.7109375" style="1121" customWidth="1"/>
    <col min="15630" max="15630" width="16.28515625" style="1121" bestFit="1" customWidth="1"/>
    <col min="15631" max="15633" width="9.7109375" style="1121" customWidth="1"/>
    <col min="15634" max="15634" width="0" style="1121" hidden="1" customWidth="1"/>
    <col min="15635" max="15635" width="9.7109375" style="1121" customWidth="1"/>
    <col min="15636" max="15872" width="9.140625" style="1121"/>
    <col min="15873" max="15873" width="15.7109375" style="1121" customWidth="1"/>
    <col min="15874" max="15874" width="20" style="1121" customWidth="1"/>
    <col min="15875" max="15876" width="15.7109375" style="1121" customWidth="1"/>
    <col min="15877" max="15877" width="18" style="1121" customWidth="1"/>
    <col min="15878" max="15878" width="30.7109375" style="1121" customWidth="1"/>
    <col min="15879" max="15879" width="10.7109375" style="1121" customWidth="1"/>
    <col min="15880" max="15880" width="6.28515625" style="1121" customWidth="1"/>
    <col min="15881" max="15881" width="11" style="1121" customWidth="1"/>
    <col min="15882" max="15882" width="33.5703125" style="1121" customWidth="1"/>
    <col min="15883" max="15883" width="9.7109375" style="1121" customWidth="1"/>
    <col min="15884" max="15884" width="65.28515625" style="1121" customWidth="1"/>
    <col min="15885" max="15885" width="24.7109375" style="1121" customWidth="1"/>
    <col min="15886" max="15886" width="16.28515625" style="1121" bestFit="1" customWidth="1"/>
    <col min="15887" max="15889" width="9.7109375" style="1121" customWidth="1"/>
    <col min="15890" max="15890" width="0" style="1121" hidden="1" customWidth="1"/>
    <col min="15891" max="15891" width="9.7109375" style="1121" customWidth="1"/>
    <col min="15892" max="16128" width="9.140625" style="1121"/>
    <col min="16129" max="16129" width="15.7109375" style="1121" customWidth="1"/>
    <col min="16130" max="16130" width="20" style="1121" customWidth="1"/>
    <col min="16131" max="16132" width="15.7109375" style="1121" customWidth="1"/>
    <col min="16133" max="16133" width="18" style="1121" customWidth="1"/>
    <col min="16134" max="16134" width="30.7109375" style="1121" customWidth="1"/>
    <col min="16135" max="16135" width="10.7109375" style="1121" customWidth="1"/>
    <col min="16136" max="16136" width="6.28515625" style="1121" customWidth="1"/>
    <col min="16137" max="16137" width="11" style="1121" customWidth="1"/>
    <col min="16138" max="16138" width="33.5703125" style="1121" customWidth="1"/>
    <col min="16139" max="16139" width="9.7109375" style="1121" customWidth="1"/>
    <col min="16140" max="16140" width="65.28515625" style="1121" customWidth="1"/>
    <col min="16141" max="16141" width="24.7109375" style="1121" customWidth="1"/>
    <col min="16142" max="16142" width="16.28515625" style="1121" bestFit="1" customWidth="1"/>
    <col min="16143" max="16145" width="9.7109375" style="1121" customWidth="1"/>
    <col min="16146" max="16146" width="0" style="1121" hidden="1" customWidth="1"/>
    <col min="16147" max="16147" width="9.7109375" style="1121" customWidth="1"/>
    <col min="16148" max="16384" width="9.140625" style="1121"/>
  </cols>
  <sheetData>
    <row r="1" spans="1:54" s="1119" customFormat="1" ht="18.75">
      <c r="A1" s="1881" t="s">
        <v>3609</v>
      </c>
      <c r="B1" s="1155" t="s">
        <v>3980</v>
      </c>
      <c r="C1" s="1118"/>
      <c r="D1" s="906"/>
      <c r="E1" s="906"/>
      <c r="F1" s="1122"/>
      <c r="G1" s="906"/>
      <c r="H1" s="2436" t="s">
        <v>2595</v>
      </c>
      <c r="I1" s="2437"/>
      <c r="J1" s="1158" t="s">
        <v>3610</v>
      </c>
    </row>
    <row r="2" spans="1:54" s="1119" customFormat="1">
      <c r="B2" s="1034" t="s">
        <v>3198</v>
      </c>
      <c r="C2" s="1035">
        <f>'Basic Info'!C29:D29</f>
        <v>0</v>
      </c>
      <c r="D2" s="906"/>
      <c r="E2" s="906"/>
      <c r="F2" s="1122"/>
      <c r="G2" s="906"/>
      <c r="H2" s="2438"/>
      <c r="I2" s="2439"/>
      <c r="J2" s="1006"/>
    </row>
    <row r="3" spans="1:54" s="1119" customFormat="1">
      <c r="B3" s="906"/>
      <c r="C3" s="906"/>
      <c r="D3" s="906"/>
      <c r="E3" s="906"/>
      <c r="F3" s="1122"/>
      <c r="G3" s="906"/>
      <c r="H3" s="2438"/>
      <c r="I3" s="2439"/>
      <c r="J3" s="1006"/>
    </row>
    <row r="4" spans="1:54">
      <c r="B4" s="896"/>
      <c r="C4" s="906"/>
      <c r="D4" s="906"/>
      <c r="E4" s="906"/>
      <c r="F4" s="1122"/>
      <c r="G4" s="906"/>
      <c r="H4" s="2438"/>
      <c r="I4" s="2439"/>
      <c r="J4" s="1006"/>
    </row>
    <row r="5" spans="1:54">
      <c r="B5" s="1121"/>
      <c r="C5" s="895"/>
      <c r="D5" s="936"/>
      <c r="E5" s="936"/>
      <c r="F5" s="936"/>
      <c r="G5" s="936"/>
      <c r="H5" s="2438"/>
      <c r="I5" s="2439"/>
      <c r="J5" s="1006"/>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1120"/>
      <c r="AJ5" s="1120"/>
      <c r="AK5" s="1120"/>
      <c r="AL5" s="1120"/>
      <c r="AM5" s="1120"/>
      <c r="AN5" s="1120"/>
      <c r="AO5" s="1120"/>
      <c r="AP5" s="1120"/>
      <c r="AQ5" s="1120"/>
      <c r="AR5" s="1120"/>
      <c r="AS5" s="1120"/>
      <c r="AT5" s="1120"/>
      <c r="AU5" s="1120"/>
      <c r="AV5" s="1120"/>
      <c r="AW5" s="1120"/>
      <c r="AX5" s="1120"/>
      <c r="AY5" s="1120"/>
      <c r="AZ5" s="1120"/>
      <c r="BA5" s="1120"/>
      <c r="BB5" s="1120"/>
    </row>
    <row r="6" spans="1:54">
      <c r="B6" s="1011" t="s">
        <v>3981</v>
      </c>
      <c r="C6" s="895"/>
      <c r="D6" s="936"/>
      <c r="E6" s="936"/>
      <c r="F6" s="936"/>
      <c r="G6" s="936"/>
      <c r="H6" s="1225"/>
      <c r="I6" s="1225"/>
      <c r="J6" s="1226"/>
      <c r="L6" s="1120"/>
      <c r="M6" s="1120"/>
      <c r="N6" s="1120"/>
      <c r="O6" s="1120"/>
      <c r="P6" s="1120"/>
      <c r="Q6" s="1120"/>
      <c r="R6" s="1120"/>
      <c r="S6" s="1120"/>
      <c r="T6" s="1120"/>
      <c r="U6" s="1120"/>
      <c r="V6" s="1120"/>
      <c r="W6" s="1120"/>
      <c r="X6" s="1120"/>
      <c r="Y6" s="1120"/>
      <c r="Z6" s="1120"/>
      <c r="AA6" s="1120"/>
      <c r="AB6" s="1120"/>
      <c r="AC6" s="1120"/>
      <c r="AD6" s="1120"/>
      <c r="AE6" s="1120"/>
      <c r="AF6" s="1120"/>
      <c r="AG6" s="1120"/>
      <c r="AH6" s="1120"/>
      <c r="AI6" s="1120"/>
      <c r="AJ6" s="1120"/>
      <c r="AK6" s="1120"/>
      <c r="AL6" s="1120"/>
      <c r="AM6" s="1120"/>
      <c r="AN6" s="1120"/>
      <c r="AO6" s="1120"/>
      <c r="AP6" s="1120"/>
      <c r="AQ6" s="1120"/>
      <c r="AR6" s="1120"/>
      <c r="AS6" s="1120"/>
      <c r="AT6" s="1120"/>
      <c r="AU6" s="1120"/>
      <c r="AV6" s="1120"/>
      <c r="AW6" s="1120"/>
      <c r="AX6" s="1120"/>
      <c r="AY6" s="1120"/>
      <c r="AZ6" s="1120"/>
      <c r="BA6" s="1120"/>
      <c r="BB6" s="1120"/>
    </row>
    <row r="7" spans="1:54" ht="12" customHeight="1">
      <c r="B7" s="2395" t="s">
        <v>3659</v>
      </c>
      <c r="C7" s="2395"/>
      <c r="D7" s="2395"/>
      <c r="E7" s="2395"/>
      <c r="F7" s="2395"/>
      <c r="G7" s="2395"/>
      <c r="H7" s="2395"/>
      <c r="I7" s="2395"/>
      <c r="J7" s="2395"/>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1120"/>
      <c r="AU7" s="1120"/>
      <c r="AV7" s="1120"/>
      <c r="AW7" s="1120"/>
      <c r="AX7" s="1120"/>
      <c r="AY7" s="1120"/>
      <c r="AZ7" s="1120"/>
      <c r="BA7" s="1120"/>
      <c r="BB7" s="1120"/>
    </row>
    <row r="8" spans="1:54" ht="12" customHeight="1">
      <c r="B8" s="2395" t="s">
        <v>3660</v>
      </c>
      <c r="C8" s="2395"/>
      <c r="D8" s="2395"/>
      <c r="E8" s="2395"/>
      <c r="F8" s="2395"/>
      <c r="G8" s="2395"/>
      <c r="H8" s="2395"/>
      <c r="I8" s="2395"/>
      <c r="J8" s="2395"/>
      <c r="L8" s="1120"/>
      <c r="M8" s="1120"/>
      <c r="N8" s="1120"/>
      <c r="O8" s="1120"/>
      <c r="P8" s="1120"/>
      <c r="Q8" s="1120"/>
      <c r="R8" s="1120"/>
      <c r="S8" s="1120"/>
      <c r="T8" s="1120"/>
      <c r="U8" s="1120"/>
      <c r="V8" s="1120"/>
      <c r="W8" s="1120"/>
      <c r="X8" s="1120"/>
      <c r="Y8" s="1120"/>
      <c r="Z8" s="1120"/>
      <c r="AA8" s="1120"/>
      <c r="AB8" s="1120"/>
      <c r="AC8" s="1120"/>
      <c r="AD8" s="1120"/>
      <c r="AE8" s="1120"/>
      <c r="AF8" s="1120"/>
      <c r="AG8" s="1120"/>
      <c r="AH8" s="1120"/>
      <c r="AI8" s="1120"/>
      <c r="AJ8" s="1120"/>
      <c r="AK8" s="1120"/>
      <c r="AL8" s="1120"/>
      <c r="AM8" s="1120"/>
      <c r="AN8" s="1120"/>
      <c r="AO8" s="1120"/>
      <c r="AP8" s="1120"/>
      <c r="AQ8" s="1120"/>
      <c r="AR8" s="1120"/>
      <c r="AS8" s="1120"/>
      <c r="AT8" s="1120"/>
      <c r="AU8" s="1120"/>
      <c r="AV8" s="1120"/>
      <c r="AW8" s="1120"/>
      <c r="AX8" s="1120"/>
      <c r="AY8" s="1120"/>
      <c r="AZ8" s="1120"/>
      <c r="BA8" s="1120"/>
      <c r="BB8" s="1120"/>
    </row>
    <row r="9" spans="1:54">
      <c r="B9" s="936"/>
      <c r="C9" s="895"/>
      <c r="D9" s="936"/>
      <c r="E9" s="936"/>
      <c r="F9" s="936"/>
      <c r="G9" s="936"/>
      <c r="H9" s="923"/>
      <c r="I9" s="923"/>
      <c r="J9" s="1122"/>
    </row>
    <row r="10" spans="1:54">
      <c r="B10" s="1011" t="s">
        <v>3927</v>
      </c>
      <c r="C10" s="895"/>
      <c r="D10" s="936"/>
      <c r="E10" s="936"/>
      <c r="F10" s="936"/>
      <c r="G10" s="936"/>
      <c r="H10" s="923"/>
      <c r="I10" s="923"/>
      <c r="J10" s="1122"/>
    </row>
    <row r="11" spans="1:54">
      <c r="B11" s="936" t="s">
        <v>3613</v>
      </c>
      <c r="C11" s="895"/>
      <c r="D11" s="936"/>
      <c r="E11" s="936"/>
      <c r="F11" s="936"/>
      <c r="G11" s="936"/>
      <c r="H11" s="923"/>
      <c r="I11" s="923"/>
      <c r="J11" s="923"/>
    </row>
    <row r="12" spans="1:54">
      <c r="B12" s="936" t="s">
        <v>3661</v>
      </c>
      <c r="C12" s="895"/>
      <c r="D12" s="936"/>
      <c r="E12" s="936"/>
      <c r="F12" s="936"/>
      <c r="G12" s="936"/>
      <c r="H12" s="923"/>
      <c r="I12" s="923"/>
      <c r="J12" s="923"/>
    </row>
    <row r="13" spans="1:54">
      <c r="B13" s="936" t="s">
        <v>3662</v>
      </c>
      <c r="C13" s="895"/>
      <c r="D13" s="936"/>
      <c r="E13" s="936"/>
      <c r="F13" s="936"/>
      <c r="G13" s="936"/>
      <c r="H13" s="923"/>
      <c r="I13" s="923"/>
      <c r="J13" s="923"/>
    </row>
    <row r="14" spans="1:54">
      <c r="B14" s="936" t="s">
        <v>3663</v>
      </c>
      <c r="C14" s="895"/>
      <c r="D14" s="936"/>
      <c r="E14" s="936"/>
      <c r="F14" s="936"/>
      <c r="G14" s="936"/>
      <c r="H14" s="923"/>
      <c r="I14" s="923"/>
      <c r="J14" s="923"/>
    </row>
    <row r="15" spans="1:54">
      <c r="B15" s="936"/>
      <c r="C15" s="895"/>
      <c r="D15" s="936"/>
      <c r="E15" s="936"/>
      <c r="F15" s="936"/>
      <c r="G15" s="936"/>
      <c r="H15" s="923"/>
      <c r="I15" s="923"/>
      <c r="J15" s="923"/>
    </row>
    <row r="16" spans="1:54">
      <c r="B16" s="1011" t="s">
        <v>3982</v>
      </c>
      <c r="C16" s="895"/>
      <c r="D16" s="936"/>
      <c r="E16" s="936"/>
      <c r="F16" s="936"/>
      <c r="G16" s="936"/>
      <c r="H16" s="923"/>
      <c r="I16" s="923"/>
      <c r="J16" s="923"/>
    </row>
    <row r="17" spans="1:18">
      <c r="B17" s="2395" t="s">
        <v>3971</v>
      </c>
      <c r="C17" s="2395"/>
      <c r="D17" s="2395"/>
      <c r="E17" s="2395"/>
      <c r="F17" s="2395"/>
      <c r="G17" s="2395"/>
      <c r="H17" s="2395"/>
      <c r="I17" s="2395"/>
      <c r="J17" s="2395"/>
    </row>
    <row r="18" spans="1:18">
      <c r="B18" s="2395" t="s">
        <v>3972</v>
      </c>
      <c r="C18" s="2395"/>
      <c r="D18" s="2395"/>
      <c r="E18" s="2395"/>
      <c r="F18" s="2395"/>
      <c r="G18" s="2395"/>
      <c r="H18" s="2395"/>
      <c r="I18" s="2395"/>
      <c r="J18" s="2395"/>
    </row>
    <row r="19" spans="1:18">
      <c r="B19" s="2395" t="s">
        <v>3664</v>
      </c>
      <c r="C19" s="2395"/>
      <c r="D19" s="2395"/>
      <c r="E19" s="2395"/>
      <c r="F19" s="2395"/>
      <c r="G19" s="2395"/>
      <c r="H19" s="2395"/>
      <c r="I19" s="2395"/>
      <c r="J19" s="2395"/>
    </row>
    <row r="20" spans="1:18">
      <c r="B20" s="2395" t="s">
        <v>3983</v>
      </c>
      <c r="C20" s="2395"/>
      <c r="D20" s="2395"/>
      <c r="E20" s="2395"/>
      <c r="F20" s="2395"/>
      <c r="G20" s="2395"/>
      <c r="H20" s="923"/>
      <c r="I20" s="923"/>
      <c r="J20" s="923"/>
      <c r="K20" s="1123"/>
      <c r="L20" s="1124"/>
      <c r="M20" s="1124"/>
      <c r="N20" s="1124"/>
      <c r="O20" s="1124"/>
      <c r="P20" s="1124"/>
      <c r="Q20" s="1124"/>
      <c r="R20" s="1124"/>
    </row>
    <row r="21" spans="1:18" s="1128" customFormat="1">
      <c r="A21" s="1125"/>
      <c r="B21" s="2459" t="s">
        <v>4008</v>
      </c>
      <c r="C21" s="2459"/>
      <c r="D21" s="2459"/>
      <c r="E21" s="2459"/>
      <c r="F21" s="2459"/>
      <c r="G21" s="2459"/>
      <c r="H21" s="2459"/>
      <c r="I21" s="2459"/>
      <c r="J21" s="2459"/>
      <c r="K21" s="1126"/>
      <c r="L21" s="1127"/>
      <c r="M21" s="1127"/>
      <c r="N21" s="1127"/>
      <c r="O21" s="1127"/>
      <c r="P21" s="1127"/>
      <c r="Q21" s="1127"/>
      <c r="R21" s="1127"/>
    </row>
    <row r="22" spans="1:18">
      <c r="A22" s="1129"/>
      <c r="B22" s="2457" t="s">
        <v>4006</v>
      </c>
      <c r="C22" s="2458"/>
      <c r="D22" s="2458"/>
      <c r="E22" s="2458"/>
      <c r="F22" s="2458"/>
      <c r="G22" s="2458"/>
      <c r="H22" s="2458"/>
      <c r="I22" s="2458"/>
      <c r="J22" s="2458"/>
      <c r="K22" s="1123"/>
      <c r="L22" s="1124"/>
      <c r="M22" s="1124"/>
      <c r="N22" s="1124"/>
      <c r="O22" s="1124"/>
      <c r="P22" s="1124"/>
      <c r="Q22" s="1124"/>
      <c r="R22" s="1124"/>
    </row>
    <row r="23" spans="1:18">
      <c r="A23" s="1129"/>
      <c r="B23" s="2457" t="s">
        <v>4007</v>
      </c>
      <c r="C23" s="2458"/>
      <c r="D23" s="2458"/>
      <c r="E23" s="2458"/>
      <c r="F23" s="2458"/>
      <c r="G23" s="2458"/>
      <c r="H23" s="2458"/>
      <c r="I23" s="2458"/>
      <c r="J23" s="2458"/>
      <c r="K23" s="1123"/>
      <c r="L23" s="1124"/>
      <c r="M23" s="1124"/>
      <c r="N23" s="1124"/>
      <c r="O23" s="1124"/>
      <c r="P23" s="1124"/>
      <c r="Q23" s="1124"/>
      <c r="R23" s="1124"/>
    </row>
    <row r="24" spans="1:18">
      <c r="A24" s="1129"/>
      <c r="B24" s="2457" t="s">
        <v>4009</v>
      </c>
      <c r="C24" s="2458"/>
      <c r="D24" s="2458"/>
      <c r="E24" s="2458"/>
      <c r="F24" s="2458"/>
      <c r="G24" s="2458"/>
      <c r="H24" s="2458"/>
      <c r="I24" s="2458"/>
      <c r="J24" s="2458"/>
      <c r="K24" s="1123"/>
      <c r="L24" s="1124"/>
      <c r="M24" s="1124"/>
      <c r="N24" s="1124"/>
      <c r="O24" s="1124"/>
      <c r="P24" s="1124"/>
      <c r="Q24" s="1124"/>
      <c r="R24" s="1124"/>
    </row>
    <row r="25" spans="1:18">
      <c r="A25" s="1129"/>
      <c r="B25" s="1058"/>
      <c r="C25" s="1058"/>
      <c r="D25" s="1058"/>
      <c r="E25" s="1058"/>
      <c r="F25" s="1151"/>
      <c r="G25" s="1131"/>
      <c r="H25" s="1130"/>
      <c r="I25" s="1130"/>
      <c r="J25" s="1131"/>
      <c r="K25" s="1123"/>
      <c r="L25" s="1124"/>
      <c r="M25" s="1124"/>
      <c r="N25" s="1124"/>
      <c r="O25" s="1124"/>
      <c r="P25" s="1124"/>
      <c r="Q25" s="1124"/>
      <c r="R25" s="1124"/>
    </row>
    <row r="26" spans="1:18">
      <c r="B26" s="1165" t="s">
        <v>3928</v>
      </c>
      <c r="C26" s="1037"/>
      <c r="D26" s="1037"/>
      <c r="E26" s="1037"/>
      <c r="F26" s="898"/>
      <c r="G26" s="1132"/>
      <c r="H26" s="1133"/>
      <c r="I26" s="1124"/>
      <c r="J26" s="1124"/>
      <c r="K26" s="1124"/>
      <c r="L26" s="1124"/>
      <c r="M26" s="1124"/>
    </row>
    <row r="27" spans="1:18" ht="80.25" customHeight="1">
      <c r="A27" s="1121"/>
      <c r="B27" s="2381" t="s">
        <v>3666</v>
      </c>
      <c r="C27" s="2382"/>
      <c r="D27" s="2382"/>
      <c r="E27" s="2382"/>
      <c r="F27" s="2382"/>
      <c r="G27" s="2382"/>
      <c r="H27" s="2382"/>
      <c r="I27" s="2382"/>
      <c r="J27" s="2382"/>
      <c r="K27" s="1121"/>
    </row>
    <row r="28" spans="1:18" ht="51.75" customHeight="1">
      <c r="A28" s="1129"/>
      <c r="B28" s="2428" t="s">
        <v>3973</v>
      </c>
      <c r="C28" s="2428"/>
      <c r="D28" s="2428"/>
      <c r="E28" s="2428"/>
      <c r="F28" s="2453" t="s">
        <v>3974</v>
      </c>
      <c r="G28" s="2454"/>
      <c r="H28" s="1083" t="s">
        <v>3627</v>
      </c>
      <c r="I28" s="2388" t="s">
        <v>3975</v>
      </c>
      <c r="J28" s="2390"/>
      <c r="K28" s="1123"/>
      <c r="L28" s="1153" t="s">
        <v>3667</v>
      </c>
      <c r="M28" s="1154" t="s">
        <v>3668</v>
      </c>
      <c r="N28" s="1153" t="s">
        <v>3669</v>
      </c>
      <c r="O28" s="1133"/>
      <c r="P28" s="1133"/>
      <c r="Q28" s="1133"/>
      <c r="R28" s="1124"/>
    </row>
    <row r="29" spans="1:18" s="1139" customFormat="1" ht="12" customHeight="1">
      <c r="A29" s="1134"/>
      <c r="B29" s="2429" t="s">
        <v>3670</v>
      </c>
      <c r="C29" s="2430"/>
      <c r="D29" s="2430"/>
      <c r="E29" s="1135" t="s">
        <v>3671</v>
      </c>
      <c r="F29" s="2455"/>
      <c r="G29" s="2455"/>
      <c r="H29" s="1161"/>
      <c r="I29" s="2451"/>
      <c r="J29" s="2452"/>
      <c r="K29" s="1136"/>
      <c r="L29" s="1137" t="s">
        <v>3672</v>
      </c>
      <c r="M29" s="1138">
        <v>5</v>
      </c>
      <c r="N29" s="1137" t="s">
        <v>3673</v>
      </c>
      <c r="O29" s="1133"/>
      <c r="P29" s="1133"/>
      <c r="Q29" s="1133"/>
      <c r="R29" s="1133"/>
    </row>
    <row r="30" spans="1:18" s="1139" customFormat="1">
      <c r="A30" s="1134"/>
      <c r="B30" s="2431"/>
      <c r="C30" s="2432"/>
      <c r="D30" s="2432"/>
      <c r="E30" s="1140" t="s">
        <v>3674</v>
      </c>
      <c r="F30" s="2456"/>
      <c r="G30" s="2456"/>
      <c r="H30" s="1161"/>
      <c r="I30" s="2451"/>
      <c r="J30" s="2452"/>
      <c r="K30" s="1136"/>
      <c r="L30" s="1137" t="s">
        <v>3675</v>
      </c>
      <c r="M30" s="1141">
        <v>5.6</v>
      </c>
      <c r="N30" s="1137" t="s">
        <v>3676</v>
      </c>
      <c r="O30" s="1133"/>
      <c r="P30" s="1133"/>
      <c r="Q30" s="1133"/>
      <c r="R30" s="1133"/>
    </row>
    <row r="31" spans="1:18" s="1139" customFormat="1">
      <c r="A31" s="1134"/>
      <c r="B31" s="2431"/>
      <c r="C31" s="2432"/>
      <c r="D31" s="2432"/>
      <c r="E31" s="1140" t="s">
        <v>3677</v>
      </c>
      <c r="F31" s="2456"/>
      <c r="G31" s="2456"/>
      <c r="H31" s="1161"/>
      <c r="I31" s="2451"/>
      <c r="J31" s="2452"/>
      <c r="K31" s="1136"/>
      <c r="L31" s="1137" t="s">
        <v>3678</v>
      </c>
      <c r="M31" s="1141">
        <v>3.4</v>
      </c>
      <c r="N31" s="1137" t="s">
        <v>3679</v>
      </c>
      <c r="O31" s="1133"/>
      <c r="P31" s="1133"/>
      <c r="Q31" s="1133"/>
      <c r="R31" s="1133"/>
    </row>
    <row r="32" spans="1:18" s="1139" customFormat="1">
      <c r="A32" s="1134"/>
      <c r="B32" s="2431"/>
      <c r="C32" s="2432"/>
      <c r="D32" s="2432"/>
      <c r="E32" s="1140" t="s">
        <v>3680</v>
      </c>
      <c r="F32" s="2455"/>
      <c r="G32" s="2455"/>
      <c r="H32" s="1161"/>
      <c r="I32" s="2451"/>
      <c r="J32" s="2452"/>
      <c r="K32" s="1136"/>
      <c r="L32" s="1137" t="s">
        <v>3681</v>
      </c>
      <c r="M32" s="1141">
        <v>3.4</v>
      </c>
      <c r="N32" s="1137" t="s">
        <v>3679</v>
      </c>
      <c r="O32" s="1133"/>
      <c r="P32" s="1133"/>
      <c r="Q32" s="1133"/>
      <c r="R32" s="1133"/>
    </row>
    <row r="33" spans="1:18" s="1139" customFormat="1">
      <c r="A33" s="1134"/>
      <c r="B33" s="2431"/>
      <c r="C33" s="2432"/>
      <c r="D33" s="2432"/>
      <c r="E33" s="1140" t="s">
        <v>3682</v>
      </c>
      <c r="F33" s="2455"/>
      <c r="G33" s="2455"/>
      <c r="H33" s="1161"/>
      <c r="I33" s="2451"/>
      <c r="J33" s="2452"/>
      <c r="K33" s="1136"/>
      <c r="L33" s="1142" t="s">
        <v>3683</v>
      </c>
      <c r="M33" s="1138">
        <v>3.2</v>
      </c>
      <c r="N33" s="1137" t="s">
        <v>3679</v>
      </c>
      <c r="O33" s="1133"/>
      <c r="P33" s="1133"/>
      <c r="Q33" s="1133"/>
      <c r="R33" s="1133"/>
    </row>
    <row r="34" spans="1:18" s="1139" customFormat="1">
      <c r="A34" s="1134"/>
      <c r="B34" s="2431"/>
      <c r="C34" s="2432"/>
      <c r="D34" s="2432"/>
      <c r="E34" s="1143" t="s">
        <v>3684</v>
      </c>
      <c r="F34" s="2455"/>
      <c r="G34" s="2455"/>
      <c r="H34" s="1161"/>
      <c r="I34" s="2451"/>
      <c r="J34" s="2452"/>
      <c r="K34" s="1136"/>
      <c r="L34" s="1142" t="s">
        <v>3685</v>
      </c>
      <c r="M34" s="1138" t="s">
        <v>3686</v>
      </c>
      <c r="N34" s="1137" t="s">
        <v>3679</v>
      </c>
      <c r="O34" s="1133"/>
      <c r="P34" s="1133"/>
      <c r="Q34" s="1133"/>
      <c r="R34" s="1133"/>
    </row>
    <row r="35" spans="1:18" s="1139" customFormat="1">
      <c r="A35" s="1134"/>
      <c r="B35" s="2433"/>
      <c r="C35" s="2434"/>
      <c r="D35" s="2435"/>
      <c r="E35" s="1144" t="s">
        <v>3687</v>
      </c>
      <c r="F35" s="2456"/>
      <c r="G35" s="2456"/>
      <c r="H35" s="1164"/>
      <c r="I35" s="2451"/>
      <c r="J35" s="2452"/>
      <c r="K35" s="1136"/>
      <c r="L35" s="1142" t="s">
        <v>3688</v>
      </c>
      <c r="M35" s="1138">
        <v>3.2</v>
      </c>
      <c r="N35" s="1137" t="s">
        <v>3679</v>
      </c>
      <c r="O35" s="1133"/>
      <c r="P35" s="1133"/>
      <c r="Q35" s="1133"/>
      <c r="R35" s="1133"/>
    </row>
    <row r="36" spans="1:18" s="1139" customFormat="1">
      <c r="A36" s="1134"/>
      <c r="B36" s="1145"/>
      <c r="C36" s="1145"/>
      <c r="D36" s="1145"/>
      <c r="E36" s="1145"/>
      <c r="F36" s="1145"/>
      <c r="G36" s="1146"/>
      <c r="H36" s="1145"/>
      <c r="I36" s="1145"/>
      <c r="J36" s="1145"/>
      <c r="K36" s="1136"/>
      <c r="L36" s="1137" t="s">
        <v>3689</v>
      </c>
      <c r="M36" s="1141">
        <v>6.5</v>
      </c>
      <c r="N36" s="1137" t="s">
        <v>3690</v>
      </c>
      <c r="O36" s="1133"/>
      <c r="P36" s="1133"/>
      <c r="Q36" s="1133"/>
      <c r="R36" s="1133"/>
    </row>
    <row r="37" spans="1:18" s="1139" customFormat="1">
      <c r="A37" s="1134"/>
      <c r="B37" s="1145"/>
      <c r="C37" s="1145"/>
      <c r="D37" s="1145"/>
      <c r="E37" s="1145"/>
      <c r="F37" s="1145"/>
      <c r="G37" s="1146"/>
      <c r="H37" s="1145"/>
      <c r="I37" s="1145"/>
      <c r="J37" s="1145"/>
      <c r="K37" s="1136"/>
      <c r="L37" s="1137" t="s">
        <v>3691</v>
      </c>
      <c r="M37" s="1138">
        <v>4</v>
      </c>
      <c r="N37" s="1137" t="s">
        <v>3692</v>
      </c>
      <c r="O37" s="1133"/>
      <c r="P37" s="1133"/>
      <c r="Q37" s="1133"/>
      <c r="R37" s="1133"/>
    </row>
    <row r="38" spans="1:18" ht="72" customHeight="1">
      <c r="B38" s="1166"/>
      <c r="C38" s="1167"/>
      <c r="D38" s="1167"/>
      <c r="E38" s="1162" t="s">
        <v>3968</v>
      </c>
      <c r="F38" s="1162" t="s">
        <v>3693</v>
      </c>
      <c r="G38" s="1162" t="s">
        <v>3620</v>
      </c>
      <c r="H38" s="1083" t="s">
        <v>3627</v>
      </c>
      <c r="I38" s="2443" t="s">
        <v>3975</v>
      </c>
      <c r="J38" s="2443"/>
      <c r="K38" s="1123"/>
      <c r="L38" s="1133"/>
      <c r="M38" s="1133"/>
      <c r="N38" s="1133"/>
      <c r="O38" s="1133"/>
      <c r="P38" s="1133"/>
      <c r="Q38" s="1133"/>
      <c r="R38" s="1124"/>
    </row>
    <row r="39" spans="1:18" ht="87.75" customHeight="1">
      <c r="B39" s="2440" t="s">
        <v>3976</v>
      </c>
      <c r="C39" s="2441"/>
      <c r="D39" s="2442"/>
      <c r="E39" s="1770" t="s">
        <v>4507</v>
      </c>
      <c r="F39" s="1014" t="s">
        <v>3652</v>
      </c>
      <c r="G39" s="974" t="s">
        <v>3652</v>
      </c>
      <c r="H39" s="1017"/>
      <c r="I39" s="2444"/>
      <c r="J39" s="2445"/>
      <c r="K39" s="1123"/>
      <c r="L39" s="1124"/>
      <c r="M39" s="1124"/>
      <c r="N39" s="1124"/>
      <c r="O39" s="1124"/>
      <c r="P39" s="1124"/>
      <c r="Q39" s="1124"/>
      <c r="R39" s="1124"/>
    </row>
    <row r="40" spans="1:18" ht="147" customHeight="1">
      <c r="A40" s="1148"/>
      <c r="B40" s="2391" t="s">
        <v>4553</v>
      </c>
      <c r="C40" s="2400"/>
      <c r="D40" s="2400"/>
      <c r="E40" s="2417"/>
      <c r="F40" s="1009" t="str">
        <f>ERMs!C23</f>
        <v>, C-</v>
      </c>
      <c r="G40" s="1619" t="str">
        <f>ERMs!D23</f>
        <v>Baseline: C- (res) &amp; C- (non-res)
Proposed: C-</v>
      </c>
      <c r="H40" s="1019"/>
      <c r="I40" s="2446"/>
      <c r="J40" s="2447"/>
      <c r="K40" s="1149"/>
      <c r="L40" s="1149"/>
      <c r="M40" s="1149"/>
      <c r="N40" s="1149"/>
      <c r="O40" s="1149"/>
      <c r="P40" s="1124"/>
      <c r="Q40" s="1124"/>
    </row>
    <row r="41" spans="1:18" ht="36.75" customHeight="1">
      <c r="B41" s="2448" t="s">
        <v>3977</v>
      </c>
      <c r="C41" s="2449"/>
      <c r="D41" s="2449"/>
      <c r="E41" s="2449"/>
      <c r="F41" s="2449"/>
      <c r="G41" s="2450"/>
      <c r="H41" s="1019"/>
      <c r="I41" s="2446"/>
      <c r="J41" s="2447"/>
      <c r="K41" s="1124"/>
      <c r="L41" s="1124"/>
      <c r="M41" s="1124"/>
      <c r="N41" s="1124"/>
      <c r="O41" s="1124"/>
      <c r="P41" s="1124"/>
      <c r="Q41" s="1124"/>
    </row>
    <row r="42" spans="1:18" ht="28.5" customHeight="1">
      <c r="A42" s="1148"/>
      <c r="B42" s="2448" t="s">
        <v>3978</v>
      </c>
      <c r="C42" s="2449"/>
      <c r="D42" s="2449"/>
      <c r="E42" s="2449"/>
      <c r="F42" s="2449"/>
      <c r="G42" s="2450"/>
      <c r="H42" s="1019"/>
      <c r="I42" s="2446"/>
      <c r="J42" s="2447"/>
      <c r="K42" s="1124"/>
      <c r="L42" s="1124"/>
      <c r="M42" s="1124"/>
      <c r="N42" s="1124"/>
      <c r="O42" s="1124"/>
      <c r="P42" s="1124"/>
      <c r="Q42" s="1124"/>
    </row>
    <row r="43" spans="1:18" ht="28.5" customHeight="1">
      <c r="A43" s="1148"/>
      <c r="B43" s="2395" t="s">
        <v>3979</v>
      </c>
      <c r="C43" s="2395"/>
      <c r="D43" s="2395"/>
      <c r="E43" s="2395"/>
      <c r="F43" s="2395"/>
      <c r="G43" s="2395"/>
      <c r="H43" s="2395"/>
      <c r="I43" s="2395"/>
      <c r="J43" s="2395"/>
      <c r="K43" s="1123"/>
      <c r="L43" s="1124"/>
      <c r="M43" s="1124"/>
      <c r="N43" s="1124"/>
      <c r="O43" s="1124"/>
      <c r="P43" s="1124"/>
      <c r="Q43" s="1124"/>
      <c r="R43" s="1124"/>
    </row>
    <row r="46" spans="1:18">
      <c r="A46" s="1121"/>
      <c r="K46" s="1121"/>
    </row>
    <row r="47" spans="1:18">
      <c r="A47" s="1121"/>
      <c r="K47" s="1121"/>
      <c r="R47" s="1119"/>
    </row>
    <row r="48" spans="1:18">
      <c r="A48" s="1121"/>
      <c r="K48" s="1121"/>
      <c r="R48" s="1119" t="s">
        <v>1493</v>
      </c>
    </row>
    <row r="49" spans="1:18">
      <c r="A49" s="1121"/>
      <c r="K49" s="1121"/>
      <c r="R49" s="1119" t="s">
        <v>1494</v>
      </c>
    </row>
    <row r="50" spans="1:18">
      <c r="R50" s="1119" t="s">
        <v>2677</v>
      </c>
    </row>
  </sheetData>
  <sheetProtection formatCells="0" formatColumns="0" formatRows="0" insertColumns="0" insertRows="0"/>
  <mergeCells count="44">
    <mergeCell ref="B24:J24"/>
    <mergeCell ref="B7:J7"/>
    <mergeCell ref="B8:J8"/>
    <mergeCell ref="B21:J21"/>
    <mergeCell ref="B22:J22"/>
    <mergeCell ref="B23:J23"/>
    <mergeCell ref="I33:J33"/>
    <mergeCell ref="I34:J34"/>
    <mergeCell ref="I35:J35"/>
    <mergeCell ref="F28:G28"/>
    <mergeCell ref="F29:G29"/>
    <mergeCell ref="F30:G30"/>
    <mergeCell ref="F31:G31"/>
    <mergeCell ref="F32:G32"/>
    <mergeCell ref="F33:G33"/>
    <mergeCell ref="F34:G34"/>
    <mergeCell ref="F35:G35"/>
    <mergeCell ref="I28:J28"/>
    <mergeCell ref="I29:J29"/>
    <mergeCell ref="I30:J30"/>
    <mergeCell ref="I31:J31"/>
    <mergeCell ref="I32:J32"/>
    <mergeCell ref="I39:J39"/>
    <mergeCell ref="I40:J40"/>
    <mergeCell ref="I41:J41"/>
    <mergeCell ref="I42:J42"/>
    <mergeCell ref="B41:G41"/>
    <mergeCell ref="B42:G42"/>
    <mergeCell ref="B43:J43"/>
    <mergeCell ref="B28:E28"/>
    <mergeCell ref="B29:D35"/>
    <mergeCell ref="H1:I1"/>
    <mergeCell ref="H2:I2"/>
    <mergeCell ref="H3:I3"/>
    <mergeCell ref="H4:I4"/>
    <mergeCell ref="B27:J27"/>
    <mergeCell ref="H5:I5"/>
    <mergeCell ref="B17:J17"/>
    <mergeCell ref="B18:J18"/>
    <mergeCell ref="B19:J19"/>
    <mergeCell ref="B20:G20"/>
    <mergeCell ref="B39:D39"/>
    <mergeCell ref="B40:E40"/>
    <mergeCell ref="I38:J38"/>
  </mergeCells>
  <dataValidations count="1">
    <dataValidation type="list" allowBlank="1" showInputMessage="1" showErrorMessage="1" sqref="H29:H35 WLT39:WLU39 WBX39:WBY39 VSB39:VSC39 VIF39:VIG39 UYJ39:UYK39 UON39:UOO39 UER39:UES39 TUV39:TUW39 TKZ39:TLA39 TBD39:TBE39 SRH39:SRI39 SHL39:SHM39 RXP39:RXQ39 RNT39:RNU39 RDX39:RDY39 QUB39:QUC39 QKF39:QKG39 QAJ39:QAK39 PQN39:PQO39 PGR39:PGS39 OWV39:OWW39 OMZ39:ONA39 ODD39:ODE39 NTH39:NTI39 NJL39:NJM39 MZP39:MZQ39 MPT39:MPU39 MFX39:MFY39 LWB39:LWC39 LMF39:LMG39 LCJ39:LCK39 KSN39:KSO39 KIR39:KIS39 JYV39:JYW39 JOZ39:JPA39 JFD39:JFE39 IVH39:IVI39 ILL39:ILM39 IBP39:IBQ39 HRT39:HRU39 HHX39:HHY39 GYB39:GYC39 GOF39:GOG39 GEJ39:GEK39 FUN39:FUO39 FKR39:FKS39 FAV39:FAW39 EQZ39:ERA39 EHD39:EHE39 DXH39:DXI39 DNL39:DNM39 DDP39:DDQ39 CTT39:CTU39 CJX39:CJY39 CAB39:CAC39 BQF39:BQG39 BGJ39:BGK39 AWN39:AWO39 AMR39:AMS39 ACV39:ACW39 SZ39:TA39 JD39:JE39 JD29:JE35 SZ29:TA35 ACV29:ACW35 AMR29:AMS35 AWN29:AWO35 BGJ29:BGK35 BQF29:BQG35 CAB29:CAC35 CJX29:CJY35 CTT29:CTU35 DDP29:DDQ35 DNL29:DNM35 DXH29:DXI35 EHD29:EHE35 EQZ29:ERA35 FAV29:FAW35 FKR29:FKS35 FUN29:FUO35 GEJ29:GEK35 GOF29:GOG35 GYB29:GYC35 HHX29:HHY35 HRT29:HRU35 IBP29:IBQ35 ILL29:ILM35 IVH29:IVI35 JFD29:JFE35 JOZ29:JPA35 JYV29:JYW35 KIR29:KIS35 KSN29:KSO35 LCJ29:LCK35 LMF29:LMG35 LWB29:LWC35 MFX29:MFY35 MPT29:MPU35 MZP29:MZQ35 NJL29:NJM35 NTH29:NTI35 ODD29:ODE35 OMZ29:ONA35 OWV29:OWW35 PGR29:PGS35 PQN29:PQO35 QAJ29:QAK35 QKF29:QKG35 QUB29:QUC35 RDX29:RDY35 RNT29:RNU35 RXP29:RXQ35 SHL29:SHM35 SRH29:SRI35 TBD29:TBE35 TKZ29:TLA35 TUV29:TUW35 UER29:UES35 UON29:UOO35 UYJ29:UYK35 VIF29:VIG35 VSB29:VSC35 WBX29:WBY35 WLT29:WLU35 WVP29:WVQ35 WVQ983080:WVQ983082 WLU983080:WLU983082 WBY983080:WBY983082 VSC983080:VSC983082 VIG983080:VIG983082 UYK983080:UYK983082 UOO983080:UOO983082 UES983080:UES983082 TUW983080:TUW983082 TLA983080:TLA983082 TBE983080:TBE983082 SRI983080:SRI983082 SHM983080:SHM983082 RXQ983080:RXQ983082 RNU983080:RNU983082 RDY983080:RDY983082 QUC983080:QUC983082 QKG983080:QKG983082 QAK983080:QAK983082 PQO983080:PQO983082 PGS983080:PGS983082 OWW983080:OWW983082 ONA983080:ONA983082 ODE983080:ODE983082 NTI983080:NTI983082 NJM983080:NJM983082 MZQ983080:MZQ983082 MPU983080:MPU983082 MFY983080:MFY983082 LWC983080:LWC983082 LMG983080:LMG983082 LCK983080:LCK983082 KSO983080:KSO983082 KIS983080:KIS983082 JYW983080:JYW983082 JPA983080:JPA983082 JFE983080:JFE983082 IVI983080:IVI983082 ILM983080:ILM983082 IBQ983080:IBQ983082 HRU983080:HRU983082 HHY983080:HHY983082 GYC983080:GYC983082 GOG983080:GOG983082 GEK983080:GEK983082 FUO983080:FUO983082 FKS983080:FKS983082 FAW983080:FAW983082 ERA983080:ERA983082 EHE983080:EHE983082 DXI983080:DXI983082 DNM983080:DNM983082 DDQ983080:DDQ983082 CTU983080:CTU983082 CJY983080:CJY983082 CAC983080:CAC983082 BQG983080:BQG983082 BGK983080:BGK983082 AWO983080:AWO983082 AMS983080:AMS983082 ACW983080:ACW983082 TA983080:TA983082 JE983080:JE983082 I983080:I983082 WVQ917544:WVQ917546 WLU917544:WLU917546 WBY917544:WBY917546 VSC917544:VSC917546 VIG917544:VIG917546 UYK917544:UYK917546 UOO917544:UOO917546 UES917544:UES917546 TUW917544:TUW917546 TLA917544:TLA917546 TBE917544:TBE917546 SRI917544:SRI917546 SHM917544:SHM917546 RXQ917544:RXQ917546 RNU917544:RNU917546 RDY917544:RDY917546 QUC917544:QUC917546 QKG917544:QKG917546 QAK917544:QAK917546 PQO917544:PQO917546 PGS917544:PGS917546 OWW917544:OWW917546 ONA917544:ONA917546 ODE917544:ODE917546 NTI917544:NTI917546 NJM917544:NJM917546 MZQ917544:MZQ917546 MPU917544:MPU917546 MFY917544:MFY917546 LWC917544:LWC917546 LMG917544:LMG917546 LCK917544:LCK917546 KSO917544:KSO917546 KIS917544:KIS917546 JYW917544:JYW917546 JPA917544:JPA917546 JFE917544:JFE917546 IVI917544:IVI917546 ILM917544:ILM917546 IBQ917544:IBQ917546 HRU917544:HRU917546 HHY917544:HHY917546 GYC917544:GYC917546 GOG917544:GOG917546 GEK917544:GEK917546 FUO917544:FUO917546 FKS917544:FKS917546 FAW917544:FAW917546 ERA917544:ERA917546 EHE917544:EHE917546 DXI917544:DXI917546 DNM917544:DNM917546 DDQ917544:DDQ917546 CTU917544:CTU917546 CJY917544:CJY917546 CAC917544:CAC917546 BQG917544:BQG917546 BGK917544:BGK917546 AWO917544:AWO917546 AMS917544:AMS917546 ACW917544:ACW917546 TA917544:TA917546 JE917544:JE917546 I917544:I917546 WVQ852008:WVQ852010 WLU852008:WLU852010 WBY852008:WBY852010 VSC852008:VSC852010 VIG852008:VIG852010 UYK852008:UYK852010 UOO852008:UOO852010 UES852008:UES852010 TUW852008:TUW852010 TLA852008:TLA852010 TBE852008:TBE852010 SRI852008:SRI852010 SHM852008:SHM852010 RXQ852008:RXQ852010 RNU852008:RNU852010 RDY852008:RDY852010 QUC852008:QUC852010 QKG852008:QKG852010 QAK852008:QAK852010 PQO852008:PQO852010 PGS852008:PGS852010 OWW852008:OWW852010 ONA852008:ONA852010 ODE852008:ODE852010 NTI852008:NTI852010 NJM852008:NJM852010 MZQ852008:MZQ852010 MPU852008:MPU852010 MFY852008:MFY852010 LWC852008:LWC852010 LMG852008:LMG852010 LCK852008:LCK852010 KSO852008:KSO852010 KIS852008:KIS852010 JYW852008:JYW852010 JPA852008:JPA852010 JFE852008:JFE852010 IVI852008:IVI852010 ILM852008:ILM852010 IBQ852008:IBQ852010 HRU852008:HRU852010 HHY852008:HHY852010 GYC852008:GYC852010 GOG852008:GOG852010 GEK852008:GEK852010 FUO852008:FUO852010 FKS852008:FKS852010 FAW852008:FAW852010 ERA852008:ERA852010 EHE852008:EHE852010 DXI852008:DXI852010 DNM852008:DNM852010 DDQ852008:DDQ852010 CTU852008:CTU852010 CJY852008:CJY852010 CAC852008:CAC852010 BQG852008:BQG852010 BGK852008:BGK852010 AWO852008:AWO852010 AMS852008:AMS852010 ACW852008:ACW852010 TA852008:TA852010 JE852008:JE852010 I852008:I852010 WVQ786472:WVQ786474 WLU786472:WLU786474 WBY786472:WBY786474 VSC786472:VSC786474 VIG786472:VIG786474 UYK786472:UYK786474 UOO786472:UOO786474 UES786472:UES786474 TUW786472:TUW786474 TLA786472:TLA786474 TBE786472:TBE786474 SRI786472:SRI786474 SHM786472:SHM786474 RXQ786472:RXQ786474 RNU786472:RNU786474 RDY786472:RDY786474 QUC786472:QUC786474 QKG786472:QKG786474 QAK786472:QAK786474 PQO786472:PQO786474 PGS786472:PGS786474 OWW786472:OWW786474 ONA786472:ONA786474 ODE786472:ODE786474 NTI786472:NTI786474 NJM786472:NJM786474 MZQ786472:MZQ786474 MPU786472:MPU786474 MFY786472:MFY786474 LWC786472:LWC786474 LMG786472:LMG786474 LCK786472:LCK786474 KSO786472:KSO786474 KIS786472:KIS786474 JYW786472:JYW786474 JPA786472:JPA786474 JFE786472:JFE786474 IVI786472:IVI786474 ILM786472:ILM786474 IBQ786472:IBQ786474 HRU786472:HRU786474 HHY786472:HHY786474 GYC786472:GYC786474 GOG786472:GOG786474 GEK786472:GEK786474 FUO786472:FUO786474 FKS786472:FKS786474 FAW786472:FAW786474 ERA786472:ERA786474 EHE786472:EHE786474 DXI786472:DXI786474 DNM786472:DNM786474 DDQ786472:DDQ786474 CTU786472:CTU786474 CJY786472:CJY786474 CAC786472:CAC786474 BQG786472:BQG786474 BGK786472:BGK786474 AWO786472:AWO786474 AMS786472:AMS786474 ACW786472:ACW786474 TA786472:TA786474 JE786472:JE786474 I786472:I786474 WVQ720936:WVQ720938 WLU720936:WLU720938 WBY720936:WBY720938 VSC720936:VSC720938 VIG720936:VIG720938 UYK720936:UYK720938 UOO720936:UOO720938 UES720936:UES720938 TUW720936:TUW720938 TLA720936:TLA720938 TBE720936:TBE720938 SRI720936:SRI720938 SHM720936:SHM720938 RXQ720936:RXQ720938 RNU720936:RNU720938 RDY720936:RDY720938 QUC720936:QUC720938 QKG720936:QKG720938 QAK720936:QAK720938 PQO720936:PQO720938 PGS720936:PGS720938 OWW720936:OWW720938 ONA720936:ONA720938 ODE720936:ODE720938 NTI720936:NTI720938 NJM720936:NJM720938 MZQ720936:MZQ720938 MPU720936:MPU720938 MFY720936:MFY720938 LWC720936:LWC720938 LMG720936:LMG720938 LCK720936:LCK720938 KSO720936:KSO720938 KIS720936:KIS720938 JYW720936:JYW720938 JPA720936:JPA720938 JFE720936:JFE720938 IVI720936:IVI720938 ILM720936:ILM720938 IBQ720936:IBQ720938 HRU720936:HRU720938 HHY720936:HHY720938 GYC720936:GYC720938 GOG720936:GOG720938 GEK720936:GEK720938 FUO720936:FUO720938 FKS720936:FKS720938 FAW720936:FAW720938 ERA720936:ERA720938 EHE720936:EHE720938 DXI720936:DXI720938 DNM720936:DNM720938 DDQ720936:DDQ720938 CTU720936:CTU720938 CJY720936:CJY720938 CAC720936:CAC720938 BQG720936:BQG720938 BGK720936:BGK720938 AWO720936:AWO720938 AMS720936:AMS720938 ACW720936:ACW720938 TA720936:TA720938 JE720936:JE720938 I720936:I720938 WVQ655400:WVQ655402 WLU655400:WLU655402 WBY655400:WBY655402 VSC655400:VSC655402 VIG655400:VIG655402 UYK655400:UYK655402 UOO655400:UOO655402 UES655400:UES655402 TUW655400:TUW655402 TLA655400:TLA655402 TBE655400:TBE655402 SRI655400:SRI655402 SHM655400:SHM655402 RXQ655400:RXQ655402 RNU655400:RNU655402 RDY655400:RDY655402 QUC655400:QUC655402 QKG655400:QKG655402 QAK655400:QAK655402 PQO655400:PQO655402 PGS655400:PGS655402 OWW655400:OWW655402 ONA655400:ONA655402 ODE655400:ODE655402 NTI655400:NTI655402 NJM655400:NJM655402 MZQ655400:MZQ655402 MPU655400:MPU655402 MFY655400:MFY655402 LWC655400:LWC655402 LMG655400:LMG655402 LCK655400:LCK655402 KSO655400:KSO655402 KIS655400:KIS655402 JYW655400:JYW655402 JPA655400:JPA655402 JFE655400:JFE655402 IVI655400:IVI655402 ILM655400:ILM655402 IBQ655400:IBQ655402 HRU655400:HRU655402 HHY655400:HHY655402 GYC655400:GYC655402 GOG655400:GOG655402 GEK655400:GEK655402 FUO655400:FUO655402 FKS655400:FKS655402 FAW655400:FAW655402 ERA655400:ERA655402 EHE655400:EHE655402 DXI655400:DXI655402 DNM655400:DNM655402 DDQ655400:DDQ655402 CTU655400:CTU655402 CJY655400:CJY655402 CAC655400:CAC655402 BQG655400:BQG655402 BGK655400:BGK655402 AWO655400:AWO655402 AMS655400:AMS655402 ACW655400:ACW655402 TA655400:TA655402 JE655400:JE655402 I655400:I655402 WVQ589864:WVQ589866 WLU589864:WLU589866 WBY589864:WBY589866 VSC589864:VSC589866 VIG589864:VIG589866 UYK589864:UYK589866 UOO589864:UOO589866 UES589864:UES589866 TUW589864:TUW589866 TLA589864:TLA589866 TBE589864:TBE589866 SRI589864:SRI589866 SHM589864:SHM589866 RXQ589864:RXQ589866 RNU589864:RNU589866 RDY589864:RDY589866 QUC589864:QUC589866 QKG589864:QKG589866 QAK589864:QAK589866 PQO589864:PQO589866 PGS589864:PGS589866 OWW589864:OWW589866 ONA589864:ONA589866 ODE589864:ODE589866 NTI589864:NTI589866 NJM589864:NJM589866 MZQ589864:MZQ589866 MPU589864:MPU589866 MFY589864:MFY589866 LWC589864:LWC589866 LMG589864:LMG589866 LCK589864:LCK589866 KSO589864:KSO589866 KIS589864:KIS589866 JYW589864:JYW589866 JPA589864:JPA589866 JFE589864:JFE589866 IVI589864:IVI589866 ILM589864:ILM589866 IBQ589864:IBQ589866 HRU589864:HRU589866 HHY589864:HHY589866 GYC589864:GYC589866 GOG589864:GOG589866 GEK589864:GEK589866 FUO589864:FUO589866 FKS589864:FKS589866 FAW589864:FAW589866 ERA589864:ERA589866 EHE589864:EHE589866 DXI589864:DXI589866 DNM589864:DNM589866 DDQ589864:DDQ589866 CTU589864:CTU589866 CJY589864:CJY589866 CAC589864:CAC589866 BQG589864:BQG589866 BGK589864:BGK589866 AWO589864:AWO589866 AMS589864:AMS589866 ACW589864:ACW589866 TA589864:TA589866 JE589864:JE589866 I589864:I589866 WVQ524328:WVQ524330 WLU524328:WLU524330 WBY524328:WBY524330 VSC524328:VSC524330 VIG524328:VIG524330 UYK524328:UYK524330 UOO524328:UOO524330 UES524328:UES524330 TUW524328:TUW524330 TLA524328:TLA524330 TBE524328:TBE524330 SRI524328:SRI524330 SHM524328:SHM524330 RXQ524328:RXQ524330 RNU524328:RNU524330 RDY524328:RDY524330 QUC524328:QUC524330 QKG524328:QKG524330 QAK524328:QAK524330 PQO524328:PQO524330 PGS524328:PGS524330 OWW524328:OWW524330 ONA524328:ONA524330 ODE524328:ODE524330 NTI524328:NTI524330 NJM524328:NJM524330 MZQ524328:MZQ524330 MPU524328:MPU524330 MFY524328:MFY524330 LWC524328:LWC524330 LMG524328:LMG524330 LCK524328:LCK524330 KSO524328:KSO524330 KIS524328:KIS524330 JYW524328:JYW524330 JPA524328:JPA524330 JFE524328:JFE524330 IVI524328:IVI524330 ILM524328:ILM524330 IBQ524328:IBQ524330 HRU524328:HRU524330 HHY524328:HHY524330 GYC524328:GYC524330 GOG524328:GOG524330 GEK524328:GEK524330 FUO524328:FUO524330 FKS524328:FKS524330 FAW524328:FAW524330 ERA524328:ERA524330 EHE524328:EHE524330 DXI524328:DXI524330 DNM524328:DNM524330 DDQ524328:DDQ524330 CTU524328:CTU524330 CJY524328:CJY524330 CAC524328:CAC524330 BQG524328:BQG524330 BGK524328:BGK524330 AWO524328:AWO524330 AMS524328:AMS524330 ACW524328:ACW524330 TA524328:TA524330 JE524328:JE524330 I524328:I524330 WVQ458792:WVQ458794 WLU458792:WLU458794 WBY458792:WBY458794 VSC458792:VSC458794 VIG458792:VIG458794 UYK458792:UYK458794 UOO458792:UOO458794 UES458792:UES458794 TUW458792:TUW458794 TLA458792:TLA458794 TBE458792:TBE458794 SRI458792:SRI458794 SHM458792:SHM458794 RXQ458792:RXQ458794 RNU458792:RNU458794 RDY458792:RDY458794 QUC458792:QUC458794 QKG458792:QKG458794 QAK458792:QAK458794 PQO458792:PQO458794 PGS458792:PGS458794 OWW458792:OWW458794 ONA458792:ONA458794 ODE458792:ODE458794 NTI458792:NTI458794 NJM458792:NJM458794 MZQ458792:MZQ458794 MPU458792:MPU458794 MFY458792:MFY458794 LWC458792:LWC458794 LMG458792:LMG458794 LCK458792:LCK458794 KSO458792:KSO458794 KIS458792:KIS458794 JYW458792:JYW458794 JPA458792:JPA458794 JFE458792:JFE458794 IVI458792:IVI458794 ILM458792:ILM458794 IBQ458792:IBQ458794 HRU458792:HRU458794 HHY458792:HHY458794 GYC458792:GYC458794 GOG458792:GOG458794 GEK458792:GEK458794 FUO458792:FUO458794 FKS458792:FKS458794 FAW458792:FAW458794 ERA458792:ERA458794 EHE458792:EHE458794 DXI458792:DXI458794 DNM458792:DNM458794 DDQ458792:DDQ458794 CTU458792:CTU458794 CJY458792:CJY458794 CAC458792:CAC458794 BQG458792:BQG458794 BGK458792:BGK458794 AWO458792:AWO458794 AMS458792:AMS458794 ACW458792:ACW458794 TA458792:TA458794 JE458792:JE458794 I458792:I458794 WVQ393256:WVQ393258 WLU393256:WLU393258 WBY393256:WBY393258 VSC393256:VSC393258 VIG393256:VIG393258 UYK393256:UYK393258 UOO393256:UOO393258 UES393256:UES393258 TUW393256:TUW393258 TLA393256:TLA393258 TBE393256:TBE393258 SRI393256:SRI393258 SHM393256:SHM393258 RXQ393256:RXQ393258 RNU393256:RNU393258 RDY393256:RDY393258 QUC393256:QUC393258 QKG393256:QKG393258 QAK393256:QAK393258 PQO393256:PQO393258 PGS393256:PGS393258 OWW393256:OWW393258 ONA393256:ONA393258 ODE393256:ODE393258 NTI393256:NTI393258 NJM393256:NJM393258 MZQ393256:MZQ393258 MPU393256:MPU393258 MFY393256:MFY393258 LWC393256:LWC393258 LMG393256:LMG393258 LCK393256:LCK393258 KSO393256:KSO393258 KIS393256:KIS393258 JYW393256:JYW393258 JPA393256:JPA393258 JFE393256:JFE393258 IVI393256:IVI393258 ILM393256:ILM393258 IBQ393256:IBQ393258 HRU393256:HRU393258 HHY393256:HHY393258 GYC393256:GYC393258 GOG393256:GOG393258 GEK393256:GEK393258 FUO393256:FUO393258 FKS393256:FKS393258 FAW393256:FAW393258 ERA393256:ERA393258 EHE393256:EHE393258 DXI393256:DXI393258 DNM393256:DNM393258 DDQ393256:DDQ393258 CTU393256:CTU393258 CJY393256:CJY393258 CAC393256:CAC393258 BQG393256:BQG393258 BGK393256:BGK393258 AWO393256:AWO393258 AMS393256:AMS393258 ACW393256:ACW393258 TA393256:TA393258 JE393256:JE393258 I393256:I393258 WVQ327720:WVQ327722 WLU327720:WLU327722 WBY327720:WBY327722 VSC327720:VSC327722 VIG327720:VIG327722 UYK327720:UYK327722 UOO327720:UOO327722 UES327720:UES327722 TUW327720:TUW327722 TLA327720:TLA327722 TBE327720:TBE327722 SRI327720:SRI327722 SHM327720:SHM327722 RXQ327720:RXQ327722 RNU327720:RNU327722 RDY327720:RDY327722 QUC327720:QUC327722 QKG327720:QKG327722 QAK327720:QAK327722 PQO327720:PQO327722 PGS327720:PGS327722 OWW327720:OWW327722 ONA327720:ONA327722 ODE327720:ODE327722 NTI327720:NTI327722 NJM327720:NJM327722 MZQ327720:MZQ327722 MPU327720:MPU327722 MFY327720:MFY327722 LWC327720:LWC327722 LMG327720:LMG327722 LCK327720:LCK327722 KSO327720:KSO327722 KIS327720:KIS327722 JYW327720:JYW327722 JPA327720:JPA327722 JFE327720:JFE327722 IVI327720:IVI327722 ILM327720:ILM327722 IBQ327720:IBQ327722 HRU327720:HRU327722 HHY327720:HHY327722 GYC327720:GYC327722 GOG327720:GOG327722 GEK327720:GEK327722 FUO327720:FUO327722 FKS327720:FKS327722 FAW327720:FAW327722 ERA327720:ERA327722 EHE327720:EHE327722 DXI327720:DXI327722 DNM327720:DNM327722 DDQ327720:DDQ327722 CTU327720:CTU327722 CJY327720:CJY327722 CAC327720:CAC327722 BQG327720:BQG327722 BGK327720:BGK327722 AWO327720:AWO327722 AMS327720:AMS327722 ACW327720:ACW327722 TA327720:TA327722 JE327720:JE327722 I327720:I327722 WVQ262184:WVQ262186 WLU262184:WLU262186 WBY262184:WBY262186 VSC262184:VSC262186 VIG262184:VIG262186 UYK262184:UYK262186 UOO262184:UOO262186 UES262184:UES262186 TUW262184:TUW262186 TLA262184:TLA262186 TBE262184:TBE262186 SRI262184:SRI262186 SHM262184:SHM262186 RXQ262184:RXQ262186 RNU262184:RNU262186 RDY262184:RDY262186 QUC262184:QUC262186 QKG262184:QKG262186 QAK262184:QAK262186 PQO262184:PQO262186 PGS262184:PGS262186 OWW262184:OWW262186 ONA262184:ONA262186 ODE262184:ODE262186 NTI262184:NTI262186 NJM262184:NJM262186 MZQ262184:MZQ262186 MPU262184:MPU262186 MFY262184:MFY262186 LWC262184:LWC262186 LMG262184:LMG262186 LCK262184:LCK262186 KSO262184:KSO262186 KIS262184:KIS262186 JYW262184:JYW262186 JPA262184:JPA262186 JFE262184:JFE262186 IVI262184:IVI262186 ILM262184:ILM262186 IBQ262184:IBQ262186 HRU262184:HRU262186 HHY262184:HHY262186 GYC262184:GYC262186 GOG262184:GOG262186 GEK262184:GEK262186 FUO262184:FUO262186 FKS262184:FKS262186 FAW262184:FAW262186 ERA262184:ERA262186 EHE262184:EHE262186 DXI262184:DXI262186 DNM262184:DNM262186 DDQ262184:DDQ262186 CTU262184:CTU262186 CJY262184:CJY262186 CAC262184:CAC262186 BQG262184:BQG262186 BGK262184:BGK262186 AWO262184:AWO262186 AMS262184:AMS262186 ACW262184:ACW262186 TA262184:TA262186 JE262184:JE262186 I262184:I262186 WVQ196648:WVQ196650 WLU196648:WLU196650 WBY196648:WBY196650 VSC196648:VSC196650 VIG196648:VIG196650 UYK196648:UYK196650 UOO196648:UOO196650 UES196648:UES196650 TUW196648:TUW196650 TLA196648:TLA196650 TBE196648:TBE196650 SRI196648:SRI196650 SHM196648:SHM196650 RXQ196648:RXQ196650 RNU196648:RNU196650 RDY196648:RDY196650 QUC196648:QUC196650 QKG196648:QKG196650 QAK196648:QAK196650 PQO196648:PQO196650 PGS196648:PGS196650 OWW196648:OWW196650 ONA196648:ONA196650 ODE196648:ODE196650 NTI196648:NTI196650 NJM196648:NJM196650 MZQ196648:MZQ196650 MPU196648:MPU196650 MFY196648:MFY196650 LWC196648:LWC196650 LMG196648:LMG196650 LCK196648:LCK196650 KSO196648:KSO196650 KIS196648:KIS196650 JYW196648:JYW196650 JPA196648:JPA196650 JFE196648:JFE196650 IVI196648:IVI196650 ILM196648:ILM196650 IBQ196648:IBQ196650 HRU196648:HRU196650 HHY196648:HHY196650 GYC196648:GYC196650 GOG196648:GOG196650 GEK196648:GEK196650 FUO196648:FUO196650 FKS196648:FKS196650 FAW196648:FAW196650 ERA196648:ERA196650 EHE196648:EHE196650 DXI196648:DXI196650 DNM196648:DNM196650 DDQ196648:DDQ196650 CTU196648:CTU196650 CJY196648:CJY196650 CAC196648:CAC196650 BQG196648:BQG196650 BGK196648:BGK196650 AWO196648:AWO196650 AMS196648:AMS196650 ACW196648:ACW196650 TA196648:TA196650 JE196648:JE196650 I196648:I196650 WVQ131112:WVQ131114 WLU131112:WLU131114 WBY131112:WBY131114 VSC131112:VSC131114 VIG131112:VIG131114 UYK131112:UYK131114 UOO131112:UOO131114 UES131112:UES131114 TUW131112:TUW131114 TLA131112:TLA131114 TBE131112:TBE131114 SRI131112:SRI131114 SHM131112:SHM131114 RXQ131112:RXQ131114 RNU131112:RNU131114 RDY131112:RDY131114 QUC131112:QUC131114 QKG131112:QKG131114 QAK131112:QAK131114 PQO131112:PQO131114 PGS131112:PGS131114 OWW131112:OWW131114 ONA131112:ONA131114 ODE131112:ODE131114 NTI131112:NTI131114 NJM131112:NJM131114 MZQ131112:MZQ131114 MPU131112:MPU131114 MFY131112:MFY131114 LWC131112:LWC131114 LMG131112:LMG131114 LCK131112:LCK131114 KSO131112:KSO131114 KIS131112:KIS131114 JYW131112:JYW131114 JPA131112:JPA131114 JFE131112:JFE131114 IVI131112:IVI131114 ILM131112:ILM131114 IBQ131112:IBQ131114 HRU131112:HRU131114 HHY131112:HHY131114 GYC131112:GYC131114 GOG131112:GOG131114 GEK131112:GEK131114 FUO131112:FUO131114 FKS131112:FKS131114 FAW131112:FAW131114 ERA131112:ERA131114 EHE131112:EHE131114 DXI131112:DXI131114 DNM131112:DNM131114 DDQ131112:DDQ131114 CTU131112:CTU131114 CJY131112:CJY131114 CAC131112:CAC131114 BQG131112:BQG131114 BGK131112:BGK131114 AWO131112:AWO131114 AMS131112:AMS131114 ACW131112:ACW131114 TA131112:TA131114 JE131112:JE131114 I131112:I131114 WVQ65576:WVQ65578 WLU65576:WLU65578 WBY65576:WBY65578 VSC65576:VSC65578 VIG65576:VIG65578 UYK65576:UYK65578 UOO65576:UOO65578 UES65576:UES65578 TUW65576:TUW65578 TLA65576:TLA65578 TBE65576:TBE65578 SRI65576:SRI65578 SHM65576:SHM65578 RXQ65576:RXQ65578 RNU65576:RNU65578 RDY65576:RDY65578 QUC65576:QUC65578 QKG65576:QKG65578 QAK65576:QAK65578 PQO65576:PQO65578 PGS65576:PGS65578 OWW65576:OWW65578 ONA65576:ONA65578 ODE65576:ODE65578 NTI65576:NTI65578 NJM65576:NJM65578 MZQ65576:MZQ65578 MPU65576:MPU65578 MFY65576:MFY65578 LWC65576:LWC65578 LMG65576:LMG65578 LCK65576:LCK65578 KSO65576:KSO65578 KIS65576:KIS65578 JYW65576:JYW65578 JPA65576:JPA65578 JFE65576:JFE65578 IVI65576:IVI65578 ILM65576:ILM65578 IBQ65576:IBQ65578 HRU65576:HRU65578 HHY65576:HHY65578 GYC65576:GYC65578 GOG65576:GOG65578 GEK65576:GEK65578 FUO65576:FUO65578 FKS65576:FKS65578 FAW65576:FAW65578 ERA65576:ERA65578 EHE65576:EHE65578 DXI65576:DXI65578 DNM65576:DNM65578 DDQ65576:DDQ65578 CTU65576:CTU65578 CJY65576:CJY65578 CAC65576:CAC65578 BQG65576:BQG65578 BGK65576:BGK65578 AWO65576:AWO65578 AMS65576:AMS65578 ACW65576:ACW65578 TA65576:TA65578 JE65576:JE65578 I65576:I65578 WVP983079:WVQ983079 WLT983079:WLU983079 WBX983079:WBY983079 VSB983079:VSC983079 VIF983079:VIG983079 UYJ983079:UYK983079 UON983079:UOO983079 UER983079:UES983079 TUV983079:TUW983079 TKZ983079:TLA983079 TBD983079:TBE983079 SRH983079:SRI983079 SHL983079:SHM983079 RXP983079:RXQ983079 RNT983079:RNU983079 RDX983079:RDY983079 QUB983079:QUC983079 QKF983079:QKG983079 QAJ983079:QAK983079 PQN983079:PQO983079 PGR983079:PGS983079 OWV983079:OWW983079 OMZ983079:ONA983079 ODD983079:ODE983079 NTH983079:NTI983079 NJL983079:NJM983079 MZP983079:MZQ983079 MPT983079:MPU983079 MFX983079:MFY983079 LWB983079:LWC983079 LMF983079:LMG983079 LCJ983079:LCK983079 KSN983079:KSO983079 KIR983079:KIS983079 JYV983079:JYW983079 JOZ983079:JPA983079 JFD983079:JFE983079 IVH983079:IVI983079 ILL983079:ILM983079 IBP983079:IBQ983079 HRT983079:HRU983079 HHX983079:HHY983079 GYB983079:GYC983079 GOF983079:GOG983079 GEJ983079:GEK983079 FUN983079:FUO983079 FKR983079:FKS983079 FAV983079:FAW983079 EQZ983079:ERA983079 EHD983079:EHE983079 DXH983079:DXI983079 DNL983079:DNM983079 DDP983079:DDQ983079 CTT983079:CTU983079 CJX983079:CJY983079 CAB983079:CAC983079 BQF983079:BQG983079 BGJ983079:BGK983079 AWN983079:AWO983079 AMR983079:AMS983079 ACV983079:ACW983079 SZ983079:TA983079 JD983079:JE983079 H983079:I983079 WVP917543:WVQ917543 WLT917543:WLU917543 WBX917543:WBY917543 VSB917543:VSC917543 VIF917543:VIG917543 UYJ917543:UYK917543 UON917543:UOO917543 UER917543:UES917543 TUV917543:TUW917543 TKZ917543:TLA917543 TBD917543:TBE917543 SRH917543:SRI917543 SHL917543:SHM917543 RXP917543:RXQ917543 RNT917543:RNU917543 RDX917543:RDY917543 QUB917543:QUC917543 QKF917543:QKG917543 QAJ917543:QAK917543 PQN917543:PQO917543 PGR917543:PGS917543 OWV917543:OWW917543 OMZ917543:ONA917543 ODD917543:ODE917543 NTH917543:NTI917543 NJL917543:NJM917543 MZP917543:MZQ917543 MPT917543:MPU917543 MFX917543:MFY917543 LWB917543:LWC917543 LMF917543:LMG917543 LCJ917543:LCK917543 KSN917543:KSO917543 KIR917543:KIS917543 JYV917543:JYW917543 JOZ917543:JPA917543 JFD917543:JFE917543 IVH917543:IVI917543 ILL917543:ILM917543 IBP917543:IBQ917543 HRT917543:HRU917543 HHX917543:HHY917543 GYB917543:GYC917543 GOF917543:GOG917543 GEJ917543:GEK917543 FUN917543:FUO917543 FKR917543:FKS917543 FAV917543:FAW917543 EQZ917543:ERA917543 EHD917543:EHE917543 DXH917543:DXI917543 DNL917543:DNM917543 DDP917543:DDQ917543 CTT917543:CTU917543 CJX917543:CJY917543 CAB917543:CAC917543 BQF917543:BQG917543 BGJ917543:BGK917543 AWN917543:AWO917543 AMR917543:AMS917543 ACV917543:ACW917543 SZ917543:TA917543 JD917543:JE917543 H917543:I917543 WVP852007:WVQ852007 WLT852007:WLU852007 WBX852007:WBY852007 VSB852007:VSC852007 VIF852007:VIG852007 UYJ852007:UYK852007 UON852007:UOO852007 UER852007:UES852007 TUV852007:TUW852007 TKZ852007:TLA852007 TBD852007:TBE852007 SRH852007:SRI852007 SHL852007:SHM852007 RXP852007:RXQ852007 RNT852007:RNU852007 RDX852007:RDY852007 QUB852007:QUC852007 QKF852007:QKG852007 QAJ852007:QAK852007 PQN852007:PQO852007 PGR852007:PGS852007 OWV852007:OWW852007 OMZ852007:ONA852007 ODD852007:ODE852007 NTH852007:NTI852007 NJL852007:NJM852007 MZP852007:MZQ852007 MPT852007:MPU852007 MFX852007:MFY852007 LWB852007:LWC852007 LMF852007:LMG852007 LCJ852007:LCK852007 KSN852007:KSO852007 KIR852007:KIS852007 JYV852007:JYW852007 JOZ852007:JPA852007 JFD852007:JFE852007 IVH852007:IVI852007 ILL852007:ILM852007 IBP852007:IBQ852007 HRT852007:HRU852007 HHX852007:HHY852007 GYB852007:GYC852007 GOF852007:GOG852007 GEJ852007:GEK852007 FUN852007:FUO852007 FKR852007:FKS852007 FAV852007:FAW852007 EQZ852007:ERA852007 EHD852007:EHE852007 DXH852007:DXI852007 DNL852007:DNM852007 DDP852007:DDQ852007 CTT852007:CTU852007 CJX852007:CJY852007 CAB852007:CAC852007 BQF852007:BQG852007 BGJ852007:BGK852007 AWN852007:AWO852007 AMR852007:AMS852007 ACV852007:ACW852007 SZ852007:TA852007 JD852007:JE852007 H852007:I852007 WVP786471:WVQ786471 WLT786471:WLU786471 WBX786471:WBY786471 VSB786471:VSC786471 VIF786471:VIG786471 UYJ786471:UYK786471 UON786471:UOO786471 UER786471:UES786471 TUV786471:TUW786471 TKZ786471:TLA786471 TBD786471:TBE786471 SRH786471:SRI786471 SHL786471:SHM786471 RXP786471:RXQ786471 RNT786471:RNU786471 RDX786471:RDY786471 QUB786471:QUC786471 QKF786471:QKG786471 QAJ786471:QAK786471 PQN786471:PQO786471 PGR786471:PGS786471 OWV786471:OWW786471 OMZ786471:ONA786471 ODD786471:ODE786471 NTH786471:NTI786471 NJL786471:NJM786471 MZP786471:MZQ786471 MPT786471:MPU786471 MFX786471:MFY786471 LWB786471:LWC786471 LMF786471:LMG786471 LCJ786471:LCK786471 KSN786471:KSO786471 KIR786471:KIS786471 JYV786471:JYW786471 JOZ786471:JPA786471 JFD786471:JFE786471 IVH786471:IVI786471 ILL786471:ILM786471 IBP786471:IBQ786471 HRT786471:HRU786471 HHX786471:HHY786471 GYB786471:GYC786471 GOF786471:GOG786471 GEJ786471:GEK786471 FUN786471:FUO786471 FKR786471:FKS786471 FAV786471:FAW786471 EQZ786471:ERA786471 EHD786471:EHE786471 DXH786471:DXI786471 DNL786471:DNM786471 DDP786471:DDQ786471 CTT786471:CTU786471 CJX786471:CJY786471 CAB786471:CAC786471 BQF786471:BQG786471 BGJ786471:BGK786471 AWN786471:AWO786471 AMR786471:AMS786471 ACV786471:ACW786471 SZ786471:TA786471 JD786471:JE786471 H786471:I786471 WVP720935:WVQ720935 WLT720935:WLU720935 WBX720935:WBY720935 VSB720935:VSC720935 VIF720935:VIG720935 UYJ720935:UYK720935 UON720935:UOO720935 UER720935:UES720935 TUV720935:TUW720935 TKZ720935:TLA720935 TBD720935:TBE720935 SRH720935:SRI720935 SHL720935:SHM720935 RXP720935:RXQ720935 RNT720935:RNU720935 RDX720935:RDY720935 QUB720935:QUC720935 QKF720935:QKG720935 QAJ720935:QAK720935 PQN720935:PQO720935 PGR720935:PGS720935 OWV720935:OWW720935 OMZ720935:ONA720935 ODD720935:ODE720935 NTH720935:NTI720935 NJL720935:NJM720935 MZP720935:MZQ720935 MPT720935:MPU720935 MFX720935:MFY720935 LWB720935:LWC720935 LMF720935:LMG720935 LCJ720935:LCK720935 KSN720935:KSO720935 KIR720935:KIS720935 JYV720935:JYW720935 JOZ720935:JPA720935 JFD720935:JFE720935 IVH720935:IVI720935 ILL720935:ILM720935 IBP720935:IBQ720935 HRT720935:HRU720935 HHX720935:HHY720935 GYB720935:GYC720935 GOF720935:GOG720935 GEJ720935:GEK720935 FUN720935:FUO720935 FKR720935:FKS720935 FAV720935:FAW720935 EQZ720935:ERA720935 EHD720935:EHE720935 DXH720935:DXI720935 DNL720935:DNM720935 DDP720935:DDQ720935 CTT720935:CTU720935 CJX720935:CJY720935 CAB720935:CAC720935 BQF720935:BQG720935 BGJ720935:BGK720935 AWN720935:AWO720935 AMR720935:AMS720935 ACV720935:ACW720935 SZ720935:TA720935 JD720935:JE720935 H720935:I720935 WVP655399:WVQ655399 WLT655399:WLU655399 WBX655399:WBY655399 VSB655399:VSC655399 VIF655399:VIG655399 UYJ655399:UYK655399 UON655399:UOO655399 UER655399:UES655399 TUV655399:TUW655399 TKZ655399:TLA655399 TBD655399:TBE655399 SRH655399:SRI655399 SHL655399:SHM655399 RXP655399:RXQ655399 RNT655399:RNU655399 RDX655399:RDY655399 QUB655399:QUC655399 QKF655399:QKG655399 QAJ655399:QAK655399 PQN655399:PQO655399 PGR655399:PGS655399 OWV655399:OWW655399 OMZ655399:ONA655399 ODD655399:ODE655399 NTH655399:NTI655399 NJL655399:NJM655399 MZP655399:MZQ655399 MPT655399:MPU655399 MFX655399:MFY655399 LWB655399:LWC655399 LMF655399:LMG655399 LCJ655399:LCK655399 KSN655399:KSO655399 KIR655399:KIS655399 JYV655399:JYW655399 JOZ655399:JPA655399 JFD655399:JFE655399 IVH655399:IVI655399 ILL655399:ILM655399 IBP655399:IBQ655399 HRT655399:HRU655399 HHX655399:HHY655399 GYB655399:GYC655399 GOF655399:GOG655399 GEJ655399:GEK655399 FUN655399:FUO655399 FKR655399:FKS655399 FAV655399:FAW655399 EQZ655399:ERA655399 EHD655399:EHE655399 DXH655399:DXI655399 DNL655399:DNM655399 DDP655399:DDQ655399 CTT655399:CTU655399 CJX655399:CJY655399 CAB655399:CAC655399 BQF655399:BQG655399 BGJ655399:BGK655399 AWN655399:AWO655399 AMR655399:AMS655399 ACV655399:ACW655399 SZ655399:TA655399 JD655399:JE655399 H655399:I655399 WVP589863:WVQ589863 WLT589863:WLU589863 WBX589863:WBY589863 VSB589863:VSC589863 VIF589863:VIG589863 UYJ589863:UYK589863 UON589863:UOO589863 UER589863:UES589863 TUV589863:TUW589863 TKZ589863:TLA589863 TBD589863:TBE589863 SRH589863:SRI589863 SHL589863:SHM589863 RXP589863:RXQ589863 RNT589863:RNU589863 RDX589863:RDY589863 QUB589863:QUC589863 QKF589863:QKG589863 QAJ589863:QAK589863 PQN589863:PQO589863 PGR589863:PGS589863 OWV589863:OWW589863 OMZ589863:ONA589863 ODD589863:ODE589863 NTH589863:NTI589863 NJL589863:NJM589863 MZP589863:MZQ589863 MPT589863:MPU589863 MFX589863:MFY589863 LWB589863:LWC589863 LMF589863:LMG589863 LCJ589863:LCK589863 KSN589863:KSO589863 KIR589863:KIS589863 JYV589863:JYW589863 JOZ589863:JPA589863 JFD589863:JFE589863 IVH589863:IVI589863 ILL589863:ILM589863 IBP589863:IBQ589863 HRT589863:HRU589863 HHX589863:HHY589863 GYB589863:GYC589863 GOF589863:GOG589863 GEJ589863:GEK589863 FUN589863:FUO589863 FKR589863:FKS589863 FAV589863:FAW589863 EQZ589863:ERA589863 EHD589863:EHE589863 DXH589863:DXI589863 DNL589863:DNM589863 DDP589863:DDQ589863 CTT589863:CTU589863 CJX589863:CJY589863 CAB589863:CAC589863 BQF589863:BQG589863 BGJ589863:BGK589863 AWN589863:AWO589863 AMR589863:AMS589863 ACV589863:ACW589863 SZ589863:TA589863 JD589863:JE589863 H589863:I589863 WVP524327:WVQ524327 WLT524327:WLU524327 WBX524327:WBY524327 VSB524327:VSC524327 VIF524327:VIG524327 UYJ524327:UYK524327 UON524327:UOO524327 UER524327:UES524327 TUV524327:TUW524327 TKZ524327:TLA524327 TBD524327:TBE524327 SRH524327:SRI524327 SHL524327:SHM524327 RXP524327:RXQ524327 RNT524327:RNU524327 RDX524327:RDY524327 QUB524327:QUC524327 QKF524327:QKG524327 QAJ524327:QAK524327 PQN524327:PQO524327 PGR524327:PGS524327 OWV524327:OWW524327 OMZ524327:ONA524327 ODD524327:ODE524327 NTH524327:NTI524327 NJL524327:NJM524327 MZP524327:MZQ524327 MPT524327:MPU524327 MFX524327:MFY524327 LWB524327:LWC524327 LMF524327:LMG524327 LCJ524327:LCK524327 KSN524327:KSO524327 KIR524327:KIS524327 JYV524327:JYW524327 JOZ524327:JPA524327 JFD524327:JFE524327 IVH524327:IVI524327 ILL524327:ILM524327 IBP524327:IBQ524327 HRT524327:HRU524327 HHX524327:HHY524327 GYB524327:GYC524327 GOF524327:GOG524327 GEJ524327:GEK524327 FUN524327:FUO524327 FKR524327:FKS524327 FAV524327:FAW524327 EQZ524327:ERA524327 EHD524327:EHE524327 DXH524327:DXI524327 DNL524327:DNM524327 DDP524327:DDQ524327 CTT524327:CTU524327 CJX524327:CJY524327 CAB524327:CAC524327 BQF524327:BQG524327 BGJ524327:BGK524327 AWN524327:AWO524327 AMR524327:AMS524327 ACV524327:ACW524327 SZ524327:TA524327 JD524327:JE524327 H524327:I524327 WVP458791:WVQ458791 WLT458791:WLU458791 WBX458791:WBY458791 VSB458791:VSC458791 VIF458791:VIG458791 UYJ458791:UYK458791 UON458791:UOO458791 UER458791:UES458791 TUV458791:TUW458791 TKZ458791:TLA458791 TBD458791:TBE458791 SRH458791:SRI458791 SHL458791:SHM458791 RXP458791:RXQ458791 RNT458791:RNU458791 RDX458791:RDY458791 QUB458791:QUC458791 QKF458791:QKG458791 QAJ458791:QAK458791 PQN458791:PQO458791 PGR458791:PGS458791 OWV458791:OWW458791 OMZ458791:ONA458791 ODD458791:ODE458791 NTH458791:NTI458791 NJL458791:NJM458791 MZP458791:MZQ458791 MPT458791:MPU458791 MFX458791:MFY458791 LWB458791:LWC458791 LMF458791:LMG458791 LCJ458791:LCK458791 KSN458791:KSO458791 KIR458791:KIS458791 JYV458791:JYW458791 JOZ458791:JPA458791 JFD458791:JFE458791 IVH458791:IVI458791 ILL458791:ILM458791 IBP458791:IBQ458791 HRT458791:HRU458791 HHX458791:HHY458791 GYB458791:GYC458791 GOF458791:GOG458791 GEJ458791:GEK458791 FUN458791:FUO458791 FKR458791:FKS458791 FAV458791:FAW458791 EQZ458791:ERA458791 EHD458791:EHE458791 DXH458791:DXI458791 DNL458791:DNM458791 DDP458791:DDQ458791 CTT458791:CTU458791 CJX458791:CJY458791 CAB458791:CAC458791 BQF458791:BQG458791 BGJ458791:BGK458791 AWN458791:AWO458791 AMR458791:AMS458791 ACV458791:ACW458791 SZ458791:TA458791 JD458791:JE458791 H458791:I458791 WVP393255:WVQ393255 WLT393255:WLU393255 WBX393255:WBY393255 VSB393255:VSC393255 VIF393255:VIG393255 UYJ393255:UYK393255 UON393255:UOO393255 UER393255:UES393255 TUV393255:TUW393255 TKZ393255:TLA393255 TBD393255:TBE393255 SRH393255:SRI393255 SHL393255:SHM393255 RXP393255:RXQ393255 RNT393255:RNU393255 RDX393255:RDY393255 QUB393255:QUC393255 QKF393255:QKG393255 QAJ393255:QAK393255 PQN393255:PQO393255 PGR393255:PGS393255 OWV393255:OWW393255 OMZ393255:ONA393255 ODD393255:ODE393255 NTH393255:NTI393255 NJL393255:NJM393255 MZP393255:MZQ393255 MPT393255:MPU393255 MFX393255:MFY393255 LWB393255:LWC393255 LMF393255:LMG393255 LCJ393255:LCK393255 KSN393255:KSO393255 KIR393255:KIS393255 JYV393255:JYW393255 JOZ393255:JPA393255 JFD393255:JFE393255 IVH393255:IVI393255 ILL393255:ILM393255 IBP393255:IBQ393255 HRT393255:HRU393255 HHX393255:HHY393255 GYB393255:GYC393255 GOF393255:GOG393255 GEJ393255:GEK393255 FUN393255:FUO393255 FKR393255:FKS393255 FAV393255:FAW393255 EQZ393255:ERA393255 EHD393255:EHE393255 DXH393255:DXI393255 DNL393255:DNM393255 DDP393255:DDQ393255 CTT393255:CTU393255 CJX393255:CJY393255 CAB393255:CAC393255 BQF393255:BQG393255 BGJ393255:BGK393255 AWN393255:AWO393255 AMR393255:AMS393255 ACV393255:ACW393255 SZ393255:TA393255 JD393255:JE393255 H393255:I393255 WVP327719:WVQ327719 WLT327719:WLU327719 WBX327719:WBY327719 VSB327719:VSC327719 VIF327719:VIG327719 UYJ327719:UYK327719 UON327719:UOO327719 UER327719:UES327719 TUV327719:TUW327719 TKZ327719:TLA327719 TBD327719:TBE327719 SRH327719:SRI327719 SHL327719:SHM327719 RXP327719:RXQ327719 RNT327719:RNU327719 RDX327719:RDY327719 QUB327719:QUC327719 QKF327719:QKG327719 QAJ327719:QAK327719 PQN327719:PQO327719 PGR327719:PGS327719 OWV327719:OWW327719 OMZ327719:ONA327719 ODD327719:ODE327719 NTH327719:NTI327719 NJL327719:NJM327719 MZP327719:MZQ327719 MPT327719:MPU327719 MFX327719:MFY327719 LWB327719:LWC327719 LMF327719:LMG327719 LCJ327719:LCK327719 KSN327719:KSO327719 KIR327719:KIS327719 JYV327719:JYW327719 JOZ327719:JPA327719 JFD327719:JFE327719 IVH327719:IVI327719 ILL327719:ILM327719 IBP327719:IBQ327719 HRT327719:HRU327719 HHX327719:HHY327719 GYB327719:GYC327719 GOF327719:GOG327719 GEJ327719:GEK327719 FUN327719:FUO327719 FKR327719:FKS327719 FAV327719:FAW327719 EQZ327719:ERA327719 EHD327719:EHE327719 DXH327719:DXI327719 DNL327719:DNM327719 DDP327719:DDQ327719 CTT327719:CTU327719 CJX327719:CJY327719 CAB327719:CAC327719 BQF327719:BQG327719 BGJ327719:BGK327719 AWN327719:AWO327719 AMR327719:AMS327719 ACV327719:ACW327719 SZ327719:TA327719 JD327719:JE327719 H327719:I327719 WVP262183:WVQ262183 WLT262183:WLU262183 WBX262183:WBY262183 VSB262183:VSC262183 VIF262183:VIG262183 UYJ262183:UYK262183 UON262183:UOO262183 UER262183:UES262183 TUV262183:TUW262183 TKZ262183:TLA262183 TBD262183:TBE262183 SRH262183:SRI262183 SHL262183:SHM262183 RXP262183:RXQ262183 RNT262183:RNU262183 RDX262183:RDY262183 QUB262183:QUC262183 QKF262183:QKG262183 QAJ262183:QAK262183 PQN262183:PQO262183 PGR262183:PGS262183 OWV262183:OWW262183 OMZ262183:ONA262183 ODD262183:ODE262183 NTH262183:NTI262183 NJL262183:NJM262183 MZP262183:MZQ262183 MPT262183:MPU262183 MFX262183:MFY262183 LWB262183:LWC262183 LMF262183:LMG262183 LCJ262183:LCK262183 KSN262183:KSO262183 KIR262183:KIS262183 JYV262183:JYW262183 JOZ262183:JPA262183 JFD262183:JFE262183 IVH262183:IVI262183 ILL262183:ILM262183 IBP262183:IBQ262183 HRT262183:HRU262183 HHX262183:HHY262183 GYB262183:GYC262183 GOF262183:GOG262183 GEJ262183:GEK262183 FUN262183:FUO262183 FKR262183:FKS262183 FAV262183:FAW262183 EQZ262183:ERA262183 EHD262183:EHE262183 DXH262183:DXI262183 DNL262183:DNM262183 DDP262183:DDQ262183 CTT262183:CTU262183 CJX262183:CJY262183 CAB262183:CAC262183 BQF262183:BQG262183 BGJ262183:BGK262183 AWN262183:AWO262183 AMR262183:AMS262183 ACV262183:ACW262183 SZ262183:TA262183 JD262183:JE262183 H262183:I262183 WVP196647:WVQ196647 WLT196647:WLU196647 WBX196647:WBY196647 VSB196647:VSC196647 VIF196647:VIG196647 UYJ196647:UYK196647 UON196647:UOO196647 UER196647:UES196647 TUV196647:TUW196647 TKZ196647:TLA196647 TBD196647:TBE196647 SRH196647:SRI196647 SHL196647:SHM196647 RXP196647:RXQ196647 RNT196647:RNU196647 RDX196647:RDY196647 QUB196647:QUC196647 QKF196647:QKG196647 QAJ196647:QAK196647 PQN196647:PQO196647 PGR196647:PGS196647 OWV196647:OWW196647 OMZ196647:ONA196647 ODD196647:ODE196647 NTH196647:NTI196647 NJL196647:NJM196647 MZP196647:MZQ196647 MPT196647:MPU196647 MFX196647:MFY196647 LWB196647:LWC196647 LMF196647:LMG196647 LCJ196647:LCK196647 KSN196647:KSO196647 KIR196647:KIS196647 JYV196647:JYW196647 JOZ196647:JPA196647 JFD196647:JFE196647 IVH196647:IVI196647 ILL196647:ILM196647 IBP196647:IBQ196647 HRT196647:HRU196647 HHX196647:HHY196647 GYB196647:GYC196647 GOF196647:GOG196647 GEJ196647:GEK196647 FUN196647:FUO196647 FKR196647:FKS196647 FAV196647:FAW196647 EQZ196647:ERA196647 EHD196647:EHE196647 DXH196647:DXI196647 DNL196647:DNM196647 DDP196647:DDQ196647 CTT196647:CTU196647 CJX196647:CJY196647 CAB196647:CAC196647 BQF196647:BQG196647 BGJ196647:BGK196647 AWN196647:AWO196647 AMR196647:AMS196647 ACV196647:ACW196647 SZ196647:TA196647 JD196647:JE196647 H196647:I196647 WVP131111:WVQ131111 WLT131111:WLU131111 WBX131111:WBY131111 VSB131111:VSC131111 VIF131111:VIG131111 UYJ131111:UYK131111 UON131111:UOO131111 UER131111:UES131111 TUV131111:TUW131111 TKZ131111:TLA131111 TBD131111:TBE131111 SRH131111:SRI131111 SHL131111:SHM131111 RXP131111:RXQ131111 RNT131111:RNU131111 RDX131111:RDY131111 QUB131111:QUC131111 QKF131111:QKG131111 QAJ131111:QAK131111 PQN131111:PQO131111 PGR131111:PGS131111 OWV131111:OWW131111 OMZ131111:ONA131111 ODD131111:ODE131111 NTH131111:NTI131111 NJL131111:NJM131111 MZP131111:MZQ131111 MPT131111:MPU131111 MFX131111:MFY131111 LWB131111:LWC131111 LMF131111:LMG131111 LCJ131111:LCK131111 KSN131111:KSO131111 KIR131111:KIS131111 JYV131111:JYW131111 JOZ131111:JPA131111 JFD131111:JFE131111 IVH131111:IVI131111 ILL131111:ILM131111 IBP131111:IBQ131111 HRT131111:HRU131111 HHX131111:HHY131111 GYB131111:GYC131111 GOF131111:GOG131111 GEJ131111:GEK131111 FUN131111:FUO131111 FKR131111:FKS131111 FAV131111:FAW131111 EQZ131111:ERA131111 EHD131111:EHE131111 DXH131111:DXI131111 DNL131111:DNM131111 DDP131111:DDQ131111 CTT131111:CTU131111 CJX131111:CJY131111 CAB131111:CAC131111 BQF131111:BQG131111 BGJ131111:BGK131111 AWN131111:AWO131111 AMR131111:AMS131111 ACV131111:ACW131111 SZ131111:TA131111 JD131111:JE131111 H131111:I131111 WVP65575:WVQ65575 WLT65575:WLU65575 WBX65575:WBY65575 VSB65575:VSC65575 VIF65575:VIG65575 UYJ65575:UYK65575 UON65575:UOO65575 UER65575:UES65575 TUV65575:TUW65575 TKZ65575:TLA65575 TBD65575:TBE65575 SRH65575:SRI65575 SHL65575:SHM65575 RXP65575:RXQ65575 RNT65575:RNU65575 RDX65575:RDY65575 QUB65575:QUC65575 QKF65575:QKG65575 QAJ65575:QAK65575 PQN65575:PQO65575 PGR65575:PGS65575 OWV65575:OWW65575 OMZ65575:ONA65575 ODD65575:ODE65575 NTH65575:NTI65575 NJL65575:NJM65575 MZP65575:MZQ65575 MPT65575:MPU65575 MFX65575:MFY65575 LWB65575:LWC65575 LMF65575:LMG65575 LCJ65575:LCK65575 KSN65575:KSO65575 KIR65575:KIS65575 JYV65575:JYW65575 JOZ65575:JPA65575 JFD65575:JFE65575 IVH65575:IVI65575 ILL65575:ILM65575 IBP65575:IBQ65575 HRT65575:HRU65575 HHX65575:HHY65575 GYB65575:GYC65575 GOF65575:GOG65575 GEJ65575:GEK65575 FUN65575:FUO65575 FKR65575:FKS65575 FAV65575:FAW65575 EQZ65575:ERA65575 EHD65575:EHE65575 DXH65575:DXI65575 DNL65575:DNM65575 DDP65575:DDQ65575 CTT65575:CTU65575 CJX65575:CJY65575 CAB65575:CAC65575 BQF65575:BQG65575 BGJ65575:BGK65575 AWN65575:AWO65575 AMR65575:AMS65575 ACV65575:ACW65575 SZ65575:TA65575 JD65575:JE65575 H65575:I65575 WVP983080 WLT983080 WBX983080 VSB983080 VIF983080 UYJ983080 UON983080 UER983080 TUV983080 TKZ983080 TBD983080 SRH983080 SHL983080 RXP983080 RNT983080 RDX983080 QUB983080 QKF983080 QAJ983080 PQN983080 PGR983080 OWV983080 OMZ983080 ODD983080 NTH983080 NJL983080 MZP983080 MPT983080 MFX983080 LWB983080 LMF983080 LCJ983080 KSN983080 KIR983080 JYV983080 JOZ983080 JFD983080 IVH983080 ILL983080 IBP983080 HRT983080 HHX983080 GYB983080 GOF983080 GEJ983080 FUN983080 FKR983080 FAV983080 EQZ983080 EHD983080 DXH983080 DNL983080 DDP983080 CTT983080 CJX983080 CAB983080 BQF983080 BGJ983080 AWN983080 AMR983080 ACV983080 SZ983080 JD983080 H983080 WVP917544 WLT917544 WBX917544 VSB917544 VIF917544 UYJ917544 UON917544 UER917544 TUV917544 TKZ917544 TBD917544 SRH917544 SHL917544 RXP917544 RNT917544 RDX917544 QUB917544 QKF917544 QAJ917544 PQN917544 PGR917544 OWV917544 OMZ917544 ODD917544 NTH917544 NJL917544 MZP917544 MPT917544 MFX917544 LWB917544 LMF917544 LCJ917544 KSN917544 KIR917544 JYV917544 JOZ917544 JFD917544 IVH917544 ILL917544 IBP917544 HRT917544 HHX917544 GYB917544 GOF917544 GEJ917544 FUN917544 FKR917544 FAV917544 EQZ917544 EHD917544 DXH917544 DNL917544 DDP917544 CTT917544 CJX917544 CAB917544 BQF917544 BGJ917544 AWN917544 AMR917544 ACV917544 SZ917544 JD917544 H917544 WVP852008 WLT852008 WBX852008 VSB852008 VIF852008 UYJ852008 UON852008 UER852008 TUV852008 TKZ852008 TBD852008 SRH852008 SHL852008 RXP852008 RNT852008 RDX852008 QUB852008 QKF852008 QAJ852008 PQN852008 PGR852008 OWV852008 OMZ852008 ODD852008 NTH852008 NJL852008 MZP852008 MPT852008 MFX852008 LWB852008 LMF852008 LCJ852008 KSN852008 KIR852008 JYV852008 JOZ852008 JFD852008 IVH852008 ILL852008 IBP852008 HRT852008 HHX852008 GYB852008 GOF852008 GEJ852008 FUN852008 FKR852008 FAV852008 EQZ852008 EHD852008 DXH852008 DNL852008 DDP852008 CTT852008 CJX852008 CAB852008 BQF852008 BGJ852008 AWN852008 AMR852008 ACV852008 SZ852008 JD852008 H852008 WVP786472 WLT786472 WBX786472 VSB786472 VIF786472 UYJ786472 UON786472 UER786472 TUV786472 TKZ786472 TBD786472 SRH786472 SHL786472 RXP786472 RNT786472 RDX786472 QUB786472 QKF786472 QAJ786472 PQN786472 PGR786472 OWV786472 OMZ786472 ODD786472 NTH786472 NJL786472 MZP786472 MPT786472 MFX786472 LWB786472 LMF786472 LCJ786472 KSN786472 KIR786472 JYV786472 JOZ786472 JFD786472 IVH786472 ILL786472 IBP786472 HRT786472 HHX786472 GYB786472 GOF786472 GEJ786472 FUN786472 FKR786472 FAV786472 EQZ786472 EHD786472 DXH786472 DNL786472 DDP786472 CTT786472 CJX786472 CAB786472 BQF786472 BGJ786472 AWN786472 AMR786472 ACV786472 SZ786472 JD786472 H786472 WVP720936 WLT720936 WBX720936 VSB720936 VIF720936 UYJ720936 UON720936 UER720936 TUV720936 TKZ720936 TBD720936 SRH720936 SHL720936 RXP720936 RNT720936 RDX720936 QUB720936 QKF720936 QAJ720936 PQN720936 PGR720936 OWV720936 OMZ720936 ODD720936 NTH720936 NJL720936 MZP720936 MPT720936 MFX720936 LWB720936 LMF720936 LCJ720936 KSN720936 KIR720936 JYV720936 JOZ720936 JFD720936 IVH720936 ILL720936 IBP720936 HRT720936 HHX720936 GYB720936 GOF720936 GEJ720936 FUN720936 FKR720936 FAV720936 EQZ720936 EHD720936 DXH720936 DNL720936 DDP720936 CTT720936 CJX720936 CAB720936 BQF720936 BGJ720936 AWN720936 AMR720936 ACV720936 SZ720936 JD720936 H720936 WVP655400 WLT655400 WBX655400 VSB655400 VIF655400 UYJ655400 UON655400 UER655400 TUV655400 TKZ655400 TBD655400 SRH655400 SHL655400 RXP655400 RNT655400 RDX655400 QUB655400 QKF655400 QAJ655400 PQN655400 PGR655400 OWV655400 OMZ655400 ODD655400 NTH655400 NJL655400 MZP655400 MPT655400 MFX655400 LWB655400 LMF655400 LCJ655400 KSN655400 KIR655400 JYV655400 JOZ655400 JFD655400 IVH655400 ILL655400 IBP655400 HRT655400 HHX655400 GYB655400 GOF655400 GEJ655400 FUN655400 FKR655400 FAV655400 EQZ655400 EHD655400 DXH655400 DNL655400 DDP655400 CTT655400 CJX655400 CAB655400 BQF655400 BGJ655400 AWN655400 AMR655400 ACV655400 SZ655400 JD655400 H655400 WVP589864 WLT589864 WBX589864 VSB589864 VIF589864 UYJ589864 UON589864 UER589864 TUV589864 TKZ589864 TBD589864 SRH589864 SHL589864 RXP589864 RNT589864 RDX589864 QUB589864 QKF589864 QAJ589864 PQN589864 PGR589864 OWV589864 OMZ589864 ODD589864 NTH589864 NJL589864 MZP589864 MPT589864 MFX589864 LWB589864 LMF589864 LCJ589864 KSN589864 KIR589864 JYV589864 JOZ589864 JFD589864 IVH589864 ILL589864 IBP589864 HRT589864 HHX589864 GYB589864 GOF589864 GEJ589864 FUN589864 FKR589864 FAV589864 EQZ589864 EHD589864 DXH589864 DNL589864 DDP589864 CTT589864 CJX589864 CAB589864 BQF589864 BGJ589864 AWN589864 AMR589864 ACV589864 SZ589864 JD589864 H589864 WVP524328 WLT524328 WBX524328 VSB524328 VIF524328 UYJ524328 UON524328 UER524328 TUV524328 TKZ524328 TBD524328 SRH524328 SHL524328 RXP524328 RNT524328 RDX524328 QUB524328 QKF524328 QAJ524328 PQN524328 PGR524328 OWV524328 OMZ524328 ODD524328 NTH524328 NJL524328 MZP524328 MPT524328 MFX524328 LWB524328 LMF524328 LCJ524328 KSN524328 KIR524328 JYV524328 JOZ524328 JFD524328 IVH524328 ILL524328 IBP524328 HRT524328 HHX524328 GYB524328 GOF524328 GEJ524328 FUN524328 FKR524328 FAV524328 EQZ524328 EHD524328 DXH524328 DNL524328 DDP524328 CTT524328 CJX524328 CAB524328 BQF524328 BGJ524328 AWN524328 AMR524328 ACV524328 SZ524328 JD524328 H524328 WVP458792 WLT458792 WBX458792 VSB458792 VIF458792 UYJ458792 UON458792 UER458792 TUV458792 TKZ458792 TBD458792 SRH458792 SHL458792 RXP458792 RNT458792 RDX458792 QUB458792 QKF458792 QAJ458792 PQN458792 PGR458792 OWV458792 OMZ458792 ODD458792 NTH458792 NJL458792 MZP458792 MPT458792 MFX458792 LWB458792 LMF458792 LCJ458792 KSN458792 KIR458792 JYV458792 JOZ458792 JFD458792 IVH458792 ILL458792 IBP458792 HRT458792 HHX458792 GYB458792 GOF458792 GEJ458792 FUN458792 FKR458792 FAV458792 EQZ458792 EHD458792 DXH458792 DNL458792 DDP458792 CTT458792 CJX458792 CAB458792 BQF458792 BGJ458792 AWN458792 AMR458792 ACV458792 SZ458792 JD458792 H458792 WVP393256 WLT393256 WBX393256 VSB393256 VIF393256 UYJ393256 UON393256 UER393256 TUV393256 TKZ393256 TBD393256 SRH393256 SHL393256 RXP393256 RNT393256 RDX393256 QUB393256 QKF393256 QAJ393256 PQN393256 PGR393256 OWV393256 OMZ393256 ODD393256 NTH393256 NJL393256 MZP393256 MPT393256 MFX393256 LWB393256 LMF393256 LCJ393256 KSN393256 KIR393256 JYV393256 JOZ393256 JFD393256 IVH393256 ILL393256 IBP393256 HRT393256 HHX393256 GYB393256 GOF393256 GEJ393256 FUN393256 FKR393256 FAV393256 EQZ393256 EHD393256 DXH393256 DNL393256 DDP393256 CTT393256 CJX393256 CAB393256 BQF393256 BGJ393256 AWN393256 AMR393256 ACV393256 SZ393256 JD393256 H393256 WVP327720 WLT327720 WBX327720 VSB327720 VIF327720 UYJ327720 UON327720 UER327720 TUV327720 TKZ327720 TBD327720 SRH327720 SHL327720 RXP327720 RNT327720 RDX327720 QUB327720 QKF327720 QAJ327720 PQN327720 PGR327720 OWV327720 OMZ327720 ODD327720 NTH327720 NJL327720 MZP327720 MPT327720 MFX327720 LWB327720 LMF327720 LCJ327720 KSN327720 KIR327720 JYV327720 JOZ327720 JFD327720 IVH327720 ILL327720 IBP327720 HRT327720 HHX327720 GYB327720 GOF327720 GEJ327720 FUN327720 FKR327720 FAV327720 EQZ327720 EHD327720 DXH327720 DNL327720 DDP327720 CTT327720 CJX327720 CAB327720 BQF327720 BGJ327720 AWN327720 AMR327720 ACV327720 SZ327720 JD327720 H327720 WVP262184 WLT262184 WBX262184 VSB262184 VIF262184 UYJ262184 UON262184 UER262184 TUV262184 TKZ262184 TBD262184 SRH262184 SHL262184 RXP262184 RNT262184 RDX262184 QUB262184 QKF262184 QAJ262184 PQN262184 PGR262184 OWV262184 OMZ262184 ODD262184 NTH262184 NJL262184 MZP262184 MPT262184 MFX262184 LWB262184 LMF262184 LCJ262184 KSN262184 KIR262184 JYV262184 JOZ262184 JFD262184 IVH262184 ILL262184 IBP262184 HRT262184 HHX262184 GYB262184 GOF262184 GEJ262184 FUN262184 FKR262184 FAV262184 EQZ262184 EHD262184 DXH262184 DNL262184 DDP262184 CTT262184 CJX262184 CAB262184 BQF262184 BGJ262184 AWN262184 AMR262184 ACV262184 SZ262184 JD262184 H262184 WVP196648 WLT196648 WBX196648 VSB196648 VIF196648 UYJ196648 UON196648 UER196648 TUV196648 TKZ196648 TBD196648 SRH196648 SHL196648 RXP196648 RNT196648 RDX196648 QUB196648 QKF196648 QAJ196648 PQN196648 PGR196648 OWV196648 OMZ196648 ODD196648 NTH196648 NJL196648 MZP196648 MPT196648 MFX196648 LWB196648 LMF196648 LCJ196648 KSN196648 KIR196648 JYV196648 JOZ196648 JFD196648 IVH196648 ILL196648 IBP196648 HRT196648 HHX196648 GYB196648 GOF196648 GEJ196648 FUN196648 FKR196648 FAV196648 EQZ196648 EHD196648 DXH196648 DNL196648 DDP196648 CTT196648 CJX196648 CAB196648 BQF196648 BGJ196648 AWN196648 AMR196648 ACV196648 SZ196648 JD196648 H196648 WVP131112 WLT131112 WBX131112 VSB131112 VIF131112 UYJ131112 UON131112 UER131112 TUV131112 TKZ131112 TBD131112 SRH131112 SHL131112 RXP131112 RNT131112 RDX131112 QUB131112 QKF131112 QAJ131112 PQN131112 PGR131112 OWV131112 OMZ131112 ODD131112 NTH131112 NJL131112 MZP131112 MPT131112 MFX131112 LWB131112 LMF131112 LCJ131112 KSN131112 KIR131112 JYV131112 JOZ131112 JFD131112 IVH131112 ILL131112 IBP131112 HRT131112 HHX131112 GYB131112 GOF131112 GEJ131112 FUN131112 FKR131112 FAV131112 EQZ131112 EHD131112 DXH131112 DNL131112 DDP131112 CTT131112 CJX131112 CAB131112 BQF131112 BGJ131112 AWN131112 AMR131112 ACV131112 SZ131112 JD131112 H131112 WVP65576 WLT65576 WBX65576 VSB65576 VIF65576 UYJ65576 UON65576 UER65576 TUV65576 TKZ65576 TBD65576 SRH65576 SHL65576 RXP65576 RNT65576 RDX65576 QUB65576 QKF65576 QAJ65576 PQN65576 PGR65576 OWV65576 OMZ65576 ODD65576 NTH65576 NJL65576 MZP65576 MPT65576 MFX65576 LWB65576 LMF65576 LCJ65576 KSN65576 KIR65576 JYV65576 JOZ65576 JFD65576 IVH65576 ILL65576 IBP65576 HRT65576 HHX65576 GYB65576 GOF65576 GEJ65576 FUN65576 FKR65576 FAV65576 EQZ65576 EHD65576 DXH65576 DNL65576 DDP65576 CTT65576 CJX65576 CAB65576 BQF65576 BGJ65576 AWN65576 AMR65576 ACV65576 SZ65576 JD65576 H65576 WVP983069:WVQ983075 WLT983069:WLU983075 WBX983069:WBY983075 VSB983069:VSC983075 VIF983069:VIG983075 UYJ983069:UYK983075 UON983069:UOO983075 UER983069:UES983075 TUV983069:TUW983075 TKZ983069:TLA983075 TBD983069:TBE983075 SRH983069:SRI983075 SHL983069:SHM983075 RXP983069:RXQ983075 RNT983069:RNU983075 RDX983069:RDY983075 QUB983069:QUC983075 QKF983069:QKG983075 QAJ983069:QAK983075 PQN983069:PQO983075 PGR983069:PGS983075 OWV983069:OWW983075 OMZ983069:ONA983075 ODD983069:ODE983075 NTH983069:NTI983075 NJL983069:NJM983075 MZP983069:MZQ983075 MPT983069:MPU983075 MFX983069:MFY983075 LWB983069:LWC983075 LMF983069:LMG983075 LCJ983069:LCK983075 KSN983069:KSO983075 KIR983069:KIS983075 JYV983069:JYW983075 JOZ983069:JPA983075 JFD983069:JFE983075 IVH983069:IVI983075 ILL983069:ILM983075 IBP983069:IBQ983075 HRT983069:HRU983075 HHX983069:HHY983075 GYB983069:GYC983075 GOF983069:GOG983075 GEJ983069:GEK983075 FUN983069:FUO983075 FKR983069:FKS983075 FAV983069:FAW983075 EQZ983069:ERA983075 EHD983069:EHE983075 DXH983069:DXI983075 DNL983069:DNM983075 DDP983069:DDQ983075 CTT983069:CTU983075 CJX983069:CJY983075 CAB983069:CAC983075 BQF983069:BQG983075 BGJ983069:BGK983075 AWN983069:AWO983075 AMR983069:AMS983075 ACV983069:ACW983075 SZ983069:TA983075 JD983069:JE983075 H983069:I983075 WVP917533:WVQ917539 WLT917533:WLU917539 WBX917533:WBY917539 VSB917533:VSC917539 VIF917533:VIG917539 UYJ917533:UYK917539 UON917533:UOO917539 UER917533:UES917539 TUV917533:TUW917539 TKZ917533:TLA917539 TBD917533:TBE917539 SRH917533:SRI917539 SHL917533:SHM917539 RXP917533:RXQ917539 RNT917533:RNU917539 RDX917533:RDY917539 QUB917533:QUC917539 QKF917533:QKG917539 QAJ917533:QAK917539 PQN917533:PQO917539 PGR917533:PGS917539 OWV917533:OWW917539 OMZ917533:ONA917539 ODD917533:ODE917539 NTH917533:NTI917539 NJL917533:NJM917539 MZP917533:MZQ917539 MPT917533:MPU917539 MFX917533:MFY917539 LWB917533:LWC917539 LMF917533:LMG917539 LCJ917533:LCK917539 KSN917533:KSO917539 KIR917533:KIS917539 JYV917533:JYW917539 JOZ917533:JPA917539 JFD917533:JFE917539 IVH917533:IVI917539 ILL917533:ILM917539 IBP917533:IBQ917539 HRT917533:HRU917539 HHX917533:HHY917539 GYB917533:GYC917539 GOF917533:GOG917539 GEJ917533:GEK917539 FUN917533:FUO917539 FKR917533:FKS917539 FAV917533:FAW917539 EQZ917533:ERA917539 EHD917533:EHE917539 DXH917533:DXI917539 DNL917533:DNM917539 DDP917533:DDQ917539 CTT917533:CTU917539 CJX917533:CJY917539 CAB917533:CAC917539 BQF917533:BQG917539 BGJ917533:BGK917539 AWN917533:AWO917539 AMR917533:AMS917539 ACV917533:ACW917539 SZ917533:TA917539 JD917533:JE917539 H917533:I917539 WVP851997:WVQ852003 WLT851997:WLU852003 WBX851997:WBY852003 VSB851997:VSC852003 VIF851997:VIG852003 UYJ851997:UYK852003 UON851997:UOO852003 UER851997:UES852003 TUV851997:TUW852003 TKZ851997:TLA852003 TBD851997:TBE852003 SRH851997:SRI852003 SHL851997:SHM852003 RXP851997:RXQ852003 RNT851997:RNU852003 RDX851997:RDY852003 QUB851997:QUC852003 QKF851997:QKG852003 QAJ851997:QAK852003 PQN851997:PQO852003 PGR851997:PGS852003 OWV851997:OWW852003 OMZ851997:ONA852003 ODD851997:ODE852003 NTH851997:NTI852003 NJL851997:NJM852003 MZP851997:MZQ852003 MPT851997:MPU852003 MFX851997:MFY852003 LWB851997:LWC852003 LMF851997:LMG852003 LCJ851997:LCK852003 KSN851997:KSO852003 KIR851997:KIS852003 JYV851997:JYW852003 JOZ851997:JPA852003 JFD851997:JFE852003 IVH851997:IVI852003 ILL851997:ILM852003 IBP851997:IBQ852003 HRT851997:HRU852003 HHX851997:HHY852003 GYB851997:GYC852003 GOF851997:GOG852003 GEJ851997:GEK852003 FUN851997:FUO852003 FKR851997:FKS852003 FAV851997:FAW852003 EQZ851997:ERA852003 EHD851997:EHE852003 DXH851997:DXI852003 DNL851997:DNM852003 DDP851997:DDQ852003 CTT851997:CTU852003 CJX851997:CJY852003 CAB851997:CAC852003 BQF851997:BQG852003 BGJ851997:BGK852003 AWN851997:AWO852003 AMR851997:AMS852003 ACV851997:ACW852003 SZ851997:TA852003 JD851997:JE852003 H851997:I852003 WVP786461:WVQ786467 WLT786461:WLU786467 WBX786461:WBY786467 VSB786461:VSC786467 VIF786461:VIG786467 UYJ786461:UYK786467 UON786461:UOO786467 UER786461:UES786467 TUV786461:TUW786467 TKZ786461:TLA786467 TBD786461:TBE786467 SRH786461:SRI786467 SHL786461:SHM786467 RXP786461:RXQ786467 RNT786461:RNU786467 RDX786461:RDY786467 QUB786461:QUC786467 QKF786461:QKG786467 QAJ786461:QAK786467 PQN786461:PQO786467 PGR786461:PGS786467 OWV786461:OWW786467 OMZ786461:ONA786467 ODD786461:ODE786467 NTH786461:NTI786467 NJL786461:NJM786467 MZP786461:MZQ786467 MPT786461:MPU786467 MFX786461:MFY786467 LWB786461:LWC786467 LMF786461:LMG786467 LCJ786461:LCK786467 KSN786461:KSO786467 KIR786461:KIS786467 JYV786461:JYW786467 JOZ786461:JPA786467 JFD786461:JFE786467 IVH786461:IVI786467 ILL786461:ILM786467 IBP786461:IBQ786467 HRT786461:HRU786467 HHX786461:HHY786467 GYB786461:GYC786467 GOF786461:GOG786467 GEJ786461:GEK786467 FUN786461:FUO786467 FKR786461:FKS786467 FAV786461:FAW786467 EQZ786461:ERA786467 EHD786461:EHE786467 DXH786461:DXI786467 DNL786461:DNM786467 DDP786461:DDQ786467 CTT786461:CTU786467 CJX786461:CJY786467 CAB786461:CAC786467 BQF786461:BQG786467 BGJ786461:BGK786467 AWN786461:AWO786467 AMR786461:AMS786467 ACV786461:ACW786467 SZ786461:TA786467 JD786461:JE786467 H786461:I786467 WVP720925:WVQ720931 WLT720925:WLU720931 WBX720925:WBY720931 VSB720925:VSC720931 VIF720925:VIG720931 UYJ720925:UYK720931 UON720925:UOO720931 UER720925:UES720931 TUV720925:TUW720931 TKZ720925:TLA720931 TBD720925:TBE720931 SRH720925:SRI720931 SHL720925:SHM720931 RXP720925:RXQ720931 RNT720925:RNU720931 RDX720925:RDY720931 QUB720925:QUC720931 QKF720925:QKG720931 QAJ720925:QAK720931 PQN720925:PQO720931 PGR720925:PGS720931 OWV720925:OWW720931 OMZ720925:ONA720931 ODD720925:ODE720931 NTH720925:NTI720931 NJL720925:NJM720931 MZP720925:MZQ720931 MPT720925:MPU720931 MFX720925:MFY720931 LWB720925:LWC720931 LMF720925:LMG720931 LCJ720925:LCK720931 KSN720925:KSO720931 KIR720925:KIS720931 JYV720925:JYW720931 JOZ720925:JPA720931 JFD720925:JFE720931 IVH720925:IVI720931 ILL720925:ILM720931 IBP720925:IBQ720931 HRT720925:HRU720931 HHX720925:HHY720931 GYB720925:GYC720931 GOF720925:GOG720931 GEJ720925:GEK720931 FUN720925:FUO720931 FKR720925:FKS720931 FAV720925:FAW720931 EQZ720925:ERA720931 EHD720925:EHE720931 DXH720925:DXI720931 DNL720925:DNM720931 DDP720925:DDQ720931 CTT720925:CTU720931 CJX720925:CJY720931 CAB720925:CAC720931 BQF720925:BQG720931 BGJ720925:BGK720931 AWN720925:AWO720931 AMR720925:AMS720931 ACV720925:ACW720931 SZ720925:TA720931 JD720925:JE720931 H720925:I720931 WVP655389:WVQ655395 WLT655389:WLU655395 WBX655389:WBY655395 VSB655389:VSC655395 VIF655389:VIG655395 UYJ655389:UYK655395 UON655389:UOO655395 UER655389:UES655395 TUV655389:TUW655395 TKZ655389:TLA655395 TBD655389:TBE655395 SRH655389:SRI655395 SHL655389:SHM655395 RXP655389:RXQ655395 RNT655389:RNU655395 RDX655389:RDY655395 QUB655389:QUC655395 QKF655389:QKG655395 QAJ655389:QAK655395 PQN655389:PQO655395 PGR655389:PGS655395 OWV655389:OWW655395 OMZ655389:ONA655395 ODD655389:ODE655395 NTH655389:NTI655395 NJL655389:NJM655395 MZP655389:MZQ655395 MPT655389:MPU655395 MFX655389:MFY655395 LWB655389:LWC655395 LMF655389:LMG655395 LCJ655389:LCK655395 KSN655389:KSO655395 KIR655389:KIS655395 JYV655389:JYW655395 JOZ655389:JPA655395 JFD655389:JFE655395 IVH655389:IVI655395 ILL655389:ILM655395 IBP655389:IBQ655395 HRT655389:HRU655395 HHX655389:HHY655395 GYB655389:GYC655395 GOF655389:GOG655395 GEJ655389:GEK655395 FUN655389:FUO655395 FKR655389:FKS655395 FAV655389:FAW655395 EQZ655389:ERA655395 EHD655389:EHE655395 DXH655389:DXI655395 DNL655389:DNM655395 DDP655389:DDQ655395 CTT655389:CTU655395 CJX655389:CJY655395 CAB655389:CAC655395 BQF655389:BQG655395 BGJ655389:BGK655395 AWN655389:AWO655395 AMR655389:AMS655395 ACV655389:ACW655395 SZ655389:TA655395 JD655389:JE655395 H655389:I655395 WVP589853:WVQ589859 WLT589853:WLU589859 WBX589853:WBY589859 VSB589853:VSC589859 VIF589853:VIG589859 UYJ589853:UYK589859 UON589853:UOO589859 UER589853:UES589859 TUV589853:TUW589859 TKZ589853:TLA589859 TBD589853:TBE589859 SRH589853:SRI589859 SHL589853:SHM589859 RXP589853:RXQ589859 RNT589853:RNU589859 RDX589853:RDY589859 QUB589853:QUC589859 QKF589853:QKG589859 QAJ589853:QAK589859 PQN589853:PQO589859 PGR589853:PGS589859 OWV589853:OWW589859 OMZ589853:ONA589859 ODD589853:ODE589859 NTH589853:NTI589859 NJL589853:NJM589859 MZP589853:MZQ589859 MPT589853:MPU589859 MFX589853:MFY589859 LWB589853:LWC589859 LMF589853:LMG589859 LCJ589853:LCK589859 KSN589853:KSO589859 KIR589853:KIS589859 JYV589853:JYW589859 JOZ589853:JPA589859 JFD589853:JFE589859 IVH589853:IVI589859 ILL589853:ILM589859 IBP589853:IBQ589859 HRT589853:HRU589859 HHX589853:HHY589859 GYB589853:GYC589859 GOF589853:GOG589859 GEJ589853:GEK589859 FUN589853:FUO589859 FKR589853:FKS589859 FAV589853:FAW589859 EQZ589853:ERA589859 EHD589853:EHE589859 DXH589853:DXI589859 DNL589853:DNM589859 DDP589853:DDQ589859 CTT589853:CTU589859 CJX589853:CJY589859 CAB589853:CAC589859 BQF589853:BQG589859 BGJ589853:BGK589859 AWN589853:AWO589859 AMR589853:AMS589859 ACV589853:ACW589859 SZ589853:TA589859 JD589853:JE589859 H589853:I589859 WVP524317:WVQ524323 WLT524317:WLU524323 WBX524317:WBY524323 VSB524317:VSC524323 VIF524317:VIG524323 UYJ524317:UYK524323 UON524317:UOO524323 UER524317:UES524323 TUV524317:TUW524323 TKZ524317:TLA524323 TBD524317:TBE524323 SRH524317:SRI524323 SHL524317:SHM524323 RXP524317:RXQ524323 RNT524317:RNU524323 RDX524317:RDY524323 QUB524317:QUC524323 QKF524317:QKG524323 QAJ524317:QAK524323 PQN524317:PQO524323 PGR524317:PGS524323 OWV524317:OWW524323 OMZ524317:ONA524323 ODD524317:ODE524323 NTH524317:NTI524323 NJL524317:NJM524323 MZP524317:MZQ524323 MPT524317:MPU524323 MFX524317:MFY524323 LWB524317:LWC524323 LMF524317:LMG524323 LCJ524317:LCK524323 KSN524317:KSO524323 KIR524317:KIS524323 JYV524317:JYW524323 JOZ524317:JPA524323 JFD524317:JFE524323 IVH524317:IVI524323 ILL524317:ILM524323 IBP524317:IBQ524323 HRT524317:HRU524323 HHX524317:HHY524323 GYB524317:GYC524323 GOF524317:GOG524323 GEJ524317:GEK524323 FUN524317:FUO524323 FKR524317:FKS524323 FAV524317:FAW524323 EQZ524317:ERA524323 EHD524317:EHE524323 DXH524317:DXI524323 DNL524317:DNM524323 DDP524317:DDQ524323 CTT524317:CTU524323 CJX524317:CJY524323 CAB524317:CAC524323 BQF524317:BQG524323 BGJ524317:BGK524323 AWN524317:AWO524323 AMR524317:AMS524323 ACV524317:ACW524323 SZ524317:TA524323 JD524317:JE524323 H524317:I524323 WVP458781:WVQ458787 WLT458781:WLU458787 WBX458781:WBY458787 VSB458781:VSC458787 VIF458781:VIG458787 UYJ458781:UYK458787 UON458781:UOO458787 UER458781:UES458787 TUV458781:TUW458787 TKZ458781:TLA458787 TBD458781:TBE458787 SRH458781:SRI458787 SHL458781:SHM458787 RXP458781:RXQ458787 RNT458781:RNU458787 RDX458781:RDY458787 QUB458781:QUC458787 QKF458781:QKG458787 QAJ458781:QAK458787 PQN458781:PQO458787 PGR458781:PGS458787 OWV458781:OWW458787 OMZ458781:ONA458787 ODD458781:ODE458787 NTH458781:NTI458787 NJL458781:NJM458787 MZP458781:MZQ458787 MPT458781:MPU458787 MFX458781:MFY458787 LWB458781:LWC458787 LMF458781:LMG458787 LCJ458781:LCK458787 KSN458781:KSO458787 KIR458781:KIS458787 JYV458781:JYW458787 JOZ458781:JPA458787 JFD458781:JFE458787 IVH458781:IVI458787 ILL458781:ILM458787 IBP458781:IBQ458787 HRT458781:HRU458787 HHX458781:HHY458787 GYB458781:GYC458787 GOF458781:GOG458787 GEJ458781:GEK458787 FUN458781:FUO458787 FKR458781:FKS458787 FAV458781:FAW458787 EQZ458781:ERA458787 EHD458781:EHE458787 DXH458781:DXI458787 DNL458781:DNM458787 DDP458781:DDQ458787 CTT458781:CTU458787 CJX458781:CJY458787 CAB458781:CAC458787 BQF458781:BQG458787 BGJ458781:BGK458787 AWN458781:AWO458787 AMR458781:AMS458787 ACV458781:ACW458787 SZ458781:TA458787 JD458781:JE458787 H458781:I458787 WVP393245:WVQ393251 WLT393245:WLU393251 WBX393245:WBY393251 VSB393245:VSC393251 VIF393245:VIG393251 UYJ393245:UYK393251 UON393245:UOO393251 UER393245:UES393251 TUV393245:TUW393251 TKZ393245:TLA393251 TBD393245:TBE393251 SRH393245:SRI393251 SHL393245:SHM393251 RXP393245:RXQ393251 RNT393245:RNU393251 RDX393245:RDY393251 QUB393245:QUC393251 QKF393245:QKG393251 QAJ393245:QAK393251 PQN393245:PQO393251 PGR393245:PGS393251 OWV393245:OWW393251 OMZ393245:ONA393251 ODD393245:ODE393251 NTH393245:NTI393251 NJL393245:NJM393251 MZP393245:MZQ393251 MPT393245:MPU393251 MFX393245:MFY393251 LWB393245:LWC393251 LMF393245:LMG393251 LCJ393245:LCK393251 KSN393245:KSO393251 KIR393245:KIS393251 JYV393245:JYW393251 JOZ393245:JPA393251 JFD393245:JFE393251 IVH393245:IVI393251 ILL393245:ILM393251 IBP393245:IBQ393251 HRT393245:HRU393251 HHX393245:HHY393251 GYB393245:GYC393251 GOF393245:GOG393251 GEJ393245:GEK393251 FUN393245:FUO393251 FKR393245:FKS393251 FAV393245:FAW393251 EQZ393245:ERA393251 EHD393245:EHE393251 DXH393245:DXI393251 DNL393245:DNM393251 DDP393245:DDQ393251 CTT393245:CTU393251 CJX393245:CJY393251 CAB393245:CAC393251 BQF393245:BQG393251 BGJ393245:BGK393251 AWN393245:AWO393251 AMR393245:AMS393251 ACV393245:ACW393251 SZ393245:TA393251 JD393245:JE393251 H393245:I393251 WVP327709:WVQ327715 WLT327709:WLU327715 WBX327709:WBY327715 VSB327709:VSC327715 VIF327709:VIG327715 UYJ327709:UYK327715 UON327709:UOO327715 UER327709:UES327715 TUV327709:TUW327715 TKZ327709:TLA327715 TBD327709:TBE327715 SRH327709:SRI327715 SHL327709:SHM327715 RXP327709:RXQ327715 RNT327709:RNU327715 RDX327709:RDY327715 QUB327709:QUC327715 QKF327709:QKG327715 QAJ327709:QAK327715 PQN327709:PQO327715 PGR327709:PGS327715 OWV327709:OWW327715 OMZ327709:ONA327715 ODD327709:ODE327715 NTH327709:NTI327715 NJL327709:NJM327715 MZP327709:MZQ327715 MPT327709:MPU327715 MFX327709:MFY327715 LWB327709:LWC327715 LMF327709:LMG327715 LCJ327709:LCK327715 KSN327709:KSO327715 KIR327709:KIS327715 JYV327709:JYW327715 JOZ327709:JPA327715 JFD327709:JFE327715 IVH327709:IVI327715 ILL327709:ILM327715 IBP327709:IBQ327715 HRT327709:HRU327715 HHX327709:HHY327715 GYB327709:GYC327715 GOF327709:GOG327715 GEJ327709:GEK327715 FUN327709:FUO327715 FKR327709:FKS327715 FAV327709:FAW327715 EQZ327709:ERA327715 EHD327709:EHE327715 DXH327709:DXI327715 DNL327709:DNM327715 DDP327709:DDQ327715 CTT327709:CTU327715 CJX327709:CJY327715 CAB327709:CAC327715 BQF327709:BQG327715 BGJ327709:BGK327715 AWN327709:AWO327715 AMR327709:AMS327715 ACV327709:ACW327715 SZ327709:TA327715 JD327709:JE327715 H327709:I327715 WVP262173:WVQ262179 WLT262173:WLU262179 WBX262173:WBY262179 VSB262173:VSC262179 VIF262173:VIG262179 UYJ262173:UYK262179 UON262173:UOO262179 UER262173:UES262179 TUV262173:TUW262179 TKZ262173:TLA262179 TBD262173:TBE262179 SRH262173:SRI262179 SHL262173:SHM262179 RXP262173:RXQ262179 RNT262173:RNU262179 RDX262173:RDY262179 QUB262173:QUC262179 QKF262173:QKG262179 QAJ262173:QAK262179 PQN262173:PQO262179 PGR262173:PGS262179 OWV262173:OWW262179 OMZ262173:ONA262179 ODD262173:ODE262179 NTH262173:NTI262179 NJL262173:NJM262179 MZP262173:MZQ262179 MPT262173:MPU262179 MFX262173:MFY262179 LWB262173:LWC262179 LMF262173:LMG262179 LCJ262173:LCK262179 KSN262173:KSO262179 KIR262173:KIS262179 JYV262173:JYW262179 JOZ262173:JPA262179 JFD262173:JFE262179 IVH262173:IVI262179 ILL262173:ILM262179 IBP262173:IBQ262179 HRT262173:HRU262179 HHX262173:HHY262179 GYB262173:GYC262179 GOF262173:GOG262179 GEJ262173:GEK262179 FUN262173:FUO262179 FKR262173:FKS262179 FAV262173:FAW262179 EQZ262173:ERA262179 EHD262173:EHE262179 DXH262173:DXI262179 DNL262173:DNM262179 DDP262173:DDQ262179 CTT262173:CTU262179 CJX262173:CJY262179 CAB262173:CAC262179 BQF262173:BQG262179 BGJ262173:BGK262179 AWN262173:AWO262179 AMR262173:AMS262179 ACV262173:ACW262179 SZ262173:TA262179 JD262173:JE262179 H262173:I262179 WVP196637:WVQ196643 WLT196637:WLU196643 WBX196637:WBY196643 VSB196637:VSC196643 VIF196637:VIG196643 UYJ196637:UYK196643 UON196637:UOO196643 UER196637:UES196643 TUV196637:TUW196643 TKZ196637:TLA196643 TBD196637:TBE196643 SRH196637:SRI196643 SHL196637:SHM196643 RXP196637:RXQ196643 RNT196637:RNU196643 RDX196637:RDY196643 QUB196637:QUC196643 QKF196637:QKG196643 QAJ196637:QAK196643 PQN196637:PQO196643 PGR196637:PGS196643 OWV196637:OWW196643 OMZ196637:ONA196643 ODD196637:ODE196643 NTH196637:NTI196643 NJL196637:NJM196643 MZP196637:MZQ196643 MPT196637:MPU196643 MFX196637:MFY196643 LWB196637:LWC196643 LMF196637:LMG196643 LCJ196637:LCK196643 KSN196637:KSO196643 KIR196637:KIS196643 JYV196637:JYW196643 JOZ196637:JPA196643 JFD196637:JFE196643 IVH196637:IVI196643 ILL196637:ILM196643 IBP196637:IBQ196643 HRT196637:HRU196643 HHX196637:HHY196643 GYB196637:GYC196643 GOF196637:GOG196643 GEJ196637:GEK196643 FUN196637:FUO196643 FKR196637:FKS196643 FAV196637:FAW196643 EQZ196637:ERA196643 EHD196637:EHE196643 DXH196637:DXI196643 DNL196637:DNM196643 DDP196637:DDQ196643 CTT196637:CTU196643 CJX196637:CJY196643 CAB196637:CAC196643 BQF196637:BQG196643 BGJ196637:BGK196643 AWN196637:AWO196643 AMR196637:AMS196643 ACV196637:ACW196643 SZ196637:TA196643 JD196637:JE196643 H196637:I196643 WVP131101:WVQ131107 WLT131101:WLU131107 WBX131101:WBY131107 VSB131101:VSC131107 VIF131101:VIG131107 UYJ131101:UYK131107 UON131101:UOO131107 UER131101:UES131107 TUV131101:TUW131107 TKZ131101:TLA131107 TBD131101:TBE131107 SRH131101:SRI131107 SHL131101:SHM131107 RXP131101:RXQ131107 RNT131101:RNU131107 RDX131101:RDY131107 QUB131101:QUC131107 QKF131101:QKG131107 QAJ131101:QAK131107 PQN131101:PQO131107 PGR131101:PGS131107 OWV131101:OWW131107 OMZ131101:ONA131107 ODD131101:ODE131107 NTH131101:NTI131107 NJL131101:NJM131107 MZP131101:MZQ131107 MPT131101:MPU131107 MFX131101:MFY131107 LWB131101:LWC131107 LMF131101:LMG131107 LCJ131101:LCK131107 KSN131101:KSO131107 KIR131101:KIS131107 JYV131101:JYW131107 JOZ131101:JPA131107 JFD131101:JFE131107 IVH131101:IVI131107 ILL131101:ILM131107 IBP131101:IBQ131107 HRT131101:HRU131107 HHX131101:HHY131107 GYB131101:GYC131107 GOF131101:GOG131107 GEJ131101:GEK131107 FUN131101:FUO131107 FKR131101:FKS131107 FAV131101:FAW131107 EQZ131101:ERA131107 EHD131101:EHE131107 DXH131101:DXI131107 DNL131101:DNM131107 DDP131101:DDQ131107 CTT131101:CTU131107 CJX131101:CJY131107 CAB131101:CAC131107 BQF131101:BQG131107 BGJ131101:BGK131107 AWN131101:AWO131107 AMR131101:AMS131107 ACV131101:ACW131107 SZ131101:TA131107 JD131101:JE131107 H131101:I131107 WVP65565:WVQ65571 WLT65565:WLU65571 WBX65565:WBY65571 VSB65565:VSC65571 VIF65565:VIG65571 UYJ65565:UYK65571 UON65565:UOO65571 UER65565:UES65571 TUV65565:TUW65571 TKZ65565:TLA65571 TBD65565:TBE65571 SRH65565:SRI65571 SHL65565:SHM65571 RXP65565:RXQ65571 RNT65565:RNU65571 RDX65565:RDY65571 QUB65565:QUC65571 QKF65565:QKG65571 QAJ65565:QAK65571 PQN65565:PQO65571 PGR65565:PGS65571 OWV65565:OWW65571 OMZ65565:ONA65571 ODD65565:ODE65571 NTH65565:NTI65571 NJL65565:NJM65571 MZP65565:MZQ65571 MPT65565:MPU65571 MFX65565:MFY65571 LWB65565:LWC65571 LMF65565:LMG65571 LCJ65565:LCK65571 KSN65565:KSO65571 KIR65565:KIS65571 JYV65565:JYW65571 JOZ65565:JPA65571 JFD65565:JFE65571 IVH65565:IVI65571 ILL65565:ILM65571 IBP65565:IBQ65571 HRT65565:HRU65571 HHX65565:HHY65571 GYB65565:GYC65571 GOF65565:GOG65571 GEJ65565:GEK65571 FUN65565:FUO65571 FKR65565:FKS65571 FAV65565:FAW65571 EQZ65565:ERA65571 EHD65565:EHE65571 DXH65565:DXI65571 DNL65565:DNM65571 DDP65565:DDQ65571 CTT65565:CTU65571 CJX65565:CJY65571 CAB65565:CAC65571 BQF65565:BQG65571 BGJ65565:BGK65571 AWN65565:AWO65571 AMR65565:AMS65571 ACV65565:ACW65571 SZ65565:TA65571 JD65565:JE65571 H65565:I65571 WVP983067 WLT983067 WBX983067 VSB983067 VIF983067 UYJ983067 UON983067 UER983067 TUV983067 TKZ983067 TBD983067 SRH983067 SHL983067 RXP983067 RNT983067 RDX983067 QUB983067 QKF983067 QAJ983067 PQN983067 PGR983067 OWV983067 OMZ983067 ODD983067 NTH983067 NJL983067 MZP983067 MPT983067 MFX983067 LWB983067 LMF983067 LCJ983067 KSN983067 KIR983067 JYV983067 JOZ983067 JFD983067 IVH983067 ILL983067 IBP983067 HRT983067 HHX983067 GYB983067 GOF983067 GEJ983067 FUN983067 FKR983067 FAV983067 EQZ983067 EHD983067 DXH983067 DNL983067 DDP983067 CTT983067 CJX983067 CAB983067 BQF983067 BGJ983067 AWN983067 AMR983067 ACV983067 SZ983067 JD983067 H983067 WVP917531 WLT917531 WBX917531 VSB917531 VIF917531 UYJ917531 UON917531 UER917531 TUV917531 TKZ917531 TBD917531 SRH917531 SHL917531 RXP917531 RNT917531 RDX917531 QUB917531 QKF917531 QAJ917531 PQN917531 PGR917531 OWV917531 OMZ917531 ODD917531 NTH917531 NJL917531 MZP917531 MPT917531 MFX917531 LWB917531 LMF917531 LCJ917531 KSN917531 KIR917531 JYV917531 JOZ917531 JFD917531 IVH917531 ILL917531 IBP917531 HRT917531 HHX917531 GYB917531 GOF917531 GEJ917531 FUN917531 FKR917531 FAV917531 EQZ917531 EHD917531 DXH917531 DNL917531 DDP917531 CTT917531 CJX917531 CAB917531 BQF917531 BGJ917531 AWN917531 AMR917531 ACV917531 SZ917531 JD917531 H917531 WVP851995 WLT851995 WBX851995 VSB851995 VIF851995 UYJ851995 UON851995 UER851995 TUV851995 TKZ851995 TBD851995 SRH851995 SHL851995 RXP851995 RNT851995 RDX851995 QUB851995 QKF851995 QAJ851995 PQN851995 PGR851995 OWV851995 OMZ851995 ODD851995 NTH851995 NJL851995 MZP851995 MPT851995 MFX851995 LWB851995 LMF851995 LCJ851995 KSN851995 KIR851995 JYV851995 JOZ851995 JFD851995 IVH851995 ILL851995 IBP851995 HRT851995 HHX851995 GYB851995 GOF851995 GEJ851995 FUN851995 FKR851995 FAV851995 EQZ851995 EHD851995 DXH851995 DNL851995 DDP851995 CTT851995 CJX851995 CAB851995 BQF851995 BGJ851995 AWN851995 AMR851995 ACV851995 SZ851995 JD851995 H851995 WVP786459 WLT786459 WBX786459 VSB786459 VIF786459 UYJ786459 UON786459 UER786459 TUV786459 TKZ786459 TBD786459 SRH786459 SHL786459 RXP786459 RNT786459 RDX786459 QUB786459 QKF786459 QAJ786459 PQN786459 PGR786459 OWV786459 OMZ786459 ODD786459 NTH786459 NJL786459 MZP786459 MPT786459 MFX786459 LWB786459 LMF786459 LCJ786459 KSN786459 KIR786459 JYV786459 JOZ786459 JFD786459 IVH786459 ILL786459 IBP786459 HRT786459 HHX786459 GYB786459 GOF786459 GEJ786459 FUN786459 FKR786459 FAV786459 EQZ786459 EHD786459 DXH786459 DNL786459 DDP786459 CTT786459 CJX786459 CAB786459 BQF786459 BGJ786459 AWN786459 AMR786459 ACV786459 SZ786459 JD786459 H786459 WVP720923 WLT720923 WBX720923 VSB720923 VIF720923 UYJ720923 UON720923 UER720923 TUV720923 TKZ720923 TBD720923 SRH720923 SHL720923 RXP720923 RNT720923 RDX720923 QUB720923 QKF720923 QAJ720923 PQN720923 PGR720923 OWV720923 OMZ720923 ODD720923 NTH720923 NJL720923 MZP720923 MPT720923 MFX720923 LWB720923 LMF720923 LCJ720923 KSN720923 KIR720923 JYV720923 JOZ720923 JFD720923 IVH720923 ILL720923 IBP720923 HRT720923 HHX720923 GYB720923 GOF720923 GEJ720923 FUN720923 FKR720923 FAV720923 EQZ720923 EHD720923 DXH720923 DNL720923 DDP720923 CTT720923 CJX720923 CAB720923 BQF720923 BGJ720923 AWN720923 AMR720923 ACV720923 SZ720923 JD720923 H720923 WVP655387 WLT655387 WBX655387 VSB655387 VIF655387 UYJ655387 UON655387 UER655387 TUV655387 TKZ655387 TBD655387 SRH655387 SHL655387 RXP655387 RNT655387 RDX655387 QUB655387 QKF655387 QAJ655387 PQN655387 PGR655387 OWV655387 OMZ655387 ODD655387 NTH655387 NJL655387 MZP655387 MPT655387 MFX655387 LWB655387 LMF655387 LCJ655387 KSN655387 KIR655387 JYV655387 JOZ655387 JFD655387 IVH655387 ILL655387 IBP655387 HRT655387 HHX655387 GYB655387 GOF655387 GEJ655387 FUN655387 FKR655387 FAV655387 EQZ655387 EHD655387 DXH655387 DNL655387 DDP655387 CTT655387 CJX655387 CAB655387 BQF655387 BGJ655387 AWN655387 AMR655387 ACV655387 SZ655387 JD655387 H655387 WVP589851 WLT589851 WBX589851 VSB589851 VIF589851 UYJ589851 UON589851 UER589851 TUV589851 TKZ589851 TBD589851 SRH589851 SHL589851 RXP589851 RNT589851 RDX589851 QUB589851 QKF589851 QAJ589851 PQN589851 PGR589851 OWV589851 OMZ589851 ODD589851 NTH589851 NJL589851 MZP589851 MPT589851 MFX589851 LWB589851 LMF589851 LCJ589851 KSN589851 KIR589851 JYV589851 JOZ589851 JFD589851 IVH589851 ILL589851 IBP589851 HRT589851 HHX589851 GYB589851 GOF589851 GEJ589851 FUN589851 FKR589851 FAV589851 EQZ589851 EHD589851 DXH589851 DNL589851 DDP589851 CTT589851 CJX589851 CAB589851 BQF589851 BGJ589851 AWN589851 AMR589851 ACV589851 SZ589851 JD589851 H589851 WVP524315 WLT524315 WBX524315 VSB524315 VIF524315 UYJ524315 UON524315 UER524315 TUV524315 TKZ524315 TBD524315 SRH524315 SHL524315 RXP524315 RNT524315 RDX524315 QUB524315 QKF524315 QAJ524315 PQN524315 PGR524315 OWV524315 OMZ524315 ODD524315 NTH524315 NJL524315 MZP524315 MPT524315 MFX524315 LWB524315 LMF524315 LCJ524315 KSN524315 KIR524315 JYV524315 JOZ524315 JFD524315 IVH524315 ILL524315 IBP524315 HRT524315 HHX524315 GYB524315 GOF524315 GEJ524315 FUN524315 FKR524315 FAV524315 EQZ524315 EHD524315 DXH524315 DNL524315 DDP524315 CTT524315 CJX524315 CAB524315 BQF524315 BGJ524315 AWN524315 AMR524315 ACV524315 SZ524315 JD524315 H524315 WVP458779 WLT458779 WBX458779 VSB458779 VIF458779 UYJ458779 UON458779 UER458779 TUV458779 TKZ458779 TBD458779 SRH458779 SHL458779 RXP458779 RNT458779 RDX458779 QUB458779 QKF458779 QAJ458779 PQN458779 PGR458779 OWV458779 OMZ458779 ODD458779 NTH458779 NJL458779 MZP458779 MPT458779 MFX458779 LWB458779 LMF458779 LCJ458779 KSN458779 KIR458779 JYV458779 JOZ458779 JFD458779 IVH458779 ILL458779 IBP458779 HRT458779 HHX458779 GYB458779 GOF458779 GEJ458779 FUN458779 FKR458779 FAV458779 EQZ458779 EHD458779 DXH458779 DNL458779 DDP458779 CTT458779 CJX458779 CAB458779 BQF458779 BGJ458779 AWN458779 AMR458779 ACV458779 SZ458779 JD458779 H458779 WVP393243 WLT393243 WBX393243 VSB393243 VIF393243 UYJ393243 UON393243 UER393243 TUV393243 TKZ393243 TBD393243 SRH393243 SHL393243 RXP393243 RNT393243 RDX393243 QUB393243 QKF393243 QAJ393243 PQN393243 PGR393243 OWV393243 OMZ393243 ODD393243 NTH393243 NJL393243 MZP393243 MPT393243 MFX393243 LWB393243 LMF393243 LCJ393243 KSN393243 KIR393243 JYV393243 JOZ393243 JFD393243 IVH393243 ILL393243 IBP393243 HRT393243 HHX393243 GYB393243 GOF393243 GEJ393243 FUN393243 FKR393243 FAV393243 EQZ393243 EHD393243 DXH393243 DNL393243 DDP393243 CTT393243 CJX393243 CAB393243 BQF393243 BGJ393243 AWN393243 AMR393243 ACV393243 SZ393243 JD393243 H393243 WVP327707 WLT327707 WBX327707 VSB327707 VIF327707 UYJ327707 UON327707 UER327707 TUV327707 TKZ327707 TBD327707 SRH327707 SHL327707 RXP327707 RNT327707 RDX327707 QUB327707 QKF327707 QAJ327707 PQN327707 PGR327707 OWV327707 OMZ327707 ODD327707 NTH327707 NJL327707 MZP327707 MPT327707 MFX327707 LWB327707 LMF327707 LCJ327707 KSN327707 KIR327707 JYV327707 JOZ327707 JFD327707 IVH327707 ILL327707 IBP327707 HRT327707 HHX327707 GYB327707 GOF327707 GEJ327707 FUN327707 FKR327707 FAV327707 EQZ327707 EHD327707 DXH327707 DNL327707 DDP327707 CTT327707 CJX327707 CAB327707 BQF327707 BGJ327707 AWN327707 AMR327707 ACV327707 SZ327707 JD327707 H327707 WVP262171 WLT262171 WBX262171 VSB262171 VIF262171 UYJ262171 UON262171 UER262171 TUV262171 TKZ262171 TBD262171 SRH262171 SHL262171 RXP262171 RNT262171 RDX262171 QUB262171 QKF262171 QAJ262171 PQN262171 PGR262171 OWV262171 OMZ262171 ODD262171 NTH262171 NJL262171 MZP262171 MPT262171 MFX262171 LWB262171 LMF262171 LCJ262171 KSN262171 KIR262171 JYV262171 JOZ262171 JFD262171 IVH262171 ILL262171 IBP262171 HRT262171 HHX262171 GYB262171 GOF262171 GEJ262171 FUN262171 FKR262171 FAV262171 EQZ262171 EHD262171 DXH262171 DNL262171 DDP262171 CTT262171 CJX262171 CAB262171 BQF262171 BGJ262171 AWN262171 AMR262171 ACV262171 SZ262171 JD262171 H262171 WVP196635 WLT196635 WBX196635 VSB196635 VIF196635 UYJ196635 UON196635 UER196635 TUV196635 TKZ196635 TBD196635 SRH196635 SHL196635 RXP196635 RNT196635 RDX196635 QUB196635 QKF196635 QAJ196635 PQN196635 PGR196635 OWV196635 OMZ196635 ODD196635 NTH196635 NJL196635 MZP196635 MPT196635 MFX196635 LWB196635 LMF196635 LCJ196635 KSN196635 KIR196635 JYV196635 JOZ196635 JFD196635 IVH196635 ILL196635 IBP196635 HRT196635 HHX196635 GYB196635 GOF196635 GEJ196635 FUN196635 FKR196635 FAV196635 EQZ196635 EHD196635 DXH196635 DNL196635 DDP196635 CTT196635 CJX196635 CAB196635 BQF196635 BGJ196635 AWN196635 AMR196635 ACV196635 SZ196635 JD196635 H196635 WVP131099 WLT131099 WBX131099 VSB131099 VIF131099 UYJ131099 UON131099 UER131099 TUV131099 TKZ131099 TBD131099 SRH131099 SHL131099 RXP131099 RNT131099 RDX131099 QUB131099 QKF131099 QAJ131099 PQN131099 PGR131099 OWV131099 OMZ131099 ODD131099 NTH131099 NJL131099 MZP131099 MPT131099 MFX131099 LWB131099 LMF131099 LCJ131099 KSN131099 KIR131099 JYV131099 JOZ131099 JFD131099 IVH131099 ILL131099 IBP131099 HRT131099 HHX131099 GYB131099 GOF131099 GEJ131099 FUN131099 FKR131099 FAV131099 EQZ131099 EHD131099 DXH131099 DNL131099 DDP131099 CTT131099 CJX131099 CAB131099 BQF131099 BGJ131099 AWN131099 AMR131099 ACV131099 SZ131099 JD131099 H131099 WVP65563 WLT65563 WBX65563 VSB65563 VIF65563 UYJ65563 UON65563 UER65563 TUV65563 TKZ65563 TBD65563 SRH65563 SHL65563 RXP65563 RNT65563 RDX65563 QUB65563 QKF65563 QAJ65563 PQN65563 PGR65563 OWV65563 OMZ65563 ODD65563 NTH65563 NJL65563 MZP65563 MPT65563 MFX65563 LWB65563 LMF65563 LCJ65563 KSN65563 KIR65563 JYV65563 JOZ65563 JFD65563 IVH65563 ILL65563 IBP65563 HRT65563 HHX65563 GYB65563 GOF65563 GEJ65563 FUN65563 FKR65563 FAV65563 EQZ65563 EHD65563 DXH65563 DNL65563 DDP65563 CTT65563 CJX65563 CAB65563 BQF65563 BGJ65563 AWN65563 AMR65563 ACV65563 SZ65563 JD65563 H65563 JA27 SW27 ACS27 AMO27 AWK27 BGG27 BQC27 BZY27 CJU27 CTQ27 DDM27 DNI27 DXE27 EHA27 EQW27 FAS27 FKO27 FUK27 GEG27 GOC27 GXY27 HHU27 HRQ27 IBM27 ILI27 IVE27 JFA27 JOW27 JYS27 KIO27 KSK27 LCG27 LMC27 LVY27 MFU27 MPQ27 MZM27 NJI27 NTE27 ODA27 OMW27 OWS27 PGO27 PQK27 QAG27 QKC27 QTY27 RDU27 RNQ27 RXM27 SHI27 SRE27 TBA27 TKW27 TUS27 UEO27 UOK27 UYG27 VIC27 VRY27 WBU27 WLQ27 WVM27 JC40:JD40 SY40:SZ40 ACU40:ACV40 AMQ40:AMR40 AWM40:AWN40 BGI40:BGJ40 BQE40:BQF40 CAA40:CAB40 CJW40:CJX40 CTS40:CTT40 DDO40:DDP40 DNK40:DNL40 DXG40:DXH40 EHC40:EHD40 EQY40:EQZ40 FAU40:FAV40 FKQ40:FKR40 FUM40:FUN40 GEI40:GEJ40 GOE40:GOF40 GYA40:GYB40 HHW40:HHX40 HRS40:HRT40 IBO40:IBP40 ILK40:ILL40 IVG40:IVH40 JFC40:JFD40 JOY40:JOZ40 JYU40:JYV40 KIQ40:KIR40 KSM40:KSN40 LCI40:LCJ40 LME40:LMF40 LWA40:LWB40 MFW40:MFX40 MPS40:MPT40 MZO40:MZP40 NJK40:NJL40 NTG40:NTH40 ODC40:ODD40 OMY40:OMZ40 OWU40:OWV40 PGQ40:PGR40 PQM40:PQN40 QAI40:QAJ40 QKE40:QKF40 QUA40:QUB40 RDW40:RDX40 RNS40:RNT40 RXO40:RXP40 SHK40:SHL40 SRG40:SRH40 TBC40:TBD40 TKY40:TKZ40 TUU40:TUV40 UEQ40:UER40 UOM40:UON40 UYI40:UYJ40 VIE40:VIF40 VSA40:VSB40 WBW40:WBX40 WLS40:WLT40 WVO40:WVP40 JD41:JD42 H39:H42 WVP39:WVQ39 WVP41:WVP42 WLT41:WLT42 WBX41:WBX42 VSB41:VSB42 VIF41:VIF42 UYJ41:UYJ42 UON41:UON42 UER41:UER42 TUV41:TUV42 TKZ41:TKZ42 TBD41:TBD42 SRH41:SRH42 SHL41:SHL42 RXP41:RXP42 RNT41:RNT42 RDX41:RDX42 QUB41:QUB42 QKF41:QKF42 QAJ41:QAJ42 PQN41:PQN42 PGR41:PGR42 OWV41:OWV42 OMZ41:OMZ42 ODD41:ODD42 NTH41:NTH42 NJL41:NJL42 MZP41:MZP42 MPT41:MPT42 MFX41:MFX42 LWB41:LWB42 LMF41:LMF42 LCJ41:LCJ42 KSN41:KSN42 KIR41:KIR42 JYV41:JYV42 JOZ41:JOZ42 JFD41:JFD42 IVH41:IVH42 ILL41:ILL42 IBP41:IBP42 HRT41:HRT42 HHX41:HHX42 GYB41:GYB42 GOF41:GOF42 GEJ41:GEJ42 FUN41:FUN42 FKR41:FKR42 FAV41:FAV42 EQZ41:EQZ42 EHD41:EHD42 DXH41:DXH42 DNL41:DNL42 DDP41:DDP42 CTT41:CTT42 CJX41:CJX42 CAB41:CAB42 BQF41:BQF42 BGJ41:BGJ42 AWN41:AWN42 AMR41:AMR42 ACV41:ACV42 SZ41:SZ42">
      <formula1>$R$47:$R$50</formula1>
    </dataValidation>
  </dataValidations>
  <hyperlinks>
    <hyperlink ref="A1" location="'T&amp;V TOC'!A1" display="TOC"/>
  </hyperlinks>
  <pageMargins left="0.25" right="0.25" top="0.75" bottom="0.75" header="0.3" footer="0.3"/>
  <pageSetup scale="86" fitToHeight="2" orientation="landscape" r:id="rId1"/>
  <headerFooter alignWithMargins="0"/>
  <legacyDrawingHF r:id="rId2"/>
</worksheet>
</file>

<file path=xl/worksheets/sheet23.xml><?xml version="1.0" encoding="utf-8"?>
<worksheet xmlns="http://schemas.openxmlformats.org/spreadsheetml/2006/main" xmlns:r="http://schemas.openxmlformats.org/officeDocument/2006/relationships">
  <sheetPr>
    <tabColor theme="3" tint="0.79998168889431442"/>
    <pageSetUpPr fitToPage="1"/>
  </sheetPr>
  <dimension ref="A1:BA79"/>
  <sheetViews>
    <sheetView showGridLines="0" view="pageBreakPreview" zoomScaleNormal="100" zoomScaleSheetLayoutView="100" workbookViewId="0"/>
  </sheetViews>
  <sheetFormatPr defaultRowHeight="12"/>
  <cols>
    <col min="1" max="1" width="4.28515625" style="1120" customWidth="1"/>
    <col min="2" max="2" width="20" style="1119" customWidth="1"/>
    <col min="3" max="3" width="13.7109375" style="1119" customWidth="1"/>
    <col min="4" max="4" width="13" style="1119" customWidth="1"/>
    <col min="5" max="5" width="23.28515625" style="1119" customWidth="1"/>
    <col min="6" max="6" width="24.28515625" style="1119" customWidth="1"/>
    <col min="7" max="7" width="22.42578125" style="1119" customWidth="1"/>
    <col min="8" max="8" width="7.42578125" style="1119" customWidth="1"/>
    <col min="9" max="9" width="11" style="1119" customWidth="1"/>
    <col min="10" max="10" width="35.28515625" style="1119" customWidth="1"/>
    <col min="11" max="11" width="9.140625" style="1120"/>
    <col min="12" max="12" width="65.28515625" style="1121" customWidth="1"/>
    <col min="13" max="13" width="24.7109375" style="1121" customWidth="1"/>
    <col min="14" max="14" width="16.28515625" style="1121" bestFit="1" customWidth="1"/>
    <col min="15" max="16" width="9.140625" style="1121"/>
    <col min="17" max="17" width="9.140625" style="1121" hidden="1" customWidth="1"/>
    <col min="18" max="256" width="9.140625" style="1121"/>
    <col min="257" max="257" width="10.42578125" style="1121" customWidth="1"/>
    <col min="258" max="258" width="20" style="1121" customWidth="1"/>
    <col min="259" max="261" width="17.5703125" style="1121" customWidth="1"/>
    <col min="262" max="262" width="35.7109375" style="1121" customWidth="1"/>
    <col min="263" max="263" width="12" style="1121" customWidth="1"/>
    <col min="264" max="264" width="7.42578125" style="1121" customWidth="1"/>
    <col min="265" max="265" width="11" style="1121" customWidth="1"/>
    <col min="266" max="266" width="35.28515625" style="1121" customWidth="1"/>
    <col min="267" max="267" width="9.140625" style="1121"/>
    <col min="268" max="268" width="65.28515625" style="1121" customWidth="1"/>
    <col min="269" max="269" width="24.7109375" style="1121" customWidth="1"/>
    <col min="270" max="270" width="16.28515625" style="1121" bestFit="1" customWidth="1"/>
    <col min="271" max="272" width="9.140625" style="1121"/>
    <col min="273" max="273" width="0" style="1121" hidden="1" customWidth="1"/>
    <col min="274" max="512" width="9.140625" style="1121"/>
    <col min="513" max="513" width="10.42578125" style="1121" customWidth="1"/>
    <col min="514" max="514" width="20" style="1121" customWidth="1"/>
    <col min="515" max="517" width="17.5703125" style="1121" customWidth="1"/>
    <col min="518" max="518" width="35.7109375" style="1121" customWidth="1"/>
    <col min="519" max="519" width="12" style="1121" customWidth="1"/>
    <col min="520" max="520" width="7.42578125" style="1121" customWidth="1"/>
    <col min="521" max="521" width="11" style="1121" customWidth="1"/>
    <col min="522" max="522" width="35.28515625" style="1121" customWidth="1"/>
    <col min="523" max="523" width="9.140625" style="1121"/>
    <col min="524" max="524" width="65.28515625" style="1121" customWidth="1"/>
    <col min="525" max="525" width="24.7109375" style="1121" customWidth="1"/>
    <col min="526" max="526" width="16.28515625" style="1121" bestFit="1" customWidth="1"/>
    <col min="527" max="528" width="9.140625" style="1121"/>
    <col min="529" max="529" width="0" style="1121" hidden="1" customWidth="1"/>
    <col min="530" max="768" width="9.140625" style="1121"/>
    <col min="769" max="769" width="10.42578125" style="1121" customWidth="1"/>
    <col min="770" max="770" width="20" style="1121" customWidth="1"/>
    <col min="771" max="773" width="17.5703125" style="1121" customWidth="1"/>
    <col min="774" max="774" width="35.7109375" style="1121" customWidth="1"/>
    <col min="775" max="775" width="12" style="1121" customWidth="1"/>
    <col min="776" max="776" width="7.42578125" style="1121" customWidth="1"/>
    <col min="777" max="777" width="11" style="1121" customWidth="1"/>
    <col min="778" max="778" width="35.28515625" style="1121" customWidth="1"/>
    <col min="779" max="779" width="9.140625" style="1121"/>
    <col min="780" max="780" width="65.28515625" style="1121" customWidth="1"/>
    <col min="781" max="781" width="24.7109375" style="1121" customWidth="1"/>
    <col min="782" max="782" width="16.28515625" style="1121" bestFit="1" customWidth="1"/>
    <col min="783" max="784" width="9.140625" style="1121"/>
    <col min="785" max="785" width="0" style="1121" hidden="1" customWidth="1"/>
    <col min="786" max="1024" width="9.140625" style="1121"/>
    <col min="1025" max="1025" width="10.42578125" style="1121" customWidth="1"/>
    <col min="1026" max="1026" width="20" style="1121" customWidth="1"/>
    <col min="1027" max="1029" width="17.5703125" style="1121" customWidth="1"/>
    <col min="1030" max="1030" width="35.7109375" style="1121" customWidth="1"/>
    <col min="1031" max="1031" width="12" style="1121" customWidth="1"/>
    <col min="1032" max="1032" width="7.42578125" style="1121" customWidth="1"/>
    <col min="1033" max="1033" width="11" style="1121" customWidth="1"/>
    <col min="1034" max="1034" width="35.28515625" style="1121" customWidth="1"/>
    <col min="1035" max="1035" width="9.140625" style="1121"/>
    <col min="1036" max="1036" width="65.28515625" style="1121" customWidth="1"/>
    <col min="1037" max="1037" width="24.7109375" style="1121" customWidth="1"/>
    <col min="1038" max="1038" width="16.28515625" style="1121" bestFit="1" customWidth="1"/>
    <col min="1039" max="1040" width="9.140625" style="1121"/>
    <col min="1041" max="1041" width="0" style="1121" hidden="1" customWidth="1"/>
    <col min="1042" max="1280" width="9.140625" style="1121"/>
    <col min="1281" max="1281" width="10.42578125" style="1121" customWidth="1"/>
    <col min="1282" max="1282" width="20" style="1121" customWidth="1"/>
    <col min="1283" max="1285" width="17.5703125" style="1121" customWidth="1"/>
    <col min="1286" max="1286" width="35.7109375" style="1121" customWidth="1"/>
    <col min="1287" max="1287" width="12" style="1121" customWidth="1"/>
    <col min="1288" max="1288" width="7.42578125" style="1121" customWidth="1"/>
    <col min="1289" max="1289" width="11" style="1121" customWidth="1"/>
    <col min="1290" max="1290" width="35.28515625" style="1121" customWidth="1"/>
    <col min="1291" max="1291" width="9.140625" style="1121"/>
    <col min="1292" max="1292" width="65.28515625" style="1121" customWidth="1"/>
    <col min="1293" max="1293" width="24.7109375" style="1121" customWidth="1"/>
    <col min="1294" max="1294" width="16.28515625" style="1121" bestFit="1" customWidth="1"/>
    <col min="1295" max="1296" width="9.140625" style="1121"/>
    <col min="1297" max="1297" width="0" style="1121" hidden="1" customWidth="1"/>
    <col min="1298" max="1536" width="9.140625" style="1121"/>
    <col min="1537" max="1537" width="10.42578125" style="1121" customWidth="1"/>
    <col min="1538" max="1538" width="20" style="1121" customWidth="1"/>
    <col min="1539" max="1541" width="17.5703125" style="1121" customWidth="1"/>
    <col min="1542" max="1542" width="35.7109375" style="1121" customWidth="1"/>
    <col min="1543" max="1543" width="12" style="1121" customWidth="1"/>
    <col min="1544" max="1544" width="7.42578125" style="1121" customWidth="1"/>
    <col min="1545" max="1545" width="11" style="1121" customWidth="1"/>
    <col min="1546" max="1546" width="35.28515625" style="1121" customWidth="1"/>
    <col min="1547" max="1547" width="9.140625" style="1121"/>
    <col min="1548" max="1548" width="65.28515625" style="1121" customWidth="1"/>
    <col min="1549" max="1549" width="24.7109375" style="1121" customWidth="1"/>
    <col min="1550" max="1550" width="16.28515625" style="1121" bestFit="1" customWidth="1"/>
    <col min="1551" max="1552" width="9.140625" style="1121"/>
    <col min="1553" max="1553" width="0" style="1121" hidden="1" customWidth="1"/>
    <col min="1554" max="1792" width="9.140625" style="1121"/>
    <col min="1793" max="1793" width="10.42578125" style="1121" customWidth="1"/>
    <col min="1794" max="1794" width="20" style="1121" customWidth="1"/>
    <col min="1795" max="1797" width="17.5703125" style="1121" customWidth="1"/>
    <col min="1798" max="1798" width="35.7109375" style="1121" customWidth="1"/>
    <col min="1799" max="1799" width="12" style="1121" customWidth="1"/>
    <col min="1800" max="1800" width="7.42578125" style="1121" customWidth="1"/>
    <col min="1801" max="1801" width="11" style="1121" customWidth="1"/>
    <col min="1802" max="1802" width="35.28515625" style="1121" customWidth="1"/>
    <col min="1803" max="1803" width="9.140625" style="1121"/>
    <col min="1804" max="1804" width="65.28515625" style="1121" customWidth="1"/>
    <col min="1805" max="1805" width="24.7109375" style="1121" customWidth="1"/>
    <col min="1806" max="1806" width="16.28515625" style="1121" bestFit="1" customWidth="1"/>
    <col min="1807" max="1808" width="9.140625" style="1121"/>
    <col min="1809" max="1809" width="0" style="1121" hidden="1" customWidth="1"/>
    <col min="1810" max="2048" width="9.140625" style="1121"/>
    <col min="2049" max="2049" width="10.42578125" style="1121" customWidth="1"/>
    <col min="2050" max="2050" width="20" style="1121" customWidth="1"/>
    <col min="2051" max="2053" width="17.5703125" style="1121" customWidth="1"/>
    <col min="2054" max="2054" width="35.7109375" style="1121" customWidth="1"/>
    <col min="2055" max="2055" width="12" style="1121" customWidth="1"/>
    <col min="2056" max="2056" width="7.42578125" style="1121" customWidth="1"/>
    <col min="2057" max="2057" width="11" style="1121" customWidth="1"/>
    <col min="2058" max="2058" width="35.28515625" style="1121" customWidth="1"/>
    <col min="2059" max="2059" width="9.140625" style="1121"/>
    <col min="2060" max="2060" width="65.28515625" style="1121" customWidth="1"/>
    <col min="2061" max="2061" width="24.7109375" style="1121" customWidth="1"/>
    <col min="2062" max="2062" width="16.28515625" style="1121" bestFit="1" customWidth="1"/>
    <col min="2063" max="2064" width="9.140625" style="1121"/>
    <col min="2065" max="2065" width="0" style="1121" hidden="1" customWidth="1"/>
    <col min="2066" max="2304" width="9.140625" style="1121"/>
    <col min="2305" max="2305" width="10.42578125" style="1121" customWidth="1"/>
    <col min="2306" max="2306" width="20" style="1121" customWidth="1"/>
    <col min="2307" max="2309" width="17.5703125" style="1121" customWidth="1"/>
    <col min="2310" max="2310" width="35.7109375" style="1121" customWidth="1"/>
    <col min="2311" max="2311" width="12" style="1121" customWidth="1"/>
    <col min="2312" max="2312" width="7.42578125" style="1121" customWidth="1"/>
    <col min="2313" max="2313" width="11" style="1121" customWidth="1"/>
    <col min="2314" max="2314" width="35.28515625" style="1121" customWidth="1"/>
    <col min="2315" max="2315" width="9.140625" style="1121"/>
    <col min="2316" max="2316" width="65.28515625" style="1121" customWidth="1"/>
    <col min="2317" max="2317" width="24.7109375" style="1121" customWidth="1"/>
    <col min="2318" max="2318" width="16.28515625" style="1121" bestFit="1" customWidth="1"/>
    <col min="2319" max="2320" width="9.140625" style="1121"/>
    <col min="2321" max="2321" width="0" style="1121" hidden="1" customWidth="1"/>
    <col min="2322" max="2560" width="9.140625" style="1121"/>
    <col min="2561" max="2561" width="10.42578125" style="1121" customWidth="1"/>
    <col min="2562" max="2562" width="20" style="1121" customWidth="1"/>
    <col min="2563" max="2565" width="17.5703125" style="1121" customWidth="1"/>
    <col min="2566" max="2566" width="35.7109375" style="1121" customWidth="1"/>
    <col min="2567" max="2567" width="12" style="1121" customWidth="1"/>
    <col min="2568" max="2568" width="7.42578125" style="1121" customWidth="1"/>
    <col min="2569" max="2569" width="11" style="1121" customWidth="1"/>
    <col min="2570" max="2570" width="35.28515625" style="1121" customWidth="1"/>
    <col min="2571" max="2571" width="9.140625" style="1121"/>
    <col min="2572" max="2572" width="65.28515625" style="1121" customWidth="1"/>
    <col min="2573" max="2573" width="24.7109375" style="1121" customWidth="1"/>
    <col min="2574" max="2574" width="16.28515625" style="1121" bestFit="1" customWidth="1"/>
    <col min="2575" max="2576" width="9.140625" style="1121"/>
    <col min="2577" max="2577" width="0" style="1121" hidden="1" customWidth="1"/>
    <col min="2578" max="2816" width="9.140625" style="1121"/>
    <col min="2817" max="2817" width="10.42578125" style="1121" customWidth="1"/>
    <col min="2818" max="2818" width="20" style="1121" customWidth="1"/>
    <col min="2819" max="2821" width="17.5703125" style="1121" customWidth="1"/>
    <col min="2822" max="2822" width="35.7109375" style="1121" customWidth="1"/>
    <col min="2823" max="2823" width="12" style="1121" customWidth="1"/>
    <col min="2824" max="2824" width="7.42578125" style="1121" customWidth="1"/>
    <col min="2825" max="2825" width="11" style="1121" customWidth="1"/>
    <col min="2826" max="2826" width="35.28515625" style="1121" customWidth="1"/>
    <col min="2827" max="2827" width="9.140625" style="1121"/>
    <col min="2828" max="2828" width="65.28515625" style="1121" customWidth="1"/>
    <col min="2829" max="2829" width="24.7109375" style="1121" customWidth="1"/>
    <col min="2830" max="2830" width="16.28515625" style="1121" bestFit="1" customWidth="1"/>
    <col min="2831" max="2832" width="9.140625" style="1121"/>
    <col min="2833" max="2833" width="0" style="1121" hidden="1" customWidth="1"/>
    <col min="2834" max="3072" width="9.140625" style="1121"/>
    <col min="3073" max="3073" width="10.42578125" style="1121" customWidth="1"/>
    <col min="3074" max="3074" width="20" style="1121" customWidth="1"/>
    <col min="3075" max="3077" width="17.5703125" style="1121" customWidth="1"/>
    <col min="3078" max="3078" width="35.7109375" style="1121" customWidth="1"/>
    <col min="3079" max="3079" width="12" style="1121" customWidth="1"/>
    <col min="3080" max="3080" width="7.42578125" style="1121" customWidth="1"/>
    <col min="3081" max="3081" width="11" style="1121" customWidth="1"/>
    <col min="3082" max="3082" width="35.28515625" style="1121" customWidth="1"/>
    <col min="3083" max="3083" width="9.140625" style="1121"/>
    <col min="3084" max="3084" width="65.28515625" style="1121" customWidth="1"/>
    <col min="3085" max="3085" width="24.7109375" style="1121" customWidth="1"/>
    <col min="3086" max="3086" width="16.28515625" style="1121" bestFit="1" customWidth="1"/>
    <col min="3087" max="3088" width="9.140625" style="1121"/>
    <col min="3089" max="3089" width="0" style="1121" hidden="1" customWidth="1"/>
    <col min="3090" max="3328" width="9.140625" style="1121"/>
    <col min="3329" max="3329" width="10.42578125" style="1121" customWidth="1"/>
    <col min="3330" max="3330" width="20" style="1121" customWidth="1"/>
    <col min="3331" max="3333" width="17.5703125" style="1121" customWidth="1"/>
    <col min="3334" max="3334" width="35.7109375" style="1121" customWidth="1"/>
    <col min="3335" max="3335" width="12" style="1121" customWidth="1"/>
    <col min="3336" max="3336" width="7.42578125" style="1121" customWidth="1"/>
    <col min="3337" max="3337" width="11" style="1121" customWidth="1"/>
    <col min="3338" max="3338" width="35.28515625" style="1121" customWidth="1"/>
    <col min="3339" max="3339" width="9.140625" style="1121"/>
    <col min="3340" max="3340" width="65.28515625" style="1121" customWidth="1"/>
    <col min="3341" max="3341" width="24.7109375" style="1121" customWidth="1"/>
    <col min="3342" max="3342" width="16.28515625" style="1121" bestFit="1" customWidth="1"/>
    <col min="3343" max="3344" width="9.140625" style="1121"/>
    <col min="3345" max="3345" width="0" style="1121" hidden="1" customWidth="1"/>
    <col min="3346" max="3584" width="9.140625" style="1121"/>
    <col min="3585" max="3585" width="10.42578125" style="1121" customWidth="1"/>
    <col min="3586" max="3586" width="20" style="1121" customWidth="1"/>
    <col min="3587" max="3589" width="17.5703125" style="1121" customWidth="1"/>
    <col min="3590" max="3590" width="35.7109375" style="1121" customWidth="1"/>
    <col min="3591" max="3591" width="12" style="1121" customWidth="1"/>
    <col min="3592" max="3592" width="7.42578125" style="1121" customWidth="1"/>
    <col min="3593" max="3593" width="11" style="1121" customWidth="1"/>
    <col min="3594" max="3594" width="35.28515625" style="1121" customWidth="1"/>
    <col min="3595" max="3595" width="9.140625" style="1121"/>
    <col min="3596" max="3596" width="65.28515625" style="1121" customWidth="1"/>
    <col min="3597" max="3597" width="24.7109375" style="1121" customWidth="1"/>
    <col min="3598" max="3598" width="16.28515625" style="1121" bestFit="1" customWidth="1"/>
    <col min="3599" max="3600" width="9.140625" style="1121"/>
    <col min="3601" max="3601" width="0" style="1121" hidden="1" customWidth="1"/>
    <col min="3602" max="3840" width="9.140625" style="1121"/>
    <col min="3841" max="3841" width="10.42578125" style="1121" customWidth="1"/>
    <col min="3842" max="3842" width="20" style="1121" customWidth="1"/>
    <col min="3843" max="3845" width="17.5703125" style="1121" customWidth="1"/>
    <col min="3846" max="3846" width="35.7109375" style="1121" customWidth="1"/>
    <col min="3847" max="3847" width="12" style="1121" customWidth="1"/>
    <col min="3848" max="3848" width="7.42578125" style="1121" customWidth="1"/>
    <col min="3849" max="3849" width="11" style="1121" customWidth="1"/>
    <col min="3850" max="3850" width="35.28515625" style="1121" customWidth="1"/>
    <col min="3851" max="3851" width="9.140625" style="1121"/>
    <col min="3852" max="3852" width="65.28515625" style="1121" customWidth="1"/>
    <col min="3853" max="3853" width="24.7109375" style="1121" customWidth="1"/>
    <col min="3854" max="3854" width="16.28515625" style="1121" bestFit="1" customWidth="1"/>
    <col min="3855" max="3856" width="9.140625" style="1121"/>
    <col min="3857" max="3857" width="0" style="1121" hidden="1" customWidth="1"/>
    <col min="3858" max="4096" width="9.140625" style="1121"/>
    <col min="4097" max="4097" width="10.42578125" style="1121" customWidth="1"/>
    <col min="4098" max="4098" width="20" style="1121" customWidth="1"/>
    <col min="4099" max="4101" width="17.5703125" style="1121" customWidth="1"/>
    <col min="4102" max="4102" width="35.7109375" style="1121" customWidth="1"/>
    <col min="4103" max="4103" width="12" style="1121" customWidth="1"/>
    <col min="4104" max="4104" width="7.42578125" style="1121" customWidth="1"/>
    <col min="4105" max="4105" width="11" style="1121" customWidth="1"/>
    <col min="4106" max="4106" width="35.28515625" style="1121" customWidth="1"/>
    <col min="4107" max="4107" width="9.140625" style="1121"/>
    <col min="4108" max="4108" width="65.28515625" style="1121" customWidth="1"/>
    <col min="4109" max="4109" width="24.7109375" style="1121" customWidth="1"/>
    <col min="4110" max="4110" width="16.28515625" style="1121" bestFit="1" customWidth="1"/>
    <col min="4111" max="4112" width="9.140625" style="1121"/>
    <col min="4113" max="4113" width="0" style="1121" hidden="1" customWidth="1"/>
    <col min="4114" max="4352" width="9.140625" style="1121"/>
    <col min="4353" max="4353" width="10.42578125" style="1121" customWidth="1"/>
    <col min="4354" max="4354" width="20" style="1121" customWidth="1"/>
    <col min="4355" max="4357" width="17.5703125" style="1121" customWidth="1"/>
    <col min="4358" max="4358" width="35.7109375" style="1121" customWidth="1"/>
    <col min="4359" max="4359" width="12" style="1121" customWidth="1"/>
    <col min="4360" max="4360" width="7.42578125" style="1121" customWidth="1"/>
    <col min="4361" max="4361" width="11" style="1121" customWidth="1"/>
    <col min="4362" max="4362" width="35.28515625" style="1121" customWidth="1"/>
    <col min="4363" max="4363" width="9.140625" style="1121"/>
    <col min="4364" max="4364" width="65.28515625" style="1121" customWidth="1"/>
    <col min="4365" max="4365" width="24.7109375" style="1121" customWidth="1"/>
    <col min="4366" max="4366" width="16.28515625" style="1121" bestFit="1" customWidth="1"/>
    <col min="4367" max="4368" width="9.140625" style="1121"/>
    <col min="4369" max="4369" width="0" style="1121" hidden="1" customWidth="1"/>
    <col min="4370" max="4608" width="9.140625" style="1121"/>
    <col min="4609" max="4609" width="10.42578125" style="1121" customWidth="1"/>
    <col min="4610" max="4610" width="20" style="1121" customWidth="1"/>
    <col min="4611" max="4613" width="17.5703125" style="1121" customWidth="1"/>
    <col min="4614" max="4614" width="35.7109375" style="1121" customWidth="1"/>
    <col min="4615" max="4615" width="12" style="1121" customWidth="1"/>
    <col min="4616" max="4616" width="7.42578125" style="1121" customWidth="1"/>
    <col min="4617" max="4617" width="11" style="1121" customWidth="1"/>
    <col min="4618" max="4618" width="35.28515625" style="1121" customWidth="1"/>
    <col min="4619" max="4619" width="9.140625" style="1121"/>
    <col min="4620" max="4620" width="65.28515625" style="1121" customWidth="1"/>
    <col min="4621" max="4621" width="24.7109375" style="1121" customWidth="1"/>
    <col min="4622" max="4622" width="16.28515625" style="1121" bestFit="1" customWidth="1"/>
    <col min="4623" max="4624" width="9.140625" style="1121"/>
    <col min="4625" max="4625" width="0" style="1121" hidden="1" customWidth="1"/>
    <col min="4626" max="4864" width="9.140625" style="1121"/>
    <col min="4865" max="4865" width="10.42578125" style="1121" customWidth="1"/>
    <col min="4866" max="4866" width="20" style="1121" customWidth="1"/>
    <col min="4867" max="4869" width="17.5703125" style="1121" customWidth="1"/>
    <col min="4870" max="4870" width="35.7109375" style="1121" customWidth="1"/>
    <col min="4871" max="4871" width="12" style="1121" customWidth="1"/>
    <col min="4872" max="4872" width="7.42578125" style="1121" customWidth="1"/>
    <col min="4873" max="4873" width="11" style="1121" customWidth="1"/>
    <col min="4874" max="4874" width="35.28515625" style="1121" customWidth="1"/>
    <col min="4875" max="4875" width="9.140625" style="1121"/>
    <col min="4876" max="4876" width="65.28515625" style="1121" customWidth="1"/>
    <col min="4877" max="4877" width="24.7109375" style="1121" customWidth="1"/>
    <col min="4878" max="4878" width="16.28515625" style="1121" bestFit="1" customWidth="1"/>
    <col min="4879" max="4880" width="9.140625" style="1121"/>
    <col min="4881" max="4881" width="0" style="1121" hidden="1" customWidth="1"/>
    <col min="4882" max="5120" width="9.140625" style="1121"/>
    <col min="5121" max="5121" width="10.42578125" style="1121" customWidth="1"/>
    <col min="5122" max="5122" width="20" style="1121" customWidth="1"/>
    <col min="5123" max="5125" width="17.5703125" style="1121" customWidth="1"/>
    <col min="5126" max="5126" width="35.7109375" style="1121" customWidth="1"/>
    <col min="5127" max="5127" width="12" style="1121" customWidth="1"/>
    <col min="5128" max="5128" width="7.42578125" style="1121" customWidth="1"/>
    <col min="5129" max="5129" width="11" style="1121" customWidth="1"/>
    <col min="5130" max="5130" width="35.28515625" style="1121" customWidth="1"/>
    <col min="5131" max="5131" width="9.140625" style="1121"/>
    <col min="5132" max="5132" width="65.28515625" style="1121" customWidth="1"/>
    <col min="5133" max="5133" width="24.7109375" style="1121" customWidth="1"/>
    <col min="5134" max="5134" width="16.28515625" style="1121" bestFit="1" customWidth="1"/>
    <col min="5135" max="5136" width="9.140625" style="1121"/>
    <col min="5137" max="5137" width="0" style="1121" hidden="1" customWidth="1"/>
    <col min="5138" max="5376" width="9.140625" style="1121"/>
    <col min="5377" max="5377" width="10.42578125" style="1121" customWidth="1"/>
    <col min="5378" max="5378" width="20" style="1121" customWidth="1"/>
    <col min="5379" max="5381" width="17.5703125" style="1121" customWidth="1"/>
    <col min="5382" max="5382" width="35.7109375" style="1121" customWidth="1"/>
    <col min="5383" max="5383" width="12" style="1121" customWidth="1"/>
    <col min="5384" max="5384" width="7.42578125" style="1121" customWidth="1"/>
    <col min="5385" max="5385" width="11" style="1121" customWidth="1"/>
    <col min="5386" max="5386" width="35.28515625" style="1121" customWidth="1"/>
    <col min="5387" max="5387" width="9.140625" style="1121"/>
    <col min="5388" max="5388" width="65.28515625" style="1121" customWidth="1"/>
    <col min="5389" max="5389" width="24.7109375" style="1121" customWidth="1"/>
    <col min="5390" max="5390" width="16.28515625" style="1121" bestFit="1" customWidth="1"/>
    <col min="5391" max="5392" width="9.140625" style="1121"/>
    <col min="5393" max="5393" width="0" style="1121" hidden="1" customWidth="1"/>
    <col min="5394" max="5632" width="9.140625" style="1121"/>
    <col min="5633" max="5633" width="10.42578125" style="1121" customWidth="1"/>
    <col min="5634" max="5634" width="20" style="1121" customWidth="1"/>
    <col min="5635" max="5637" width="17.5703125" style="1121" customWidth="1"/>
    <col min="5638" max="5638" width="35.7109375" style="1121" customWidth="1"/>
    <col min="5639" max="5639" width="12" style="1121" customWidth="1"/>
    <col min="5640" max="5640" width="7.42578125" style="1121" customWidth="1"/>
    <col min="5641" max="5641" width="11" style="1121" customWidth="1"/>
    <col min="5642" max="5642" width="35.28515625" style="1121" customWidth="1"/>
    <col min="5643" max="5643" width="9.140625" style="1121"/>
    <col min="5644" max="5644" width="65.28515625" style="1121" customWidth="1"/>
    <col min="5645" max="5645" width="24.7109375" style="1121" customWidth="1"/>
    <col min="5646" max="5646" width="16.28515625" style="1121" bestFit="1" customWidth="1"/>
    <col min="5647" max="5648" width="9.140625" style="1121"/>
    <col min="5649" max="5649" width="0" style="1121" hidden="1" customWidth="1"/>
    <col min="5650" max="5888" width="9.140625" style="1121"/>
    <col min="5889" max="5889" width="10.42578125" style="1121" customWidth="1"/>
    <col min="5890" max="5890" width="20" style="1121" customWidth="1"/>
    <col min="5891" max="5893" width="17.5703125" style="1121" customWidth="1"/>
    <col min="5894" max="5894" width="35.7109375" style="1121" customWidth="1"/>
    <col min="5895" max="5895" width="12" style="1121" customWidth="1"/>
    <col min="5896" max="5896" width="7.42578125" style="1121" customWidth="1"/>
    <col min="5897" max="5897" width="11" style="1121" customWidth="1"/>
    <col min="5898" max="5898" width="35.28515625" style="1121" customWidth="1"/>
    <col min="5899" max="5899" width="9.140625" style="1121"/>
    <col min="5900" max="5900" width="65.28515625" style="1121" customWidth="1"/>
    <col min="5901" max="5901" width="24.7109375" style="1121" customWidth="1"/>
    <col min="5902" max="5902" width="16.28515625" style="1121" bestFit="1" customWidth="1"/>
    <col min="5903" max="5904" width="9.140625" style="1121"/>
    <col min="5905" max="5905" width="0" style="1121" hidden="1" customWidth="1"/>
    <col min="5906" max="6144" width="9.140625" style="1121"/>
    <col min="6145" max="6145" width="10.42578125" style="1121" customWidth="1"/>
    <col min="6146" max="6146" width="20" style="1121" customWidth="1"/>
    <col min="6147" max="6149" width="17.5703125" style="1121" customWidth="1"/>
    <col min="6150" max="6150" width="35.7109375" style="1121" customWidth="1"/>
    <col min="6151" max="6151" width="12" style="1121" customWidth="1"/>
    <col min="6152" max="6152" width="7.42578125" style="1121" customWidth="1"/>
    <col min="6153" max="6153" width="11" style="1121" customWidth="1"/>
    <col min="6154" max="6154" width="35.28515625" style="1121" customWidth="1"/>
    <col min="6155" max="6155" width="9.140625" style="1121"/>
    <col min="6156" max="6156" width="65.28515625" style="1121" customWidth="1"/>
    <col min="6157" max="6157" width="24.7109375" style="1121" customWidth="1"/>
    <col min="6158" max="6158" width="16.28515625" style="1121" bestFit="1" customWidth="1"/>
    <col min="6159" max="6160" width="9.140625" style="1121"/>
    <col min="6161" max="6161" width="0" style="1121" hidden="1" customWidth="1"/>
    <col min="6162" max="6400" width="9.140625" style="1121"/>
    <col min="6401" max="6401" width="10.42578125" style="1121" customWidth="1"/>
    <col min="6402" max="6402" width="20" style="1121" customWidth="1"/>
    <col min="6403" max="6405" width="17.5703125" style="1121" customWidth="1"/>
    <col min="6406" max="6406" width="35.7109375" style="1121" customWidth="1"/>
    <col min="6407" max="6407" width="12" style="1121" customWidth="1"/>
    <col min="6408" max="6408" width="7.42578125" style="1121" customWidth="1"/>
    <col min="6409" max="6409" width="11" style="1121" customWidth="1"/>
    <col min="6410" max="6410" width="35.28515625" style="1121" customWidth="1"/>
    <col min="6411" max="6411" width="9.140625" style="1121"/>
    <col min="6412" max="6412" width="65.28515625" style="1121" customWidth="1"/>
    <col min="6413" max="6413" width="24.7109375" style="1121" customWidth="1"/>
    <col min="6414" max="6414" width="16.28515625" style="1121" bestFit="1" customWidth="1"/>
    <col min="6415" max="6416" width="9.140625" style="1121"/>
    <col min="6417" max="6417" width="0" style="1121" hidden="1" customWidth="1"/>
    <col min="6418" max="6656" width="9.140625" style="1121"/>
    <col min="6657" max="6657" width="10.42578125" style="1121" customWidth="1"/>
    <col min="6658" max="6658" width="20" style="1121" customWidth="1"/>
    <col min="6659" max="6661" width="17.5703125" style="1121" customWidth="1"/>
    <col min="6662" max="6662" width="35.7109375" style="1121" customWidth="1"/>
    <col min="6663" max="6663" width="12" style="1121" customWidth="1"/>
    <col min="6664" max="6664" width="7.42578125" style="1121" customWidth="1"/>
    <col min="6665" max="6665" width="11" style="1121" customWidth="1"/>
    <col min="6666" max="6666" width="35.28515625" style="1121" customWidth="1"/>
    <col min="6667" max="6667" width="9.140625" style="1121"/>
    <col min="6668" max="6668" width="65.28515625" style="1121" customWidth="1"/>
    <col min="6669" max="6669" width="24.7109375" style="1121" customWidth="1"/>
    <col min="6670" max="6670" width="16.28515625" style="1121" bestFit="1" customWidth="1"/>
    <col min="6671" max="6672" width="9.140625" style="1121"/>
    <col min="6673" max="6673" width="0" style="1121" hidden="1" customWidth="1"/>
    <col min="6674" max="6912" width="9.140625" style="1121"/>
    <col min="6913" max="6913" width="10.42578125" style="1121" customWidth="1"/>
    <col min="6914" max="6914" width="20" style="1121" customWidth="1"/>
    <col min="6915" max="6917" width="17.5703125" style="1121" customWidth="1"/>
    <col min="6918" max="6918" width="35.7109375" style="1121" customWidth="1"/>
    <col min="6919" max="6919" width="12" style="1121" customWidth="1"/>
    <col min="6920" max="6920" width="7.42578125" style="1121" customWidth="1"/>
    <col min="6921" max="6921" width="11" style="1121" customWidth="1"/>
    <col min="6922" max="6922" width="35.28515625" style="1121" customWidth="1"/>
    <col min="6923" max="6923" width="9.140625" style="1121"/>
    <col min="6924" max="6924" width="65.28515625" style="1121" customWidth="1"/>
    <col min="6925" max="6925" width="24.7109375" style="1121" customWidth="1"/>
    <col min="6926" max="6926" width="16.28515625" style="1121" bestFit="1" customWidth="1"/>
    <col min="6927" max="6928" width="9.140625" style="1121"/>
    <col min="6929" max="6929" width="0" style="1121" hidden="1" customWidth="1"/>
    <col min="6930" max="7168" width="9.140625" style="1121"/>
    <col min="7169" max="7169" width="10.42578125" style="1121" customWidth="1"/>
    <col min="7170" max="7170" width="20" style="1121" customWidth="1"/>
    <col min="7171" max="7173" width="17.5703125" style="1121" customWidth="1"/>
    <col min="7174" max="7174" width="35.7109375" style="1121" customWidth="1"/>
    <col min="7175" max="7175" width="12" style="1121" customWidth="1"/>
    <col min="7176" max="7176" width="7.42578125" style="1121" customWidth="1"/>
    <col min="7177" max="7177" width="11" style="1121" customWidth="1"/>
    <col min="7178" max="7178" width="35.28515625" style="1121" customWidth="1"/>
    <col min="7179" max="7179" width="9.140625" style="1121"/>
    <col min="7180" max="7180" width="65.28515625" style="1121" customWidth="1"/>
    <col min="7181" max="7181" width="24.7109375" style="1121" customWidth="1"/>
    <col min="7182" max="7182" width="16.28515625" style="1121" bestFit="1" customWidth="1"/>
    <col min="7183" max="7184" width="9.140625" style="1121"/>
    <col min="7185" max="7185" width="0" style="1121" hidden="1" customWidth="1"/>
    <col min="7186" max="7424" width="9.140625" style="1121"/>
    <col min="7425" max="7425" width="10.42578125" style="1121" customWidth="1"/>
    <col min="7426" max="7426" width="20" style="1121" customWidth="1"/>
    <col min="7427" max="7429" width="17.5703125" style="1121" customWidth="1"/>
    <col min="7430" max="7430" width="35.7109375" style="1121" customWidth="1"/>
    <col min="7431" max="7431" width="12" style="1121" customWidth="1"/>
    <col min="7432" max="7432" width="7.42578125" style="1121" customWidth="1"/>
    <col min="7433" max="7433" width="11" style="1121" customWidth="1"/>
    <col min="7434" max="7434" width="35.28515625" style="1121" customWidth="1"/>
    <col min="7435" max="7435" width="9.140625" style="1121"/>
    <col min="7436" max="7436" width="65.28515625" style="1121" customWidth="1"/>
    <col min="7437" max="7437" width="24.7109375" style="1121" customWidth="1"/>
    <col min="7438" max="7438" width="16.28515625" style="1121" bestFit="1" customWidth="1"/>
    <col min="7439" max="7440" width="9.140625" style="1121"/>
    <col min="7441" max="7441" width="0" style="1121" hidden="1" customWidth="1"/>
    <col min="7442" max="7680" width="9.140625" style="1121"/>
    <col min="7681" max="7681" width="10.42578125" style="1121" customWidth="1"/>
    <col min="7682" max="7682" width="20" style="1121" customWidth="1"/>
    <col min="7683" max="7685" width="17.5703125" style="1121" customWidth="1"/>
    <col min="7686" max="7686" width="35.7109375" style="1121" customWidth="1"/>
    <col min="7687" max="7687" width="12" style="1121" customWidth="1"/>
    <col min="7688" max="7688" width="7.42578125" style="1121" customWidth="1"/>
    <col min="7689" max="7689" width="11" style="1121" customWidth="1"/>
    <col min="7690" max="7690" width="35.28515625" style="1121" customWidth="1"/>
    <col min="7691" max="7691" width="9.140625" style="1121"/>
    <col min="7692" max="7692" width="65.28515625" style="1121" customWidth="1"/>
    <col min="7693" max="7693" width="24.7109375" style="1121" customWidth="1"/>
    <col min="7694" max="7694" width="16.28515625" style="1121" bestFit="1" customWidth="1"/>
    <col min="7695" max="7696" width="9.140625" style="1121"/>
    <col min="7697" max="7697" width="0" style="1121" hidden="1" customWidth="1"/>
    <col min="7698" max="7936" width="9.140625" style="1121"/>
    <col min="7937" max="7937" width="10.42578125" style="1121" customWidth="1"/>
    <col min="7938" max="7938" width="20" style="1121" customWidth="1"/>
    <col min="7939" max="7941" width="17.5703125" style="1121" customWidth="1"/>
    <col min="7942" max="7942" width="35.7109375" style="1121" customWidth="1"/>
    <col min="7943" max="7943" width="12" style="1121" customWidth="1"/>
    <col min="7944" max="7944" width="7.42578125" style="1121" customWidth="1"/>
    <col min="7945" max="7945" width="11" style="1121" customWidth="1"/>
    <col min="7946" max="7946" width="35.28515625" style="1121" customWidth="1"/>
    <col min="7947" max="7947" width="9.140625" style="1121"/>
    <col min="7948" max="7948" width="65.28515625" style="1121" customWidth="1"/>
    <col min="7949" max="7949" width="24.7109375" style="1121" customWidth="1"/>
    <col min="7950" max="7950" width="16.28515625" style="1121" bestFit="1" customWidth="1"/>
    <col min="7951" max="7952" width="9.140625" style="1121"/>
    <col min="7953" max="7953" width="0" style="1121" hidden="1" customWidth="1"/>
    <col min="7954" max="8192" width="9.140625" style="1121"/>
    <col min="8193" max="8193" width="10.42578125" style="1121" customWidth="1"/>
    <col min="8194" max="8194" width="20" style="1121" customWidth="1"/>
    <col min="8195" max="8197" width="17.5703125" style="1121" customWidth="1"/>
    <col min="8198" max="8198" width="35.7109375" style="1121" customWidth="1"/>
    <col min="8199" max="8199" width="12" style="1121" customWidth="1"/>
    <col min="8200" max="8200" width="7.42578125" style="1121" customWidth="1"/>
    <col min="8201" max="8201" width="11" style="1121" customWidth="1"/>
    <col min="8202" max="8202" width="35.28515625" style="1121" customWidth="1"/>
    <col min="8203" max="8203" width="9.140625" style="1121"/>
    <col min="8204" max="8204" width="65.28515625" style="1121" customWidth="1"/>
    <col min="8205" max="8205" width="24.7109375" style="1121" customWidth="1"/>
    <col min="8206" max="8206" width="16.28515625" style="1121" bestFit="1" customWidth="1"/>
    <col min="8207" max="8208" width="9.140625" style="1121"/>
    <col min="8209" max="8209" width="0" style="1121" hidden="1" customWidth="1"/>
    <col min="8210" max="8448" width="9.140625" style="1121"/>
    <col min="8449" max="8449" width="10.42578125" style="1121" customWidth="1"/>
    <col min="8450" max="8450" width="20" style="1121" customWidth="1"/>
    <col min="8451" max="8453" width="17.5703125" style="1121" customWidth="1"/>
    <col min="8454" max="8454" width="35.7109375" style="1121" customWidth="1"/>
    <col min="8455" max="8455" width="12" style="1121" customWidth="1"/>
    <col min="8456" max="8456" width="7.42578125" style="1121" customWidth="1"/>
    <col min="8457" max="8457" width="11" style="1121" customWidth="1"/>
    <col min="8458" max="8458" width="35.28515625" style="1121" customWidth="1"/>
    <col min="8459" max="8459" width="9.140625" style="1121"/>
    <col min="8460" max="8460" width="65.28515625" style="1121" customWidth="1"/>
    <col min="8461" max="8461" width="24.7109375" style="1121" customWidth="1"/>
    <col min="8462" max="8462" width="16.28515625" style="1121" bestFit="1" customWidth="1"/>
    <col min="8463" max="8464" width="9.140625" style="1121"/>
    <col min="8465" max="8465" width="0" style="1121" hidden="1" customWidth="1"/>
    <col min="8466" max="8704" width="9.140625" style="1121"/>
    <col min="8705" max="8705" width="10.42578125" style="1121" customWidth="1"/>
    <col min="8706" max="8706" width="20" style="1121" customWidth="1"/>
    <col min="8707" max="8709" width="17.5703125" style="1121" customWidth="1"/>
    <col min="8710" max="8710" width="35.7109375" style="1121" customWidth="1"/>
    <col min="8711" max="8711" width="12" style="1121" customWidth="1"/>
    <col min="8712" max="8712" width="7.42578125" style="1121" customWidth="1"/>
    <col min="8713" max="8713" width="11" style="1121" customWidth="1"/>
    <col min="8714" max="8714" width="35.28515625" style="1121" customWidth="1"/>
    <col min="8715" max="8715" width="9.140625" style="1121"/>
    <col min="8716" max="8716" width="65.28515625" style="1121" customWidth="1"/>
    <col min="8717" max="8717" width="24.7109375" style="1121" customWidth="1"/>
    <col min="8718" max="8718" width="16.28515625" style="1121" bestFit="1" customWidth="1"/>
    <col min="8719" max="8720" width="9.140625" style="1121"/>
    <col min="8721" max="8721" width="0" style="1121" hidden="1" customWidth="1"/>
    <col min="8722" max="8960" width="9.140625" style="1121"/>
    <col min="8961" max="8961" width="10.42578125" style="1121" customWidth="1"/>
    <col min="8962" max="8962" width="20" style="1121" customWidth="1"/>
    <col min="8963" max="8965" width="17.5703125" style="1121" customWidth="1"/>
    <col min="8966" max="8966" width="35.7109375" style="1121" customWidth="1"/>
    <col min="8967" max="8967" width="12" style="1121" customWidth="1"/>
    <col min="8968" max="8968" width="7.42578125" style="1121" customWidth="1"/>
    <col min="8969" max="8969" width="11" style="1121" customWidth="1"/>
    <col min="8970" max="8970" width="35.28515625" style="1121" customWidth="1"/>
    <col min="8971" max="8971" width="9.140625" style="1121"/>
    <col min="8972" max="8972" width="65.28515625" style="1121" customWidth="1"/>
    <col min="8973" max="8973" width="24.7109375" style="1121" customWidth="1"/>
    <col min="8974" max="8974" width="16.28515625" style="1121" bestFit="1" customWidth="1"/>
    <col min="8975" max="8976" width="9.140625" style="1121"/>
    <col min="8977" max="8977" width="0" style="1121" hidden="1" customWidth="1"/>
    <col min="8978" max="9216" width="9.140625" style="1121"/>
    <col min="9217" max="9217" width="10.42578125" style="1121" customWidth="1"/>
    <col min="9218" max="9218" width="20" style="1121" customWidth="1"/>
    <col min="9219" max="9221" width="17.5703125" style="1121" customWidth="1"/>
    <col min="9222" max="9222" width="35.7109375" style="1121" customWidth="1"/>
    <col min="9223" max="9223" width="12" style="1121" customWidth="1"/>
    <col min="9224" max="9224" width="7.42578125" style="1121" customWidth="1"/>
    <col min="9225" max="9225" width="11" style="1121" customWidth="1"/>
    <col min="9226" max="9226" width="35.28515625" style="1121" customWidth="1"/>
    <col min="9227" max="9227" width="9.140625" style="1121"/>
    <col min="9228" max="9228" width="65.28515625" style="1121" customWidth="1"/>
    <col min="9229" max="9229" width="24.7109375" style="1121" customWidth="1"/>
    <col min="9230" max="9230" width="16.28515625" style="1121" bestFit="1" customWidth="1"/>
    <col min="9231" max="9232" width="9.140625" style="1121"/>
    <col min="9233" max="9233" width="0" style="1121" hidden="1" customWidth="1"/>
    <col min="9234" max="9472" width="9.140625" style="1121"/>
    <col min="9473" max="9473" width="10.42578125" style="1121" customWidth="1"/>
    <col min="9474" max="9474" width="20" style="1121" customWidth="1"/>
    <col min="9475" max="9477" width="17.5703125" style="1121" customWidth="1"/>
    <col min="9478" max="9478" width="35.7109375" style="1121" customWidth="1"/>
    <col min="9479" max="9479" width="12" style="1121" customWidth="1"/>
    <col min="9480" max="9480" width="7.42578125" style="1121" customWidth="1"/>
    <col min="9481" max="9481" width="11" style="1121" customWidth="1"/>
    <col min="9482" max="9482" width="35.28515625" style="1121" customWidth="1"/>
    <col min="9483" max="9483" width="9.140625" style="1121"/>
    <col min="9484" max="9484" width="65.28515625" style="1121" customWidth="1"/>
    <col min="9485" max="9485" width="24.7109375" style="1121" customWidth="1"/>
    <col min="9486" max="9486" width="16.28515625" style="1121" bestFit="1" customWidth="1"/>
    <col min="9487" max="9488" width="9.140625" style="1121"/>
    <col min="9489" max="9489" width="0" style="1121" hidden="1" customWidth="1"/>
    <col min="9490" max="9728" width="9.140625" style="1121"/>
    <col min="9729" max="9729" width="10.42578125" style="1121" customWidth="1"/>
    <col min="9730" max="9730" width="20" style="1121" customWidth="1"/>
    <col min="9731" max="9733" width="17.5703125" style="1121" customWidth="1"/>
    <col min="9734" max="9734" width="35.7109375" style="1121" customWidth="1"/>
    <col min="9735" max="9735" width="12" style="1121" customWidth="1"/>
    <col min="9736" max="9736" width="7.42578125" style="1121" customWidth="1"/>
    <col min="9737" max="9737" width="11" style="1121" customWidth="1"/>
    <col min="9738" max="9738" width="35.28515625" style="1121" customWidth="1"/>
    <col min="9739" max="9739" width="9.140625" style="1121"/>
    <col min="9740" max="9740" width="65.28515625" style="1121" customWidth="1"/>
    <col min="9741" max="9741" width="24.7109375" style="1121" customWidth="1"/>
    <col min="9742" max="9742" width="16.28515625" style="1121" bestFit="1" customWidth="1"/>
    <col min="9743" max="9744" width="9.140625" style="1121"/>
    <col min="9745" max="9745" width="0" style="1121" hidden="1" customWidth="1"/>
    <col min="9746" max="9984" width="9.140625" style="1121"/>
    <col min="9985" max="9985" width="10.42578125" style="1121" customWidth="1"/>
    <col min="9986" max="9986" width="20" style="1121" customWidth="1"/>
    <col min="9987" max="9989" width="17.5703125" style="1121" customWidth="1"/>
    <col min="9990" max="9990" width="35.7109375" style="1121" customWidth="1"/>
    <col min="9991" max="9991" width="12" style="1121" customWidth="1"/>
    <col min="9992" max="9992" width="7.42578125" style="1121" customWidth="1"/>
    <col min="9993" max="9993" width="11" style="1121" customWidth="1"/>
    <col min="9994" max="9994" width="35.28515625" style="1121" customWidth="1"/>
    <col min="9995" max="9995" width="9.140625" style="1121"/>
    <col min="9996" max="9996" width="65.28515625" style="1121" customWidth="1"/>
    <col min="9997" max="9997" width="24.7109375" style="1121" customWidth="1"/>
    <col min="9998" max="9998" width="16.28515625" style="1121" bestFit="1" customWidth="1"/>
    <col min="9999" max="10000" width="9.140625" style="1121"/>
    <col min="10001" max="10001" width="0" style="1121" hidden="1" customWidth="1"/>
    <col min="10002" max="10240" width="9.140625" style="1121"/>
    <col min="10241" max="10241" width="10.42578125" style="1121" customWidth="1"/>
    <col min="10242" max="10242" width="20" style="1121" customWidth="1"/>
    <col min="10243" max="10245" width="17.5703125" style="1121" customWidth="1"/>
    <col min="10246" max="10246" width="35.7109375" style="1121" customWidth="1"/>
    <col min="10247" max="10247" width="12" style="1121" customWidth="1"/>
    <col min="10248" max="10248" width="7.42578125" style="1121" customWidth="1"/>
    <col min="10249" max="10249" width="11" style="1121" customWidth="1"/>
    <col min="10250" max="10250" width="35.28515625" style="1121" customWidth="1"/>
    <col min="10251" max="10251" width="9.140625" style="1121"/>
    <col min="10252" max="10252" width="65.28515625" style="1121" customWidth="1"/>
    <col min="10253" max="10253" width="24.7109375" style="1121" customWidth="1"/>
    <col min="10254" max="10254" width="16.28515625" style="1121" bestFit="1" customWidth="1"/>
    <col min="10255" max="10256" width="9.140625" style="1121"/>
    <col min="10257" max="10257" width="0" style="1121" hidden="1" customWidth="1"/>
    <col min="10258" max="10496" width="9.140625" style="1121"/>
    <col min="10497" max="10497" width="10.42578125" style="1121" customWidth="1"/>
    <col min="10498" max="10498" width="20" style="1121" customWidth="1"/>
    <col min="10499" max="10501" width="17.5703125" style="1121" customWidth="1"/>
    <col min="10502" max="10502" width="35.7109375" style="1121" customWidth="1"/>
    <col min="10503" max="10503" width="12" style="1121" customWidth="1"/>
    <col min="10504" max="10504" width="7.42578125" style="1121" customWidth="1"/>
    <col min="10505" max="10505" width="11" style="1121" customWidth="1"/>
    <col min="10506" max="10506" width="35.28515625" style="1121" customWidth="1"/>
    <col min="10507" max="10507" width="9.140625" style="1121"/>
    <col min="10508" max="10508" width="65.28515625" style="1121" customWidth="1"/>
    <col min="10509" max="10509" width="24.7109375" style="1121" customWidth="1"/>
    <col min="10510" max="10510" width="16.28515625" style="1121" bestFit="1" customWidth="1"/>
    <col min="10511" max="10512" width="9.140625" style="1121"/>
    <col min="10513" max="10513" width="0" style="1121" hidden="1" customWidth="1"/>
    <col min="10514" max="10752" width="9.140625" style="1121"/>
    <col min="10753" max="10753" width="10.42578125" style="1121" customWidth="1"/>
    <col min="10754" max="10754" width="20" style="1121" customWidth="1"/>
    <col min="10755" max="10757" width="17.5703125" style="1121" customWidth="1"/>
    <col min="10758" max="10758" width="35.7109375" style="1121" customWidth="1"/>
    <col min="10759" max="10759" width="12" style="1121" customWidth="1"/>
    <col min="10760" max="10760" width="7.42578125" style="1121" customWidth="1"/>
    <col min="10761" max="10761" width="11" style="1121" customWidth="1"/>
    <col min="10762" max="10762" width="35.28515625" style="1121" customWidth="1"/>
    <col min="10763" max="10763" width="9.140625" style="1121"/>
    <col min="10764" max="10764" width="65.28515625" style="1121" customWidth="1"/>
    <col min="10765" max="10765" width="24.7109375" style="1121" customWidth="1"/>
    <col min="10766" max="10766" width="16.28515625" style="1121" bestFit="1" customWidth="1"/>
    <col min="10767" max="10768" width="9.140625" style="1121"/>
    <col min="10769" max="10769" width="0" style="1121" hidden="1" customWidth="1"/>
    <col min="10770" max="11008" width="9.140625" style="1121"/>
    <col min="11009" max="11009" width="10.42578125" style="1121" customWidth="1"/>
    <col min="11010" max="11010" width="20" style="1121" customWidth="1"/>
    <col min="11011" max="11013" width="17.5703125" style="1121" customWidth="1"/>
    <col min="11014" max="11014" width="35.7109375" style="1121" customWidth="1"/>
    <col min="11015" max="11015" width="12" style="1121" customWidth="1"/>
    <col min="11016" max="11016" width="7.42578125" style="1121" customWidth="1"/>
    <col min="11017" max="11017" width="11" style="1121" customWidth="1"/>
    <col min="11018" max="11018" width="35.28515625" style="1121" customWidth="1"/>
    <col min="11019" max="11019" width="9.140625" style="1121"/>
    <col min="11020" max="11020" width="65.28515625" style="1121" customWidth="1"/>
    <col min="11021" max="11021" width="24.7109375" style="1121" customWidth="1"/>
    <col min="11022" max="11022" width="16.28515625" style="1121" bestFit="1" customWidth="1"/>
    <col min="11023" max="11024" width="9.140625" style="1121"/>
    <col min="11025" max="11025" width="0" style="1121" hidden="1" customWidth="1"/>
    <col min="11026" max="11264" width="9.140625" style="1121"/>
    <col min="11265" max="11265" width="10.42578125" style="1121" customWidth="1"/>
    <col min="11266" max="11266" width="20" style="1121" customWidth="1"/>
    <col min="11267" max="11269" width="17.5703125" style="1121" customWidth="1"/>
    <col min="11270" max="11270" width="35.7109375" style="1121" customWidth="1"/>
    <col min="11271" max="11271" width="12" style="1121" customWidth="1"/>
    <col min="11272" max="11272" width="7.42578125" style="1121" customWidth="1"/>
    <col min="11273" max="11273" width="11" style="1121" customWidth="1"/>
    <col min="11274" max="11274" width="35.28515625" style="1121" customWidth="1"/>
    <col min="11275" max="11275" width="9.140625" style="1121"/>
    <col min="11276" max="11276" width="65.28515625" style="1121" customWidth="1"/>
    <col min="11277" max="11277" width="24.7109375" style="1121" customWidth="1"/>
    <col min="11278" max="11278" width="16.28515625" style="1121" bestFit="1" customWidth="1"/>
    <col min="11279" max="11280" width="9.140625" style="1121"/>
    <col min="11281" max="11281" width="0" style="1121" hidden="1" customWidth="1"/>
    <col min="11282" max="11520" width="9.140625" style="1121"/>
    <col min="11521" max="11521" width="10.42578125" style="1121" customWidth="1"/>
    <col min="11522" max="11522" width="20" style="1121" customWidth="1"/>
    <col min="11523" max="11525" width="17.5703125" style="1121" customWidth="1"/>
    <col min="11526" max="11526" width="35.7109375" style="1121" customWidth="1"/>
    <col min="11527" max="11527" width="12" style="1121" customWidth="1"/>
    <col min="11528" max="11528" width="7.42578125" style="1121" customWidth="1"/>
    <col min="11529" max="11529" width="11" style="1121" customWidth="1"/>
    <col min="11530" max="11530" width="35.28515625" style="1121" customWidth="1"/>
    <col min="11531" max="11531" width="9.140625" style="1121"/>
    <col min="11532" max="11532" width="65.28515625" style="1121" customWidth="1"/>
    <col min="11533" max="11533" width="24.7109375" style="1121" customWidth="1"/>
    <col min="11534" max="11534" width="16.28515625" style="1121" bestFit="1" customWidth="1"/>
    <col min="11535" max="11536" width="9.140625" style="1121"/>
    <col min="11537" max="11537" width="0" style="1121" hidden="1" customWidth="1"/>
    <col min="11538" max="11776" width="9.140625" style="1121"/>
    <col min="11777" max="11777" width="10.42578125" style="1121" customWidth="1"/>
    <col min="11778" max="11778" width="20" style="1121" customWidth="1"/>
    <col min="11779" max="11781" width="17.5703125" style="1121" customWidth="1"/>
    <col min="11782" max="11782" width="35.7109375" style="1121" customWidth="1"/>
    <col min="11783" max="11783" width="12" style="1121" customWidth="1"/>
    <col min="11784" max="11784" width="7.42578125" style="1121" customWidth="1"/>
    <col min="11785" max="11785" width="11" style="1121" customWidth="1"/>
    <col min="11786" max="11786" width="35.28515625" style="1121" customWidth="1"/>
    <col min="11787" max="11787" width="9.140625" style="1121"/>
    <col min="11788" max="11788" width="65.28515625" style="1121" customWidth="1"/>
    <col min="11789" max="11789" width="24.7109375" style="1121" customWidth="1"/>
    <col min="11790" max="11790" width="16.28515625" style="1121" bestFit="1" customWidth="1"/>
    <col min="11791" max="11792" width="9.140625" style="1121"/>
    <col min="11793" max="11793" width="0" style="1121" hidden="1" customWidth="1"/>
    <col min="11794" max="12032" width="9.140625" style="1121"/>
    <col min="12033" max="12033" width="10.42578125" style="1121" customWidth="1"/>
    <col min="12034" max="12034" width="20" style="1121" customWidth="1"/>
    <col min="12035" max="12037" width="17.5703125" style="1121" customWidth="1"/>
    <col min="12038" max="12038" width="35.7109375" style="1121" customWidth="1"/>
    <col min="12039" max="12039" width="12" style="1121" customWidth="1"/>
    <col min="12040" max="12040" width="7.42578125" style="1121" customWidth="1"/>
    <col min="12041" max="12041" width="11" style="1121" customWidth="1"/>
    <col min="12042" max="12042" width="35.28515625" style="1121" customWidth="1"/>
    <col min="12043" max="12043" width="9.140625" style="1121"/>
    <col min="12044" max="12044" width="65.28515625" style="1121" customWidth="1"/>
    <col min="12045" max="12045" width="24.7109375" style="1121" customWidth="1"/>
    <col min="12046" max="12046" width="16.28515625" style="1121" bestFit="1" customWidth="1"/>
    <col min="12047" max="12048" width="9.140625" style="1121"/>
    <col min="12049" max="12049" width="0" style="1121" hidden="1" customWidth="1"/>
    <col min="12050" max="12288" width="9.140625" style="1121"/>
    <col min="12289" max="12289" width="10.42578125" style="1121" customWidth="1"/>
    <col min="12290" max="12290" width="20" style="1121" customWidth="1"/>
    <col min="12291" max="12293" width="17.5703125" style="1121" customWidth="1"/>
    <col min="12294" max="12294" width="35.7109375" style="1121" customWidth="1"/>
    <col min="12295" max="12295" width="12" style="1121" customWidth="1"/>
    <col min="12296" max="12296" width="7.42578125" style="1121" customWidth="1"/>
    <col min="12297" max="12297" width="11" style="1121" customWidth="1"/>
    <col min="12298" max="12298" width="35.28515625" style="1121" customWidth="1"/>
    <col min="12299" max="12299" width="9.140625" style="1121"/>
    <col min="12300" max="12300" width="65.28515625" style="1121" customWidth="1"/>
    <col min="12301" max="12301" width="24.7109375" style="1121" customWidth="1"/>
    <col min="12302" max="12302" width="16.28515625" style="1121" bestFit="1" customWidth="1"/>
    <col min="12303" max="12304" width="9.140625" style="1121"/>
    <col min="12305" max="12305" width="0" style="1121" hidden="1" customWidth="1"/>
    <col min="12306" max="12544" width="9.140625" style="1121"/>
    <col min="12545" max="12545" width="10.42578125" style="1121" customWidth="1"/>
    <col min="12546" max="12546" width="20" style="1121" customWidth="1"/>
    <col min="12547" max="12549" width="17.5703125" style="1121" customWidth="1"/>
    <col min="12550" max="12550" width="35.7109375" style="1121" customWidth="1"/>
    <col min="12551" max="12551" width="12" style="1121" customWidth="1"/>
    <col min="12552" max="12552" width="7.42578125" style="1121" customWidth="1"/>
    <col min="12553" max="12553" width="11" style="1121" customWidth="1"/>
    <col min="12554" max="12554" width="35.28515625" style="1121" customWidth="1"/>
    <col min="12555" max="12555" width="9.140625" style="1121"/>
    <col min="12556" max="12556" width="65.28515625" style="1121" customWidth="1"/>
    <col min="12557" max="12557" width="24.7109375" style="1121" customWidth="1"/>
    <col min="12558" max="12558" width="16.28515625" style="1121" bestFit="1" customWidth="1"/>
    <col min="12559" max="12560" width="9.140625" style="1121"/>
    <col min="12561" max="12561" width="0" style="1121" hidden="1" customWidth="1"/>
    <col min="12562" max="12800" width="9.140625" style="1121"/>
    <col min="12801" max="12801" width="10.42578125" style="1121" customWidth="1"/>
    <col min="12802" max="12802" width="20" style="1121" customWidth="1"/>
    <col min="12803" max="12805" width="17.5703125" style="1121" customWidth="1"/>
    <col min="12806" max="12806" width="35.7109375" style="1121" customWidth="1"/>
    <col min="12807" max="12807" width="12" style="1121" customWidth="1"/>
    <col min="12808" max="12808" width="7.42578125" style="1121" customWidth="1"/>
    <col min="12809" max="12809" width="11" style="1121" customWidth="1"/>
    <col min="12810" max="12810" width="35.28515625" style="1121" customWidth="1"/>
    <col min="12811" max="12811" width="9.140625" style="1121"/>
    <col min="12812" max="12812" width="65.28515625" style="1121" customWidth="1"/>
    <col min="12813" max="12813" width="24.7109375" style="1121" customWidth="1"/>
    <col min="12814" max="12814" width="16.28515625" style="1121" bestFit="1" customWidth="1"/>
    <col min="12815" max="12816" width="9.140625" style="1121"/>
    <col min="12817" max="12817" width="0" style="1121" hidden="1" customWidth="1"/>
    <col min="12818" max="13056" width="9.140625" style="1121"/>
    <col min="13057" max="13057" width="10.42578125" style="1121" customWidth="1"/>
    <col min="13058" max="13058" width="20" style="1121" customWidth="1"/>
    <col min="13059" max="13061" width="17.5703125" style="1121" customWidth="1"/>
    <col min="13062" max="13062" width="35.7109375" style="1121" customWidth="1"/>
    <col min="13063" max="13063" width="12" style="1121" customWidth="1"/>
    <col min="13064" max="13064" width="7.42578125" style="1121" customWidth="1"/>
    <col min="13065" max="13065" width="11" style="1121" customWidth="1"/>
    <col min="13066" max="13066" width="35.28515625" style="1121" customWidth="1"/>
    <col min="13067" max="13067" width="9.140625" style="1121"/>
    <col min="13068" max="13068" width="65.28515625" style="1121" customWidth="1"/>
    <col min="13069" max="13069" width="24.7109375" style="1121" customWidth="1"/>
    <col min="13070" max="13070" width="16.28515625" style="1121" bestFit="1" customWidth="1"/>
    <col min="13071" max="13072" width="9.140625" style="1121"/>
    <col min="13073" max="13073" width="0" style="1121" hidden="1" customWidth="1"/>
    <col min="13074" max="13312" width="9.140625" style="1121"/>
    <col min="13313" max="13313" width="10.42578125" style="1121" customWidth="1"/>
    <col min="13314" max="13314" width="20" style="1121" customWidth="1"/>
    <col min="13315" max="13317" width="17.5703125" style="1121" customWidth="1"/>
    <col min="13318" max="13318" width="35.7109375" style="1121" customWidth="1"/>
    <col min="13319" max="13319" width="12" style="1121" customWidth="1"/>
    <col min="13320" max="13320" width="7.42578125" style="1121" customWidth="1"/>
    <col min="13321" max="13321" width="11" style="1121" customWidth="1"/>
    <col min="13322" max="13322" width="35.28515625" style="1121" customWidth="1"/>
    <col min="13323" max="13323" width="9.140625" style="1121"/>
    <col min="13324" max="13324" width="65.28515625" style="1121" customWidth="1"/>
    <col min="13325" max="13325" width="24.7109375" style="1121" customWidth="1"/>
    <col min="13326" max="13326" width="16.28515625" style="1121" bestFit="1" customWidth="1"/>
    <col min="13327" max="13328" width="9.140625" style="1121"/>
    <col min="13329" max="13329" width="0" style="1121" hidden="1" customWidth="1"/>
    <col min="13330" max="13568" width="9.140625" style="1121"/>
    <col min="13569" max="13569" width="10.42578125" style="1121" customWidth="1"/>
    <col min="13570" max="13570" width="20" style="1121" customWidth="1"/>
    <col min="13571" max="13573" width="17.5703125" style="1121" customWidth="1"/>
    <col min="13574" max="13574" width="35.7109375" style="1121" customWidth="1"/>
    <col min="13575" max="13575" width="12" style="1121" customWidth="1"/>
    <col min="13576" max="13576" width="7.42578125" style="1121" customWidth="1"/>
    <col min="13577" max="13577" width="11" style="1121" customWidth="1"/>
    <col min="13578" max="13578" width="35.28515625" style="1121" customWidth="1"/>
    <col min="13579" max="13579" width="9.140625" style="1121"/>
    <col min="13580" max="13580" width="65.28515625" style="1121" customWidth="1"/>
    <col min="13581" max="13581" width="24.7109375" style="1121" customWidth="1"/>
    <col min="13582" max="13582" width="16.28515625" style="1121" bestFit="1" customWidth="1"/>
    <col min="13583" max="13584" width="9.140625" style="1121"/>
    <col min="13585" max="13585" width="0" style="1121" hidden="1" customWidth="1"/>
    <col min="13586" max="13824" width="9.140625" style="1121"/>
    <col min="13825" max="13825" width="10.42578125" style="1121" customWidth="1"/>
    <col min="13826" max="13826" width="20" style="1121" customWidth="1"/>
    <col min="13827" max="13829" width="17.5703125" style="1121" customWidth="1"/>
    <col min="13830" max="13830" width="35.7109375" style="1121" customWidth="1"/>
    <col min="13831" max="13831" width="12" style="1121" customWidth="1"/>
    <col min="13832" max="13832" width="7.42578125" style="1121" customWidth="1"/>
    <col min="13833" max="13833" width="11" style="1121" customWidth="1"/>
    <col min="13834" max="13834" width="35.28515625" style="1121" customWidth="1"/>
    <col min="13835" max="13835" width="9.140625" style="1121"/>
    <col min="13836" max="13836" width="65.28515625" style="1121" customWidth="1"/>
    <col min="13837" max="13837" width="24.7109375" style="1121" customWidth="1"/>
    <col min="13838" max="13838" width="16.28515625" style="1121" bestFit="1" customWidth="1"/>
    <col min="13839" max="13840" width="9.140625" style="1121"/>
    <col min="13841" max="13841" width="0" style="1121" hidden="1" customWidth="1"/>
    <col min="13842" max="14080" width="9.140625" style="1121"/>
    <col min="14081" max="14081" width="10.42578125" style="1121" customWidth="1"/>
    <col min="14082" max="14082" width="20" style="1121" customWidth="1"/>
    <col min="14083" max="14085" width="17.5703125" style="1121" customWidth="1"/>
    <col min="14086" max="14086" width="35.7109375" style="1121" customWidth="1"/>
    <col min="14087" max="14087" width="12" style="1121" customWidth="1"/>
    <col min="14088" max="14088" width="7.42578125" style="1121" customWidth="1"/>
    <col min="14089" max="14089" width="11" style="1121" customWidth="1"/>
    <col min="14090" max="14090" width="35.28515625" style="1121" customWidth="1"/>
    <col min="14091" max="14091" width="9.140625" style="1121"/>
    <col min="14092" max="14092" width="65.28515625" style="1121" customWidth="1"/>
    <col min="14093" max="14093" width="24.7109375" style="1121" customWidth="1"/>
    <col min="14094" max="14094" width="16.28515625" style="1121" bestFit="1" customWidth="1"/>
    <col min="14095" max="14096" width="9.140625" style="1121"/>
    <col min="14097" max="14097" width="0" style="1121" hidden="1" customWidth="1"/>
    <col min="14098" max="14336" width="9.140625" style="1121"/>
    <col min="14337" max="14337" width="10.42578125" style="1121" customWidth="1"/>
    <col min="14338" max="14338" width="20" style="1121" customWidth="1"/>
    <col min="14339" max="14341" width="17.5703125" style="1121" customWidth="1"/>
    <col min="14342" max="14342" width="35.7109375" style="1121" customWidth="1"/>
    <col min="14343" max="14343" width="12" style="1121" customWidth="1"/>
    <col min="14344" max="14344" width="7.42578125" style="1121" customWidth="1"/>
    <col min="14345" max="14345" width="11" style="1121" customWidth="1"/>
    <col min="14346" max="14346" width="35.28515625" style="1121" customWidth="1"/>
    <col min="14347" max="14347" width="9.140625" style="1121"/>
    <col min="14348" max="14348" width="65.28515625" style="1121" customWidth="1"/>
    <col min="14349" max="14349" width="24.7109375" style="1121" customWidth="1"/>
    <col min="14350" max="14350" width="16.28515625" style="1121" bestFit="1" customWidth="1"/>
    <col min="14351" max="14352" width="9.140625" style="1121"/>
    <col min="14353" max="14353" width="0" style="1121" hidden="1" customWidth="1"/>
    <col min="14354" max="14592" width="9.140625" style="1121"/>
    <col min="14593" max="14593" width="10.42578125" style="1121" customWidth="1"/>
    <col min="14594" max="14594" width="20" style="1121" customWidth="1"/>
    <col min="14595" max="14597" width="17.5703125" style="1121" customWidth="1"/>
    <col min="14598" max="14598" width="35.7109375" style="1121" customWidth="1"/>
    <col min="14599" max="14599" width="12" style="1121" customWidth="1"/>
    <col min="14600" max="14600" width="7.42578125" style="1121" customWidth="1"/>
    <col min="14601" max="14601" width="11" style="1121" customWidth="1"/>
    <col min="14602" max="14602" width="35.28515625" style="1121" customWidth="1"/>
    <col min="14603" max="14603" width="9.140625" style="1121"/>
    <col min="14604" max="14604" width="65.28515625" style="1121" customWidth="1"/>
    <col min="14605" max="14605" width="24.7109375" style="1121" customWidth="1"/>
    <col min="14606" max="14606" width="16.28515625" style="1121" bestFit="1" customWidth="1"/>
    <col min="14607" max="14608" width="9.140625" style="1121"/>
    <col min="14609" max="14609" width="0" style="1121" hidden="1" customWidth="1"/>
    <col min="14610" max="14848" width="9.140625" style="1121"/>
    <col min="14849" max="14849" width="10.42578125" style="1121" customWidth="1"/>
    <col min="14850" max="14850" width="20" style="1121" customWidth="1"/>
    <col min="14851" max="14853" width="17.5703125" style="1121" customWidth="1"/>
    <col min="14854" max="14854" width="35.7109375" style="1121" customWidth="1"/>
    <col min="14855" max="14855" width="12" style="1121" customWidth="1"/>
    <col min="14856" max="14856" width="7.42578125" style="1121" customWidth="1"/>
    <col min="14857" max="14857" width="11" style="1121" customWidth="1"/>
    <col min="14858" max="14858" width="35.28515625" style="1121" customWidth="1"/>
    <col min="14859" max="14859" width="9.140625" style="1121"/>
    <col min="14860" max="14860" width="65.28515625" style="1121" customWidth="1"/>
    <col min="14861" max="14861" width="24.7109375" style="1121" customWidth="1"/>
    <col min="14862" max="14862" width="16.28515625" style="1121" bestFit="1" customWidth="1"/>
    <col min="14863" max="14864" width="9.140625" style="1121"/>
    <col min="14865" max="14865" width="0" style="1121" hidden="1" customWidth="1"/>
    <col min="14866" max="15104" width="9.140625" style="1121"/>
    <col min="15105" max="15105" width="10.42578125" style="1121" customWidth="1"/>
    <col min="15106" max="15106" width="20" style="1121" customWidth="1"/>
    <col min="15107" max="15109" width="17.5703125" style="1121" customWidth="1"/>
    <col min="15110" max="15110" width="35.7109375" style="1121" customWidth="1"/>
    <col min="15111" max="15111" width="12" style="1121" customWidth="1"/>
    <col min="15112" max="15112" width="7.42578125" style="1121" customWidth="1"/>
    <col min="15113" max="15113" width="11" style="1121" customWidth="1"/>
    <col min="15114" max="15114" width="35.28515625" style="1121" customWidth="1"/>
    <col min="15115" max="15115" width="9.140625" style="1121"/>
    <col min="15116" max="15116" width="65.28515625" style="1121" customWidth="1"/>
    <col min="15117" max="15117" width="24.7109375" style="1121" customWidth="1"/>
    <col min="15118" max="15118" width="16.28515625" style="1121" bestFit="1" customWidth="1"/>
    <col min="15119" max="15120" width="9.140625" style="1121"/>
    <col min="15121" max="15121" width="0" style="1121" hidden="1" customWidth="1"/>
    <col min="15122" max="15360" width="9.140625" style="1121"/>
    <col min="15361" max="15361" width="10.42578125" style="1121" customWidth="1"/>
    <col min="15362" max="15362" width="20" style="1121" customWidth="1"/>
    <col min="15363" max="15365" width="17.5703125" style="1121" customWidth="1"/>
    <col min="15366" max="15366" width="35.7109375" style="1121" customWidth="1"/>
    <col min="15367" max="15367" width="12" style="1121" customWidth="1"/>
    <col min="15368" max="15368" width="7.42578125" style="1121" customWidth="1"/>
    <col min="15369" max="15369" width="11" style="1121" customWidth="1"/>
    <col min="15370" max="15370" width="35.28515625" style="1121" customWidth="1"/>
    <col min="15371" max="15371" width="9.140625" style="1121"/>
    <col min="15372" max="15372" width="65.28515625" style="1121" customWidth="1"/>
    <col min="15373" max="15373" width="24.7109375" style="1121" customWidth="1"/>
    <col min="15374" max="15374" width="16.28515625" style="1121" bestFit="1" customWidth="1"/>
    <col min="15375" max="15376" width="9.140625" style="1121"/>
    <col min="15377" max="15377" width="0" style="1121" hidden="1" customWidth="1"/>
    <col min="15378" max="15616" width="9.140625" style="1121"/>
    <col min="15617" max="15617" width="10.42578125" style="1121" customWidth="1"/>
    <col min="15618" max="15618" width="20" style="1121" customWidth="1"/>
    <col min="15619" max="15621" width="17.5703125" style="1121" customWidth="1"/>
    <col min="15622" max="15622" width="35.7109375" style="1121" customWidth="1"/>
    <col min="15623" max="15623" width="12" style="1121" customWidth="1"/>
    <col min="15624" max="15624" width="7.42578125" style="1121" customWidth="1"/>
    <col min="15625" max="15625" width="11" style="1121" customWidth="1"/>
    <col min="15626" max="15626" width="35.28515625" style="1121" customWidth="1"/>
    <col min="15627" max="15627" width="9.140625" style="1121"/>
    <col min="15628" max="15628" width="65.28515625" style="1121" customWidth="1"/>
    <col min="15629" max="15629" width="24.7109375" style="1121" customWidth="1"/>
    <col min="15630" max="15630" width="16.28515625" style="1121" bestFit="1" customWidth="1"/>
    <col min="15631" max="15632" width="9.140625" style="1121"/>
    <col min="15633" max="15633" width="0" style="1121" hidden="1" customWidth="1"/>
    <col min="15634" max="15872" width="9.140625" style="1121"/>
    <col min="15873" max="15873" width="10.42578125" style="1121" customWidth="1"/>
    <col min="15874" max="15874" width="20" style="1121" customWidth="1"/>
    <col min="15875" max="15877" width="17.5703125" style="1121" customWidth="1"/>
    <col min="15878" max="15878" width="35.7109375" style="1121" customWidth="1"/>
    <col min="15879" max="15879" width="12" style="1121" customWidth="1"/>
    <col min="15880" max="15880" width="7.42578125" style="1121" customWidth="1"/>
    <col min="15881" max="15881" width="11" style="1121" customWidth="1"/>
    <col min="15882" max="15882" width="35.28515625" style="1121" customWidth="1"/>
    <col min="15883" max="15883" width="9.140625" style="1121"/>
    <col min="15884" max="15884" width="65.28515625" style="1121" customWidth="1"/>
    <col min="15885" max="15885" width="24.7109375" style="1121" customWidth="1"/>
    <col min="15886" max="15886" width="16.28515625" style="1121" bestFit="1" customWidth="1"/>
    <col min="15887" max="15888" width="9.140625" style="1121"/>
    <col min="15889" max="15889" width="0" style="1121" hidden="1" customWidth="1"/>
    <col min="15890" max="16128" width="9.140625" style="1121"/>
    <col min="16129" max="16129" width="10.42578125" style="1121" customWidth="1"/>
    <col min="16130" max="16130" width="20" style="1121" customWidth="1"/>
    <col min="16131" max="16133" width="17.5703125" style="1121" customWidth="1"/>
    <col min="16134" max="16134" width="35.7109375" style="1121" customWidth="1"/>
    <col min="16135" max="16135" width="12" style="1121" customWidth="1"/>
    <col min="16136" max="16136" width="7.42578125" style="1121" customWidth="1"/>
    <col min="16137" max="16137" width="11" style="1121" customWidth="1"/>
    <col min="16138" max="16138" width="35.28515625" style="1121" customWidth="1"/>
    <col min="16139" max="16139" width="9.140625" style="1121"/>
    <col min="16140" max="16140" width="65.28515625" style="1121" customWidth="1"/>
    <col min="16141" max="16141" width="24.7109375" style="1121" customWidth="1"/>
    <col min="16142" max="16142" width="16.28515625" style="1121" bestFit="1" customWidth="1"/>
    <col min="16143" max="16144" width="9.140625" style="1121"/>
    <col min="16145" max="16145" width="0" style="1121" hidden="1" customWidth="1"/>
    <col min="16146" max="16384" width="9.140625" style="1121"/>
  </cols>
  <sheetData>
    <row r="1" spans="1:53" s="1119" customFormat="1" ht="18.75">
      <c r="A1" s="1881" t="s">
        <v>3609</v>
      </c>
      <c r="B1" s="1155" t="s">
        <v>3984</v>
      </c>
      <c r="C1" s="1012"/>
      <c r="D1" s="1012"/>
      <c r="E1" s="1186"/>
      <c r="F1" s="905"/>
      <c r="G1" s="905"/>
      <c r="H1" s="2472" t="s">
        <v>2595</v>
      </c>
      <c r="I1" s="2472"/>
      <c r="J1" s="1158" t="s">
        <v>3610</v>
      </c>
    </row>
    <row r="2" spans="1:53" s="1119" customFormat="1">
      <c r="B2" s="1146"/>
      <c r="C2" s="1146"/>
      <c r="D2" s="1146"/>
      <c r="E2" s="1146"/>
      <c r="F2" s="1146"/>
      <c r="G2" s="1146"/>
      <c r="H2" s="2473"/>
      <c r="I2" s="2474"/>
      <c r="J2" s="1172"/>
    </row>
    <row r="3" spans="1:53" s="1119" customFormat="1">
      <c r="B3" s="1012"/>
      <c r="C3" s="1146"/>
      <c r="D3" s="1146"/>
      <c r="E3" s="1146"/>
      <c r="F3" s="1146"/>
      <c r="G3" s="1146"/>
      <c r="H3" s="2473"/>
      <c r="I3" s="2474"/>
      <c r="J3" s="1173"/>
    </row>
    <row r="4" spans="1:53">
      <c r="A4" s="1123"/>
      <c r="B4" s="1121"/>
      <c r="C4" s="1012"/>
      <c r="D4" s="1012"/>
      <c r="E4" s="1012"/>
      <c r="F4" s="1146"/>
      <c r="G4" s="1146"/>
      <c r="H4" s="2473"/>
      <c r="I4" s="2474"/>
      <c r="J4" s="1173"/>
      <c r="K4" s="1123"/>
    </row>
    <row r="5" spans="1:53">
      <c r="A5" s="1123"/>
      <c r="B5" s="1187" t="s">
        <v>3981</v>
      </c>
      <c r="C5" s="1012"/>
      <c r="D5" s="1012"/>
      <c r="E5" s="1012"/>
      <c r="F5" s="1146"/>
      <c r="G5" s="1146"/>
      <c r="H5" s="1227"/>
      <c r="I5" s="1227"/>
      <c r="J5" s="1228"/>
      <c r="K5" s="1123"/>
    </row>
    <row r="6" spans="1:53" ht="12" customHeight="1">
      <c r="A6" s="1123"/>
      <c r="B6" s="2395" t="s">
        <v>3694</v>
      </c>
      <c r="C6" s="2395"/>
      <c r="D6" s="2395"/>
      <c r="E6" s="2395"/>
      <c r="F6" s="2395"/>
      <c r="G6" s="2395"/>
      <c r="H6" s="2395"/>
      <c r="I6" s="2395"/>
      <c r="J6" s="2395"/>
      <c r="K6" s="1123"/>
      <c r="L6" s="1120"/>
      <c r="M6" s="1120"/>
      <c r="N6" s="1120"/>
      <c r="O6" s="1120"/>
      <c r="P6" s="1120"/>
      <c r="Q6" s="1120"/>
      <c r="R6" s="1120"/>
      <c r="S6" s="1120"/>
      <c r="T6" s="1120"/>
      <c r="U6" s="1120"/>
      <c r="V6" s="1120"/>
      <c r="W6" s="1120"/>
      <c r="X6" s="1120"/>
      <c r="Y6" s="1120"/>
      <c r="Z6" s="1120"/>
      <c r="AA6" s="1120"/>
      <c r="AB6" s="1120"/>
      <c r="AC6" s="1120"/>
      <c r="AD6" s="1120"/>
      <c r="AE6" s="1120"/>
      <c r="AF6" s="1120"/>
      <c r="AG6" s="1120"/>
      <c r="AH6" s="1120"/>
      <c r="AI6" s="1120"/>
      <c r="AJ6" s="1120"/>
      <c r="AK6" s="1120"/>
      <c r="AL6" s="1120"/>
      <c r="AM6" s="1120"/>
      <c r="AN6" s="1120"/>
      <c r="AO6" s="1120"/>
      <c r="AP6" s="1120"/>
      <c r="AQ6" s="1120"/>
      <c r="AR6" s="1120"/>
      <c r="AS6" s="1120"/>
      <c r="AT6" s="1120"/>
      <c r="AU6" s="1120"/>
      <c r="AV6" s="1120"/>
      <c r="AW6" s="1120"/>
      <c r="AX6" s="1120"/>
      <c r="AY6" s="1120"/>
      <c r="AZ6" s="1120"/>
      <c r="BA6" s="1120"/>
    </row>
    <row r="7" spans="1:53" ht="12" customHeight="1">
      <c r="A7" s="1123"/>
      <c r="B7" s="2395" t="s">
        <v>3695</v>
      </c>
      <c r="C7" s="2395"/>
      <c r="D7" s="2395"/>
      <c r="E7" s="2395"/>
      <c r="F7" s="2395"/>
      <c r="G7" s="2395"/>
      <c r="H7" s="2395"/>
      <c r="I7" s="2395"/>
      <c r="J7" s="2395"/>
      <c r="K7" s="1123"/>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1120"/>
      <c r="AU7" s="1120"/>
      <c r="AV7" s="1120"/>
      <c r="AW7" s="1120"/>
      <c r="AX7" s="1120"/>
      <c r="AY7" s="1120"/>
      <c r="AZ7" s="1120"/>
      <c r="BA7" s="1120"/>
    </row>
    <row r="8" spans="1:53" ht="12" customHeight="1">
      <c r="A8" s="1123"/>
      <c r="B8" s="2395" t="s">
        <v>3660</v>
      </c>
      <c r="C8" s="2395"/>
      <c r="D8" s="2395"/>
      <c r="E8" s="2395"/>
      <c r="F8" s="2395"/>
      <c r="G8" s="2395"/>
      <c r="H8" s="2395"/>
      <c r="I8" s="2395"/>
      <c r="J8" s="2395"/>
      <c r="K8" s="1123"/>
      <c r="O8" s="1120"/>
      <c r="P8" s="1120"/>
      <c r="Q8" s="1120"/>
      <c r="R8" s="1120"/>
      <c r="S8" s="1120"/>
      <c r="T8" s="1120"/>
      <c r="U8" s="1120"/>
      <c r="V8" s="1120"/>
      <c r="W8" s="1120"/>
      <c r="X8" s="1120"/>
      <c r="Y8" s="1120"/>
      <c r="Z8" s="1120"/>
      <c r="AA8" s="1120"/>
      <c r="AB8" s="1120"/>
      <c r="AC8" s="1120"/>
      <c r="AD8" s="1120"/>
      <c r="AE8" s="1120"/>
      <c r="AF8" s="1120"/>
      <c r="AG8" s="1120"/>
      <c r="AH8" s="1120"/>
      <c r="AI8" s="1120"/>
      <c r="AJ8" s="1120"/>
      <c r="AK8" s="1120"/>
      <c r="AL8" s="1120"/>
      <c r="AM8" s="1120"/>
      <c r="AN8" s="1120"/>
      <c r="AO8" s="1120"/>
      <c r="AP8" s="1120"/>
      <c r="AQ8" s="1120"/>
      <c r="AR8" s="1120"/>
      <c r="AS8" s="1120"/>
      <c r="AT8" s="1120"/>
      <c r="AU8" s="1120"/>
      <c r="AV8" s="1120"/>
      <c r="AW8" s="1120"/>
      <c r="AX8" s="1120"/>
      <c r="AY8" s="1120"/>
      <c r="AZ8" s="1120"/>
      <c r="BA8" s="1120"/>
    </row>
    <row r="9" spans="1:53">
      <c r="A9" s="1123"/>
      <c r="B9" s="1012"/>
      <c r="C9" s="1012"/>
      <c r="D9" s="1012"/>
      <c r="E9" s="1012"/>
      <c r="F9" s="1146"/>
      <c r="G9" s="1146"/>
      <c r="H9" s="923"/>
      <c r="I9" s="923"/>
      <c r="J9" s="1122"/>
      <c r="K9" s="1123"/>
    </row>
    <row r="10" spans="1:53">
      <c r="A10" s="1123"/>
      <c r="B10" s="1187" t="s">
        <v>3991</v>
      </c>
      <c r="C10" s="1012"/>
      <c r="D10" s="1012"/>
      <c r="E10" s="1012"/>
      <c r="F10" s="1146"/>
      <c r="G10" s="1146"/>
      <c r="H10" s="923"/>
      <c r="I10" s="923"/>
      <c r="J10" s="1122"/>
      <c r="K10" s="1123"/>
    </row>
    <row r="11" spans="1:53">
      <c r="A11" s="1123"/>
      <c r="B11" s="1012" t="s">
        <v>3613</v>
      </c>
      <c r="C11" s="1012"/>
      <c r="D11" s="1012"/>
      <c r="E11" s="1012"/>
      <c r="F11" s="1146"/>
      <c r="G11" s="1146"/>
      <c r="H11" s="923"/>
      <c r="I11" s="923"/>
      <c r="J11" s="923"/>
      <c r="K11" s="1123"/>
    </row>
    <row r="12" spans="1:53">
      <c r="A12" s="1123"/>
      <c r="B12" s="1012" t="s">
        <v>3661</v>
      </c>
      <c r="C12" s="1012"/>
      <c r="D12" s="1012"/>
      <c r="E12" s="1012"/>
      <c r="F12" s="1146"/>
      <c r="G12" s="1146"/>
      <c r="H12" s="923"/>
      <c r="I12" s="923"/>
      <c r="J12" s="923"/>
      <c r="K12" s="1123"/>
    </row>
    <row r="13" spans="1:53">
      <c r="A13" s="1123"/>
      <c r="B13" s="1012" t="s">
        <v>3662</v>
      </c>
      <c r="C13" s="1012"/>
      <c r="D13" s="1012"/>
      <c r="E13" s="1012"/>
      <c r="F13" s="1146"/>
      <c r="G13" s="1146"/>
      <c r="H13" s="923"/>
      <c r="I13" s="923"/>
      <c r="J13" s="923"/>
      <c r="K13" s="1123"/>
    </row>
    <row r="14" spans="1:53">
      <c r="A14" s="1123"/>
      <c r="B14" s="1012" t="s">
        <v>3696</v>
      </c>
      <c r="C14" s="1012"/>
      <c r="D14" s="1012"/>
      <c r="E14" s="1012"/>
      <c r="F14" s="1146"/>
      <c r="G14" s="1146"/>
      <c r="H14" s="923"/>
      <c r="I14" s="923"/>
      <c r="J14" s="923"/>
      <c r="K14" s="1123"/>
    </row>
    <row r="15" spans="1:53">
      <c r="A15" s="1123"/>
      <c r="B15" s="1012"/>
      <c r="C15" s="1012"/>
      <c r="D15" s="1012"/>
      <c r="E15" s="1012"/>
      <c r="F15" s="1146"/>
      <c r="G15" s="1146"/>
      <c r="H15" s="923"/>
      <c r="I15" s="923"/>
      <c r="J15" s="923"/>
      <c r="K15" s="1123"/>
    </row>
    <row r="16" spans="1:53">
      <c r="A16" s="1123"/>
      <c r="B16" s="1187" t="s">
        <v>3982</v>
      </c>
      <c r="C16" s="1012"/>
      <c r="D16" s="1012"/>
      <c r="E16" s="1012"/>
      <c r="F16" s="1146"/>
      <c r="G16" s="1146"/>
      <c r="H16" s="923"/>
      <c r="I16" s="923"/>
      <c r="J16" s="923"/>
      <c r="K16" s="1123"/>
    </row>
    <row r="17" spans="1:17" ht="27" customHeight="1">
      <c r="A17" s="1123"/>
      <c r="B17" s="2395" t="s">
        <v>3697</v>
      </c>
      <c r="C17" s="2395"/>
      <c r="D17" s="2395"/>
      <c r="E17" s="2395"/>
      <c r="F17" s="2395"/>
      <c r="G17" s="2395"/>
      <c r="H17" s="2395"/>
      <c r="I17" s="2395"/>
      <c r="J17" s="2395"/>
      <c r="K17" s="1123"/>
    </row>
    <row r="18" spans="1:17" ht="48" customHeight="1">
      <c r="A18" s="1123"/>
      <c r="B18" s="2395" t="s">
        <v>3986</v>
      </c>
      <c r="C18" s="2395"/>
      <c r="D18" s="2395"/>
      <c r="E18" s="2395"/>
      <c r="F18" s="2395"/>
      <c r="G18" s="2395"/>
      <c r="H18" s="2395"/>
      <c r="I18" s="2395"/>
      <c r="J18" s="2395"/>
      <c r="K18" s="1123"/>
    </row>
    <row r="19" spans="1:17" ht="36.75" customHeight="1">
      <c r="A19" s="1123"/>
      <c r="B19" s="2395" t="s">
        <v>3664</v>
      </c>
      <c r="C19" s="2395"/>
      <c r="D19" s="2395"/>
      <c r="E19" s="2395"/>
      <c r="F19" s="2395"/>
      <c r="G19" s="2395"/>
      <c r="H19" s="2395"/>
      <c r="I19" s="2395"/>
      <c r="J19" s="2395"/>
      <c r="K19" s="1123"/>
      <c r="L19" s="1124"/>
      <c r="M19" s="1124"/>
      <c r="N19" s="1124"/>
    </row>
    <row r="20" spans="1:17">
      <c r="A20" s="1123"/>
      <c r="B20" s="2395" t="s">
        <v>3983</v>
      </c>
      <c r="C20" s="2395"/>
      <c r="D20" s="2395"/>
      <c r="E20" s="2395"/>
      <c r="F20" s="2395"/>
      <c r="G20" s="2395"/>
      <c r="H20" s="923"/>
      <c r="I20" s="923"/>
      <c r="J20" s="923"/>
      <c r="K20" s="1123"/>
      <c r="L20" s="1127"/>
      <c r="M20" s="1127"/>
      <c r="N20" s="1127"/>
      <c r="O20" s="1124"/>
      <c r="P20" s="1124"/>
      <c r="Q20" s="1124"/>
    </row>
    <row r="21" spans="1:17">
      <c r="A21" s="1123"/>
      <c r="B21" s="2459" t="s">
        <v>4008</v>
      </c>
      <c r="C21" s="2459"/>
      <c r="D21" s="2459"/>
      <c r="E21" s="2459"/>
      <c r="F21" s="2459"/>
      <c r="G21" s="2459"/>
      <c r="H21" s="2459"/>
      <c r="I21" s="2459"/>
      <c r="J21" s="2459"/>
      <c r="K21" s="1123"/>
      <c r="L21" s="1124"/>
      <c r="M21" s="1124"/>
      <c r="N21" s="1124"/>
      <c r="O21" s="1124"/>
      <c r="P21" s="1124"/>
      <c r="Q21" s="1124"/>
    </row>
    <row r="22" spans="1:17">
      <c r="A22" s="1123"/>
      <c r="B22" s="2459" t="s">
        <v>4006</v>
      </c>
      <c r="C22" s="2459"/>
      <c r="D22" s="2459"/>
      <c r="E22" s="2459"/>
      <c r="F22" s="2459"/>
      <c r="G22" s="2459"/>
      <c r="H22" s="2459"/>
      <c r="I22" s="2459"/>
      <c r="J22" s="2459"/>
      <c r="K22" s="1123"/>
      <c r="L22" s="1124"/>
      <c r="M22" s="1124"/>
      <c r="N22" s="1124"/>
      <c r="O22" s="1124"/>
      <c r="P22" s="1124"/>
      <c r="Q22" s="1124"/>
    </row>
    <row r="23" spans="1:17">
      <c r="A23" s="1123"/>
      <c r="B23" s="2459" t="s">
        <v>4007</v>
      </c>
      <c r="C23" s="2459"/>
      <c r="D23" s="2459"/>
      <c r="E23" s="2459"/>
      <c r="F23" s="2459"/>
      <c r="G23" s="2459"/>
      <c r="H23" s="2459"/>
      <c r="I23" s="2459"/>
      <c r="J23" s="2459"/>
      <c r="K23" s="1123"/>
      <c r="L23" s="1124"/>
      <c r="M23" s="1124"/>
      <c r="N23" s="1124"/>
      <c r="O23" s="1124"/>
      <c r="P23" s="1124"/>
      <c r="Q23" s="1124"/>
    </row>
    <row r="24" spans="1:17">
      <c r="A24" s="1123"/>
      <c r="B24" s="2459" t="s">
        <v>4010</v>
      </c>
      <c r="C24" s="2459"/>
      <c r="D24" s="2459"/>
      <c r="E24" s="2459"/>
      <c r="F24" s="2459"/>
      <c r="G24" s="2459"/>
      <c r="H24" s="2459"/>
      <c r="I24" s="2459"/>
      <c r="J24" s="2459"/>
      <c r="K24" s="1123"/>
      <c r="L24" s="1124"/>
      <c r="M24" s="1124"/>
      <c r="N24" s="1124"/>
      <c r="O24" s="1124"/>
      <c r="P24" s="1124"/>
      <c r="Q24" s="1124"/>
    </row>
    <row r="25" spans="1:17">
      <c r="A25" s="1123"/>
      <c r="B25" s="2459" t="s">
        <v>4011</v>
      </c>
      <c r="C25" s="2459"/>
      <c r="D25" s="2459"/>
      <c r="E25" s="2459"/>
      <c r="F25" s="2459"/>
      <c r="G25" s="2459"/>
      <c r="H25" s="2459"/>
      <c r="I25" s="2459"/>
      <c r="J25" s="2459"/>
      <c r="K25" s="1123"/>
      <c r="L25" s="1124"/>
      <c r="M25" s="1124"/>
      <c r="N25" s="1124"/>
      <c r="O25" s="1124"/>
      <c r="P25" s="1124"/>
      <c r="Q25" s="1124"/>
    </row>
    <row r="26" spans="1:17">
      <c r="A26" s="1123"/>
      <c r="B26" s="2459" t="s">
        <v>4012</v>
      </c>
      <c r="C26" s="2459"/>
      <c r="D26" s="2459"/>
      <c r="E26" s="2459"/>
      <c r="F26" s="2459"/>
      <c r="G26" s="2459"/>
      <c r="H26" s="2459"/>
      <c r="I26" s="2459"/>
      <c r="J26" s="2459"/>
      <c r="K26" s="1123"/>
      <c r="L26" s="1124"/>
      <c r="M26" s="1124"/>
      <c r="N26" s="1124"/>
      <c r="O26" s="1124"/>
      <c r="P26" s="1124"/>
      <c r="Q26" s="1124"/>
    </row>
    <row r="27" spans="1:17">
      <c r="A27" s="1123"/>
      <c r="B27" s="2459" t="s">
        <v>4013</v>
      </c>
      <c r="C27" s="2459"/>
      <c r="D27" s="2459"/>
      <c r="E27" s="2459"/>
      <c r="F27" s="2459"/>
      <c r="G27" s="2459"/>
      <c r="H27" s="2459"/>
      <c r="I27" s="2459"/>
      <c r="J27" s="2459"/>
      <c r="K27" s="1123"/>
      <c r="L27" s="1124"/>
      <c r="M27" s="1124"/>
      <c r="N27" s="1124"/>
      <c r="O27" s="1124"/>
      <c r="P27" s="1124"/>
      <c r="Q27" s="1124"/>
    </row>
    <row r="28" spans="1:17">
      <c r="A28" s="1123"/>
      <c r="B28" s="2480"/>
      <c r="C28" s="2480"/>
      <c r="D28" s="2480"/>
      <c r="E28" s="2480"/>
      <c r="F28" s="2480"/>
      <c r="G28" s="2480"/>
      <c r="H28" s="2480"/>
      <c r="I28" s="2480"/>
      <c r="J28" s="2480"/>
      <c r="K28" s="1123"/>
      <c r="L28" s="1124"/>
      <c r="M28" s="1124"/>
      <c r="N28" s="1124"/>
      <c r="O28" s="1124"/>
      <c r="P28" s="1124"/>
      <c r="Q28" s="1124"/>
    </row>
    <row r="29" spans="1:17" s="1175" customFormat="1">
      <c r="A29" s="1174"/>
      <c r="B29" s="1165" t="s">
        <v>3928</v>
      </c>
      <c r="C29" s="1037"/>
      <c r="D29" s="1037"/>
      <c r="E29" s="1037"/>
      <c r="F29" s="1152"/>
      <c r="G29" s="1147"/>
      <c r="H29" s="1174"/>
      <c r="I29" s="1124"/>
      <c r="J29" s="1124"/>
      <c r="K29" s="1124"/>
    </row>
    <row r="30" spans="1:17">
      <c r="A30" s="1121"/>
      <c r="B30" s="2414" t="s">
        <v>4019</v>
      </c>
      <c r="C30" s="2395"/>
      <c r="D30" s="2395"/>
      <c r="E30" s="2395"/>
      <c r="F30" s="2395"/>
      <c r="G30" s="2395"/>
      <c r="H30" s="2395"/>
      <c r="I30" s="2395"/>
      <c r="J30" s="2395"/>
      <c r="K30" s="1121"/>
    </row>
    <row r="31" spans="1:17">
      <c r="A31" s="1121"/>
      <c r="B31" s="2414" t="s">
        <v>4014</v>
      </c>
      <c r="C31" s="2395"/>
      <c r="D31" s="2395"/>
      <c r="E31" s="2395"/>
      <c r="F31" s="2395"/>
      <c r="G31" s="2395"/>
      <c r="H31" s="2395"/>
      <c r="I31" s="2395"/>
      <c r="J31" s="2395"/>
      <c r="K31" s="1121"/>
    </row>
    <row r="32" spans="1:17">
      <c r="A32" s="1121"/>
      <c r="B32" s="2414" t="s">
        <v>4015</v>
      </c>
      <c r="C32" s="2395"/>
      <c r="D32" s="2395"/>
      <c r="E32" s="2395"/>
      <c r="F32" s="2395"/>
      <c r="G32" s="2395"/>
      <c r="H32" s="2395"/>
      <c r="I32" s="2395"/>
      <c r="J32" s="2395"/>
      <c r="K32" s="1121"/>
    </row>
    <row r="33" spans="1:14">
      <c r="A33" s="1121"/>
      <c r="B33" s="2414" t="s">
        <v>4016</v>
      </c>
      <c r="C33" s="2395"/>
      <c r="D33" s="2395"/>
      <c r="E33" s="2395"/>
      <c r="F33" s="2395"/>
      <c r="G33" s="2395"/>
      <c r="H33" s="2395"/>
      <c r="I33" s="2395"/>
      <c r="J33" s="2395"/>
      <c r="K33" s="1121"/>
    </row>
    <row r="34" spans="1:14" ht="30.75" customHeight="1">
      <c r="A34" s="1121"/>
      <c r="B34" s="2414" t="s">
        <v>4018</v>
      </c>
      <c r="C34" s="2395"/>
      <c r="D34" s="2395"/>
      <c r="E34" s="2395"/>
      <c r="F34" s="2395"/>
      <c r="G34" s="2395"/>
      <c r="H34" s="2395"/>
      <c r="I34" s="2395"/>
      <c r="J34" s="2395"/>
      <c r="K34" s="1121"/>
    </row>
    <row r="35" spans="1:14">
      <c r="A35" s="1121"/>
      <c r="B35" s="2414"/>
      <c r="C35" s="2395"/>
      <c r="D35" s="2395"/>
      <c r="E35" s="2395"/>
      <c r="F35" s="2395"/>
      <c r="G35" s="2395"/>
      <c r="H35" s="2395"/>
      <c r="I35" s="2395"/>
      <c r="J35" s="2395"/>
      <c r="K35" s="1121"/>
    </row>
    <row r="36" spans="1:14" ht="72" customHeight="1">
      <c r="A36" s="1123"/>
      <c r="B36" s="2397" t="s">
        <v>3987</v>
      </c>
      <c r="C36" s="2397"/>
      <c r="D36" s="2397"/>
      <c r="E36" s="2397"/>
      <c r="F36" s="2388" t="s">
        <v>3988</v>
      </c>
      <c r="G36" s="2390"/>
      <c r="H36" s="1083" t="s">
        <v>3627</v>
      </c>
      <c r="I36" s="2443" t="s">
        <v>3975</v>
      </c>
      <c r="J36" s="2443"/>
      <c r="K36" s="1038"/>
      <c r="L36" s="1153" t="s">
        <v>3667</v>
      </c>
      <c r="M36" s="1154" t="s">
        <v>3668</v>
      </c>
      <c r="N36" s="1153" t="s">
        <v>3669</v>
      </c>
    </row>
    <row r="37" spans="1:14" s="1175" customFormat="1">
      <c r="A37" s="1148"/>
      <c r="B37" s="2429" t="s">
        <v>3989</v>
      </c>
      <c r="C37" s="2430"/>
      <c r="D37" s="2430"/>
      <c r="E37" s="1135" t="s">
        <v>3671</v>
      </c>
      <c r="F37" s="2479"/>
      <c r="G37" s="2479"/>
      <c r="H37" s="1076"/>
      <c r="I37" s="2479"/>
      <c r="J37" s="2479"/>
      <c r="K37" s="1015"/>
      <c r="L37" s="1137" t="s">
        <v>3672</v>
      </c>
      <c r="M37" s="1138">
        <v>5</v>
      </c>
      <c r="N37" s="1137" t="s">
        <v>3673</v>
      </c>
    </row>
    <row r="38" spans="1:14" s="1175" customFormat="1">
      <c r="A38" s="1148"/>
      <c r="B38" s="2431"/>
      <c r="C38" s="2432"/>
      <c r="D38" s="2432"/>
      <c r="E38" s="1140" t="s">
        <v>3674</v>
      </c>
      <c r="F38" s="2479"/>
      <c r="G38" s="2479"/>
      <c r="H38" s="1076"/>
      <c r="I38" s="2479"/>
      <c r="J38" s="2479"/>
      <c r="K38" s="1015"/>
      <c r="L38" s="1137" t="s">
        <v>3675</v>
      </c>
      <c r="M38" s="1141">
        <v>5.6</v>
      </c>
      <c r="N38" s="1137" t="s">
        <v>3676</v>
      </c>
    </row>
    <row r="39" spans="1:14" s="1175" customFormat="1">
      <c r="A39" s="1148"/>
      <c r="B39" s="2431"/>
      <c r="C39" s="2432"/>
      <c r="D39" s="2432"/>
      <c r="E39" s="1140" t="s">
        <v>3677</v>
      </c>
      <c r="F39" s="2479"/>
      <c r="G39" s="2479"/>
      <c r="H39" s="1076"/>
      <c r="I39" s="2479"/>
      <c r="J39" s="2479"/>
      <c r="K39" s="1015"/>
      <c r="L39" s="1137" t="s">
        <v>3678</v>
      </c>
      <c r="M39" s="1141">
        <v>3.4</v>
      </c>
      <c r="N39" s="1137" t="s">
        <v>3679</v>
      </c>
    </row>
    <row r="40" spans="1:14" s="1175" customFormat="1">
      <c r="A40" s="1148"/>
      <c r="B40" s="2431"/>
      <c r="C40" s="2432"/>
      <c r="D40" s="2432"/>
      <c r="E40" s="1140" t="s">
        <v>3680</v>
      </c>
      <c r="F40" s="2479"/>
      <c r="G40" s="2479"/>
      <c r="H40" s="1076"/>
      <c r="I40" s="2479"/>
      <c r="J40" s="2479"/>
      <c r="K40" s="1015"/>
      <c r="L40" s="1137" t="s">
        <v>3681</v>
      </c>
      <c r="M40" s="1141">
        <v>3.4</v>
      </c>
      <c r="N40" s="1137" t="s">
        <v>3679</v>
      </c>
    </row>
    <row r="41" spans="1:14" s="1177" customFormat="1">
      <c r="A41" s="1176"/>
      <c r="B41" s="2431"/>
      <c r="C41" s="2432"/>
      <c r="D41" s="2432"/>
      <c r="E41" s="1140" t="s">
        <v>3682</v>
      </c>
      <c r="F41" s="2479"/>
      <c r="G41" s="2479"/>
      <c r="H41" s="1076"/>
      <c r="I41" s="2479"/>
      <c r="J41" s="2479"/>
      <c r="K41" s="1015"/>
      <c r="L41" s="1142" t="s">
        <v>3683</v>
      </c>
      <c r="M41" s="1138">
        <v>3.2</v>
      </c>
      <c r="N41" s="1137" t="s">
        <v>3679</v>
      </c>
    </row>
    <row r="42" spans="1:14" s="1175" customFormat="1">
      <c r="A42" s="1148"/>
      <c r="B42" s="2431"/>
      <c r="C42" s="2432"/>
      <c r="D42" s="2432"/>
      <c r="E42" s="1140" t="s">
        <v>3684</v>
      </c>
      <c r="F42" s="2479"/>
      <c r="G42" s="2479"/>
      <c r="H42" s="1076"/>
      <c r="I42" s="2479"/>
      <c r="J42" s="2479"/>
      <c r="K42" s="1015"/>
      <c r="L42" s="1142" t="s">
        <v>3685</v>
      </c>
      <c r="M42" s="1138" t="s">
        <v>3686</v>
      </c>
      <c r="N42" s="1137" t="s">
        <v>3679</v>
      </c>
    </row>
    <row r="43" spans="1:14" s="1175" customFormat="1">
      <c r="A43" s="1148"/>
      <c r="B43" s="2431"/>
      <c r="C43" s="2432"/>
      <c r="D43" s="2432"/>
      <c r="E43" s="1143"/>
      <c r="F43" s="2479"/>
      <c r="G43" s="2479"/>
      <c r="H43" s="1076"/>
      <c r="I43" s="2479"/>
      <c r="J43" s="2479"/>
      <c r="K43" s="1015"/>
      <c r="L43" s="1142" t="s">
        <v>3688</v>
      </c>
      <c r="M43" s="1138">
        <v>3.2</v>
      </c>
      <c r="N43" s="1137" t="s">
        <v>3679</v>
      </c>
    </row>
    <row r="44" spans="1:14" s="1175" customFormat="1">
      <c r="A44" s="1148"/>
      <c r="B44" s="2433"/>
      <c r="C44" s="2434"/>
      <c r="D44" s="2435"/>
      <c r="E44" s="1144" t="s">
        <v>3687</v>
      </c>
      <c r="F44" s="2479"/>
      <c r="G44" s="2479"/>
      <c r="H44" s="1076"/>
      <c r="I44" s="2479"/>
      <c r="J44" s="2479"/>
      <c r="K44" s="1015"/>
      <c r="L44" s="1137" t="s">
        <v>3689</v>
      </c>
      <c r="M44" s="1141">
        <v>6.5</v>
      </c>
      <c r="N44" s="1137" t="s">
        <v>3690</v>
      </c>
    </row>
    <row r="45" spans="1:14" s="1175" customFormat="1">
      <c r="A45" s="1148"/>
      <c r="B45" s="2431" t="s">
        <v>3985</v>
      </c>
      <c r="C45" s="2432"/>
      <c r="D45" s="2477"/>
      <c r="E45" s="1140" t="s">
        <v>3671</v>
      </c>
      <c r="F45" s="2479"/>
      <c r="G45" s="2479"/>
      <c r="H45" s="1076"/>
      <c r="I45" s="2479"/>
      <c r="J45" s="2479"/>
      <c r="K45" s="1015"/>
      <c r="L45" s="1137" t="s">
        <v>3691</v>
      </c>
      <c r="M45" s="1138">
        <v>4</v>
      </c>
      <c r="N45" s="1137" t="s">
        <v>3692</v>
      </c>
    </row>
    <row r="46" spans="1:14" s="1175" customFormat="1">
      <c r="A46" s="1148"/>
      <c r="B46" s="2476"/>
      <c r="C46" s="2477"/>
      <c r="D46" s="2477"/>
      <c r="E46" s="1140" t="s">
        <v>3674</v>
      </c>
      <c r="F46" s="2479"/>
      <c r="G46" s="2479"/>
      <c r="H46" s="1076"/>
      <c r="I46" s="2479"/>
      <c r="J46" s="2479"/>
      <c r="K46" s="1133"/>
      <c r="L46" s="1133"/>
      <c r="M46" s="1133"/>
    </row>
    <row r="47" spans="1:14" s="1175" customFormat="1">
      <c r="A47" s="1148"/>
      <c r="B47" s="2476"/>
      <c r="C47" s="2477"/>
      <c r="D47" s="2477"/>
      <c r="E47" s="1140" t="s">
        <v>3677</v>
      </c>
      <c r="F47" s="2479"/>
      <c r="G47" s="2479"/>
      <c r="H47" s="1076"/>
      <c r="I47" s="2479"/>
      <c r="J47" s="2479"/>
      <c r="K47" s="1124"/>
      <c r="L47" s="1124"/>
      <c r="M47" s="1124"/>
    </row>
    <row r="48" spans="1:14" s="1175" customFormat="1" ht="14.25">
      <c r="A48" s="1148"/>
      <c r="B48" s="2476"/>
      <c r="C48" s="2477"/>
      <c r="D48" s="2477"/>
      <c r="E48" s="1140" t="s">
        <v>3680</v>
      </c>
      <c r="F48" s="2479"/>
      <c r="G48" s="2479"/>
      <c r="H48" s="1076"/>
      <c r="I48" s="2479"/>
      <c r="J48" s="2479"/>
      <c r="K48" s="1149"/>
      <c r="L48" s="1149"/>
      <c r="M48" s="1149"/>
    </row>
    <row r="49" spans="1:13" s="1175" customFormat="1">
      <c r="A49" s="1148"/>
      <c r="B49" s="2476"/>
      <c r="C49" s="2477"/>
      <c r="D49" s="2478"/>
      <c r="E49" s="1144" t="s">
        <v>3687</v>
      </c>
      <c r="F49" s="2479"/>
      <c r="G49" s="2479"/>
      <c r="H49" s="1076"/>
      <c r="I49" s="2479"/>
      <c r="J49" s="2479"/>
      <c r="K49" s="1124"/>
      <c r="L49" s="1124"/>
      <c r="M49" s="1124"/>
    </row>
    <row r="50" spans="1:13" s="1175" customFormat="1">
      <c r="A50" s="1148"/>
      <c r="B50" s="1179" t="s">
        <v>3698</v>
      </c>
      <c r="C50" s="1180"/>
      <c r="D50" s="1180"/>
      <c r="E50" s="1181"/>
      <c r="F50" s="2479"/>
      <c r="G50" s="2479"/>
      <c r="H50" s="1076"/>
      <c r="I50" s="2479"/>
      <c r="J50" s="2479"/>
      <c r="K50" s="1124"/>
      <c r="L50" s="1124"/>
      <c r="M50" s="1124"/>
    </row>
    <row r="51" spans="1:13" s="1175" customFormat="1">
      <c r="A51" s="1174"/>
      <c r="B51" s="1182"/>
      <c r="C51" s="1183"/>
      <c r="D51" s="1183"/>
      <c r="E51" s="1184"/>
      <c r="F51" s="967"/>
      <c r="G51" s="967"/>
      <c r="H51" s="1185"/>
      <c r="I51" s="1131"/>
      <c r="J51" s="1174"/>
      <c r="K51" s="1124"/>
      <c r="L51" s="1124"/>
      <c r="M51" s="1124"/>
    </row>
    <row r="52" spans="1:13" s="1175" customFormat="1">
      <c r="A52" s="1148"/>
      <c r="B52" s="2429" t="s">
        <v>3990</v>
      </c>
      <c r="C52" s="2430"/>
      <c r="D52" s="2430"/>
      <c r="E52" s="1135" t="s">
        <v>3671</v>
      </c>
      <c r="F52" s="2479"/>
      <c r="G52" s="2479"/>
      <c r="H52" s="1076"/>
      <c r="I52" s="2479"/>
      <c r="J52" s="2479"/>
      <c r="K52" s="1121"/>
      <c r="L52" s="1121"/>
      <c r="M52" s="1121"/>
    </row>
    <row r="53" spans="1:13" s="1175" customFormat="1">
      <c r="A53" s="1148"/>
      <c r="B53" s="2431"/>
      <c r="C53" s="2432"/>
      <c r="D53" s="2432"/>
      <c r="E53" s="1140" t="s">
        <v>3674</v>
      </c>
      <c r="F53" s="2479"/>
      <c r="G53" s="2479"/>
      <c r="H53" s="1076"/>
      <c r="I53" s="2479"/>
      <c r="J53" s="2479"/>
      <c r="K53" s="1121"/>
      <c r="L53" s="1121"/>
      <c r="M53" s="1121"/>
    </row>
    <row r="54" spans="1:13" s="1175" customFormat="1">
      <c r="A54" s="1148"/>
      <c r="B54" s="2431"/>
      <c r="C54" s="2432"/>
      <c r="D54" s="2432"/>
      <c r="E54" s="1140" t="s">
        <v>3677</v>
      </c>
      <c r="F54" s="2479"/>
      <c r="G54" s="2479"/>
      <c r="H54" s="1076"/>
      <c r="I54" s="2479"/>
      <c r="J54" s="2479"/>
      <c r="K54" s="1121"/>
      <c r="L54" s="1121"/>
      <c r="M54" s="1121"/>
    </row>
    <row r="55" spans="1:13" s="1175" customFormat="1">
      <c r="A55" s="1148"/>
      <c r="B55" s="2431"/>
      <c r="C55" s="2432"/>
      <c r="D55" s="2432"/>
      <c r="E55" s="1140" t="s">
        <v>3680</v>
      </c>
      <c r="F55" s="2479"/>
      <c r="G55" s="2479"/>
      <c r="H55" s="1076"/>
      <c r="I55" s="2479"/>
      <c r="J55" s="2479"/>
      <c r="K55" s="1121"/>
      <c r="L55" s="1121"/>
      <c r="M55" s="1121"/>
    </row>
    <row r="56" spans="1:13" s="1177" customFormat="1">
      <c r="A56" s="1176"/>
      <c r="B56" s="2431"/>
      <c r="C56" s="2432"/>
      <c r="D56" s="2432"/>
      <c r="E56" s="1140" t="s">
        <v>3682</v>
      </c>
      <c r="F56" s="2479"/>
      <c r="G56" s="2479"/>
      <c r="H56" s="1076"/>
      <c r="I56" s="2479"/>
      <c r="J56" s="2479"/>
      <c r="K56" s="1121"/>
      <c r="L56" s="1121"/>
      <c r="M56" s="1121"/>
    </row>
    <row r="57" spans="1:13" s="1175" customFormat="1">
      <c r="A57" s="1148"/>
      <c r="B57" s="2431"/>
      <c r="C57" s="2432"/>
      <c r="D57" s="2432"/>
      <c r="E57" s="1140" t="s">
        <v>3684</v>
      </c>
      <c r="F57" s="2479"/>
      <c r="G57" s="2479"/>
      <c r="H57" s="1076"/>
      <c r="I57" s="2479"/>
      <c r="J57" s="2479"/>
      <c r="K57" s="1121"/>
      <c r="L57" s="1121"/>
      <c r="M57" s="1121"/>
    </row>
    <row r="58" spans="1:13" s="1175" customFormat="1">
      <c r="A58" s="1148"/>
      <c r="B58" s="2431"/>
      <c r="C58" s="2432"/>
      <c r="D58" s="2432"/>
      <c r="E58" s="1143"/>
      <c r="F58" s="2479"/>
      <c r="G58" s="2479"/>
      <c r="H58" s="1076"/>
      <c r="I58" s="2479"/>
      <c r="J58" s="2479"/>
      <c r="K58" s="1121"/>
      <c r="L58" s="1121"/>
      <c r="M58" s="1121"/>
    </row>
    <row r="59" spans="1:13" s="1175" customFormat="1">
      <c r="A59" s="1148"/>
      <c r="B59" s="2433"/>
      <c r="C59" s="2434"/>
      <c r="D59" s="2435"/>
      <c r="E59" s="1144" t="s">
        <v>3687</v>
      </c>
      <c r="F59" s="2479"/>
      <c r="G59" s="2479"/>
      <c r="H59" s="1076"/>
      <c r="I59" s="2479"/>
      <c r="J59" s="2479"/>
      <c r="K59" s="1121"/>
      <c r="L59" s="1121"/>
      <c r="M59" s="1121"/>
    </row>
    <row r="60" spans="1:13" s="1175" customFormat="1">
      <c r="A60" s="1148"/>
      <c r="B60" s="2429" t="s">
        <v>3985</v>
      </c>
      <c r="C60" s="2430"/>
      <c r="D60" s="2475"/>
      <c r="E60" s="1135" t="s">
        <v>3671</v>
      </c>
      <c r="F60" s="2479"/>
      <c r="G60" s="2479"/>
      <c r="H60" s="1076"/>
      <c r="I60" s="2479"/>
      <c r="J60" s="2479"/>
      <c r="K60" s="1121"/>
      <c r="L60" s="1121"/>
      <c r="M60" s="1121"/>
    </row>
    <row r="61" spans="1:13" s="1175" customFormat="1">
      <c r="A61" s="1148"/>
      <c r="B61" s="2476"/>
      <c r="C61" s="2477"/>
      <c r="D61" s="2477"/>
      <c r="E61" s="1140" t="s">
        <v>3674</v>
      </c>
      <c r="F61" s="2479"/>
      <c r="G61" s="2479"/>
      <c r="H61" s="1076"/>
      <c r="I61" s="2479"/>
      <c r="J61" s="2479"/>
      <c r="K61" s="1121"/>
      <c r="L61" s="1121"/>
      <c r="M61" s="1121"/>
    </row>
    <row r="62" spans="1:13" s="1175" customFormat="1">
      <c r="A62" s="1148"/>
      <c r="B62" s="2476"/>
      <c r="C62" s="2477"/>
      <c r="D62" s="2477"/>
      <c r="E62" s="1140" t="s">
        <v>3677</v>
      </c>
      <c r="F62" s="2479"/>
      <c r="G62" s="2479"/>
      <c r="H62" s="1076"/>
      <c r="I62" s="2479"/>
      <c r="J62" s="2479"/>
      <c r="K62" s="1121"/>
      <c r="L62" s="1121"/>
      <c r="M62" s="1121"/>
    </row>
    <row r="63" spans="1:13" s="1175" customFormat="1">
      <c r="A63" s="1148"/>
      <c r="B63" s="2476"/>
      <c r="C63" s="2477"/>
      <c r="D63" s="2477"/>
      <c r="E63" s="1140" t="s">
        <v>3680</v>
      </c>
      <c r="F63" s="2479"/>
      <c r="G63" s="2479"/>
      <c r="H63" s="1076"/>
      <c r="I63" s="2479"/>
      <c r="J63" s="2479"/>
      <c r="K63" s="1121"/>
      <c r="L63" s="1121"/>
      <c r="M63" s="1121"/>
    </row>
    <row r="64" spans="1:13" s="1175" customFormat="1">
      <c r="A64" s="1148"/>
      <c r="B64" s="2476"/>
      <c r="C64" s="2477"/>
      <c r="D64" s="2478"/>
      <c r="E64" s="1144" t="s">
        <v>3687</v>
      </c>
      <c r="F64" s="2479"/>
      <c r="G64" s="2479"/>
      <c r="H64" s="1076"/>
      <c r="I64" s="2479"/>
      <c r="J64" s="2479"/>
      <c r="K64" s="1121"/>
      <c r="L64" s="1121"/>
      <c r="M64" s="1121"/>
    </row>
    <row r="65" spans="1:17" s="1175" customFormat="1">
      <c r="A65" s="1148"/>
      <c r="B65" s="1179" t="s">
        <v>3698</v>
      </c>
      <c r="C65" s="1180"/>
      <c r="D65" s="1180"/>
      <c r="E65" s="1181"/>
      <c r="F65" s="2479"/>
      <c r="G65" s="2479"/>
      <c r="H65" s="1076"/>
      <c r="I65" s="2479"/>
      <c r="J65" s="2479"/>
      <c r="K65" s="1121"/>
      <c r="L65" s="1121"/>
      <c r="M65" s="1121"/>
    </row>
    <row r="66" spans="1:17" s="1175" customFormat="1" ht="30.75" customHeight="1">
      <c r="A66" s="1148"/>
      <c r="B66" s="1190"/>
      <c r="C66" s="1190"/>
      <c r="D66" s="1190"/>
      <c r="E66" s="1059"/>
      <c r="F66" s="1191"/>
      <c r="G66" s="1191"/>
      <c r="H66" s="1192"/>
      <c r="I66" s="1191"/>
      <c r="J66" s="1191"/>
      <c r="K66" s="1121"/>
      <c r="L66" s="1121"/>
      <c r="M66" s="1121"/>
    </row>
    <row r="67" spans="1:17" s="1175" customFormat="1" ht="72" customHeight="1">
      <c r="A67" s="1174"/>
      <c r="B67" s="2388"/>
      <c r="C67" s="2389"/>
      <c r="D67" s="2390"/>
      <c r="E67" s="1162" t="s">
        <v>3968</v>
      </c>
      <c r="F67" s="1162" t="s">
        <v>3619</v>
      </c>
      <c r="G67" s="1162" t="s">
        <v>3620</v>
      </c>
      <c r="H67" s="1083" t="s">
        <v>3627</v>
      </c>
      <c r="I67" s="2443" t="s">
        <v>3975</v>
      </c>
      <c r="J67" s="2443"/>
      <c r="K67" s="1121"/>
      <c r="L67" s="1121"/>
      <c r="M67" s="1121"/>
    </row>
    <row r="68" spans="1:17" ht="86.25" customHeight="1">
      <c r="B68" s="2460" t="s">
        <v>3976</v>
      </c>
      <c r="C68" s="2461"/>
      <c r="D68" s="2461"/>
      <c r="E68" s="1771" t="s">
        <v>4507</v>
      </c>
      <c r="F68" s="2465" t="s">
        <v>3652</v>
      </c>
      <c r="G68" s="2468" t="s">
        <v>3652</v>
      </c>
      <c r="H68" s="1189"/>
      <c r="I68" s="2481"/>
      <c r="J68" s="2482"/>
      <c r="K68" s="1121"/>
    </row>
    <row r="69" spans="1:17" ht="73.5" customHeight="1">
      <c r="B69" s="2462"/>
      <c r="C69" s="2395"/>
      <c r="D69" s="2395"/>
      <c r="E69" s="1826" t="s">
        <v>4556</v>
      </c>
      <c r="F69" s="2466"/>
      <c r="G69" s="2469"/>
      <c r="H69" s="1189"/>
      <c r="I69" s="1828"/>
      <c r="J69" s="1829"/>
      <c r="K69" s="1121"/>
    </row>
    <row r="70" spans="1:17" ht="45.75" customHeight="1">
      <c r="B70" s="2463"/>
      <c r="C70" s="2464"/>
      <c r="D70" s="2464"/>
      <c r="E70" s="1826" t="s">
        <v>4557</v>
      </c>
      <c r="F70" s="2467"/>
      <c r="G70" s="2470"/>
      <c r="H70" s="1189"/>
      <c r="I70" s="1828"/>
      <c r="J70" s="1829"/>
      <c r="K70" s="1121"/>
    </row>
    <row r="71" spans="1:17" ht="148.5" customHeight="1">
      <c r="B71" s="2391" t="s">
        <v>4555</v>
      </c>
      <c r="C71" s="2400"/>
      <c r="D71" s="2400"/>
      <c r="E71" s="2417"/>
      <c r="F71" s="1009" t="str">
        <f>ERMs!C24</f>
        <v>, U-</v>
      </c>
      <c r="G71" s="1619" t="str">
        <f>ERMs!D24</f>
        <v>Baseline: U- (res) &amp; U- (non-res)
Proposed: U-</v>
      </c>
      <c r="H71" s="1019"/>
      <c r="I71" s="2446"/>
      <c r="J71" s="2471"/>
      <c r="K71" s="1121"/>
      <c r="N71" s="1124"/>
      <c r="O71" s="1124"/>
      <c r="P71" s="1124"/>
    </row>
    <row r="72" spans="1:17" ht="147.75" customHeight="1">
      <c r="B72" s="2391" t="s">
        <v>4554</v>
      </c>
      <c r="C72" s="2400"/>
      <c r="D72" s="2400"/>
      <c r="E72" s="2417"/>
      <c r="F72" s="1009" t="str">
        <f>ERMs!C25</f>
        <v>, U-</v>
      </c>
      <c r="G72" s="1619" t="str">
        <f>ERMs!D25</f>
        <v>Baseline: U- (res) &amp; U- (non-res)
Proposed: U-</v>
      </c>
      <c r="H72" s="1019"/>
      <c r="I72" s="2446"/>
      <c r="J72" s="2471"/>
      <c r="K72" s="1121"/>
      <c r="N72" s="1124"/>
      <c r="O72" s="1124"/>
      <c r="P72" s="1124"/>
    </row>
    <row r="73" spans="1:17" ht="39" customHeight="1">
      <c r="B73" s="2448" t="s">
        <v>3977</v>
      </c>
      <c r="C73" s="2449"/>
      <c r="D73" s="2449"/>
      <c r="E73" s="2449"/>
      <c r="F73" s="2449"/>
      <c r="G73" s="2450"/>
      <c r="H73" s="1019"/>
      <c r="I73" s="2446"/>
      <c r="J73" s="2471"/>
      <c r="K73" s="1121"/>
      <c r="N73" s="1124"/>
      <c r="O73" s="1124"/>
      <c r="P73" s="1124"/>
    </row>
    <row r="74" spans="1:17" ht="27.75" customHeight="1">
      <c r="B74" s="2448" t="s">
        <v>3978</v>
      </c>
      <c r="C74" s="2449"/>
      <c r="D74" s="2449"/>
      <c r="E74" s="2449"/>
      <c r="F74" s="2449"/>
      <c r="G74" s="2450"/>
      <c r="H74" s="1019"/>
      <c r="I74" s="2446"/>
      <c r="J74" s="2471"/>
      <c r="K74" s="1121"/>
      <c r="N74" s="1124"/>
      <c r="O74" s="1124"/>
      <c r="P74" s="1124"/>
    </row>
    <row r="75" spans="1:17" ht="25.5" customHeight="1">
      <c r="A75" s="1148"/>
      <c r="B75" s="2395" t="s">
        <v>3979</v>
      </c>
      <c r="C75" s="2395"/>
      <c r="D75" s="2395"/>
      <c r="E75" s="2395"/>
      <c r="F75" s="2395"/>
      <c r="G75" s="2395"/>
      <c r="H75" s="2395"/>
      <c r="I75" s="2395"/>
      <c r="J75" s="2395"/>
      <c r="K75" s="1123"/>
      <c r="O75" s="1124"/>
      <c r="P75" s="1124"/>
      <c r="Q75" s="1124"/>
    </row>
    <row r="76" spans="1:17">
      <c r="A76" s="1121"/>
      <c r="K76" s="1121"/>
      <c r="Q76" s="1119"/>
    </row>
    <row r="77" spans="1:17">
      <c r="A77" s="1121"/>
      <c r="K77" s="1121"/>
      <c r="Q77" s="1119" t="s">
        <v>1493</v>
      </c>
    </row>
    <row r="78" spans="1:17">
      <c r="A78" s="1121"/>
      <c r="K78" s="1121"/>
      <c r="Q78" s="1119" t="s">
        <v>1494</v>
      </c>
    </row>
    <row r="79" spans="1:17">
      <c r="Q79" s="1119" t="s">
        <v>2677</v>
      </c>
    </row>
  </sheetData>
  <sheetProtection formatCells="0" formatColumns="0" formatRows="0" insertColumns="0" insertRows="0"/>
  <mergeCells count="103">
    <mergeCell ref="B17:J17"/>
    <mergeCell ref="B18:J18"/>
    <mergeCell ref="B19:J19"/>
    <mergeCell ref="B7:J7"/>
    <mergeCell ref="B6:J6"/>
    <mergeCell ref="B8:J8"/>
    <mergeCell ref="I67:J67"/>
    <mergeCell ref="I68:J68"/>
    <mergeCell ref="I71:J71"/>
    <mergeCell ref="F47:G47"/>
    <mergeCell ref="F48:G48"/>
    <mergeCell ref="F49:G49"/>
    <mergeCell ref="F50:G50"/>
    <mergeCell ref="F52:G52"/>
    <mergeCell ref="I60:J60"/>
    <mergeCell ref="I61:J61"/>
    <mergeCell ref="I62:J62"/>
    <mergeCell ref="I63:J63"/>
    <mergeCell ref="I64:J64"/>
    <mergeCell ref="I55:J55"/>
    <mergeCell ref="I56:J56"/>
    <mergeCell ref="I57:J57"/>
    <mergeCell ref="I58:J58"/>
    <mergeCell ref="I59:J59"/>
    <mergeCell ref="I72:J72"/>
    <mergeCell ref="I73:J73"/>
    <mergeCell ref="F65:G65"/>
    <mergeCell ref="F36:G36"/>
    <mergeCell ref="B71:E71"/>
    <mergeCell ref="B72:E72"/>
    <mergeCell ref="B67:D67"/>
    <mergeCell ref="F60:G60"/>
    <mergeCell ref="F61:G61"/>
    <mergeCell ref="F62:G62"/>
    <mergeCell ref="F63:G63"/>
    <mergeCell ref="F64:G64"/>
    <mergeCell ref="I65:J65"/>
    <mergeCell ref="F37:G37"/>
    <mergeCell ref="F38:G38"/>
    <mergeCell ref="F39:G39"/>
    <mergeCell ref="F40:G40"/>
    <mergeCell ref="F41:G41"/>
    <mergeCell ref="F42:G42"/>
    <mergeCell ref="F43:G43"/>
    <mergeCell ref="F44:G44"/>
    <mergeCell ref="F45:G45"/>
    <mergeCell ref="F46:G46"/>
    <mergeCell ref="I49:J49"/>
    <mergeCell ref="I50:J50"/>
    <mergeCell ref="I52:J52"/>
    <mergeCell ref="I53:J53"/>
    <mergeCell ref="I54:J54"/>
    <mergeCell ref="I44:J44"/>
    <mergeCell ref="I45:J45"/>
    <mergeCell ref="I46:J46"/>
    <mergeCell ref="I47:J47"/>
    <mergeCell ref="I48:J48"/>
    <mergeCell ref="B21:J21"/>
    <mergeCell ref="B31:J31"/>
    <mergeCell ref="I39:J39"/>
    <mergeCell ref="I40:J40"/>
    <mergeCell ref="I41:J41"/>
    <mergeCell ref="I42:J42"/>
    <mergeCell ref="I43:J43"/>
    <mergeCell ref="B30:J30"/>
    <mergeCell ref="I36:J36"/>
    <mergeCell ref="I37:J37"/>
    <mergeCell ref="I38:J38"/>
    <mergeCell ref="B32:J32"/>
    <mergeCell ref="B33:J33"/>
    <mergeCell ref="B35:J35"/>
    <mergeCell ref="B34:J34"/>
    <mergeCell ref="B22:J22"/>
    <mergeCell ref="B23:J23"/>
    <mergeCell ref="B24:J24"/>
    <mergeCell ref="B25:J25"/>
    <mergeCell ref="B26:J26"/>
    <mergeCell ref="B27:J27"/>
    <mergeCell ref="B28:J28"/>
    <mergeCell ref="B68:D70"/>
    <mergeCell ref="F68:F70"/>
    <mergeCell ref="G68:G70"/>
    <mergeCell ref="B75:J75"/>
    <mergeCell ref="B73:G73"/>
    <mergeCell ref="B74:G74"/>
    <mergeCell ref="I74:J74"/>
    <mergeCell ref="H1:I1"/>
    <mergeCell ref="H2:I2"/>
    <mergeCell ref="H3:I3"/>
    <mergeCell ref="H4:I4"/>
    <mergeCell ref="B52:D59"/>
    <mergeCell ref="B60:D64"/>
    <mergeCell ref="B20:G20"/>
    <mergeCell ref="F53:G53"/>
    <mergeCell ref="F54:G54"/>
    <mergeCell ref="F55:G55"/>
    <mergeCell ref="F56:G56"/>
    <mergeCell ref="F57:G57"/>
    <mergeCell ref="F58:G58"/>
    <mergeCell ref="F59:G59"/>
    <mergeCell ref="B36:E36"/>
    <mergeCell ref="B37:D44"/>
    <mergeCell ref="B45:D49"/>
  </mergeCells>
  <dataValidations count="2">
    <dataValidation type="list" allowBlank="1" showInputMessage="1" showErrorMessage="1" sqref="WVP73:WVP74 JD37:JE45 SZ37:TA45 ACV37:ACW45 AMR37:AMS45 AWN37:AWO45 BGJ37:BGK45 BQF37:BQG45 CAB37:CAC45 CJX37:CJY45 CTT37:CTU45 DDP37:DDQ45 DNL37:DNM45 DXH37:DXI45 EHD37:EHE45 EQZ37:ERA45 FAV37:FAW45 FKR37:FKS45 FUN37:FUO45 GEJ37:GEK45 GOF37:GOG45 GYB37:GYC45 HHX37:HHY45 HRT37:HRU45 IBP37:IBQ45 ILL37:ILM45 IVH37:IVI45 JFD37:JFE45 JOZ37:JPA45 JYV37:JYW45 KIR37:KIS45 KSN37:KSO45 LCJ37:LCK45 LMF37:LMG45 LWB37:LWC45 MFX37:MFY45 MPT37:MPU45 MZP37:MZQ45 NJL37:NJM45 NTH37:NTI45 ODD37:ODE45 OMZ37:ONA45 OWV37:OWW45 PGR37:PGS45 PQN37:PQO45 QAJ37:QAK45 QKF37:QKG45 QUB37:QUC45 RDX37:RDY45 RNT37:RNU45 RXP37:RXQ45 SHL37:SHM45 SRH37:SRI45 TBD37:TBE45 TKZ37:TLA45 TUV37:TUW45 UER37:UES45 UON37:UOO45 UYJ37:UYK45 VIF37:VIG45 VSB37:VSC45 WBX37:WBY45 WLT37:WLU45 WVP37:WVQ45 WVO46:WVP50 WLS46:WLT50 WBW46:WBX50 VSA46:VSB50 VIE46:VIF50 UYI46:UYJ50 UOM46:UON50 UEQ46:UER50 TUU46:TUV50 TKY46:TKZ50 TBC46:TBD50 SRG46:SRH50 SHK46:SHL50 RXO46:RXP50 RNS46:RNT50 RDW46:RDX50 QUA46:QUB50 QKE46:QKF50 QAI46:QAJ50 PQM46:PQN50 PGQ46:PGR50 OWU46:OWV50 OMY46:OMZ50 ODC46:ODD50 NTG46:NTH50 NJK46:NJL50 MZO46:MZP50 MPS46:MPT50 MFW46:MFX50 LWA46:LWB50 LME46:LMF50 LCI46:LCJ50 KSM46:KSN50 KIQ46:KIR50 JYU46:JYV50 JOY46:JOZ50 JFC46:JFD50 IVG46:IVH50 ILK46:ILL50 IBO46:IBP50 HRS46:HRT50 HHW46:HHX50 GYA46:GYB50 GOE46:GOF50 GEI46:GEJ50 FUM46:FUN50 FKQ46:FKR50 FAU46:FAV50 EQY46:EQZ50 EHC46:EHD50 DXG46:DXH50 DNK46:DNL50 DDO46:DDP50 CTS46:CTT50 CJW46:CJX50 CAA46:CAB50 BQE46:BQF50 BGI46:BGJ50 AWM46:AWN50 AMQ46:AMR50 ACU46:ACV50 SY46:SZ50 JC46:JD50 JC52:JD66 SY52:SZ66 ACU52:ACV66 AMQ52:AMR66 AWM52:AWN66 BGI52:BGJ66 BQE52:BQF66 CAA52:CAB66 CJW52:CJX66 CTS52:CTT66 DDO52:DDP66 DNK52:DNL66 DXG52:DXH66 EHC52:EHD66 EQY52:EQZ66 FAU52:FAV66 FKQ52:FKR66 FUM52:FUN66 GEI52:GEJ66 GOE52:GOF66 GYA52:GYB66 HHW52:HHX66 HRS52:HRT66 IBO52:IBP66 ILK52:ILL66 IVG52:IVH66 JFC52:JFD66 JOY52:JOZ66 JYU52:JYV66 KIQ52:KIR66 KSM52:KSN66 LCI52:LCJ66 LME52:LMF66 LWA52:LWB66 MFW52:MFX66 MPS52:MPT66 MZO52:MZP66 NJK52:NJL66 NTG52:NTH66 ODC52:ODD66 OMY52:OMZ66 OWU52:OWV66 PGQ52:PGR66 PQM52:PQN66 QAI52:QAJ66 QKE52:QKF66 QUA52:QUB66 RDW52:RDX66 RNS52:RNT66 RXO52:RXP66 SHK52:SHL66 SRG52:SRH66 TBC52:TBD66 TKY52:TKZ66 TUU52:TUV66 UEQ52:UER66 UOM52:UON66 UYI52:UYJ66 VIE52:VIF66 VSA52:VSB66 WBW52:WBX66 WLS52:WLT66 WVO52:WVP66 WVP983080:WVQ983093 WLT983080:WLU983093 WBX983080:WBY983093 VSB983080:VSC983093 VIF983080:VIG983093 UYJ983080:UYK983093 UON983080:UOO983093 UER983080:UES983093 TUV983080:TUW983093 TKZ983080:TLA983093 TBD983080:TBE983093 SRH983080:SRI983093 SHL983080:SHM983093 RXP983080:RXQ983093 RNT983080:RNU983093 RDX983080:RDY983093 QUB983080:QUC983093 QKF983080:QKG983093 QAJ983080:QAK983093 PQN983080:PQO983093 PGR983080:PGS983093 OWV983080:OWW983093 OMZ983080:ONA983093 ODD983080:ODE983093 NTH983080:NTI983093 NJL983080:NJM983093 MZP983080:MZQ983093 MPT983080:MPU983093 MFX983080:MFY983093 LWB983080:LWC983093 LMF983080:LMG983093 LCJ983080:LCK983093 KSN983080:KSO983093 KIR983080:KIS983093 JYV983080:JYW983093 JOZ983080:JPA983093 JFD983080:JFE983093 IVH983080:IVI983093 ILL983080:ILM983093 IBP983080:IBQ983093 HRT983080:HRU983093 HHX983080:HHY983093 GYB983080:GYC983093 GOF983080:GOG983093 GEJ983080:GEK983093 FUN983080:FUO983093 FKR983080:FKS983093 FAV983080:FAW983093 EQZ983080:ERA983093 EHD983080:EHE983093 DXH983080:DXI983093 DNL983080:DNM983093 DDP983080:DDQ983093 CTT983080:CTU983093 CJX983080:CJY983093 CAB983080:CAC983093 BQF983080:BQG983093 BGJ983080:BGK983093 AWN983080:AWO983093 AMR983080:AMS983093 ACV983080:ACW983093 SZ983080:TA983093 JD983080:JE983093 H983080:I983093 WVP917544:WVQ917557 WLT917544:WLU917557 WBX917544:WBY917557 VSB917544:VSC917557 VIF917544:VIG917557 UYJ917544:UYK917557 UON917544:UOO917557 UER917544:UES917557 TUV917544:TUW917557 TKZ917544:TLA917557 TBD917544:TBE917557 SRH917544:SRI917557 SHL917544:SHM917557 RXP917544:RXQ917557 RNT917544:RNU917557 RDX917544:RDY917557 QUB917544:QUC917557 QKF917544:QKG917557 QAJ917544:QAK917557 PQN917544:PQO917557 PGR917544:PGS917557 OWV917544:OWW917557 OMZ917544:ONA917557 ODD917544:ODE917557 NTH917544:NTI917557 NJL917544:NJM917557 MZP917544:MZQ917557 MPT917544:MPU917557 MFX917544:MFY917557 LWB917544:LWC917557 LMF917544:LMG917557 LCJ917544:LCK917557 KSN917544:KSO917557 KIR917544:KIS917557 JYV917544:JYW917557 JOZ917544:JPA917557 JFD917544:JFE917557 IVH917544:IVI917557 ILL917544:ILM917557 IBP917544:IBQ917557 HRT917544:HRU917557 HHX917544:HHY917557 GYB917544:GYC917557 GOF917544:GOG917557 GEJ917544:GEK917557 FUN917544:FUO917557 FKR917544:FKS917557 FAV917544:FAW917557 EQZ917544:ERA917557 EHD917544:EHE917557 DXH917544:DXI917557 DNL917544:DNM917557 DDP917544:DDQ917557 CTT917544:CTU917557 CJX917544:CJY917557 CAB917544:CAC917557 BQF917544:BQG917557 BGJ917544:BGK917557 AWN917544:AWO917557 AMR917544:AMS917557 ACV917544:ACW917557 SZ917544:TA917557 JD917544:JE917557 H917544:I917557 WVP852008:WVQ852021 WLT852008:WLU852021 WBX852008:WBY852021 VSB852008:VSC852021 VIF852008:VIG852021 UYJ852008:UYK852021 UON852008:UOO852021 UER852008:UES852021 TUV852008:TUW852021 TKZ852008:TLA852021 TBD852008:TBE852021 SRH852008:SRI852021 SHL852008:SHM852021 RXP852008:RXQ852021 RNT852008:RNU852021 RDX852008:RDY852021 QUB852008:QUC852021 QKF852008:QKG852021 QAJ852008:QAK852021 PQN852008:PQO852021 PGR852008:PGS852021 OWV852008:OWW852021 OMZ852008:ONA852021 ODD852008:ODE852021 NTH852008:NTI852021 NJL852008:NJM852021 MZP852008:MZQ852021 MPT852008:MPU852021 MFX852008:MFY852021 LWB852008:LWC852021 LMF852008:LMG852021 LCJ852008:LCK852021 KSN852008:KSO852021 KIR852008:KIS852021 JYV852008:JYW852021 JOZ852008:JPA852021 JFD852008:JFE852021 IVH852008:IVI852021 ILL852008:ILM852021 IBP852008:IBQ852021 HRT852008:HRU852021 HHX852008:HHY852021 GYB852008:GYC852021 GOF852008:GOG852021 GEJ852008:GEK852021 FUN852008:FUO852021 FKR852008:FKS852021 FAV852008:FAW852021 EQZ852008:ERA852021 EHD852008:EHE852021 DXH852008:DXI852021 DNL852008:DNM852021 DDP852008:DDQ852021 CTT852008:CTU852021 CJX852008:CJY852021 CAB852008:CAC852021 BQF852008:BQG852021 BGJ852008:BGK852021 AWN852008:AWO852021 AMR852008:AMS852021 ACV852008:ACW852021 SZ852008:TA852021 JD852008:JE852021 H852008:I852021 WVP786472:WVQ786485 WLT786472:WLU786485 WBX786472:WBY786485 VSB786472:VSC786485 VIF786472:VIG786485 UYJ786472:UYK786485 UON786472:UOO786485 UER786472:UES786485 TUV786472:TUW786485 TKZ786472:TLA786485 TBD786472:TBE786485 SRH786472:SRI786485 SHL786472:SHM786485 RXP786472:RXQ786485 RNT786472:RNU786485 RDX786472:RDY786485 QUB786472:QUC786485 QKF786472:QKG786485 QAJ786472:QAK786485 PQN786472:PQO786485 PGR786472:PGS786485 OWV786472:OWW786485 OMZ786472:ONA786485 ODD786472:ODE786485 NTH786472:NTI786485 NJL786472:NJM786485 MZP786472:MZQ786485 MPT786472:MPU786485 MFX786472:MFY786485 LWB786472:LWC786485 LMF786472:LMG786485 LCJ786472:LCK786485 KSN786472:KSO786485 KIR786472:KIS786485 JYV786472:JYW786485 JOZ786472:JPA786485 JFD786472:JFE786485 IVH786472:IVI786485 ILL786472:ILM786485 IBP786472:IBQ786485 HRT786472:HRU786485 HHX786472:HHY786485 GYB786472:GYC786485 GOF786472:GOG786485 GEJ786472:GEK786485 FUN786472:FUO786485 FKR786472:FKS786485 FAV786472:FAW786485 EQZ786472:ERA786485 EHD786472:EHE786485 DXH786472:DXI786485 DNL786472:DNM786485 DDP786472:DDQ786485 CTT786472:CTU786485 CJX786472:CJY786485 CAB786472:CAC786485 BQF786472:BQG786485 BGJ786472:BGK786485 AWN786472:AWO786485 AMR786472:AMS786485 ACV786472:ACW786485 SZ786472:TA786485 JD786472:JE786485 H786472:I786485 WVP720936:WVQ720949 WLT720936:WLU720949 WBX720936:WBY720949 VSB720936:VSC720949 VIF720936:VIG720949 UYJ720936:UYK720949 UON720936:UOO720949 UER720936:UES720949 TUV720936:TUW720949 TKZ720936:TLA720949 TBD720936:TBE720949 SRH720936:SRI720949 SHL720936:SHM720949 RXP720936:RXQ720949 RNT720936:RNU720949 RDX720936:RDY720949 QUB720936:QUC720949 QKF720936:QKG720949 QAJ720936:QAK720949 PQN720936:PQO720949 PGR720936:PGS720949 OWV720936:OWW720949 OMZ720936:ONA720949 ODD720936:ODE720949 NTH720936:NTI720949 NJL720936:NJM720949 MZP720936:MZQ720949 MPT720936:MPU720949 MFX720936:MFY720949 LWB720936:LWC720949 LMF720936:LMG720949 LCJ720936:LCK720949 KSN720936:KSO720949 KIR720936:KIS720949 JYV720936:JYW720949 JOZ720936:JPA720949 JFD720936:JFE720949 IVH720936:IVI720949 ILL720936:ILM720949 IBP720936:IBQ720949 HRT720936:HRU720949 HHX720936:HHY720949 GYB720936:GYC720949 GOF720936:GOG720949 GEJ720936:GEK720949 FUN720936:FUO720949 FKR720936:FKS720949 FAV720936:FAW720949 EQZ720936:ERA720949 EHD720936:EHE720949 DXH720936:DXI720949 DNL720936:DNM720949 DDP720936:DDQ720949 CTT720936:CTU720949 CJX720936:CJY720949 CAB720936:CAC720949 BQF720936:BQG720949 BGJ720936:BGK720949 AWN720936:AWO720949 AMR720936:AMS720949 ACV720936:ACW720949 SZ720936:TA720949 JD720936:JE720949 H720936:I720949 WVP655400:WVQ655413 WLT655400:WLU655413 WBX655400:WBY655413 VSB655400:VSC655413 VIF655400:VIG655413 UYJ655400:UYK655413 UON655400:UOO655413 UER655400:UES655413 TUV655400:TUW655413 TKZ655400:TLA655413 TBD655400:TBE655413 SRH655400:SRI655413 SHL655400:SHM655413 RXP655400:RXQ655413 RNT655400:RNU655413 RDX655400:RDY655413 QUB655400:QUC655413 QKF655400:QKG655413 QAJ655400:QAK655413 PQN655400:PQO655413 PGR655400:PGS655413 OWV655400:OWW655413 OMZ655400:ONA655413 ODD655400:ODE655413 NTH655400:NTI655413 NJL655400:NJM655413 MZP655400:MZQ655413 MPT655400:MPU655413 MFX655400:MFY655413 LWB655400:LWC655413 LMF655400:LMG655413 LCJ655400:LCK655413 KSN655400:KSO655413 KIR655400:KIS655413 JYV655400:JYW655413 JOZ655400:JPA655413 JFD655400:JFE655413 IVH655400:IVI655413 ILL655400:ILM655413 IBP655400:IBQ655413 HRT655400:HRU655413 HHX655400:HHY655413 GYB655400:GYC655413 GOF655400:GOG655413 GEJ655400:GEK655413 FUN655400:FUO655413 FKR655400:FKS655413 FAV655400:FAW655413 EQZ655400:ERA655413 EHD655400:EHE655413 DXH655400:DXI655413 DNL655400:DNM655413 DDP655400:DDQ655413 CTT655400:CTU655413 CJX655400:CJY655413 CAB655400:CAC655413 BQF655400:BQG655413 BGJ655400:BGK655413 AWN655400:AWO655413 AMR655400:AMS655413 ACV655400:ACW655413 SZ655400:TA655413 JD655400:JE655413 H655400:I655413 WVP589864:WVQ589877 WLT589864:WLU589877 WBX589864:WBY589877 VSB589864:VSC589877 VIF589864:VIG589877 UYJ589864:UYK589877 UON589864:UOO589877 UER589864:UES589877 TUV589864:TUW589877 TKZ589864:TLA589877 TBD589864:TBE589877 SRH589864:SRI589877 SHL589864:SHM589877 RXP589864:RXQ589877 RNT589864:RNU589877 RDX589864:RDY589877 QUB589864:QUC589877 QKF589864:QKG589877 QAJ589864:QAK589877 PQN589864:PQO589877 PGR589864:PGS589877 OWV589864:OWW589877 OMZ589864:ONA589877 ODD589864:ODE589877 NTH589864:NTI589877 NJL589864:NJM589877 MZP589864:MZQ589877 MPT589864:MPU589877 MFX589864:MFY589877 LWB589864:LWC589877 LMF589864:LMG589877 LCJ589864:LCK589877 KSN589864:KSO589877 KIR589864:KIS589877 JYV589864:JYW589877 JOZ589864:JPA589877 JFD589864:JFE589877 IVH589864:IVI589877 ILL589864:ILM589877 IBP589864:IBQ589877 HRT589864:HRU589877 HHX589864:HHY589877 GYB589864:GYC589877 GOF589864:GOG589877 GEJ589864:GEK589877 FUN589864:FUO589877 FKR589864:FKS589877 FAV589864:FAW589877 EQZ589864:ERA589877 EHD589864:EHE589877 DXH589864:DXI589877 DNL589864:DNM589877 DDP589864:DDQ589877 CTT589864:CTU589877 CJX589864:CJY589877 CAB589864:CAC589877 BQF589864:BQG589877 BGJ589864:BGK589877 AWN589864:AWO589877 AMR589864:AMS589877 ACV589864:ACW589877 SZ589864:TA589877 JD589864:JE589877 H589864:I589877 WVP524328:WVQ524341 WLT524328:WLU524341 WBX524328:WBY524341 VSB524328:VSC524341 VIF524328:VIG524341 UYJ524328:UYK524341 UON524328:UOO524341 UER524328:UES524341 TUV524328:TUW524341 TKZ524328:TLA524341 TBD524328:TBE524341 SRH524328:SRI524341 SHL524328:SHM524341 RXP524328:RXQ524341 RNT524328:RNU524341 RDX524328:RDY524341 QUB524328:QUC524341 QKF524328:QKG524341 QAJ524328:QAK524341 PQN524328:PQO524341 PGR524328:PGS524341 OWV524328:OWW524341 OMZ524328:ONA524341 ODD524328:ODE524341 NTH524328:NTI524341 NJL524328:NJM524341 MZP524328:MZQ524341 MPT524328:MPU524341 MFX524328:MFY524341 LWB524328:LWC524341 LMF524328:LMG524341 LCJ524328:LCK524341 KSN524328:KSO524341 KIR524328:KIS524341 JYV524328:JYW524341 JOZ524328:JPA524341 JFD524328:JFE524341 IVH524328:IVI524341 ILL524328:ILM524341 IBP524328:IBQ524341 HRT524328:HRU524341 HHX524328:HHY524341 GYB524328:GYC524341 GOF524328:GOG524341 GEJ524328:GEK524341 FUN524328:FUO524341 FKR524328:FKS524341 FAV524328:FAW524341 EQZ524328:ERA524341 EHD524328:EHE524341 DXH524328:DXI524341 DNL524328:DNM524341 DDP524328:DDQ524341 CTT524328:CTU524341 CJX524328:CJY524341 CAB524328:CAC524341 BQF524328:BQG524341 BGJ524328:BGK524341 AWN524328:AWO524341 AMR524328:AMS524341 ACV524328:ACW524341 SZ524328:TA524341 JD524328:JE524341 H524328:I524341 WVP458792:WVQ458805 WLT458792:WLU458805 WBX458792:WBY458805 VSB458792:VSC458805 VIF458792:VIG458805 UYJ458792:UYK458805 UON458792:UOO458805 UER458792:UES458805 TUV458792:TUW458805 TKZ458792:TLA458805 TBD458792:TBE458805 SRH458792:SRI458805 SHL458792:SHM458805 RXP458792:RXQ458805 RNT458792:RNU458805 RDX458792:RDY458805 QUB458792:QUC458805 QKF458792:QKG458805 QAJ458792:QAK458805 PQN458792:PQO458805 PGR458792:PGS458805 OWV458792:OWW458805 OMZ458792:ONA458805 ODD458792:ODE458805 NTH458792:NTI458805 NJL458792:NJM458805 MZP458792:MZQ458805 MPT458792:MPU458805 MFX458792:MFY458805 LWB458792:LWC458805 LMF458792:LMG458805 LCJ458792:LCK458805 KSN458792:KSO458805 KIR458792:KIS458805 JYV458792:JYW458805 JOZ458792:JPA458805 JFD458792:JFE458805 IVH458792:IVI458805 ILL458792:ILM458805 IBP458792:IBQ458805 HRT458792:HRU458805 HHX458792:HHY458805 GYB458792:GYC458805 GOF458792:GOG458805 GEJ458792:GEK458805 FUN458792:FUO458805 FKR458792:FKS458805 FAV458792:FAW458805 EQZ458792:ERA458805 EHD458792:EHE458805 DXH458792:DXI458805 DNL458792:DNM458805 DDP458792:DDQ458805 CTT458792:CTU458805 CJX458792:CJY458805 CAB458792:CAC458805 BQF458792:BQG458805 BGJ458792:BGK458805 AWN458792:AWO458805 AMR458792:AMS458805 ACV458792:ACW458805 SZ458792:TA458805 JD458792:JE458805 H458792:I458805 WVP393256:WVQ393269 WLT393256:WLU393269 WBX393256:WBY393269 VSB393256:VSC393269 VIF393256:VIG393269 UYJ393256:UYK393269 UON393256:UOO393269 UER393256:UES393269 TUV393256:TUW393269 TKZ393256:TLA393269 TBD393256:TBE393269 SRH393256:SRI393269 SHL393256:SHM393269 RXP393256:RXQ393269 RNT393256:RNU393269 RDX393256:RDY393269 QUB393256:QUC393269 QKF393256:QKG393269 QAJ393256:QAK393269 PQN393256:PQO393269 PGR393256:PGS393269 OWV393256:OWW393269 OMZ393256:ONA393269 ODD393256:ODE393269 NTH393256:NTI393269 NJL393256:NJM393269 MZP393256:MZQ393269 MPT393256:MPU393269 MFX393256:MFY393269 LWB393256:LWC393269 LMF393256:LMG393269 LCJ393256:LCK393269 KSN393256:KSO393269 KIR393256:KIS393269 JYV393256:JYW393269 JOZ393256:JPA393269 JFD393256:JFE393269 IVH393256:IVI393269 ILL393256:ILM393269 IBP393256:IBQ393269 HRT393256:HRU393269 HHX393256:HHY393269 GYB393256:GYC393269 GOF393256:GOG393269 GEJ393256:GEK393269 FUN393256:FUO393269 FKR393256:FKS393269 FAV393256:FAW393269 EQZ393256:ERA393269 EHD393256:EHE393269 DXH393256:DXI393269 DNL393256:DNM393269 DDP393256:DDQ393269 CTT393256:CTU393269 CJX393256:CJY393269 CAB393256:CAC393269 BQF393256:BQG393269 BGJ393256:BGK393269 AWN393256:AWO393269 AMR393256:AMS393269 ACV393256:ACW393269 SZ393256:TA393269 JD393256:JE393269 H393256:I393269 WVP327720:WVQ327733 WLT327720:WLU327733 WBX327720:WBY327733 VSB327720:VSC327733 VIF327720:VIG327733 UYJ327720:UYK327733 UON327720:UOO327733 UER327720:UES327733 TUV327720:TUW327733 TKZ327720:TLA327733 TBD327720:TBE327733 SRH327720:SRI327733 SHL327720:SHM327733 RXP327720:RXQ327733 RNT327720:RNU327733 RDX327720:RDY327733 QUB327720:QUC327733 QKF327720:QKG327733 QAJ327720:QAK327733 PQN327720:PQO327733 PGR327720:PGS327733 OWV327720:OWW327733 OMZ327720:ONA327733 ODD327720:ODE327733 NTH327720:NTI327733 NJL327720:NJM327733 MZP327720:MZQ327733 MPT327720:MPU327733 MFX327720:MFY327733 LWB327720:LWC327733 LMF327720:LMG327733 LCJ327720:LCK327733 KSN327720:KSO327733 KIR327720:KIS327733 JYV327720:JYW327733 JOZ327720:JPA327733 JFD327720:JFE327733 IVH327720:IVI327733 ILL327720:ILM327733 IBP327720:IBQ327733 HRT327720:HRU327733 HHX327720:HHY327733 GYB327720:GYC327733 GOF327720:GOG327733 GEJ327720:GEK327733 FUN327720:FUO327733 FKR327720:FKS327733 FAV327720:FAW327733 EQZ327720:ERA327733 EHD327720:EHE327733 DXH327720:DXI327733 DNL327720:DNM327733 DDP327720:DDQ327733 CTT327720:CTU327733 CJX327720:CJY327733 CAB327720:CAC327733 BQF327720:BQG327733 BGJ327720:BGK327733 AWN327720:AWO327733 AMR327720:AMS327733 ACV327720:ACW327733 SZ327720:TA327733 JD327720:JE327733 H327720:I327733 WVP262184:WVQ262197 WLT262184:WLU262197 WBX262184:WBY262197 VSB262184:VSC262197 VIF262184:VIG262197 UYJ262184:UYK262197 UON262184:UOO262197 UER262184:UES262197 TUV262184:TUW262197 TKZ262184:TLA262197 TBD262184:TBE262197 SRH262184:SRI262197 SHL262184:SHM262197 RXP262184:RXQ262197 RNT262184:RNU262197 RDX262184:RDY262197 QUB262184:QUC262197 QKF262184:QKG262197 QAJ262184:QAK262197 PQN262184:PQO262197 PGR262184:PGS262197 OWV262184:OWW262197 OMZ262184:ONA262197 ODD262184:ODE262197 NTH262184:NTI262197 NJL262184:NJM262197 MZP262184:MZQ262197 MPT262184:MPU262197 MFX262184:MFY262197 LWB262184:LWC262197 LMF262184:LMG262197 LCJ262184:LCK262197 KSN262184:KSO262197 KIR262184:KIS262197 JYV262184:JYW262197 JOZ262184:JPA262197 JFD262184:JFE262197 IVH262184:IVI262197 ILL262184:ILM262197 IBP262184:IBQ262197 HRT262184:HRU262197 HHX262184:HHY262197 GYB262184:GYC262197 GOF262184:GOG262197 GEJ262184:GEK262197 FUN262184:FUO262197 FKR262184:FKS262197 FAV262184:FAW262197 EQZ262184:ERA262197 EHD262184:EHE262197 DXH262184:DXI262197 DNL262184:DNM262197 DDP262184:DDQ262197 CTT262184:CTU262197 CJX262184:CJY262197 CAB262184:CAC262197 BQF262184:BQG262197 BGJ262184:BGK262197 AWN262184:AWO262197 AMR262184:AMS262197 ACV262184:ACW262197 SZ262184:TA262197 JD262184:JE262197 H262184:I262197 WVP196648:WVQ196661 WLT196648:WLU196661 WBX196648:WBY196661 VSB196648:VSC196661 VIF196648:VIG196661 UYJ196648:UYK196661 UON196648:UOO196661 UER196648:UES196661 TUV196648:TUW196661 TKZ196648:TLA196661 TBD196648:TBE196661 SRH196648:SRI196661 SHL196648:SHM196661 RXP196648:RXQ196661 RNT196648:RNU196661 RDX196648:RDY196661 QUB196648:QUC196661 QKF196648:QKG196661 QAJ196648:QAK196661 PQN196648:PQO196661 PGR196648:PGS196661 OWV196648:OWW196661 OMZ196648:ONA196661 ODD196648:ODE196661 NTH196648:NTI196661 NJL196648:NJM196661 MZP196648:MZQ196661 MPT196648:MPU196661 MFX196648:MFY196661 LWB196648:LWC196661 LMF196648:LMG196661 LCJ196648:LCK196661 KSN196648:KSO196661 KIR196648:KIS196661 JYV196648:JYW196661 JOZ196648:JPA196661 JFD196648:JFE196661 IVH196648:IVI196661 ILL196648:ILM196661 IBP196648:IBQ196661 HRT196648:HRU196661 HHX196648:HHY196661 GYB196648:GYC196661 GOF196648:GOG196661 GEJ196648:GEK196661 FUN196648:FUO196661 FKR196648:FKS196661 FAV196648:FAW196661 EQZ196648:ERA196661 EHD196648:EHE196661 DXH196648:DXI196661 DNL196648:DNM196661 DDP196648:DDQ196661 CTT196648:CTU196661 CJX196648:CJY196661 CAB196648:CAC196661 BQF196648:BQG196661 BGJ196648:BGK196661 AWN196648:AWO196661 AMR196648:AMS196661 ACV196648:ACW196661 SZ196648:TA196661 JD196648:JE196661 H196648:I196661 WVP131112:WVQ131125 WLT131112:WLU131125 WBX131112:WBY131125 VSB131112:VSC131125 VIF131112:VIG131125 UYJ131112:UYK131125 UON131112:UOO131125 UER131112:UES131125 TUV131112:TUW131125 TKZ131112:TLA131125 TBD131112:TBE131125 SRH131112:SRI131125 SHL131112:SHM131125 RXP131112:RXQ131125 RNT131112:RNU131125 RDX131112:RDY131125 QUB131112:QUC131125 QKF131112:QKG131125 QAJ131112:QAK131125 PQN131112:PQO131125 PGR131112:PGS131125 OWV131112:OWW131125 OMZ131112:ONA131125 ODD131112:ODE131125 NTH131112:NTI131125 NJL131112:NJM131125 MZP131112:MZQ131125 MPT131112:MPU131125 MFX131112:MFY131125 LWB131112:LWC131125 LMF131112:LMG131125 LCJ131112:LCK131125 KSN131112:KSO131125 KIR131112:KIS131125 JYV131112:JYW131125 JOZ131112:JPA131125 JFD131112:JFE131125 IVH131112:IVI131125 ILL131112:ILM131125 IBP131112:IBQ131125 HRT131112:HRU131125 HHX131112:HHY131125 GYB131112:GYC131125 GOF131112:GOG131125 GEJ131112:GEK131125 FUN131112:FUO131125 FKR131112:FKS131125 FAV131112:FAW131125 EQZ131112:ERA131125 EHD131112:EHE131125 DXH131112:DXI131125 DNL131112:DNM131125 DDP131112:DDQ131125 CTT131112:CTU131125 CJX131112:CJY131125 CAB131112:CAC131125 BQF131112:BQG131125 BGJ131112:BGK131125 AWN131112:AWO131125 AMR131112:AMS131125 ACV131112:ACW131125 SZ131112:TA131125 JD131112:JE131125 H131112:I131125 WVP65576:WVQ65589 WLT65576:WLU65589 WBX65576:WBY65589 VSB65576:VSC65589 VIF65576:VIG65589 UYJ65576:UYK65589 UON65576:UOO65589 UER65576:UES65589 TUV65576:TUW65589 TKZ65576:TLA65589 TBD65576:TBE65589 SRH65576:SRI65589 SHL65576:SHM65589 RXP65576:RXQ65589 RNT65576:RNU65589 RDX65576:RDY65589 QUB65576:QUC65589 QKF65576:QKG65589 QAJ65576:QAK65589 PQN65576:PQO65589 PGR65576:PGS65589 OWV65576:OWW65589 OMZ65576:ONA65589 ODD65576:ODE65589 NTH65576:NTI65589 NJL65576:NJM65589 MZP65576:MZQ65589 MPT65576:MPU65589 MFX65576:MFY65589 LWB65576:LWC65589 LMF65576:LMG65589 LCJ65576:LCK65589 KSN65576:KSO65589 KIR65576:KIS65589 JYV65576:JYW65589 JOZ65576:JPA65589 JFD65576:JFE65589 IVH65576:IVI65589 ILL65576:ILM65589 IBP65576:IBQ65589 HRT65576:HRU65589 HHX65576:HHY65589 GYB65576:GYC65589 GOF65576:GOG65589 GEJ65576:GEK65589 FUN65576:FUO65589 FKR65576:FKS65589 FAV65576:FAW65589 EQZ65576:ERA65589 EHD65576:EHE65589 DXH65576:DXI65589 DNL65576:DNM65589 DDP65576:DDQ65589 CTT65576:CTU65589 CJX65576:CJY65589 CAB65576:CAC65589 BQF65576:BQG65589 BGJ65576:BGK65589 AWN65576:AWO65589 AMR65576:AMS65589 ACV65576:ACW65589 SZ65576:TA65589 JD65576:JE65589 H65576:I65589 H37:H50 WVP983095:WVQ983108 WLT983095:WLU983108 WBX983095:WBY983108 VSB983095:VSC983108 VIF983095:VIG983108 UYJ983095:UYK983108 UON983095:UOO983108 UER983095:UES983108 TUV983095:TUW983108 TKZ983095:TLA983108 TBD983095:TBE983108 SRH983095:SRI983108 SHL983095:SHM983108 RXP983095:RXQ983108 RNT983095:RNU983108 RDX983095:RDY983108 QUB983095:QUC983108 QKF983095:QKG983108 QAJ983095:QAK983108 PQN983095:PQO983108 PGR983095:PGS983108 OWV983095:OWW983108 OMZ983095:ONA983108 ODD983095:ODE983108 NTH983095:NTI983108 NJL983095:NJM983108 MZP983095:MZQ983108 MPT983095:MPU983108 MFX983095:MFY983108 LWB983095:LWC983108 LMF983095:LMG983108 LCJ983095:LCK983108 KSN983095:KSO983108 KIR983095:KIS983108 JYV983095:JYW983108 JOZ983095:JPA983108 JFD983095:JFE983108 IVH983095:IVI983108 ILL983095:ILM983108 IBP983095:IBQ983108 HRT983095:HRU983108 HHX983095:HHY983108 GYB983095:GYC983108 GOF983095:GOG983108 GEJ983095:GEK983108 FUN983095:FUO983108 FKR983095:FKS983108 FAV983095:FAW983108 EQZ983095:ERA983108 EHD983095:EHE983108 DXH983095:DXI983108 DNL983095:DNM983108 DDP983095:DDQ983108 CTT983095:CTU983108 CJX983095:CJY983108 CAB983095:CAC983108 BQF983095:BQG983108 BGJ983095:BGK983108 AWN983095:AWO983108 AMR983095:AMS983108 ACV983095:ACW983108 SZ983095:TA983108 JD983095:JE983108 H983095:I983108 WVP917559:WVQ917572 WLT917559:WLU917572 WBX917559:WBY917572 VSB917559:VSC917572 VIF917559:VIG917572 UYJ917559:UYK917572 UON917559:UOO917572 UER917559:UES917572 TUV917559:TUW917572 TKZ917559:TLA917572 TBD917559:TBE917572 SRH917559:SRI917572 SHL917559:SHM917572 RXP917559:RXQ917572 RNT917559:RNU917572 RDX917559:RDY917572 QUB917559:QUC917572 QKF917559:QKG917572 QAJ917559:QAK917572 PQN917559:PQO917572 PGR917559:PGS917572 OWV917559:OWW917572 OMZ917559:ONA917572 ODD917559:ODE917572 NTH917559:NTI917572 NJL917559:NJM917572 MZP917559:MZQ917572 MPT917559:MPU917572 MFX917559:MFY917572 LWB917559:LWC917572 LMF917559:LMG917572 LCJ917559:LCK917572 KSN917559:KSO917572 KIR917559:KIS917572 JYV917559:JYW917572 JOZ917559:JPA917572 JFD917559:JFE917572 IVH917559:IVI917572 ILL917559:ILM917572 IBP917559:IBQ917572 HRT917559:HRU917572 HHX917559:HHY917572 GYB917559:GYC917572 GOF917559:GOG917572 GEJ917559:GEK917572 FUN917559:FUO917572 FKR917559:FKS917572 FAV917559:FAW917572 EQZ917559:ERA917572 EHD917559:EHE917572 DXH917559:DXI917572 DNL917559:DNM917572 DDP917559:DDQ917572 CTT917559:CTU917572 CJX917559:CJY917572 CAB917559:CAC917572 BQF917559:BQG917572 BGJ917559:BGK917572 AWN917559:AWO917572 AMR917559:AMS917572 ACV917559:ACW917572 SZ917559:TA917572 JD917559:JE917572 H917559:I917572 WVP852023:WVQ852036 WLT852023:WLU852036 WBX852023:WBY852036 VSB852023:VSC852036 VIF852023:VIG852036 UYJ852023:UYK852036 UON852023:UOO852036 UER852023:UES852036 TUV852023:TUW852036 TKZ852023:TLA852036 TBD852023:TBE852036 SRH852023:SRI852036 SHL852023:SHM852036 RXP852023:RXQ852036 RNT852023:RNU852036 RDX852023:RDY852036 QUB852023:QUC852036 QKF852023:QKG852036 QAJ852023:QAK852036 PQN852023:PQO852036 PGR852023:PGS852036 OWV852023:OWW852036 OMZ852023:ONA852036 ODD852023:ODE852036 NTH852023:NTI852036 NJL852023:NJM852036 MZP852023:MZQ852036 MPT852023:MPU852036 MFX852023:MFY852036 LWB852023:LWC852036 LMF852023:LMG852036 LCJ852023:LCK852036 KSN852023:KSO852036 KIR852023:KIS852036 JYV852023:JYW852036 JOZ852023:JPA852036 JFD852023:JFE852036 IVH852023:IVI852036 ILL852023:ILM852036 IBP852023:IBQ852036 HRT852023:HRU852036 HHX852023:HHY852036 GYB852023:GYC852036 GOF852023:GOG852036 GEJ852023:GEK852036 FUN852023:FUO852036 FKR852023:FKS852036 FAV852023:FAW852036 EQZ852023:ERA852036 EHD852023:EHE852036 DXH852023:DXI852036 DNL852023:DNM852036 DDP852023:DDQ852036 CTT852023:CTU852036 CJX852023:CJY852036 CAB852023:CAC852036 BQF852023:BQG852036 BGJ852023:BGK852036 AWN852023:AWO852036 AMR852023:AMS852036 ACV852023:ACW852036 SZ852023:TA852036 JD852023:JE852036 H852023:I852036 WVP786487:WVQ786500 WLT786487:WLU786500 WBX786487:WBY786500 VSB786487:VSC786500 VIF786487:VIG786500 UYJ786487:UYK786500 UON786487:UOO786500 UER786487:UES786500 TUV786487:TUW786500 TKZ786487:TLA786500 TBD786487:TBE786500 SRH786487:SRI786500 SHL786487:SHM786500 RXP786487:RXQ786500 RNT786487:RNU786500 RDX786487:RDY786500 QUB786487:QUC786500 QKF786487:QKG786500 QAJ786487:QAK786500 PQN786487:PQO786500 PGR786487:PGS786500 OWV786487:OWW786500 OMZ786487:ONA786500 ODD786487:ODE786500 NTH786487:NTI786500 NJL786487:NJM786500 MZP786487:MZQ786500 MPT786487:MPU786500 MFX786487:MFY786500 LWB786487:LWC786500 LMF786487:LMG786500 LCJ786487:LCK786500 KSN786487:KSO786500 KIR786487:KIS786500 JYV786487:JYW786500 JOZ786487:JPA786500 JFD786487:JFE786500 IVH786487:IVI786500 ILL786487:ILM786500 IBP786487:IBQ786500 HRT786487:HRU786500 HHX786487:HHY786500 GYB786487:GYC786500 GOF786487:GOG786500 GEJ786487:GEK786500 FUN786487:FUO786500 FKR786487:FKS786500 FAV786487:FAW786500 EQZ786487:ERA786500 EHD786487:EHE786500 DXH786487:DXI786500 DNL786487:DNM786500 DDP786487:DDQ786500 CTT786487:CTU786500 CJX786487:CJY786500 CAB786487:CAC786500 BQF786487:BQG786500 BGJ786487:BGK786500 AWN786487:AWO786500 AMR786487:AMS786500 ACV786487:ACW786500 SZ786487:TA786500 JD786487:JE786500 H786487:I786500 WVP720951:WVQ720964 WLT720951:WLU720964 WBX720951:WBY720964 VSB720951:VSC720964 VIF720951:VIG720964 UYJ720951:UYK720964 UON720951:UOO720964 UER720951:UES720964 TUV720951:TUW720964 TKZ720951:TLA720964 TBD720951:TBE720964 SRH720951:SRI720964 SHL720951:SHM720964 RXP720951:RXQ720964 RNT720951:RNU720964 RDX720951:RDY720964 QUB720951:QUC720964 QKF720951:QKG720964 QAJ720951:QAK720964 PQN720951:PQO720964 PGR720951:PGS720964 OWV720951:OWW720964 OMZ720951:ONA720964 ODD720951:ODE720964 NTH720951:NTI720964 NJL720951:NJM720964 MZP720951:MZQ720964 MPT720951:MPU720964 MFX720951:MFY720964 LWB720951:LWC720964 LMF720951:LMG720964 LCJ720951:LCK720964 KSN720951:KSO720964 KIR720951:KIS720964 JYV720951:JYW720964 JOZ720951:JPA720964 JFD720951:JFE720964 IVH720951:IVI720964 ILL720951:ILM720964 IBP720951:IBQ720964 HRT720951:HRU720964 HHX720951:HHY720964 GYB720951:GYC720964 GOF720951:GOG720964 GEJ720951:GEK720964 FUN720951:FUO720964 FKR720951:FKS720964 FAV720951:FAW720964 EQZ720951:ERA720964 EHD720951:EHE720964 DXH720951:DXI720964 DNL720951:DNM720964 DDP720951:DDQ720964 CTT720951:CTU720964 CJX720951:CJY720964 CAB720951:CAC720964 BQF720951:BQG720964 BGJ720951:BGK720964 AWN720951:AWO720964 AMR720951:AMS720964 ACV720951:ACW720964 SZ720951:TA720964 JD720951:JE720964 H720951:I720964 WVP655415:WVQ655428 WLT655415:WLU655428 WBX655415:WBY655428 VSB655415:VSC655428 VIF655415:VIG655428 UYJ655415:UYK655428 UON655415:UOO655428 UER655415:UES655428 TUV655415:TUW655428 TKZ655415:TLA655428 TBD655415:TBE655428 SRH655415:SRI655428 SHL655415:SHM655428 RXP655415:RXQ655428 RNT655415:RNU655428 RDX655415:RDY655428 QUB655415:QUC655428 QKF655415:QKG655428 QAJ655415:QAK655428 PQN655415:PQO655428 PGR655415:PGS655428 OWV655415:OWW655428 OMZ655415:ONA655428 ODD655415:ODE655428 NTH655415:NTI655428 NJL655415:NJM655428 MZP655415:MZQ655428 MPT655415:MPU655428 MFX655415:MFY655428 LWB655415:LWC655428 LMF655415:LMG655428 LCJ655415:LCK655428 KSN655415:KSO655428 KIR655415:KIS655428 JYV655415:JYW655428 JOZ655415:JPA655428 JFD655415:JFE655428 IVH655415:IVI655428 ILL655415:ILM655428 IBP655415:IBQ655428 HRT655415:HRU655428 HHX655415:HHY655428 GYB655415:GYC655428 GOF655415:GOG655428 GEJ655415:GEK655428 FUN655415:FUO655428 FKR655415:FKS655428 FAV655415:FAW655428 EQZ655415:ERA655428 EHD655415:EHE655428 DXH655415:DXI655428 DNL655415:DNM655428 DDP655415:DDQ655428 CTT655415:CTU655428 CJX655415:CJY655428 CAB655415:CAC655428 BQF655415:BQG655428 BGJ655415:BGK655428 AWN655415:AWO655428 AMR655415:AMS655428 ACV655415:ACW655428 SZ655415:TA655428 JD655415:JE655428 H655415:I655428 WVP589879:WVQ589892 WLT589879:WLU589892 WBX589879:WBY589892 VSB589879:VSC589892 VIF589879:VIG589892 UYJ589879:UYK589892 UON589879:UOO589892 UER589879:UES589892 TUV589879:TUW589892 TKZ589879:TLA589892 TBD589879:TBE589892 SRH589879:SRI589892 SHL589879:SHM589892 RXP589879:RXQ589892 RNT589879:RNU589892 RDX589879:RDY589892 QUB589879:QUC589892 QKF589879:QKG589892 QAJ589879:QAK589892 PQN589879:PQO589892 PGR589879:PGS589892 OWV589879:OWW589892 OMZ589879:ONA589892 ODD589879:ODE589892 NTH589879:NTI589892 NJL589879:NJM589892 MZP589879:MZQ589892 MPT589879:MPU589892 MFX589879:MFY589892 LWB589879:LWC589892 LMF589879:LMG589892 LCJ589879:LCK589892 KSN589879:KSO589892 KIR589879:KIS589892 JYV589879:JYW589892 JOZ589879:JPA589892 JFD589879:JFE589892 IVH589879:IVI589892 ILL589879:ILM589892 IBP589879:IBQ589892 HRT589879:HRU589892 HHX589879:HHY589892 GYB589879:GYC589892 GOF589879:GOG589892 GEJ589879:GEK589892 FUN589879:FUO589892 FKR589879:FKS589892 FAV589879:FAW589892 EQZ589879:ERA589892 EHD589879:EHE589892 DXH589879:DXI589892 DNL589879:DNM589892 DDP589879:DDQ589892 CTT589879:CTU589892 CJX589879:CJY589892 CAB589879:CAC589892 BQF589879:BQG589892 BGJ589879:BGK589892 AWN589879:AWO589892 AMR589879:AMS589892 ACV589879:ACW589892 SZ589879:TA589892 JD589879:JE589892 H589879:I589892 WVP524343:WVQ524356 WLT524343:WLU524356 WBX524343:WBY524356 VSB524343:VSC524356 VIF524343:VIG524356 UYJ524343:UYK524356 UON524343:UOO524356 UER524343:UES524356 TUV524343:TUW524356 TKZ524343:TLA524356 TBD524343:TBE524356 SRH524343:SRI524356 SHL524343:SHM524356 RXP524343:RXQ524356 RNT524343:RNU524356 RDX524343:RDY524356 QUB524343:QUC524356 QKF524343:QKG524356 QAJ524343:QAK524356 PQN524343:PQO524356 PGR524343:PGS524356 OWV524343:OWW524356 OMZ524343:ONA524356 ODD524343:ODE524356 NTH524343:NTI524356 NJL524343:NJM524356 MZP524343:MZQ524356 MPT524343:MPU524356 MFX524343:MFY524356 LWB524343:LWC524356 LMF524343:LMG524356 LCJ524343:LCK524356 KSN524343:KSO524356 KIR524343:KIS524356 JYV524343:JYW524356 JOZ524343:JPA524356 JFD524343:JFE524356 IVH524343:IVI524356 ILL524343:ILM524356 IBP524343:IBQ524356 HRT524343:HRU524356 HHX524343:HHY524356 GYB524343:GYC524356 GOF524343:GOG524356 GEJ524343:GEK524356 FUN524343:FUO524356 FKR524343:FKS524356 FAV524343:FAW524356 EQZ524343:ERA524356 EHD524343:EHE524356 DXH524343:DXI524356 DNL524343:DNM524356 DDP524343:DDQ524356 CTT524343:CTU524356 CJX524343:CJY524356 CAB524343:CAC524356 BQF524343:BQG524356 BGJ524343:BGK524356 AWN524343:AWO524356 AMR524343:AMS524356 ACV524343:ACW524356 SZ524343:TA524356 JD524343:JE524356 H524343:I524356 WVP458807:WVQ458820 WLT458807:WLU458820 WBX458807:WBY458820 VSB458807:VSC458820 VIF458807:VIG458820 UYJ458807:UYK458820 UON458807:UOO458820 UER458807:UES458820 TUV458807:TUW458820 TKZ458807:TLA458820 TBD458807:TBE458820 SRH458807:SRI458820 SHL458807:SHM458820 RXP458807:RXQ458820 RNT458807:RNU458820 RDX458807:RDY458820 QUB458807:QUC458820 QKF458807:QKG458820 QAJ458807:QAK458820 PQN458807:PQO458820 PGR458807:PGS458820 OWV458807:OWW458820 OMZ458807:ONA458820 ODD458807:ODE458820 NTH458807:NTI458820 NJL458807:NJM458820 MZP458807:MZQ458820 MPT458807:MPU458820 MFX458807:MFY458820 LWB458807:LWC458820 LMF458807:LMG458820 LCJ458807:LCK458820 KSN458807:KSO458820 KIR458807:KIS458820 JYV458807:JYW458820 JOZ458807:JPA458820 JFD458807:JFE458820 IVH458807:IVI458820 ILL458807:ILM458820 IBP458807:IBQ458820 HRT458807:HRU458820 HHX458807:HHY458820 GYB458807:GYC458820 GOF458807:GOG458820 GEJ458807:GEK458820 FUN458807:FUO458820 FKR458807:FKS458820 FAV458807:FAW458820 EQZ458807:ERA458820 EHD458807:EHE458820 DXH458807:DXI458820 DNL458807:DNM458820 DDP458807:DDQ458820 CTT458807:CTU458820 CJX458807:CJY458820 CAB458807:CAC458820 BQF458807:BQG458820 BGJ458807:BGK458820 AWN458807:AWO458820 AMR458807:AMS458820 ACV458807:ACW458820 SZ458807:TA458820 JD458807:JE458820 H458807:I458820 WVP393271:WVQ393284 WLT393271:WLU393284 WBX393271:WBY393284 VSB393271:VSC393284 VIF393271:VIG393284 UYJ393271:UYK393284 UON393271:UOO393284 UER393271:UES393284 TUV393271:TUW393284 TKZ393271:TLA393284 TBD393271:TBE393284 SRH393271:SRI393284 SHL393271:SHM393284 RXP393271:RXQ393284 RNT393271:RNU393284 RDX393271:RDY393284 QUB393271:QUC393284 QKF393271:QKG393284 QAJ393271:QAK393284 PQN393271:PQO393284 PGR393271:PGS393284 OWV393271:OWW393284 OMZ393271:ONA393284 ODD393271:ODE393284 NTH393271:NTI393284 NJL393271:NJM393284 MZP393271:MZQ393284 MPT393271:MPU393284 MFX393271:MFY393284 LWB393271:LWC393284 LMF393271:LMG393284 LCJ393271:LCK393284 KSN393271:KSO393284 KIR393271:KIS393284 JYV393271:JYW393284 JOZ393271:JPA393284 JFD393271:JFE393284 IVH393271:IVI393284 ILL393271:ILM393284 IBP393271:IBQ393284 HRT393271:HRU393284 HHX393271:HHY393284 GYB393271:GYC393284 GOF393271:GOG393284 GEJ393271:GEK393284 FUN393271:FUO393284 FKR393271:FKS393284 FAV393271:FAW393284 EQZ393271:ERA393284 EHD393271:EHE393284 DXH393271:DXI393284 DNL393271:DNM393284 DDP393271:DDQ393284 CTT393271:CTU393284 CJX393271:CJY393284 CAB393271:CAC393284 BQF393271:BQG393284 BGJ393271:BGK393284 AWN393271:AWO393284 AMR393271:AMS393284 ACV393271:ACW393284 SZ393271:TA393284 JD393271:JE393284 H393271:I393284 WVP327735:WVQ327748 WLT327735:WLU327748 WBX327735:WBY327748 VSB327735:VSC327748 VIF327735:VIG327748 UYJ327735:UYK327748 UON327735:UOO327748 UER327735:UES327748 TUV327735:TUW327748 TKZ327735:TLA327748 TBD327735:TBE327748 SRH327735:SRI327748 SHL327735:SHM327748 RXP327735:RXQ327748 RNT327735:RNU327748 RDX327735:RDY327748 QUB327735:QUC327748 QKF327735:QKG327748 QAJ327735:QAK327748 PQN327735:PQO327748 PGR327735:PGS327748 OWV327735:OWW327748 OMZ327735:ONA327748 ODD327735:ODE327748 NTH327735:NTI327748 NJL327735:NJM327748 MZP327735:MZQ327748 MPT327735:MPU327748 MFX327735:MFY327748 LWB327735:LWC327748 LMF327735:LMG327748 LCJ327735:LCK327748 KSN327735:KSO327748 KIR327735:KIS327748 JYV327735:JYW327748 JOZ327735:JPA327748 JFD327735:JFE327748 IVH327735:IVI327748 ILL327735:ILM327748 IBP327735:IBQ327748 HRT327735:HRU327748 HHX327735:HHY327748 GYB327735:GYC327748 GOF327735:GOG327748 GEJ327735:GEK327748 FUN327735:FUO327748 FKR327735:FKS327748 FAV327735:FAW327748 EQZ327735:ERA327748 EHD327735:EHE327748 DXH327735:DXI327748 DNL327735:DNM327748 DDP327735:DDQ327748 CTT327735:CTU327748 CJX327735:CJY327748 CAB327735:CAC327748 BQF327735:BQG327748 BGJ327735:BGK327748 AWN327735:AWO327748 AMR327735:AMS327748 ACV327735:ACW327748 SZ327735:TA327748 JD327735:JE327748 H327735:I327748 WVP262199:WVQ262212 WLT262199:WLU262212 WBX262199:WBY262212 VSB262199:VSC262212 VIF262199:VIG262212 UYJ262199:UYK262212 UON262199:UOO262212 UER262199:UES262212 TUV262199:TUW262212 TKZ262199:TLA262212 TBD262199:TBE262212 SRH262199:SRI262212 SHL262199:SHM262212 RXP262199:RXQ262212 RNT262199:RNU262212 RDX262199:RDY262212 QUB262199:QUC262212 QKF262199:QKG262212 QAJ262199:QAK262212 PQN262199:PQO262212 PGR262199:PGS262212 OWV262199:OWW262212 OMZ262199:ONA262212 ODD262199:ODE262212 NTH262199:NTI262212 NJL262199:NJM262212 MZP262199:MZQ262212 MPT262199:MPU262212 MFX262199:MFY262212 LWB262199:LWC262212 LMF262199:LMG262212 LCJ262199:LCK262212 KSN262199:KSO262212 KIR262199:KIS262212 JYV262199:JYW262212 JOZ262199:JPA262212 JFD262199:JFE262212 IVH262199:IVI262212 ILL262199:ILM262212 IBP262199:IBQ262212 HRT262199:HRU262212 HHX262199:HHY262212 GYB262199:GYC262212 GOF262199:GOG262212 GEJ262199:GEK262212 FUN262199:FUO262212 FKR262199:FKS262212 FAV262199:FAW262212 EQZ262199:ERA262212 EHD262199:EHE262212 DXH262199:DXI262212 DNL262199:DNM262212 DDP262199:DDQ262212 CTT262199:CTU262212 CJX262199:CJY262212 CAB262199:CAC262212 BQF262199:BQG262212 BGJ262199:BGK262212 AWN262199:AWO262212 AMR262199:AMS262212 ACV262199:ACW262212 SZ262199:TA262212 JD262199:JE262212 H262199:I262212 WVP196663:WVQ196676 WLT196663:WLU196676 WBX196663:WBY196676 VSB196663:VSC196676 VIF196663:VIG196676 UYJ196663:UYK196676 UON196663:UOO196676 UER196663:UES196676 TUV196663:TUW196676 TKZ196663:TLA196676 TBD196663:TBE196676 SRH196663:SRI196676 SHL196663:SHM196676 RXP196663:RXQ196676 RNT196663:RNU196676 RDX196663:RDY196676 QUB196663:QUC196676 QKF196663:QKG196676 QAJ196663:QAK196676 PQN196663:PQO196676 PGR196663:PGS196676 OWV196663:OWW196676 OMZ196663:ONA196676 ODD196663:ODE196676 NTH196663:NTI196676 NJL196663:NJM196676 MZP196663:MZQ196676 MPT196663:MPU196676 MFX196663:MFY196676 LWB196663:LWC196676 LMF196663:LMG196676 LCJ196663:LCK196676 KSN196663:KSO196676 KIR196663:KIS196676 JYV196663:JYW196676 JOZ196663:JPA196676 JFD196663:JFE196676 IVH196663:IVI196676 ILL196663:ILM196676 IBP196663:IBQ196676 HRT196663:HRU196676 HHX196663:HHY196676 GYB196663:GYC196676 GOF196663:GOG196676 GEJ196663:GEK196676 FUN196663:FUO196676 FKR196663:FKS196676 FAV196663:FAW196676 EQZ196663:ERA196676 EHD196663:EHE196676 DXH196663:DXI196676 DNL196663:DNM196676 DDP196663:DDQ196676 CTT196663:CTU196676 CJX196663:CJY196676 CAB196663:CAC196676 BQF196663:BQG196676 BGJ196663:BGK196676 AWN196663:AWO196676 AMR196663:AMS196676 ACV196663:ACW196676 SZ196663:TA196676 JD196663:JE196676 H196663:I196676 WVP131127:WVQ131140 WLT131127:WLU131140 WBX131127:WBY131140 VSB131127:VSC131140 VIF131127:VIG131140 UYJ131127:UYK131140 UON131127:UOO131140 UER131127:UES131140 TUV131127:TUW131140 TKZ131127:TLA131140 TBD131127:TBE131140 SRH131127:SRI131140 SHL131127:SHM131140 RXP131127:RXQ131140 RNT131127:RNU131140 RDX131127:RDY131140 QUB131127:QUC131140 QKF131127:QKG131140 QAJ131127:QAK131140 PQN131127:PQO131140 PGR131127:PGS131140 OWV131127:OWW131140 OMZ131127:ONA131140 ODD131127:ODE131140 NTH131127:NTI131140 NJL131127:NJM131140 MZP131127:MZQ131140 MPT131127:MPU131140 MFX131127:MFY131140 LWB131127:LWC131140 LMF131127:LMG131140 LCJ131127:LCK131140 KSN131127:KSO131140 KIR131127:KIS131140 JYV131127:JYW131140 JOZ131127:JPA131140 JFD131127:JFE131140 IVH131127:IVI131140 ILL131127:ILM131140 IBP131127:IBQ131140 HRT131127:HRU131140 HHX131127:HHY131140 GYB131127:GYC131140 GOF131127:GOG131140 GEJ131127:GEK131140 FUN131127:FUO131140 FKR131127:FKS131140 FAV131127:FAW131140 EQZ131127:ERA131140 EHD131127:EHE131140 DXH131127:DXI131140 DNL131127:DNM131140 DDP131127:DDQ131140 CTT131127:CTU131140 CJX131127:CJY131140 CAB131127:CAC131140 BQF131127:BQG131140 BGJ131127:BGK131140 AWN131127:AWO131140 AMR131127:AMS131140 ACV131127:ACW131140 SZ131127:TA131140 JD131127:JE131140 H131127:I131140 WVP65591:WVQ65604 WLT65591:WLU65604 WBX65591:WBY65604 VSB65591:VSC65604 VIF65591:VIG65604 UYJ65591:UYK65604 UON65591:UOO65604 UER65591:UES65604 TUV65591:TUW65604 TKZ65591:TLA65604 TBD65591:TBE65604 SRH65591:SRI65604 SHL65591:SHM65604 RXP65591:RXQ65604 RNT65591:RNU65604 RDX65591:RDY65604 QUB65591:QUC65604 QKF65591:QKG65604 QAJ65591:QAK65604 PQN65591:PQO65604 PGR65591:PGS65604 OWV65591:OWW65604 OMZ65591:ONA65604 ODD65591:ODE65604 NTH65591:NTI65604 NJL65591:NJM65604 MZP65591:MZQ65604 MPT65591:MPU65604 MFX65591:MFY65604 LWB65591:LWC65604 LMF65591:LMG65604 LCJ65591:LCK65604 KSN65591:KSO65604 KIR65591:KIS65604 JYV65591:JYW65604 JOZ65591:JPA65604 JFD65591:JFE65604 IVH65591:IVI65604 ILL65591:ILM65604 IBP65591:IBQ65604 HRT65591:HRU65604 HHX65591:HHY65604 GYB65591:GYC65604 GOF65591:GOG65604 GEJ65591:GEK65604 FUN65591:FUO65604 FKR65591:FKS65604 FAV65591:FAW65604 EQZ65591:ERA65604 EHD65591:EHE65604 DXH65591:DXI65604 DNL65591:DNM65604 DDP65591:DDQ65604 CTT65591:CTU65604 CJX65591:CJY65604 CAB65591:CAC65604 BQF65591:BQG65604 BGJ65591:BGK65604 AWN65591:AWO65604 AMR65591:AMS65604 ACV65591:ACW65604 SZ65591:TA65604 JD65591:JE65604 H65591:I65604 H52:H66 WVP983110:WVQ983112 WLT983110:WLU983112 WBX983110:WBY983112 VSB983110:VSC983112 VIF983110:VIG983112 UYJ983110:UYK983112 UON983110:UOO983112 UER983110:UES983112 TUV983110:TUW983112 TKZ983110:TLA983112 TBD983110:TBE983112 SRH983110:SRI983112 SHL983110:SHM983112 RXP983110:RXQ983112 RNT983110:RNU983112 RDX983110:RDY983112 QUB983110:QUC983112 QKF983110:QKG983112 QAJ983110:QAK983112 PQN983110:PQO983112 PGR983110:PGS983112 OWV983110:OWW983112 OMZ983110:ONA983112 ODD983110:ODE983112 NTH983110:NTI983112 NJL983110:NJM983112 MZP983110:MZQ983112 MPT983110:MPU983112 MFX983110:MFY983112 LWB983110:LWC983112 LMF983110:LMG983112 LCJ983110:LCK983112 KSN983110:KSO983112 KIR983110:KIS983112 JYV983110:JYW983112 JOZ983110:JPA983112 JFD983110:JFE983112 IVH983110:IVI983112 ILL983110:ILM983112 IBP983110:IBQ983112 HRT983110:HRU983112 HHX983110:HHY983112 GYB983110:GYC983112 GOF983110:GOG983112 GEJ983110:GEK983112 FUN983110:FUO983112 FKR983110:FKS983112 FAV983110:FAW983112 EQZ983110:ERA983112 EHD983110:EHE983112 DXH983110:DXI983112 DNL983110:DNM983112 DDP983110:DDQ983112 CTT983110:CTU983112 CJX983110:CJY983112 CAB983110:CAC983112 BQF983110:BQG983112 BGJ983110:BGK983112 AWN983110:AWO983112 AMR983110:AMS983112 ACV983110:ACW983112 SZ983110:TA983112 JD983110:JE983112 H983110:I983112 WVP917574:WVQ917576 WLT917574:WLU917576 WBX917574:WBY917576 VSB917574:VSC917576 VIF917574:VIG917576 UYJ917574:UYK917576 UON917574:UOO917576 UER917574:UES917576 TUV917574:TUW917576 TKZ917574:TLA917576 TBD917574:TBE917576 SRH917574:SRI917576 SHL917574:SHM917576 RXP917574:RXQ917576 RNT917574:RNU917576 RDX917574:RDY917576 QUB917574:QUC917576 QKF917574:QKG917576 QAJ917574:QAK917576 PQN917574:PQO917576 PGR917574:PGS917576 OWV917574:OWW917576 OMZ917574:ONA917576 ODD917574:ODE917576 NTH917574:NTI917576 NJL917574:NJM917576 MZP917574:MZQ917576 MPT917574:MPU917576 MFX917574:MFY917576 LWB917574:LWC917576 LMF917574:LMG917576 LCJ917574:LCK917576 KSN917574:KSO917576 KIR917574:KIS917576 JYV917574:JYW917576 JOZ917574:JPA917576 JFD917574:JFE917576 IVH917574:IVI917576 ILL917574:ILM917576 IBP917574:IBQ917576 HRT917574:HRU917576 HHX917574:HHY917576 GYB917574:GYC917576 GOF917574:GOG917576 GEJ917574:GEK917576 FUN917574:FUO917576 FKR917574:FKS917576 FAV917574:FAW917576 EQZ917574:ERA917576 EHD917574:EHE917576 DXH917574:DXI917576 DNL917574:DNM917576 DDP917574:DDQ917576 CTT917574:CTU917576 CJX917574:CJY917576 CAB917574:CAC917576 BQF917574:BQG917576 BGJ917574:BGK917576 AWN917574:AWO917576 AMR917574:AMS917576 ACV917574:ACW917576 SZ917574:TA917576 JD917574:JE917576 H917574:I917576 WVP852038:WVQ852040 WLT852038:WLU852040 WBX852038:WBY852040 VSB852038:VSC852040 VIF852038:VIG852040 UYJ852038:UYK852040 UON852038:UOO852040 UER852038:UES852040 TUV852038:TUW852040 TKZ852038:TLA852040 TBD852038:TBE852040 SRH852038:SRI852040 SHL852038:SHM852040 RXP852038:RXQ852040 RNT852038:RNU852040 RDX852038:RDY852040 QUB852038:QUC852040 QKF852038:QKG852040 QAJ852038:QAK852040 PQN852038:PQO852040 PGR852038:PGS852040 OWV852038:OWW852040 OMZ852038:ONA852040 ODD852038:ODE852040 NTH852038:NTI852040 NJL852038:NJM852040 MZP852038:MZQ852040 MPT852038:MPU852040 MFX852038:MFY852040 LWB852038:LWC852040 LMF852038:LMG852040 LCJ852038:LCK852040 KSN852038:KSO852040 KIR852038:KIS852040 JYV852038:JYW852040 JOZ852038:JPA852040 JFD852038:JFE852040 IVH852038:IVI852040 ILL852038:ILM852040 IBP852038:IBQ852040 HRT852038:HRU852040 HHX852038:HHY852040 GYB852038:GYC852040 GOF852038:GOG852040 GEJ852038:GEK852040 FUN852038:FUO852040 FKR852038:FKS852040 FAV852038:FAW852040 EQZ852038:ERA852040 EHD852038:EHE852040 DXH852038:DXI852040 DNL852038:DNM852040 DDP852038:DDQ852040 CTT852038:CTU852040 CJX852038:CJY852040 CAB852038:CAC852040 BQF852038:BQG852040 BGJ852038:BGK852040 AWN852038:AWO852040 AMR852038:AMS852040 ACV852038:ACW852040 SZ852038:TA852040 JD852038:JE852040 H852038:I852040 WVP786502:WVQ786504 WLT786502:WLU786504 WBX786502:WBY786504 VSB786502:VSC786504 VIF786502:VIG786504 UYJ786502:UYK786504 UON786502:UOO786504 UER786502:UES786504 TUV786502:TUW786504 TKZ786502:TLA786504 TBD786502:TBE786504 SRH786502:SRI786504 SHL786502:SHM786504 RXP786502:RXQ786504 RNT786502:RNU786504 RDX786502:RDY786504 QUB786502:QUC786504 QKF786502:QKG786504 QAJ786502:QAK786504 PQN786502:PQO786504 PGR786502:PGS786504 OWV786502:OWW786504 OMZ786502:ONA786504 ODD786502:ODE786504 NTH786502:NTI786504 NJL786502:NJM786504 MZP786502:MZQ786504 MPT786502:MPU786504 MFX786502:MFY786504 LWB786502:LWC786504 LMF786502:LMG786504 LCJ786502:LCK786504 KSN786502:KSO786504 KIR786502:KIS786504 JYV786502:JYW786504 JOZ786502:JPA786504 JFD786502:JFE786504 IVH786502:IVI786504 ILL786502:ILM786504 IBP786502:IBQ786504 HRT786502:HRU786504 HHX786502:HHY786504 GYB786502:GYC786504 GOF786502:GOG786504 GEJ786502:GEK786504 FUN786502:FUO786504 FKR786502:FKS786504 FAV786502:FAW786504 EQZ786502:ERA786504 EHD786502:EHE786504 DXH786502:DXI786504 DNL786502:DNM786504 DDP786502:DDQ786504 CTT786502:CTU786504 CJX786502:CJY786504 CAB786502:CAC786504 BQF786502:BQG786504 BGJ786502:BGK786504 AWN786502:AWO786504 AMR786502:AMS786504 ACV786502:ACW786504 SZ786502:TA786504 JD786502:JE786504 H786502:I786504 WVP720966:WVQ720968 WLT720966:WLU720968 WBX720966:WBY720968 VSB720966:VSC720968 VIF720966:VIG720968 UYJ720966:UYK720968 UON720966:UOO720968 UER720966:UES720968 TUV720966:TUW720968 TKZ720966:TLA720968 TBD720966:TBE720968 SRH720966:SRI720968 SHL720966:SHM720968 RXP720966:RXQ720968 RNT720966:RNU720968 RDX720966:RDY720968 QUB720966:QUC720968 QKF720966:QKG720968 QAJ720966:QAK720968 PQN720966:PQO720968 PGR720966:PGS720968 OWV720966:OWW720968 OMZ720966:ONA720968 ODD720966:ODE720968 NTH720966:NTI720968 NJL720966:NJM720968 MZP720966:MZQ720968 MPT720966:MPU720968 MFX720966:MFY720968 LWB720966:LWC720968 LMF720966:LMG720968 LCJ720966:LCK720968 KSN720966:KSO720968 KIR720966:KIS720968 JYV720966:JYW720968 JOZ720966:JPA720968 JFD720966:JFE720968 IVH720966:IVI720968 ILL720966:ILM720968 IBP720966:IBQ720968 HRT720966:HRU720968 HHX720966:HHY720968 GYB720966:GYC720968 GOF720966:GOG720968 GEJ720966:GEK720968 FUN720966:FUO720968 FKR720966:FKS720968 FAV720966:FAW720968 EQZ720966:ERA720968 EHD720966:EHE720968 DXH720966:DXI720968 DNL720966:DNM720968 DDP720966:DDQ720968 CTT720966:CTU720968 CJX720966:CJY720968 CAB720966:CAC720968 BQF720966:BQG720968 BGJ720966:BGK720968 AWN720966:AWO720968 AMR720966:AMS720968 ACV720966:ACW720968 SZ720966:TA720968 JD720966:JE720968 H720966:I720968 WVP655430:WVQ655432 WLT655430:WLU655432 WBX655430:WBY655432 VSB655430:VSC655432 VIF655430:VIG655432 UYJ655430:UYK655432 UON655430:UOO655432 UER655430:UES655432 TUV655430:TUW655432 TKZ655430:TLA655432 TBD655430:TBE655432 SRH655430:SRI655432 SHL655430:SHM655432 RXP655430:RXQ655432 RNT655430:RNU655432 RDX655430:RDY655432 QUB655430:QUC655432 QKF655430:QKG655432 QAJ655430:QAK655432 PQN655430:PQO655432 PGR655430:PGS655432 OWV655430:OWW655432 OMZ655430:ONA655432 ODD655430:ODE655432 NTH655430:NTI655432 NJL655430:NJM655432 MZP655430:MZQ655432 MPT655430:MPU655432 MFX655430:MFY655432 LWB655430:LWC655432 LMF655430:LMG655432 LCJ655430:LCK655432 KSN655430:KSO655432 KIR655430:KIS655432 JYV655430:JYW655432 JOZ655430:JPA655432 JFD655430:JFE655432 IVH655430:IVI655432 ILL655430:ILM655432 IBP655430:IBQ655432 HRT655430:HRU655432 HHX655430:HHY655432 GYB655430:GYC655432 GOF655430:GOG655432 GEJ655430:GEK655432 FUN655430:FUO655432 FKR655430:FKS655432 FAV655430:FAW655432 EQZ655430:ERA655432 EHD655430:EHE655432 DXH655430:DXI655432 DNL655430:DNM655432 DDP655430:DDQ655432 CTT655430:CTU655432 CJX655430:CJY655432 CAB655430:CAC655432 BQF655430:BQG655432 BGJ655430:BGK655432 AWN655430:AWO655432 AMR655430:AMS655432 ACV655430:ACW655432 SZ655430:TA655432 JD655430:JE655432 H655430:I655432 WVP589894:WVQ589896 WLT589894:WLU589896 WBX589894:WBY589896 VSB589894:VSC589896 VIF589894:VIG589896 UYJ589894:UYK589896 UON589894:UOO589896 UER589894:UES589896 TUV589894:TUW589896 TKZ589894:TLA589896 TBD589894:TBE589896 SRH589894:SRI589896 SHL589894:SHM589896 RXP589894:RXQ589896 RNT589894:RNU589896 RDX589894:RDY589896 QUB589894:QUC589896 QKF589894:QKG589896 QAJ589894:QAK589896 PQN589894:PQO589896 PGR589894:PGS589896 OWV589894:OWW589896 OMZ589894:ONA589896 ODD589894:ODE589896 NTH589894:NTI589896 NJL589894:NJM589896 MZP589894:MZQ589896 MPT589894:MPU589896 MFX589894:MFY589896 LWB589894:LWC589896 LMF589894:LMG589896 LCJ589894:LCK589896 KSN589894:KSO589896 KIR589894:KIS589896 JYV589894:JYW589896 JOZ589894:JPA589896 JFD589894:JFE589896 IVH589894:IVI589896 ILL589894:ILM589896 IBP589894:IBQ589896 HRT589894:HRU589896 HHX589894:HHY589896 GYB589894:GYC589896 GOF589894:GOG589896 GEJ589894:GEK589896 FUN589894:FUO589896 FKR589894:FKS589896 FAV589894:FAW589896 EQZ589894:ERA589896 EHD589894:EHE589896 DXH589894:DXI589896 DNL589894:DNM589896 DDP589894:DDQ589896 CTT589894:CTU589896 CJX589894:CJY589896 CAB589894:CAC589896 BQF589894:BQG589896 BGJ589894:BGK589896 AWN589894:AWO589896 AMR589894:AMS589896 ACV589894:ACW589896 SZ589894:TA589896 JD589894:JE589896 H589894:I589896 WVP524358:WVQ524360 WLT524358:WLU524360 WBX524358:WBY524360 VSB524358:VSC524360 VIF524358:VIG524360 UYJ524358:UYK524360 UON524358:UOO524360 UER524358:UES524360 TUV524358:TUW524360 TKZ524358:TLA524360 TBD524358:TBE524360 SRH524358:SRI524360 SHL524358:SHM524360 RXP524358:RXQ524360 RNT524358:RNU524360 RDX524358:RDY524360 QUB524358:QUC524360 QKF524358:QKG524360 QAJ524358:QAK524360 PQN524358:PQO524360 PGR524358:PGS524360 OWV524358:OWW524360 OMZ524358:ONA524360 ODD524358:ODE524360 NTH524358:NTI524360 NJL524358:NJM524360 MZP524358:MZQ524360 MPT524358:MPU524360 MFX524358:MFY524360 LWB524358:LWC524360 LMF524358:LMG524360 LCJ524358:LCK524360 KSN524358:KSO524360 KIR524358:KIS524360 JYV524358:JYW524360 JOZ524358:JPA524360 JFD524358:JFE524360 IVH524358:IVI524360 ILL524358:ILM524360 IBP524358:IBQ524360 HRT524358:HRU524360 HHX524358:HHY524360 GYB524358:GYC524360 GOF524358:GOG524360 GEJ524358:GEK524360 FUN524358:FUO524360 FKR524358:FKS524360 FAV524358:FAW524360 EQZ524358:ERA524360 EHD524358:EHE524360 DXH524358:DXI524360 DNL524358:DNM524360 DDP524358:DDQ524360 CTT524358:CTU524360 CJX524358:CJY524360 CAB524358:CAC524360 BQF524358:BQG524360 BGJ524358:BGK524360 AWN524358:AWO524360 AMR524358:AMS524360 ACV524358:ACW524360 SZ524358:TA524360 JD524358:JE524360 H524358:I524360 WVP458822:WVQ458824 WLT458822:WLU458824 WBX458822:WBY458824 VSB458822:VSC458824 VIF458822:VIG458824 UYJ458822:UYK458824 UON458822:UOO458824 UER458822:UES458824 TUV458822:TUW458824 TKZ458822:TLA458824 TBD458822:TBE458824 SRH458822:SRI458824 SHL458822:SHM458824 RXP458822:RXQ458824 RNT458822:RNU458824 RDX458822:RDY458824 QUB458822:QUC458824 QKF458822:QKG458824 QAJ458822:QAK458824 PQN458822:PQO458824 PGR458822:PGS458824 OWV458822:OWW458824 OMZ458822:ONA458824 ODD458822:ODE458824 NTH458822:NTI458824 NJL458822:NJM458824 MZP458822:MZQ458824 MPT458822:MPU458824 MFX458822:MFY458824 LWB458822:LWC458824 LMF458822:LMG458824 LCJ458822:LCK458824 KSN458822:KSO458824 KIR458822:KIS458824 JYV458822:JYW458824 JOZ458822:JPA458824 JFD458822:JFE458824 IVH458822:IVI458824 ILL458822:ILM458824 IBP458822:IBQ458824 HRT458822:HRU458824 HHX458822:HHY458824 GYB458822:GYC458824 GOF458822:GOG458824 GEJ458822:GEK458824 FUN458822:FUO458824 FKR458822:FKS458824 FAV458822:FAW458824 EQZ458822:ERA458824 EHD458822:EHE458824 DXH458822:DXI458824 DNL458822:DNM458824 DDP458822:DDQ458824 CTT458822:CTU458824 CJX458822:CJY458824 CAB458822:CAC458824 BQF458822:BQG458824 BGJ458822:BGK458824 AWN458822:AWO458824 AMR458822:AMS458824 ACV458822:ACW458824 SZ458822:TA458824 JD458822:JE458824 H458822:I458824 WVP393286:WVQ393288 WLT393286:WLU393288 WBX393286:WBY393288 VSB393286:VSC393288 VIF393286:VIG393288 UYJ393286:UYK393288 UON393286:UOO393288 UER393286:UES393288 TUV393286:TUW393288 TKZ393286:TLA393288 TBD393286:TBE393288 SRH393286:SRI393288 SHL393286:SHM393288 RXP393286:RXQ393288 RNT393286:RNU393288 RDX393286:RDY393288 QUB393286:QUC393288 QKF393286:QKG393288 QAJ393286:QAK393288 PQN393286:PQO393288 PGR393286:PGS393288 OWV393286:OWW393288 OMZ393286:ONA393288 ODD393286:ODE393288 NTH393286:NTI393288 NJL393286:NJM393288 MZP393286:MZQ393288 MPT393286:MPU393288 MFX393286:MFY393288 LWB393286:LWC393288 LMF393286:LMG393288 LCJ393286:LCK393288 KSN393286:KSO393288 KIR393286:KIS393288 JYV393286:JYW393288 JOZ393286:JPA393288 JFD393286:JFE393288 IVH393286:IVI393288 ILL393286:ILM393288 IBP393286:IBQ393288 HRT393286:HRU393288 HHX393286:HHY393288 GYB393286:GYC393288 GOF393286:GOG393288 GEJ393286:GEK393288 FUN393286:FUO393288 FKR393286:FKS393288 FAV393286:FAW393288 EQZ393286:ERA393288 EHD393286:EHE393288 DXH393286:DXI393288 DNL393286:DNM393288 DDP393286:DDQ393288 CTT393286:CTU393288 CJX393286:CJY393288 CAB393286:CAC393288 BQF393286:BQG393288 BGJ393286:BGK393288 AWN393286:AWO393288 AMR393286:AMS393288 ACV393286:ACW393288 SZ393286:TA393288 JD393286:JE393288 H393286:I393288 WVP327750:WVQ327752 WLT327750:WLU327752 WBX327750:WBY327752 VSB327750:VSC327752 VIF327750:VIG327752 UYJ327750:UYK327752 UON327750:UOO327752 UER327750:UES327752 TUV327750:TUW327752 TKZ327750:TLA327752 TBD327750:TBE327752 SRH327750:SRI327752 SHL327750:SHM327752 RXP327750:RXQ327752 RNT327750:RNU327752 RDX327750:RDY327752 QUB327750:QUC327752 QKF327750:QKG327752 QAJ327750:QAK327752 PQN327750:PQO327752 PGR327750:PGS327752 OWV327750:OWW327752 OMZ327750:ONA327752 ODD327750:ODE327752 NTH327750:NTI327752 NJL327750:NJM327752 MZP327750:MZQ327752 MPT327750:MPU327752 MFX327750:MFY327752 LWB327750:LWC327752 LMF327750:LMG327752 LCJ327750:LCK327752 KSN327750:KSO327752 KIR327750:KIS327752 JYV327750:JYW327752 JOZ327750:JPA327752 JFD327750:JFE327752 IVH327750:IVI327752 ILL327750:ILM327752 IBP327750:IBQ327752 HRT327750:HRU327752 HHX327750:HHY327752 GYB327750:GYC327752 GOF327750:GOG327752 GEJ327750:GEK327752 FUN327750:FUO327752 FKR327750:FKS327752 FAV327750:FAW327752 EQZ327750:ERA327752 EHD327750:EHE327752 DXH327750:DXI327752 DNL327750:DNM327752 DDP327750:DDQ327752 CTT327750:CTU327752 CJX327750:CJY327752 CAB327750:CAC327752 BQF327750:BQG327752 BGJ327750:BGK327752 AWN327750:AWO327752 AMR327750:AMS327752 ACV327750:ACW327752 SZ327750:TA327752 JD327750:JE327752 H327750:I327752 WVP262214:WVQ262216 WLT262214:WLU262216 WBX262214:WBY262216 VSB262214:VSC262216 VIF262214:VIG262216 UYJ262214:UYK262216 UON262214:UOO262216 UER262214:UES262216 TUV262214:TUW262216 TKZ262214:TLA262216 TBD262214:TBE262216 SRH262214:SRI262216 SHL262214:SHM262216 RXP262214:RXQ262216 RNT262214:RNU262216 RDX262214:RDY262216 QUB262214:QUC262216 QKF262214:QKG262216 QAJ262214:QAK262216 PQN262214:PQO262216 PGR262214:PGS262216 OWV262214:OWW262216 OMZ262214:ONA262216 ODD262214:ODE262216 NTH262214:NTI262216 NJL262214:NJM262216 MZP262214:MZQ262216 MPT262214:MPU262216 MFX262214:MFY262216 LWB262214:LWC262216 LMF262214:LMG262216 LCJ262214:LCK262216 KSN262214:KSO262216 KIR262214:KIS262216 JYV262214:JYW262216 JOZ262214:JPA262216 JFD262214:JFE262216 IVH262214:IVI262216 ILL262214:ILM262216 IBP262214:IBQ262216 HRT262214:HRU262216 HHX262214:HHY262216 GYB262214:GYC262216 GOF262214:GOG262216 GEJ262214:GEK262216 FUN262214:FUO262216 FKR262214:FKS262216 FAV262214:FAW262216 EQZ262214:ERA262216 EHD262214:EHE262216 DXH262214:DXI262216 DNL262214:DNM262216 DDP262214:DDQ262216 CTT262214:CTU262216 CJX262214:CJY262216 CAB262214:CAC262216 BQF262214:BQG262216 BGJ262214:BGK262216 AWN262214:AWO262216 AMR262214:AMS262216 ACV262214:ACW262216 SZ262214:TA262216 JD262214:JE262216 H262214:I262216 WVP196678:WVQ196680 WLT196678:WLU196680 WBX196678:WBY196680 VSB196678:VSC196680 VIF196678:VIG196680 UYJ196678:UYK196680 UON196678:UOO196680 UER196678:UES196680 TUV196678:TUW196680 TKZ196678:TLA196680 TBD196678:TBE196680 SRH196678:SRI196680 SHL196678:SHM196680 RXP196678:RXQ196680 RNT196678:RNU196680 RDX196678:RDY196680 QUB196678:QUC196680 QKF196678:QKG196680 QAJ196678:QAK196680 PQN196678:PQO196680 PGR196678:PGS196680 OWV196678:OWW196680 OMZ196678:ONA196680 ODD196678:ODE196680 NTH196678:NTI196680 NJL196678:NJM196680 MZP196678:MZQ196680 MPT196678:MPU196680 MFX196678:MFY196680 LWB196678:LWC196680 LMF196678:LMG196680 LCJ196678:LCK196680 KSN196678:KSO196680 KIR196678:KIS196680 JYV196678:JYW196680 JOZ196678:JPA196680 JFD196678:JFE196680 IVH196678:IVI196680 ILL196678:ILM196680 IBP196678:IBQ196680 HRT196678:HRU196680 HHX196678:HHY196680 GYB196678:GYC196680 GOF196678:GOG196680 GEJ196678:GEK196680 FUN196678:FUO196680 FKR196678:FKS196680 FAV196678:FAW196680 EQZ196678:ERA196680 EHD196678:EHE196680 DXH196678:DXI196680 DNL196678:DNM196680 DDP196678:DDQ196680 CTT196678:CTU196680 CJX196678:CJY196680 CAB196678:CAC196680 BQF196678:BQG196680 BGJ196678:BGK196680 AWN196678:AWO196680 AMR196678:AMS196680 ACV196678:ACW196680 SZ196678:TA196680 JD196678:JE196680 H196678:I196680 WVP131142:WVQ131144 WLT131142:WLU131144 WBX131142:WBY131144 VSB131142:VSC131144 VIF131142:VIG131144 UYJ131142:UYK131144 UON131142:UOO131144 UER131142:UES131144 TUV131142:TUW131144 TKZ131142:TLA131144 TBD131142:TBE131144 SRH131142:SRI131144 SHL131142:SHM131144 RXP131142:RXQ131144 RNT131142:RNU131144 RDX131142:RDY131144 QUB131142:QUC131144 QKF131142:QKG131144 QAJ131142:QAK131144 PQN131142:PQO131144 PGR131142:PGS131144 OWV131142:OWW131144 OMZ131142:ONA131144 ODD131142:ODE131144 NTH131142:NTI131144 NJL131142:NJM131144 MZP131142:MZQ131144 MPT131142:MPU131144 MFX131142:MFY131144 LWB131142:LWC131144 LMF131142:LMG131144 LCJ131142:LCK131144 KSN131142:KSO131144 KIR131142:KIS131144 JYV131142:JYW131144 JOZ131142:JPA131144 JFD131142:JFE131144 IVH131142:IVI131144 ILL131142:ILM131144 IBP131142:IBQ131144 HRT131142:HRU131144 HHX131142:HHY131144 GYB131142:GYC131144 GOF131142:GOG131144 GEJ131142:GEK131144 FUN131142:FUO131144 FKR131142:FKS131144 FAV131142:FAW131144 EQZ131142:ERA131144 EHD131142:EHE131144 DXH131142:DXI131144 DNL131142:DNM131144 DDP131142:DDQ131144 CTT131142:CTU131144 CJX131142:CJY131144 CAB131142:CAC131144 BQF131142:BQG131144 BGJ131142:BGK131144 AWN131142:AWO131144 AMR131142:AMS131144 ACV131142:ACW131144 SZ131142:TA131144 JD131142:JE131144 H131142:I131144 WVP65606:WVQ65608 WLT65606:WLU65608 WBX65606:WBY65608 VSB65606:VSC65608 VIF65606:VIG65608 UYJ65606:UYK65608 UON65606:UOO65608 UER65606:UES65608 TUV65606:TUW65608 TKZ65606:TLA65608 TBD65606:TBE65608 SRH65606:SRI65608 SHL65606:SHM65608 RXP65606:RXQ65608 RNT65606:RNU65608 RDX65606:RDY65608 QUB65606:QUC65608 QKF65606:QKG65608 QAJ65606:QAK65608 PQN65606:PQO65608 PGR65606:PGS65608 OWV65606:OWW65608 OMZ65606:ONA65608 ODD65606:ODE65608 NTH65606:NTI65608 NJL65606:NJM65608 MZP65606:MZQ65608 MPT65606:MPU65608 MFX65606:MFY65608 LWB65606:LWC65608 LMF65606:LMG65608 LCJ65606:LCK65608 KSN65606:KSO65608 KIR65606:KIS65608 JYV65606:JYW65608 JOZ65606:JPA65608 JFD65606:JFE65608 IVH65606:IVI65608 ILL65606:ILM65608 IBP65606:IBQ65608 HRT65606:HRU65608 HHX65606:HHY65608 GYB65606:GYC65608 GOF65606:GOG65608 GEJ65606:GEK65608 FUN65606:FUO65608 FKR65606:FKS65608 FAV65606:FAW65608 EQZ65606:ERA65608 EHD65606:EHE65608 DXH65606:DXI65608 DNL65606:DNM65608 DDP65606:DDQ65608 CTT65606:CTU65608 CJX65606:CJY65608 CAB65606:CAC65608 BQF65606:BQG65608 BGJ65606:BGK65608 AWN65606:AWO65608 AMR65606:AMS65608 ACV65606:ACW65608 SZ65606:TA65608 JD65606:JE65608 H65606:I65608 WVQ983113:WVQ983114 WLU983113:WLU983114 WBY983113:WBY983114 VSC983113:VSC983114 VIG983113:VIG983114 UYK983113:UYK983114 UOO983113:UOO983114 UES983113:UES983114 TUW983113:TUW983114 TLA983113:TLA983114 TBE983113:TBE983114 SRI983113:SRI983114 SHM983113:SHM983114 RXQ983113:RXQ983114 RNU983113:RNU983114 RDY983113:RDY983114 QUC983113:QUC983114 QKG983113:QKG983114 QAK983113:QAK983114 PQO983113:PQO983114 PGS983113:PGS983114 OWW983113:OWW983114 ONA983113:ONA983114 ODE983113:ODE983114 NTI983113:NTI983114 NJM983113:NJM983114 MZQ983113:MZQ983114 MPU983113:MPU983114 MFY983113:MFY983114 LWC983113:LWC983114 LMG983113:LMG983114 LCK983113:LCK983114 KSO983113:KSO983114 KIS983113:KIS983114 JYW983113:JYW983114 JPA983113:JPA983114 JFE983113:JFE983114 IVI983113:IVI983114 ILM983113:ILM983114 IBQ983113:IBQ983114 HRU983113:HRU983114 HHY983113:HHY983114 GYC983113:GYC983114 GOG983113:GOG983114 GEK983113:GEK983114 FUO983113:FUO983114 FKS983113:FKS983114 FAW983113:FAW983114 ERA983113:ERA983114 EHE983113:EHE983114 DXI983113:DXI983114 DNM983113:DNM983114 DDQ983113:DDQ983114 CTU983113:CTU983114 CJY983113:CJY983114 CAC983113:CAC983114 BQG983113:BQG983114 BGK983113:BGK983114 AWO983113:AWO983114 AMS983113:AMS983114 ACW983113:ACW983114 TA983113:TA983114 JE983113:JE983114 I983113:I983114 WVQ917577:WVQ917578 WLU917577:WLU917578 WBY917577:WBY917578 VSC917577:VSC917578 VIG917577:VIG917578 UYK917577:UYK917578 UOO917577:UOO917578 UES917577:UES917578 TUW917577:TUW917578 TLA917577:TLA917578 TBE917577:TBE917578 SRI917577:SRI917578 SHM917577:SHM917578 RXQ917577:RXQ917578 RNU917577:RNU917578 RDY917577:RDY917578 QUC917577:QUC917578 QKG917577:QKG917578 QAK917577:QAK917578 PQO917577:PQO917578 PGS917577:PGS917578 OWW917577:OWW917578 ONA917577:ONA917578 ODE917577:ODE917578 NTI917577:NTI917578 NJM917577:NJM917578 MZQ917577:MZQ917578 MPU917577:MPU917578 MFY917577:MFY917578 LWC917577:LWC917578 LMG917577:LMG917578 LCK917577:LCK917578 KSO917577:KSO917578 KIS917577:KIS917578 JYW917577:JYW917578 JPA917577:JPA917578 JFE917577:JFE917578 IVI917577:IVI917578 ILM917577:ILM917578 IBQ917577:IBQ917578 HRU917577:HRU917578 HHY917577:HHY917578 GYC917577:GYC917578 GOG917577:GOG917578 GEK917577:GEK917578 FUO917577:FUO917578 FKS917577:FKS917578 FAW917577:FAW917578 ERA917577:ERA917578 EHE917577:EHE917578 DXI917577:DXI917578 DNM917577:DNM917578 DDQ917577:DDQ917578 CTU917577:CTU917578 CJY917577:CJY917578 CAC917577:CAC917578 BQG917577:BQG917578 BGK917577:BGK917578 AWO917577:AWO917578 AMS917577:AMS917578 ACW917577:ACW917578 TA917577:TA917578 JE917577:JE917578 I917577:I917578 WVQ852041:WVQ852042 WLU852041:WLU852042 WBY852041:WBY852042 VSC852041:VSC852042 VIG852041:VIG852042 UYK852041:UYK852042 UOO852041:UOO852042 UES852041:UES852042 TUW852041:TUW852042 TLA852041:TLA852042 TBE852041:TBE852042 SRI852041:SRI852042 SHM852041:SHM852042 RXQ852041:RXQ852042 RNU852041:RNU852042 RDY852041:RDY852042 QUC852041:QUC852042 QKG852041:QKG852042 QAK852041:QAK852042 PQO852041:PQO852042 PGS852041:PGS852042 OWW852041:OWW852042 ONA852041:ONA852042 ODE852041:ODE852042 NTI852041:NTI852042 NJM852041:NJM852042 MZQ852041:MZQ852042 MPU852041:MPU852042 MFY852041:MFY852042 LWC852041:LWC852042 LMG852041:LMG852042 LCK852041:LCK852042 KSO852041:KSO852042 KIS852041:KIS852042 JYW852041:JYW852042 JPA852041:JPA852042 JFE852041:JFE852042 IVI852041:IVI852042 ILM852041:ILM852042 IBQ852041:IBQ852042 HRU852041:HRU852042 HHY852041:HHY852042 GYC852041:GYC852042 GOG852041:GOG852042 GEK852041:GEK852042 FUO852041:FUO852042 FKS852041:FKS852042 FAW852041:FAW852042 ERA852041:ERA852042 EHE852041:EHE852042 DXI852041:DXI852042 DNM852041:DNM852042 DDQ852041:DDQ852042 CTU852041:CTU852042 CJY852041:CJY852042 CAC852041:CAC852042 BQG852041:BQG852042 BGK852041:BGK852042 AWO852041:AWO852042 AMS852041:AMS852042 ACW852041:ACW852042 TA852041:TA852042 JE852041:JE852042 I852041:I852042 WVQ786505:WVQ786506 WLU786505:WLU786506 WBY786505:WBY786506 VSC786505:VSC786506 VIG786505:VIG786506 UYK786505:UYK786506 UOO786505:UOO786506 UES786505:UES786506 TUW786505:TUW786506 TLA786505:TLA786506 TBE786505:TBE786506 SRI786505:SRI786506 SHM786505:SHM786506 RXQ786505:RXQ786506 RNU786505:RNU786506 RDY786505:RDY786506 QUC786505:QUC786506 QKG786505:QKG786506 QAK786505:QAK786506 PQO786505:PQO786506 PGS786505:PGS786506 OWW786505:OWW786506 ONA786505:ONA786506 ODE786505:ODE786506 NTI786505:NTI786506 NJM786505:NJM786506 MZQ786505:MZQ786506 MPU786505:MPU786506 MFY786505:MFY786506 LWC786505:LWC786506 LMG786505:LMG786506 LCK786505:LCK786506 KSO786505:KSO786506 KIS786505:KIS786506 JYW786505:JYW786506 JPA786505:JPA786506 JFE786505:JFE786506 IVI786505:IVI786506 ILM786505:ILM786506 IBQ786505:IBQ786506 HRU786505:HRU786506 HHY786505:HHY786506 GYC786505:GYC786506 GOG786505:GOG786506 GEK786505:GEK786506 FUO786505:FUO786506 FKS786505:FKS786506 FAW786505:FAW786506 ERA786505:ERA786506 EHE786505:EHE786506 DXI786505:DXI786506 DNM786505:DNM786506 DDQ786505:DDQ786506 CTU786505:CTU786506 CJY786505:CJY786506 CAC786505:CAC786506 BQG786505:BQG786506 BGK786505:BGK786506 AWO786505:AWO786506 AMS786505:AMS786506 ACW786505:ACW786506 TA786505:TA786506 JE786505:JE786506 I786505:I786506 WVQ720969:WVQ720970 WLU720969:WLU720970 WBY720969:WBY720970 VSC720969:VSC720970 VIG720969:VIG720970 UYK720969:UYK720970 UOO720969:UOO720970 UES720969:UES720970 TUW720969:TUW720970 TLA720969:TLA720970 TBE720969:TBE720970 SRI720969:SRI720970 SHM720969:SHM720970 RXQ720969:RXQ720970 RNU720969:RNU720970 RDY720969:RDY720970 QUC720969:QUC720970 QKG720969:QKG720970 QAK720969:QAK720970 PQO720969:PQO720970 PGS720969:PGS720970 OWW720969:OWW720970 ONA720969:ONA720970 ODE720969:ODE720970 NTI720969:NTI720970 NJM720969:NJM720970 MZQ720969:MZQ720970 MPU720969:MPU720970 MFY720969:MFY720970 LWC720969:LWC720970 LMG720969:LMG720970 LCK720969:LCK720970 KSO720969:KSO720970 KIS720969:KIS720970 JYW720969:JYW720970 JPA720969:JPA720970 JFE720969:JFE720970 IVI720969:IVI720970 ILM720969:ILM720970 IBQ720969:IBQ720970 HRU720969:HRU720970 HHY720969:HHY720970 GYC720969:GYC720970 GOG720969:GOG720970 GEK720969:GEK720970 FUO720969:FUO720970 FKS720969:FKS720970 FAW720969:FAW720970 ERA720969:ERA720970 EHE720969:EHE720970 DXI720969:DXI720970 DNM720969:DNM720970 DDQ720969:DDQ720970 CTU720969:CTU720970 CJY720969:CJY720970 CAC720969:CAC720970 BQG720969:BQG720970 BGK720969:BGK720970 AWO720969:AWO720970 AMS720969:AMS720970 ACW720969:ACW720970 TA720969:TA720970 JE720969:JE720970 I720969:I720970 WVQ655433:WVQ655434 WLU655433:WLU655434 WBY655433:WBY655434 VSC655433:VSC655434 VIG655433:VIG655434 UYK655433:UYK655434 UOO655433:UOO655434 UES655433:UES655434 TUW655433:TUW655434 TLA655433:TLA655434 TBE655433:TBE655434 SRI655433:SRI655434 SHM655433:SHM655434 RXQ655433:RXQ655434 RNU655433:RNU655434 RDY655433:RDY655434 QUC655433:QUC655434 QKG655433:QKG655434 QAK655433:QAK655434 PQO655433:PQO655434 PGS655433:PGS655434 OWW655433:OWW655434 ONA655433:ONA655434 ODE655433:ODE655434 NTI655433:NTI655434 NJM655433:NJM655434 MZQ655433:MZQ655434 MPU655433:MPU655434 MFY655433:MFY655434 LWC655433:LWC655434 LMG655433:LMG655434 LCK655433:LCK655434 KSO655433:KSO655434 KIS655433:KIS655434 JYW655433:JYW655434 JPA655433:JPA655434 JFE655433:JFE655434 IVI655433:IVI655434 ILM655433:ILM655434 IBQ655433:IBQ655434 HRU655433:HRU655434 HHY655433:HHY655434 GYC655433:GYC655434 GOG655433:GOG655434 GEK655433:GEK655434 FUO655433:FUO655434 FKS655433:FKS655434 FAW655433:FAW655434 ERA655433:ERA655434 EHE655433:EHE655434 DXI655433:DXI655434 DNM655433:DNM655434 DDQ655433:DDQ655434 CTU655433:CTU655434 CJY655433:CJY655434 CAC655433:CAC655434 BQG655433:BQG655434 BGK655433:BGK655434 AWO655433:AWO655434 AMS655433:AMS655434 ACW655433:ACW655434 TA655433:TA655434 JE655433:JE655434 I655433:I655434 WVQ589897:WVQ589898 WLU589897:WLU589898 WBY589897:WBY589898 VSC589897:VSC589898 VIG589897:VIG589898 UYK589897:UYK589898 UOO589897:UOO589898 UES589897:UES589898 TUW589897:TUW589898 TLA589897:TLA589898 TBE589897:TBE589898 SRI589897:SRI589898 SHM589897:SHM589898 RXQ589897:RXQ589898 RNU589897:RNU589898 RDY589897:RDY589898 QUC589897:QUC589898 QKG589897:QKG589898 QAK589897:QAK589898 PQO589897:PQO589898 PGS589897:PGS589898 OWW589897:OWW589898 ONA589897:ONA589898 ODE589897:ODE589898 NTI589897:NTI589898 NJM589897:NJM589898 MZQ589897:MZQ589898 MPU589897:MPU589898 MFY589897:MFY589898 LWC589897:LWC589898 LMG589897:LMG589898 LCK589897:LCK589898 KSO589897:KSO589898 KIS589897:KIS589898 JYW589897:JYW589898 JPA589897:JPA589898 JFE589897:JFE589898 IVI589897:IVI589898 ILM589897:ILM589898 IBQ589897:IBQ589898 HRU589897:HRU589898 HHY589897:HHY589898 GYC589897:GYC589898 GOG589897:GOG589898 GEK589897:GEK589898 FUO589897:FUO589898 FKS589897:FKS589898 FAW589897:FAW589898 ERA589897:ERA589898 EHE589897:EHE589898 DXI589897:DXI589898 DNM589897:DNM589898 DDQ589897:DDQ589898 CTU589897:CTU589898 CJY589897:CJY589898 CAC589897:CAC589898 BQG589897:BQG589898 BGK589897:BGK589898 AWO589897:AWO589898 AMS589897:AMS589898 ACW589897:ACW589898 TA589897:TA589898 JE589897:JE589898 I589897:I589898 WVQ524361:WVQ524362 WLU524361:WLU524362 WBY524361:WBY524362 VSC524361:VSC524362 VIG524361:VIG524362 UYK524361:UYK524362 UOO524361:UOO524362 UES524361:UES524362 TUW524361:TUW524362 TLA524361:TLA524362 TBE524361:TBE524362 SRI524361:SRI524362 SHM524361:SHM524362 RXQ524361:RXQ524362 RNU524361:RNU524362 RDY524361:RDY524362 QUC524361:QUC524362 QKG524361:QKG524362 QAK524361:QAK524362 PQO524361:PQO524362 PGS524361:PGS524362 OWW524361:OWW524362 ONA524361:ONA524362 ODE524361:ODE524362 NTI524361:NTI524362 NJM524361:NJM524362 MZQ524361:MZQ524362 MPU524361:MPU524362 MFY524361:MFY524362 LWC524361:LWC524362 LMG524361:LMG524362 LCK524361:LCK524362 KSO524361:KSO524362 KIS524361:KIS524362 JYW524361:JYW524362 JPA524361:JPA524362 JFE524361:JFE524362 IVI524361:IVI524362 ILM524361:ILM524362 IBQ524361:IBQ524362 HRU524361:HRU524362 HHY524361:HHY524362 GYC524361:GYC524362 GOG524361:GOG524362 GEK524361:GEK524362 FUO524361:FUO524362 FKS524361:FKS524362 FAW524361:FAW524362 ERA524361:ERA524362 EHE524361:EHE524362 DXI524361:DXI524362 DNM524361:DNM524362 DDQ524361:DDQ524362 CTU524361:CTU524362 CJY524361:CJY524362 CAC524361:CAC524362 BQG524361:BQG524362 BGK524361:BGK524362 AWO524361:AWO524362 AMS524361:AMS524362 ACW524361:ACW524362 TA524361:TA524362 JE524361:JE524362 I524361:I524362 WVQ458825:WVQ458826 WLU458825:WLU458826 WBY458825:WBY458826 VSC458825:VSC458826 VIG458825:VIG458826 UYK458825:UYK458826 UOO458825:UOO458826 UES458825:UES458826 TUW458825:TUW458826 TLA458825:TLA458826 TBE458825:TBE458826 SRI458825:SRI458826 SHM458825:SHM458826 RXQ458825:RXQ458826 RNU458825:RNU458826 RDY458825:RDY458826 QUC458825:QUC458826 QKG458825:QKG458826 QAK458825:QAK458826 PQO458825:PQO458826 PGS458825:PGS458826 OWW458825:OWW458826 ONA458825:ONA458826 ODE458825:ODE458826 NTI458825:NTI458826 NJM458825:NJM458826 MZQ458825:MZQ458826 MPU458825:MPU458826 MFY458825:MFY458826 LWC458825:LWC458826 LMG458825:LMG458826 LCK458825:LCK458826 KSO458825:KSO458826 KIS458825:KIS458826 JYW458825:JYW458826 JPA458825:JPA458826 JFE458825:JFE458826 IVI458825:IVI458826 ILM458825:ILM458826 IBQ458825:IBQ458826 HRU458825:HRU458826 HHY458825:HHY458826 GYC458825:GYC458826 GOG458825:GOG458826 GEK458825:GEK458826 FUO458825:FUO458826 FKS458825:FKS458826 FAW458825:FAW458826 ERA458825:ERA458826 EHE458825:EHE458826 DXI458825:DXI458826 DNM458825:DNM458826 DDQ458825:DDQ458826 CTU458825:CTU458826 CJY458825:CJY458826 CAC458825:CAC458826 BQG458825:BQG458826 BGK458825:BGK458826 AWO458825:AWO458826 AMS458825:AMS458826 ACW458825:ACW458826 TA458825:TA458826 JE458825:JE458826 I458825:I458826 WVQ393289:WVQ393290 WLU393289:WLU393290 WBY393289:WBY393290 VSC393289:VSC393290 VIG393289:VIG393290 UYK393289:UYK393290 UOO393289:UOO393290 UES393289:UES393290 TUW393289:TUW393290 TLA393289:TLA393290 TBE393289:TBE393290 SRI393289:SRI393290 SHM393289:SHM393290 RXQ393289:RXQ393290 RNU393289:RNU393290 RDY393289:RDY393290 QUC393289:QUC393290 QKG393289:QKG393290 QAK393289:QAK393290 PQO393289:PQO393290 PGS393289:PGS393290 OWW393289:OWW393290 ONA393289:ONA393290 ODE393289:ODE393290 NTI393289:NTI393290 NJM393289:NJM393290 MZQ393289:MZQ393290 MPU393289:MPU393290 MFY393289:MFY393290 LWC393289:LWC393290 LMG393289:LMG393290 LCK393289:LCK393290 KSO393289:KSO393290 KIS393289:KIS393290 JYW393289:JYW393290 JPA393289:JPA393290 JFE393289:JFE393290 IVI393289:IVI393290 ILM393289:ILM393290 IBQ393289:IBQ393290 HRU393289:HRU393290 HHY393289:HHY393290 GYC393289:GYC393290 GOG393289:GOG393290 GEK393289:GEK393290 FUO393289:FUO393290 FKS393289:FKS393290 FAW393289:FAW393290 ERA393289:ERA393290 EHE393289:EHE393290 DXI393289:DXI393290 DNM393289:DNM393290 DDQ393289:DDQ393290 CTU393289:CTU393290 CJY393289:CJY393290 CAC393289:CAC393290 BQG393289:BQG393290 BGK393289:BGK393290 AWO393289:AWO393290 AMS393289:AMS393290 ACW393289:ACW393290 TA393289:TA393290 JE393289:JE393290 I393289:I393290 WVQ327753:WVQ327754 WLU327753:WLU327754 WBY327753:WBY327754 VSC327753:VSC327754 VIG327753:VIG327754 UYK327753:UYK327754 UOO327753:UOO327754 UES327753:UES327754 TUW327753:TUW327754 TLA327753:TLA327754 TBE327753:TBE327754 SRI327753:SRI327754 SHM327753:SHM327754 RXQ327753:RXQ327754 RNU327753:RNU327754 RDY327753:RDY327754 QUC327753:QUC327754 QKG327753:QKG327754 QAK327753:QAK327754 PQO327753:PQO327754 PGS327753:PGS327754 OWW327753:OWW327754 ONA327753:ONA327754 ODE327753:ODE327754 NTI327753:NTI327754 NJM327753:NJM327754 MZQ327753:MZQ327754 MPU327753:MPU327754 MFY327753:MFY327754 LWC327753:LWC327754 LMG327753:LMG327754 LCK327753:LCK327754 KSO327753:KSO327754 KIS327753:KIS327754 JYW327753:JYW327754 JPA327753:JPA327754 JFE327753:JFE327754 IVI327753:IVI327754 ILM327753:ILM327754 IBQ327753:IBQ327754 HRU327753:HRU327754 HHY327753:HHY327754 GYC327753:GYC327754 GOG327753:GOG327754 GEK327753:GEK327754 FUO327753:FUO327754 FKS327753:FKS327754 FAW327753:FAW327754 ERA327753:ERA327754 EHE327753:EHE327754 DXI327753:DXI327754 DNM327753:DNM327754 DDQ327753:DDQ327754 CTU327753:CTU327754 CJY327753:CJY327754 CAC327753:CAC327754 BQG327753:BQG327754 BGK327753:BGK327754 AWO327753:AWO327754 AMS327753:AMS327754 ACW327753:ACW327754 TA327753:TA327754 JE327753:JE327754 I327753:I327754 WVQ262217:WVQ262218 WLU262217:WLU262218 WBY262217:WBY262218 VSC262217:VSC262218 VIG262217:VIG262218 UYK262217:UYK262218 UOO262217:UOO262218 UES262217:UES262218 TUW262217:TUW262218 TLA262217:TLA262218 TBE262217:TBE262218 SRI262217:SRI262218 SHM262217:SHM262218 RXQ262217:RXQ262218 RNU262217:RNU262218 RDY262217:RDY262218 QUC262217:QUC262218 QKG262217:QKG262218 QAK262217:QAK262218 PQO262217:PQO262218 PGS262217:PGS262218 OWW262217:OWW262218 ONA262217:ONA262218 ODE262217:ODE262218 NTI262217:NTI262218 NJM262217:NJM262218 MZQ262217:MZQ262218 MPU262217:MPU262218 MFY262217:MFY262218 LWC262217:LWC262218 LMG262217:LMG262218 LCK262217:LCK262218 KSO262217:KSO262218 KIS262217:KIS262218 JYW262217:JYW262218 JPA262217:JPA262218 JFE262217:JFE262218 IVI262217:IVI262218 ILM262217:ILM262218 IBQ262217:IBQ262218 HRU262217:HRU262218 HHY262217:HHY262218 GYC262217:GYC262218 GOG262217:GOG262218 GEK262217:GEK262218 FUO262217:FUO262218 FKS262217:FKS262218 FAW262217:FAW262218 ERA262217:ERA262218 EHE262217:EHE262218 DXI262217:DXI262218 DNM262217:DNM262218 DDQ262217:DDQ262218 CTU262217:CTU262218 CJY262217:CJY262218 CAC262217:CAC262218 BQG262217:BQG262218 BGK262217:BGK262218 AWO262217:AWO262218 AMS262217:AMS262218 ACW262217:ACW262218 TA262217:TA262218 JE262217:JE262218 I262217:I262218 WVQ196681:WVQ196682 WLU196681:WLU196682 WBY196681:WBY196682 VSC196681:VSC196682 VIG196681:VIG196682 UYK196681:UYK196682 UOO196681:UOO196682 UES196681:UES196682 TUW196681:TUW196682 TLA196681:TLA196682 TBE196681:TBE196682 SRI196681:SRI196682 SHM196681:SHM196682 RXQ196681:RXQ196682 RNU196681:RNU196682 RDY196681:RDY196682 QUC196681:QUC196682 QKG196681:QKG196682 QAK196681:QAK196682 PQO196681:PQO196682 PGS196681:PGS196682 OWW196681:OWW196682 ONA196681:ONA196682 ODE196681:ODE196682 NTI196681:NTI196682 NJM196681:NJM196682 MZQ196681:MZQ196682 MPU196681:MPU196682 MFY196681:MFY196682 LWC196681:LWC196682 LMG196681:LMG196682 LCK196681:LCK196682 KSO196681:KSO196682 KIS196681:KIS196682 JYW196681:JYW196682 JPA196681:JPA196682 JFE196681:JFE196682 IVI196681:IVI196682 ILM196681:ILM196682 IBQ196681:IBQ196682 HRU196681:HRU196682 HHY196681:HHY196682 GYC196681:GYC196682 GOG196681:GOG196682 GEK196681:GEK196682 FUO196681:FUO196682 FKS196681:FKS196682 FAW196681:FAW196682 ERA196681:ERA196682 EHE196681:EHE196682 DXI196681:DXI196682 DNM196681:DNM196682 DDQ196681:DDQ196682 CTU196681:CTU196682 CJY196681:CJY196682 CAC196681:CAC196682 BQG196681:BQG196682 BGK196681:BGK196682 AWO196681:AWO196682 AMS196681:AMS196682 ACW196681:ACW196682 TA196681:TA196682 JE196681:JE196682 I196681:I196682 WVQ131145:WVQ131146 WLU131145:WLU131146 WBY131145:WBY131146 VSC131145:VSC131146 VIG131145:VIG131146 UYK131145:UYK131146 UOO131145:UOO131146 UES131145:UES131146 TUW131145:TUW131146 TLA131145:TLA131146 TBE131145:TBE131146 SRI131145:SRI131146 SHM131145:SHM131146 RXQ131145:RXQ131146 RNU131145:RNU131146 RDY131145:RDY131146 QUC131145:QUC131146 QKG131145:QKG131146 QAK131145:QAK131146 PQO131145:PQO131146 PGS131145:PGS131146 OWW131145:OWW131146 ONA131145:ONA131146 ODE131145:ODE131146 NTI131145:NTI131146 NJM131145:NJM131146 MZQ131145:MZQ131146 MPU131145:MPU131146 MFY131145:MFY131146 LWC131145:LWC131146 LMG131145:LMG131146 LCK131145:LCK131146 KSO131145:KSO131146 KIS131145:KIS131146 JYW131145:JYW131146 JPA131145:JPA131146 JFE131145:JFE131146 IVI131145:IVI131146 ILM131145:ILM131146 IBQ131145:IBQ131146 HRU131145:HRU131146 HHY131145:HHY131146 GYC131145:GYC131146 GOG131145:GOG131146 GEK131145:GEK131146 FUO131145:FUO131146 FKS131145:FKS131146 FAW131145:FAW131146 ERA131145:ERA131146 EHE131145:EHE131146 DXI131145:DXI131146 DNM131145:DNM131146 DDQ131145:DDQ131146 CTU131145:CTU131146 CJY131145:CJY131146 CAC131145:CAC131146 BQG131145:BQG131146 BGK131145:BGK131146 AWO131145:AWO131146 AMS131145:AMS131146 ACW131145:ACW131146 TA131145:TA131146 JE131145:JE131146 I131145:I131146 WVQ65609:WVQ65610 WLU65609:WLU65610 WBY65609:WBY65610 VSC65609:VSC65610 VIG65609:VIG65610 UYK65609:UYK65610 UOO65609:UOO65610 UES65609:UES65610 TUW65609:TUW65610 TLA65609:TLA65610 TBE65609:TBE65610 SRI65609:SRI65610 SHM65609:SHM65610 RXQ65609:RXQ65610 RNU65609:RNU65610 RDY65609:RDY65610 QUC65609:QUC65610 QKG65609:QKG65610 QAK65609:QAK65610 PQO65609:PQO65610 PGS65609:PGS65610 OWW65609:OWW65610 ONA65609:ONA65610 ODE65609:ODE65610 NTI65609:NTI65610 NJM65609:NJM65610 MZQ65609:MZQ65610 MPU65609:MPU65610 MFY65609:MFY65610 LWC65609:LWC65610 LMG65609:LMG65610 LCK65609:LCK65610 KSO65609:KSO65610 KIS65609:KIS65610 JYW65609:JYW65610 JPA65609:JPA65610 JFE65609:JFE65610 IVI65609:IVI65610 ILM65609:ILM65610 IBQ65609:IBQ65610 HRU65609:HRU65610 HHY65609:HHY65610 GYC65609:GYC65610 GOG65609:GOG65610 GEK65609:GEK65610 FUO65609:FUO65610 FKS65609:FKS65610 FAW65609:FAW65610 ERA65609:ERA65610 EHE65609:EHE65610 DXI65609:DXI65610 DNM65609:DNM65610 DDQ65609:DDQ65610 CTU65609:CTU65610 CJY65609:CJY65610 CAC65609:CAC65610 BQG65609:BQG65610 BGK65609:BGK65610 AWO65609:AWO65610 AMS65609:AMS65610 ACW65609:ACW65610 TA65609:TA65610 JE65609:JE65610 I65609:I65610 WVP983078 WLT983078 WBX983078 VSB983078 VIF983078 UYJ983078 UON983078 UER983078 TUV983078 TKZ983078 TBD983078 SRH983078 SHL983078 RXP983078 RNT983078 RDX983078 QUB983078 QKF983078 QAJ983078 PQN983078 PGR983078 OWV983078 OMZ983078 ODD983078 NTH983078 NJL983078 MZP983078 MPT983078 MFX983078 LWB983078 LMF983078 LCJ983078 KSN983078 KIR983078 JYV983078 JOZ983078 JFD983078 IVH983078 ILL983078 IBP983078 HRT983078 HHX983078 GYB983078 GOF983078 GEJ983078 FUN983078 FKR983078 FAV983078 EQZ983078 EHD983078 DXH983078 DNL983078 DDP983078 CTT983078 CJX983078 CAB983078 BQF983078 BGJ983078 AWN983078 AMR983078 ACV983078 SZ983078 JD983078 H983078 WVP917542 WLT917542 WBX917542 VSB917542 VIF917542 UYJ917542 UON917542 UER917542 TUV917542 TKZ917542 TBD917542 SRH917542 SHL917542 RXP917542 RNT917542 RDX917542 QUB917542 QKF917542 QAJ917542 PQN917542 PGR917542 OWV917542 OMZ917542 ODD917542 NTH917542 NJL917542 MZP917542 MPT917542 MFX917542 LWB917542 LMF917542 LCJ917542 KSN917542 KIR917542 JYV917542 JOZ917542 JFD917542 IVH917542 ILL917542 IBP917542 HRT917542 HHX917542 GYB917542 GOF917542 GEJ917542 FUN917542 FKR917542 FAV917542 EQZ917542 EHD917542 DXH917542 DNL917542 DDP917542 CTT917542 CJX917542 CAB917542 BQF917542 BGJ917542 AWN917542 AMR917542 ACV917542 SZ917542 JD917542 H917542 WVP852006 WLT852006 WBX852006 VSB852006 VIF852006 UYJ852006 UON852006 UER852006 TUV852006 TKZ852006 TBD852006 SRH852006 SHL852006 RXP852006 RNT852006 RDX852006 QUB852006 QKF852006 QAJ852006 PQN852006 PGR852006 OWV852006 OMZ852006 ODD852006 NTH852006 NJL852006 MZP852006 MPT852006 MFX852006 LWB852006 LMF852006 LCJ852006 KSN852006 KIR852006 JYV852006 JOZ852006 JFD852006 IVH852006 ILL852006 IBP852006 HRT852006 HHX852006 GYB852006 GOF852006 GEJ852006 FUN852006 FKR852006 FAV852006 EQZ852006 EHD852006 DXH852006 DNL852006 DDP852006 CTT852006 CJX852006 CAB852006 BQF852006 BGJ852006 AWN852006 AMR852006 ACV852006 SZ852006 JD852006 H852006 WVP786470 WLT786470 WBX786470 VSB786470 VIF786470 UYJ786470 UON786470 UER786470 TUV786470 TKZ786470 TBD786470 SRH786470 SHL786470 RXP786470 RNT786470 RDX786470 QUB786470 QKF786470 QAJ786470 PQN786470 PGR786470 OWV786470 OMZ786470 ODD786470 NTH786470 NJL786470 MZP786470 MPT786470 MFX786470 LWB786470 LMF786470 LCJ786470 KSN786470 KIR786470 JYV786470 JOZ786470 JFD786470 IVH786470 ILL786470 IBP786470 HRT786470 HHX786470 GYB786470 GOF786470 GEJ786470 FUN786470 FKR786470 FAV786470 EQZ786470 EHD786470 DXH786470 DNL786470 DDP786470 CTT786470 CJX786470 CAB786470 BQF786470 BGJ786470 AWN786470 AMR786470 ACV786470 SZ786470 JD786470 H786470 WVP720934 WLT720934 WBX720934 VSB720934 VIF720934 UYJ720934 UON720934 UER720934 TUV720934 TKZ720934 TBD720934 SRH720934 SHL720934 RXP720934 RNT720934 RDX720934 QUB720934 QKF720934 QAJ720934 PQN720934 PGR720934 OWV720934 OMZ720934 ODD720934 NTH720934 NJL720934 MZP720934 MPT720934 MFX720934 LWB720934 LMF720934 LCJ720934 KSN720934 KIR720934 JYV720934 JOZ720934 JFD720934 IVH720934 ILL720934 IBP720934 HRT720934 HHX720934 GYB720934 GOF720934 GEJ720934 FUN720934 FKR720934 FAV720934 EQZ720934 EHD720934 DXH720934 DNL720934 DDP720934 CTT720934 CJX720934 CAB720934 BQF720934 BGJ720934 AWN720934 AMR720934 ACV720934 SZ720934 JD720934 H720934 WVP655398 WLT655398 WBX655398 VSB655398 VIF655398 UYJ655398 UON655398 UER655398 TUV655398 TKZ655398 TBD655398 SRH655398 SHL655398 RXP655398 RNT655398 RDX655398 QUB655398 QKF655398 QAJ655398 PQN655398 PGR655398 OWV655398 OMZ655398 ODD655398 NTH655398 NJL655398 MZP655398 MPT655398 MFX655398 LWB655398 LMF655398 LCJ655398 KSN655398 KIR655398 JYV655398 JOZ655398 JFD655398 IVH655398 ILL655398 IBP655398 HRT655398 HHX655398 GYB655398 GOF655398 GEJ655398 FUN655398 FKR655398 FAV655398 EQZ655398 EHD655398 DXH655398 DNL655398 DDP655398 CTT655398 CJX655398 CAB655398 BQF655398 BGJ655398 AWN655398 AMR655398 ACV655398 SZ655398 JD655398 H655398 WVP589862 WLT589862 WBX589862 VSB589862 VIF589862 UYJ589862 UON589862 UER589862 TUV589862 TKZ589862 TBD589862 SRH589862 SHL589862 RXP589862 RNT589862 RDX589862 QUB589862 QKF589862 QAJ589862 PQN589862 PGR589862 OWV589862 OMZ589862 ODD589862 NTH589862 NJL589862 MZP589862 MPT589862 MFX589862 LWB589862 LMF589862 LCJ589862 KSN589862 KIR589862 JYV589862 JOZ589862 JFD589862 IVH589862 ILL589862 IBP589862 HRT589862 HHX589862 GYB589862 GOF589862 GEJ589862 FUN589862 FKR589862 FAV589862 EQZ589862 EHD589862 DXH589862 DNL589862 DDP589862 CTT589862 CJX589862 CAB589862 BQF589862 BGJ589862 AWN589862 AMR589862 ACV589862 SZ589862 JD589862 H589862 WVP524326 WLT524326 WBX524326 VSB524326 VIF524326 UYJ524326 UON524326 UER524326 TUV524326 TKZ524326 TBD524326 SRH524326 SHL524326 RXP524326 RNT524326 RDX524326 QUB524326 QKF524326 QAJ524326 PQN524326 PGR524326 OWV524326 OMZ524326 ODD524326 NTH524326 NJL524326 MZP524326 MPT524326 MFX524326 LWB524326 LMF524326 LCJ524326 KSN524326 KIR524326 JYV524326 JOZ524326 JFD524326 IVH524326 ILL524326 IBP524326 HRT524326 HHX524326 GYB524326 GOF524326 GEJ524326 FUN524326 FKR524326 FAV524326 EQZ524326 EHD524326 DXH524326 DNL524326 DDP524326 CTT524326 CJX524326 CAB524326 BQF524326 BGJ524326 AWN524326 AMR524326 ACV524326 SZ524326 JD524326 H524326 WVP458790 WLT458790 WBX458790 VSB458790 VIF458790 UYJ458790 UON458790 UER458790 TUV458790 TKZ458790 TBD458790 SRH458790 SHL458790 RXP458790 RNT458790 RDX458790 QUB458790 QKF458790 QAJ458790 PQN458790 PGR458790 OWV458790 OMZ458790 ODD458790 NTH458790 NJL458790 MZP458790 MPT458790 MFX458790 LWB458790 LMF458790 LCJ458790 KSN458790 KIR458790 JYV458790 JOZ458790 JFD458790 IVH458790 ILL458790 IBP458790 HRT458790 HHX458790 GYB458790 GOF458790 GEJ458790 FUN458790 FKR458790 FAV458790 EQZ458790 EHD458790 DXH458790 DNL458790 DDP458790 CTT458790 CJX458790 CAB458790 BQF458790 BGJ458790 AWN458790 AMR458790 ACV458790 SZ458790 JD458790 H458790 WVP393254 WLT393254 WBX393254 VSB393254 VIF393254 UYJ393254 UON393254 UER393254 TUV393254 TKZ393254 TBD393254 SRH393254 SHL393254 RXP393254 RNT393254 RDX393254 QUB393254 QKF393254 QAJ393254 PQN393254 PGR393254 OWV393254 OMZ393254 ODD393254 NTH393254 NJL393254 MZP393254 MPT393254 MFX393254 LWB393254 LMF393254 LCJ393254 KSN393254 KIR393254 JYV393254 JOZ393254 JFD393254 IVH393254 ILL393254 IBP393254 HRT393254 HHX393254 GYB393254 GOF393254 GEJ393254 FUN393254 FKR393254 FAV393254 EQZ393254 EHD393254 DXH393254 DNL393254 DDP393254 CTT393254 CJX393254 CAB393254 BQF393254 BGJ393254 AWN393254 AMR393254 ACV393254 SZ393254 JD393254 H393254 WVP327718 WLT327718 WBX327718 VSB327718 VIF327718 UYJ327718 UON327718 UER327718 TUV327718 TKZ327718 TBD327718 SRH327718 SHL327718 RXP327718 RNT327718 RDX327718 QUB327718 QKF327718 QAJ327718 PQN327718 PGR327718 OWV327718 OMZ327718 ODD327718 NTH327718 NJL327718 MZP327718 MPT327718 MFX327718 LWB327718 LMF327718 LCJ327718 KSN327718 KIR327718 JYV327718 JOZ327718 JFD327718 IVH327718 ILL327718 IBP327718 HRT327718 HHX327718 GYB327718 GOF327718 GEJ327718 FUN327718 FKR327718 FAV327718 EQZ327718 EHD327718 DXH327718 DNL327718 DDP327718 CTT327718 CJX327718 CAB327718 BQF327718 BGJ327718 AWN327718 AMR327718 ACV327718 SZ327718 JD327718 H327718 WVP262182 WLT262182 WBX262182 VSB262182 VIF262182 UYJ262182 UON262182 UER262182 TUV262182 TKZ262182 TBD262182 SRH262182 SHL262182 RXP262182 RNT262182 RDX262182 QUB262182 QKF262182 QAJ262182 PQN262182 PGR262182 OWV262182 OMZ262182 ODD262182 NTH262182 NJL262182 MZP262182 MPT262182 MFX262182 LWB262182 LMF262182 LCJ262182 KSN262182 KIR262182 JYV262182 JOZ262182 JFD262182 IVH262182 ILL262182 IBP262182 HRT262182 HHX262182 GYB262182 GOF262182 GEJ262182 FUN262182 FKR262182 FAV262182 EQZ262182 EHD262182 DXH262182 DNL262182 DDP262182 CTT262182 CJX262182 CAB262182 BQF262182 BGJ262182 AWN262182 AMR262182 ACV262182 SZ262182 JD262182 H262182 WVP196646 WLT196646 WBX196646 VSB196646 VIF196646 UYJ196646 UON196646 UER196646 TUV196646 TKZ196646 TBD196646 SRH196646 SHL196646 RXP196646 RNT196646 RDX196646 QUB196646 QKF196646 QAJ196646 PQN196646 PGR196646 OWV196646 OMZ196646 ODD196646 NTH196646 NJL196646 MZP196646 MPT196646 MFX196646 LWB196646 LMF196646 LCJ196646 KSN196646 KIR196646 JYV196646 JOZ196646 JFD196646 IVH196646 ILL196646 IBP196646 HRT196646 HHX196646 GYB196646 GOF196646 GEJ196646 FUN196646 FKR196646 FAV196646 EQZ196646 EHD196646 DXH196646 DNL196646 DDP196646 CTT196646 CJX196646 CAB196646 BQF196646 BGJ196646 AWN196646 AMR196646 ACV196646 SZ196646 JD196646 H196646 WVP131110 WLT131110 WBX131110 VSB131110 VIF131110 UYJ131110 UON131110 UER131110 TUV131110 TKZ131110 TBD131110 SRH131110 SHL131110 RXP131110 RNT131110 RDX131110 QUB131110 QKF131110 QAJ131110 PQN131110 PGR131110 OWV131110 OMZ131110 ODD131110 NTH131110 NJL131110 MZP131110 MPT131110 MFX131110 LWB131110 LMF131110 LCJ131110 KSN131110 KIR131110 JYV131110 JOZ131110 JFD131110 IVH131110 ILL131110 IBP131110 HRT131110 HHX131110 GYB131110 GOF131110 GEJ131110 FUN131110 FKR131110 FAV131110 EQZ131110 EHD131110 DXH131110 DNL131110 DDP131110 CTT131110 CJX131110 CAB131110 BQF131110 BGJ131110 AWN131110 AMR131110 ACV131110 SZ131110 JD131110 H131110 WVP65574 WLT65574 WBX65574 VSB65574 VIF65574 UYJ65574 UON65574 UER65574 TUV65574 TKZ65574 TBD65574 SRH65574 SHL65574 RXP65574 RNT65574 RDX65574 QUB65574 QKF65574 QAJ65574 PQN65574 PGR65574 OWV65574 OMZ65574 ODD65574 NTH65574 NJL65574 MZP65574 MPT65574 MFX65574 LWB65574 LMF65574 LCJ65574 KSN65574 KIR65574 JYV65574 JOZ65574 JFD65574 IVH65574 ILL65574 IBP65574 HRT65574 HHX65574 GYB65574 GOF65574 GEJ65574 FUN65574 FKR65574 FAV65574 EQZ65574 EHD65574 DXH65574 DNL65574 DDP65574 CTT65574 CJX65574 CAB65574 BQF65574 BGJ65574 AWN65574 AMR65574 ACV65574 SZ65574 JD65574 H65574 JA30:JA35 SW30:SW35 ACS30:ACS35 AMO30:AMO35 AWK30:AWK35 BGG30:BGG35 BQC30:BQC35 BZY30:BZY35 CJU30:CJU35 CTQ30:CTQ35 DDM30:DDM35 DNI30:DNI35 DXE30:DXE35 EHA30:EHA35 EQW30:EQW35 FAS30:FAS35 FKO30:FKO35 FUK30:FUK35 GEG30:GEG35 GOC30:GOC35 GXY30:GXY35 HHU30:HHU35 HRQ30:HRQ35 IBM30:IBM35 ILI30:ILI35 IVE30:IVE35 JFA30:JFA35 JOW30:JOW35 JYS30:JYS35 KIO30:KIO35 KSK30:KSK35 LCG30:LCG35 LMC30:LMC35 LVY30:LVY35 MFU30:MFU35 MPQ30:MPQ35 MZM30:MZM35 NJI30:NJI35 NTE30:NTE35 ODA30:ODA35 OMW30:OMW35 OWS30:OWS35 PGO30:PGO35 PQK30:PQK35 QAG30:QAG35 QKC30:QKC35 QTY30:QTY35 RDU30:RDU35 RNQ30:RNQ35 RXM30:RXM35 SHI30:SHI35 SRE30:SRE35 TBA30:TBA35 TKW30:TKW35 TUS30:TUS35 UEO30:UEO35 UOK30:UOK35 UYG30:UYG35 VIC30:VIC35 VRY30:VRY35 WBU30:WBU35 WLQ30:WLQ35 WVM30:WVM35 H68:H74 WVO68:WVP72 WLS68:WLT72 WBW68:WBX72 VSA68:VSB72 VIE68:VIF72 UYI68:UYJ72 UOM68:UON72 UEQ68:UER72 TUU68:TUV72 TKY68:TKZ72 TBC68:TBD72 SRG68:SRH72 SHK68:SHL72 RXO68:RXP72 RNS68:RNT72 RDW68:RDX72 QUA68:QUB72 QKE68:QKF72 QAI68:QAJ72 PQM68:PQN72 PGQ68:PGR72 OWU68:OWV72 OMY68:OMZ72 ODC68:ODD72 NTG68:NTH72 NJK68:NJL72 MZO68:MZP72 MPS68:MPT72 MFW68:MFX72 LWA68:LWB72 LME68:LMF72 LCI68:LCJ72 KSM68:KSN72 KIQ68:KIR72 JYU68:JYV72 JOY68:JOZ72 JFC68:JFD72 IVG68:IVH72 ILK68:ILL72 IBO68:IBP72 HRS68:HRT72 HHW68:HHX72 GYA68:GYB72 GOE68:GOF72 GEI68:GEJ72 FUM68:FUN72 FKQ68:FKR72 FAU68:FAV72 EQY68:EQZ72 EHC68:EHD72 DXG68:DXH72 DNK68:DNL72 DDO68:DDP72 CTS68:CTT72 CJW68:CJX72 CAA68:CAB72 BQE68:BQF72 BGI68:BGJ72 AWM68:AWN72 AMQ68:AMR72 ACU68:ACV72 SY68:SZ72 JC68:JD72 JD73:JD74 SZ73:SZ74 ACV73:ACV74 AMR73:AMR74 AWN73:AWN74 BGJ73:BGJ74 BQF73:BQF74 CAB73:CAB74 CJX73:CJX74 CTT73:CTT74 DDP73:DDP74 DNL73:DNL74 DXH73:DXH74 EHD73:EHD74 EQZ73:EQZ74 FAV73:FAV74 FKR73:FKR74 FUN73:FUN74 GEJ73:GEJ74 GOF73:GOF74 GYB73:GYB74 HHX73:HHX74 HRT73:HRT74 IBP73:IBP74 ILL73:ILL74 IVH73:IVH74 JFD73:JFD74 JOZ73:JOZ74 JYV73:JYV74 KIR73:KIR74 KSN73:KSN74 LCJ73:LCJ74 LMF73:LMF74 LWB73:LWB74 MFX73:MFX74 MPT73:MPT74 MZP73:MZP74 NJL73:NJL74 NTH73:NTH74 ODD73:ODD74 OMZ73:OMZ74 OWV73:OWV74 PGR73:PGR74 PQN73:PQN74 QAJ73:QAJ74 QKF73:QKF74 QUB73:QUB74 RDX73:RDX74 RNT73:RNT74 RXP73:RXP74 SHL73:SHL74 SRH73:SRH74 TBD73:TBD74 TKZ73:TKZ74 TUV73:TUV74 UER73:UER74 UON73:UON74 UYJ73:UYJ74 VIF73:VIF74 VSB73:VSB74 WBX73:WBX74 WLT73:WLT74">
      <formula1>$Q$76:$Q$79</formula1>
    </dataValidation>
    <dataValidation type="list" allowBlank="1" showInputMessage="1" showErrorMessage="1" sqref="WVQ983078 WLU983078 WBY983078 VSC983078 VIG983078 UYK983078 UOO983078 UES983078 TUW983078 TLA983078 TBE983078 SRI983078 SHM983078 RXQ983078 RNU983078 RDY983078 QUC983078 QKG983078 QAK983078 PQO983078 PGS983078 OWW983078 ONA983078 ODE983078 NTI983078 NJM983078 MZQ983078 MPU983078 MFY983078 LWC983078 LMG983078 LCK983078 KSO983078 KIS983078 JYW983078 JPA983078 JFE983078 IVI983078 ILM983078 IBQ983078 HRU983078 HHY983078 GYC983078 GOG983078 GEK983078 FUO983078 FKS983078 FAW983078 ERA983078 EHE983078 DXI983078 DNM983078 DDQ983078 CTU983078 CJY983078 CAC983078 BQG983078 BGK983078 AWO983078 AMS983078 ACW983078 TA983078 JE983078 I983078 WVQ917542 WLU917542 WBY917542 VSC917542 VIG917542 UYK917542 UOO917542 UES917542 TUW917542 TLA917542 TBE917542 SRI917542 SHM917542 RXQ917542 RNU917542 RDY917542 QUC917542 QKG917542 QAK917542 PQO917542 PGS917542 OWW917542 ONA917542 ODE917542 NTI917542 NJM917542 MZQ917542 MPU917542 MFY917542 LWC917542 LMG917542 LCK917542 KSO917542 KIS917542 JYW917542 JPA917542 JFE917542 IVI917542 ILM917542 IBQ917542 HRU917542 HHY917542 GYC917542 GOG917542 GEK917542 FUO917542 FKS917542 FAW917542 ERA917542 EHE917542 DXI917542 DNM917542 DDQ917542 CTU917542 CJY917542 CAC917542 BQG917542 BGK917542 AWO917542 AMS917542 ACW917542 TA917542 JE917542 I917542 WVQ852006 WLU852006 WBY852006 VSC852006 VIG852006 UYK852006 UOO852006 UES852006 TUW852006 TLA852006 TBE852006 SRI852006 SHM852006 RXQ852006 RNU852006 RDY852006 QUC852006 QKG852006 QAK852006 PQO852006 PGS852006 OWW852006 ONA852006 ODE852006 NTI852006 NJM852006 MZQ852006 MPU852006 MFY852006 LWC852006 LMG852006 LCK852006 KSO852006 KIS852006 JYW852006 JPA852006 JFE852006 IVI852006 ILM852006 IBQ852006 HRU852006 HHY852006 GYC852006 GOG852006 GEK852006 FUO852006 FKS852006 FAW852006 ERA852006 EHE852006 DXI852006 DNM852006 DDQ852006 CTU852006 CJY852006 CAC852006 BQG852006 BGK852006 AWO852006 AMS852006 ACW852006 TA852006 JE852006 I852006 WVQ786470 WLU786470 WBY786470 VSC786470 VIG786470 UYK786470 UOO786470 UES786470 TUW786470 TLA786470 TBE786470 SRI786470 SHM786470 RXQ786470 RNU786470 RDY786470 QUC786470 QKG786470 QAK786470 PQO786470 PGS786470 OWW786470 ONA786470 ODE786470 NTI786470 NJM786470 MZQ786470 MPU786470 MFY786470 LWC786470 LMG786470 LCK786470 KSO786470 KIS786470 JYW786470 JPA786470 JFE786470 IVI786470 ILM786470 IBQ786470 HRU786470 HHY786470 GYC786470 GOG786470 GEK786470 FUO786470 FKS786470 FAW786470 ERA786470 EHE786470 DXI786470 DNM786470 DDQ786470 CTU786470 CJY786470 CAC786470 BQG786470 BGK786470 AWO786470 AMS786470 ACW786470 TA786470 JE786470 I786470 WVQ720934 WLU720934 WBY720934 VSC720934 VIG720934 UYK720934 UOO720934 UES720934 TUW720934 TLA720934 TBE720934 SRI720934 SHM720934 RXQ720934 RNU720934 RDY720934 QUC720934 QKG720934 QAK720934 PQO720934 PGS720934 OWW720934 ONA720934 ODE720934 NTI720934 NJM720934 MZQ720934 MPU720934 MFY720934 LWC720934 LMG720934 LCK720934 KSO720934 KIS720934 JYW720934 JPA720934 JFE720934 IVI720934 ILM720934 IBQ720934 HRU720934 HHY720934 GYC720934 GOG720934 GEK720934 FUO720934 FKS720934 FAW720934 ERA720934 EHE720934 DXI720934 DNM720934 DDQ720934 CTU720934 CJY720934 CAC720934 BQG720934 BGK720934 AWO720934 AMS720934 ACW720934 TA720934 JE720934 I720934 WVQ655398 WLU655398 WBY655398 VSC655398 VIG655398 UYK655398 UOO655398 UES655398 TUW655398 TLA655398 TBE655398 SRI655398 SHM655398 RXQ655398 RNU655398 RDY655398 QUC655398 QKG655398 QAK655398 PQO655398 PGS655398 OWW655398 ONA655398 ODE655398 NTI655398 NJM655398 MZQ655398 MPU655398 MFY655398 LWC655398 LMG655398 LCK655398 KSO655398 KIS655398 JYW655398 JPA655398 JFE655398 IVI655398 ILM655398 IBQ655398 HRU655398 HHY655398 GYC655398 GOG655398 GEK655398 FUO655398 FKS655398 FAW655398 ERA655398 EHE655398 DXI655398 DNM655398 DDQ655398 CTU655398 CJY655398 CAC655398 BQG655398 BGK655398 AWO655398 AMS655398 ACW655398 TA655398 JE655398 I655398 WVQ589862 WLU589862 WBY589862 VSC589862 VIG589862 UYK589862 UOO589862 UES589862 TUW589862 TLA589862 TBE589862 SRI589862 SHM589862 RXQ589862 RNU589862 RDY589862 QUC589862 QKG589862 QAK589862 PQO589862 PGS589862 OWW589862 ONA589862 ODE589862 NTI589862 NJM589862 MZQ589862 MPU589862 MFY589862 LWC589862 LMG589862 LCK589862 KSO589862 KIS589862 JYW589862 JPA589862 JFE589862 IVI589862 ILM589862 IBQ589862 HRU589862 HHY589862 GYC589862 GOG589862 GEK589862 FUO589862 FKS589862 FAW589862 ERA589862 EHE589862 DXI589862 DNM589862 DDQ589862 CTU589862 CJY589862 CAC589862 BQG589862 BGK589862 AWO589862 AMS589862 ACW589862 TA589862 JE589862 I589862 WVQ524326 WLU524326 WBY524326 VSC524326 VIG524326 UYK524326 UOO524326 UES524326 TUW524326 TLA524326 TBE524326 SRI524326 SHM524326 RXQ524326 RNU524326 RDY524326 QUC524326 QKG524326 QAK524326 PQO524326 PGS524326 OWW524326 ONA524326 ODE524326 NTI524326 NJM524326 MZQ524326 MPU524326 MFY524326 LWC524326 LMG524326 LCK524326 KSO524326 KIS524326 JYW524326 JPA524326 JFE524326 IVI524326 ILM524326 IBQ524326 HRU524326 HHY524326 GYC524326 GOG524326 GEK524326 FUO524326 FKS524326 FAW524326 ERA524326 EHE524326 DXI524326 DNM524326 DDQ524326 CTU524326 CJY524326 CAC524326 BQG524326 BGK524326 AWO524326 AMS524326 ACW524326 TA524326 JE524326 I524326 WVQ458790 WLU458790 WBY458790 VSC458790 VIG458790 UYK458790 UOO458790 UES458790 TUW458790 TLA458790 TBE458790 SRI458790 SHM458790 RXQ458790 RNU458790 RDY458790 QUC458790 QKG458790 QAK458790 PQO458790 PGS458790 OWW458790 ONA458790 ODE458790 NTI458790 NJM458790 MZQ458790 MPU458790 MFY458790 LWC458790 LMG458790 LCK458790 KSO458790 KIS458790 JYW458790 JPA458790 JFE458790 IVI458790 ILM458790 IBQ458790 HRU458790 HHY458790 GYC458790 GOG458790 GEK458790 FUO458790 FKS458790 FAW458790 ERA458790 EHE458790 DXI458790 DNM458790 DDQ458790 CTU458790 CJY458790 CAC458790 BQG458790 BGK458790 AWO458790 AMS458790 ACW458790 TA458790 JE458790 I458790 WVQ393254 WLU393254 WBY393254 VSC393254 VIG393254 UYK393254 UOO393254 UES393254 TUW393254 TLA393254 TBE393254 SRI393254 SHM393254 RXQ393254 RNU393254 RDY393254 QUC393254 QKG393254 QAK393254 PQO393254 PGS393254 OWW393254 ONA393254 ODE393254 NTI393254 NJM393254 MZQ393254 MPU393254 MFY393254 LWC393254 LMG393254 LCK393254 KSO393254 KIS393254 JYW393254 JPA393254 JFE393254 IVI393254 ILM393254 IBQ393254 HRU393254 HHY393254 GYC393254 GOG393254 GEK393254 FUO393254 FKS393254 FAW393254 ERA393254 EHE393254 DXI393254 DNM393254 DDQ393254 CTU393254 CJY393254 CAC393254 BQG393254 BGK393254 AWO393254 AMS393254 ACW393254 TA393254 JE393254 I393254 WVQ327718 WLU327718 WBY327718 VSC327718 VIG327718 UYK327718 UOO327718 UES327718 TUW327718 TLA327718 TBE327718 SRI327718 SHM327718 RXQ327718 RNU327718 RDY327718 QUC327718 QKG327718 QAK327718 PQO327718 PGS327718 OWW327718 ONA327718 ODE327718 NTI327718 NJM327718 MZQ327718 MPU327718 MFY327718 LWC327718 LMG327718 LCK327718 KSO327718 KIS327718 JYW327718 JPA327718 JFE327718 IVI327718 ILM327718 IBQ327718 HRU327718 HHY327718 GYC327718 GOG327718 GEK327718 FUO327718 FKS327718 FAW327718 ERA327718 EHE327718 DXI327718 DNM327718 DDQ327718 CTU327718 CJY327718 CAC327718 BQG327718 BGK327718 AWO327718 AMS327718 ACW327718 TA327718 JE327718 I327718 WVQ262182 WLU262182 WBY262182 VSC262182 VIG262182 UYK262182 UOO262182 UES262182 TUW262182 TLA262182 TBE262182 SRI262182 SHM262182 RXQ262182 RNU262182 RDY262182 QUC262182 QKG262182 QAK262182 PQO262182 PGS262182 OWW262182 ONA262182 ODE262182 NTI262182 NJM262182 MZQ262182 MPU262182 MFY262182 LWC262182 LMG262182 LCK262182 KSO262182 KIS262182 JYW262182 JPA262182 JFE262182 IVI262182 ILM262182 IBQ262182 HRU262182 HHY262182 GYC262182 GOG262182 GEK262182 FUO262182 FKS262182 FAW262182 ERA262182 EHE262182 DXI262182 DNM262182 DDQ262182 CTU262182 CJY262182 CAC262182 BQG262182 BGK262182 AWO262182 AMS262182 ACW262182 TA262182 JE262182 I262182 WVQ196646 WLU196646 WBY196646 VSC196646 VIG196646 UYK196646 UOO196646 UES196646 TUW196646 TLA196646 TBE196646 SRI196646 SHM196646 RXQ196646 RNU196646 RDY196646 QUC196646 QKG196646 QAK196646 PQO196646 PGS196646 OWW196646 ONA196646 ODE196646 NTI196646 NJM196646 MZQ196646 MPU196646 MFY196646 LWC196646 LMG196646 LCK196646 KSO196646 KIS196646 JYW196646 JPA196646 JFE196646 IVI196646 ILM196646 IBQ196646 HRU196646 HHY196646 GYC196646 GOG196646 GEK196646 FUO196646 FKS196646 FAW196646 ERA196646 EHE196646 DXI196646 DNM196646 DDQ196646 CTU196646 CJY196646 CAC196646 BQG196646 BGK196646 AWO196646 AMS196646 ACW196646 TA196646 JE196646 I196646 WVQ131110 WLU131110 WBY131110 VSC131110 VIG131110 UYK131110 UOO131110 UES131110 TUW131110 TLA131110 TBE131110 SRI131110 SHM131110 RXQ131110 RNU131110 RDY131110 QUC131110 QKG131110 QAK131110 PQO131110 PGS131110 OWW131110 ONA131110 ODE131110 NTI131110 NJM131110 MZQ131110 MPU131110 MFY131110 LWC131110 LMG131110 LCK131110 KSO131110 KIS131110 JYW131110 JPA131110 JFE131110 IVI131110 ILM131110 IBQ131110 HRU131110 HHY131110 GYC131110 GOG131110 GEK131110 FUO131110 FKS131110 FAW131110 ERA131110 EHE131110 DXI131110 DNM131110 DDQ131110 CTU131110 CJY131110 CAC131110 BQG131110 BGK131110 AWO131110 AMS131110 ACW131110 TA131110 JE131110 I131110 WVQ65574 WLU65574 WBY65574 VSC65574 VIG65574 UYK65574 UOO65574 UES65574 TUW65574 TLA65574 TBE65574 SRI65574 SHM65574 RXQ65574 RNU65574 RDY65574 QUC65574 QKG65574 QAK65574 PQO65574 PGS65574 OWW65574 ONA65574 ODE65574 NTI65574 NJM65574 MZQ65574 MPU65574 MFY65574 LWC65574 LMG65574 LCK65574 KSO65574 KIS65574 JYW65574 JPA65574 JFE65574 IVI65574 ILM65574 IBQ65574 HRU65574 HHY65574 GYC65574 GOG65574 GEK65574 FUO65574 FKS65574 FAW65574 ERA65574 EHE65574 DXI65574 DNM65574 DDQ65574 CTU65574 CJY65574 CAC65574 BQG65574 BGK65574 AWO65574 AMS65574 ACW65574 TA65574 JE65574 I65574 JB30:JB35 SX30:SX35 ACT30:ACT35 AMP30:AMP35 AWL30:AWL35 BGH30:BGH35 BQD30:BQD35 BZZ30:BZZ35 CJV30:CJV35 CTR30:CTR35 DDN30:DDN35 DNJ30:DNJ35 DXF30:DXF35 EHB30:EHB35 EQX30:EQX35 FAT30:FAT35 FKP30:FKP35 FUL30:FUL35 GEH30:GEH35 GOD30:GOD35 GXZ30:GXZ35 HHV30:HHV35 HRR30:HRR35 IBN30:IBN35 ILJ30:ILJ35 IVF30:IVF35 JFB30:JFB35 JOX30:JOX35 JYT30:JYT35 KIP30:KIP35 KSL30:KSL35 LCH30:LCH35 LMD30:LMD35 LVZ30:LVZ35 MFV30:MFV35 MPR30:MPR35 MZN30:MZN35 NJJ30:NJJ35 NTF30:NTF35 ODB30:ODB35 OMX30:OMX35 OWT30:OWT35 PGP30:PGP35 PQL30:PQL35 QAH30:QAH35 QKD30:QKD35 QTZ30:QTZ35 RDV30:RDV35 RNR30:RNR35 RXN30:RXN35 SHJ30:SHJ35 SRF30:SRF35 TBB30:TBB35 TKX30:TKX35 TUT30:TUT35 UEP30:UEP35 UOL30:UOL35 UYH30:UYH35 VID30:VID35 VRZ30:VRZ35 WBV30:WBV35 WLR30:WLR35 WVN30:WVN35">
      <formula1>#REF!</formula1>
    </dataValidation>
  </dataValidations>
  <hyperlinks>
    <hyperlink ref="A1" location="'T&amp;V TOC'!A1" display="TOC"/>
  </hyperlinks>
  <pageMargins left="0.25" right="0.25" top="0.75" bottom="0.75" header="0.3" footer="0.3"/>
  <pageSetup scale="61" fitToHeight="2" orientation="landscape" r:id="rId1"/>
  <headerFooter alignWithMargins="0"/>
  <colBreaks count="1" manualBreakCount="1">
    <brk id="10" max="1048575" man="1"/>
  </colBreaks>
</worksheet>
</file>

<file path=xl/worksheets/sheet24.xml><?xml version="1.0" encoding="utf-8"?>
<worksheet xmlns="http://schemas.openxmlformats.org/spreadsheetml/2006/main" xmlns:r="http://schemas.openxmlformats.org/officeDocument/2006/relationships">
  <sheetPr>
    <tabColor theme="3" tint="0.79998168889431442"/>
  </sheetPr>
  <dimension ref="A1:CO61"/>
  <sheetViews>
    <sheetView showGridLines="0" view="pageBreakPreview" zoomScaleNormal="100" zoomScaleSheetLayoutView="100" workbookViewId="0"/>
  </sheetViews>
  <sheetFormatPr defaultRowHeight="12"/>
  <cols>
    <col min="1" max="1" width="9.140625" style="1121"/>
    <col min="2" max="2" width="20" style="1119" customWidth="1"/>
    <col min="3" max="4" width="15.7109375" style="1119" customWidth="1"/>
    <col min="5" max="5" width="18.85546875" style="1119" customWidth="1"/>
    <col min="6" max="6" width="19" style="1119" customWidth="1"/>
    <col min="7" max="7" width="17" style="1119" customWidth="1"/>
    <col min="8" max="8" width="6.28515625" style="1119" customWidth="1"/>
    <col min="9" max="9" width="4.28515625" style="1119" customWidth="1"/>
    <col min="10" max="10" width="35.85546875" style="1119" customWidth="1"/>
    <col min="11" max="11" width="9.140625" style="1123"/>
    <col min="12" max="12" width="65.28515625" style="1121" customWidth="1"/>
    <col min="13" max="13" width="24.7109375" style="1121" customWidth="1"/>
    <col min="14" max="14" width="16.28515625" style="1121" bestFit="1" customWidth="1"/>
    <col min="15" max="15" width="9.28515625" style="1123" customWidth="1"/>
    <col min="16" max="16" width="11.42578125" style="1123" customWidth="1"/>
    <col min="17" max="17" width="9.140625" style="1121" hidden="1" customWidth="1"/>
    <col min="18" max="257" width="9.140625" style="1121"/>
    <col min="258" max="258" width="20" style="1121" customWidth="1"/>
    <col min="259" max="260" width="15.7109375" style="1121" customWidth="1"/>
    <col min="261" max="261" width="18.85546875" style="1121" customWidth="1"/>
    <col min="262" max="262" width="35.7109375" style="1121" customWidth="1"/>
    <col min="263" max="263" width="10.7109375" style="1121" customWidth="1"/>
    <col min="264" max="264" width="6.28515625" style="1121" customWidth="1"/>
    <col min="265" max="265" width="11" style="1121" customWidth="1"/>
    <col min="266" max="266" width="35.85546875" style="1121" customWidth="1"/>
    <col min="267" max="267" width="9.140625" style="1121"/>
    <col min="268" max="268" width="65.28515625" style="1121" customWidth="1"/>
    <col min="269" max="269" width="24.7109375" style="1121" customWidth="1"/>
    <col min="270" max="270" width="16.28515625" style="1121" bestFit="1" customWidth="1"/>
    <col min="271" max="271" width="9.28515625" style="1121" customWidth="1"/>
    <col min="272" max="272" width="11.42578125" style="1121" customWidth="1"/>
    <col min="273" max="273" width="0" style="1121" hidden="1" customWidth="1"/>
    <col min="274" max="513" width="9.140625" style="1121"/>
    <col min="514" max="514" width="20" style="1121" customWidth="1"/>
    <col min="515" max="516" width="15.7109375" style="1121" customWidth="1"/>
    <col min="517" max="517" width="18.85546875" style="1121" customWidth="1"/>
    <col min="518" max="518" width="35.7109375" style="1121" customWidth="1"/>
    <col min="519" max="519" width="10.7109375" style="1121" customWidth="1"/>
    <col min="520" max="520" width="6.28515625" style="1121" customWidth="1"/>
    <col min="521" max="521" width="11" style="1121" customWidth="1"/>
    <col min="522" max="522" width="35.85546875" style="1121" customWidth="1"/>
    <col min="523" max="523" width="9.140625" style="1121"/>
    <col min="524" max="524" width="65.28515625" style="1121" customWidth="1"/>
    <col min="525" max="525" width="24.7109375" style="1121" customWidth="1"/>
    <col min="526" max="526" width="16.28515625" style="1121" bestFit="1" customWidth="1"/>
    <col min="527" max="527" width="9.28515625" style="1121" customWidth="1"/>
    <col min="528" max="528" width="11.42578125" style="1121" customWidth="1"/>
    <col min="529" max="529" width="0" style="1121" hidden="1" customWidth="1"/>
    <col min="530" max="769" width="9.140625" style="1121"/>
    <col min="770" max="770" width="20" style="1121" customWidth="1"/>
    <col min="771" max="772" width="15.7109375" style="1121" customWidth="1"/>
    <col min="773" max="773" width="18.85546875" style="1121" customWidth="1"/>
    <col min="774" max="774" width="35.7109375" style="1121" customWidth="1"/>
    <col min="775" max="775" width="10.7109375" style="1121" customWidth="1"/>
    <col min="776" max="776" width="6.28515625" style="1121" customWidth="1"/>
    <col min="777" max="777" width="11" style="1121" customWidth="1"/>
    <col min="778" max="778" width="35.85546875" style="1121" customWidth="1"/>
    <col min="779" max="779" width="9.140625" style="1121"/>
    <col min="780" max="780" width="65.28515625" style="1121" customWidth="1"/>
    <col min="781" max="781" width="24.7109375" style="1121" customWidth="1"/>
    <col min="782" max="782" width="16.28515625" style="1121" bestFit="1" customWidth="1"/>
    <col min="783" max="783" width="9.28515625" style="1121" customWidth="1"/>
    <col min="784" max="784" width="11.42578125" style="1121" customWidth="1"/>
    <col min="785" max="785" width="0" style="1121" hidden="1" customWidth="1"/>
    <col min="786" max="1025" width="9.140625" style="1121"/>
    <col min="1026" max="1026" width="20" style="1121" customWidth="1"/>
    <col min="1027" max="1028" width="15.7109375" style="1121" customWidth="1"/>
    <col min="1029" max="1029" width="18.85546875" style="1121" customWidth="1"/>
    <col min="1030" max="1030" width="35.7109375" style="1121" customWidth="1"/>
    <col min="1031" max="1031" width="10.7109375" style="1121" customWidth="1"/>
    <col min="1032" max="1032" width="6.28515625" style="1121" customWidth="1"/>
    <col min="1033" max="1033" width="11" style="1121" customWidth="1"/>
    <col min="1034" max="1034" width="35.85546875" style="1121" customWidth="1"/>
    <col min="1035" max="1035" width="9.140625" style="1121"/>
    <col min="1036" max="1036" width="65.28515625" style="1121" customWidth="1"/>
    <col min="1037" max="1037" width="24.7109375" style="1121" customWidth="1"/>
    <col min="1038" max="1038" width="16.28515625" style="1121" bestFit="1" customWidth="1"/>
    <col min="1039" max="1039" width="9.28515625" style="1121" customWidth="1"/>
    <col min="1040" max="1040" width="11.42578125" style="1121" customWidth="1"/>
    <col min="1041" max="1041" width="0" style="1121" hidden="1" customWidth="1"/>
    <col min="1042" max="1281" width="9.140625" style="1121"/>
    <col min="1282" max="1282" width="20" style="1121" customWidth="1"/>
    <col min="1283" max="1284" width="15.7109375" style="1121" customWidth="1"/>
    <col min="1285" max="1285" width="18.85546875" style="1121" customWidth="1"/>
    <col min="1286" max="1286" width="35.7109375" style="1121" customWidth="1"/>
    <col min="1287" max="1287" width="10.7109375" style="1121" customWidth="1"/>
    <col min="1288" max="1288" width="6.28515625" style="1121" customWidth="1"/>
    <col min="1289" max="1289" width="11" style="1121" customWidth="1"/>
    <col min="1290" max="1290" width="35.85546875" style="1121" customWidth="1"/>
    <col min="1291" max="1291" width="9.140625" style="1121"/>
    <col min="1292" max="1292" width="65.28515625" style="1121" customWidth="1"/>
    <col min="1293" max="1293" width="24.7109375" style="1121" customWidth="1"/>
    <col min="1294" max="1294" width="16.28515625" style="1121" bestFit="1" customWidth="1"/>
    <col min="1295" max="1295" width="9.28515625" style="1121" customWidth="1"/>
    <col min="1296" max="1296" width="11.42578125" style="1121" customWidth="1"/>
    <col min="1297" max="1297" width="0" style="1121" hidden="1" customWidth="1"/>
    <col min="1298" max="1537" width="9.140625" style="1121"/>
    <col min="1538" max="1538" width="20" style="1121" customWidth="1"/>
    <col min="1539" max="1540" width="15.7109375" style="1121" customWidth="1"/>
    <col min="1541" max="1541" width="18.85546875" style="1121" customWidth="1"/>
    <col min="1542" max="1542" width="35.7109375" style="1121" customWidth="1"/>
    <col min="1543" max="1543" width="10.7109375" style="1121" customWidth="1"/>
    <col min="1544" max="1544" width="6.28515625" style="1121" customWidth="1"/>
    <col min="1545" max="1545" width="11" style="1121" customWidth="1"/>
    <col min="1546" max="1546" width="35.85546875" style="1121" customWidth="1"/>
    <col min="1547" max="1547" width="9.140625" style="1121"/>
    <col min="1548" max="1548" width="65.28515625" style="1121" customWidth="1"/>
    <col min="1549" max="1549" width="24.7109375" style="1121" customWidth="1"/>
    <col min="1550" max="1550" width="16.28515625" style="1121" bestFit="1" customWidth="1"/>
    <col min="1551" max="1551" width="9.28515625" style="1121" customWidth="1"/>
    <col min="1552" max="1552" width="11.42578125" style="1121" customWidth="1"/>
    <col min="1553" max="1553" width="0" style="1121" hidden="1" customWidth="1"/>
    <col min="1554" max="1793" width="9.140625" style="1121"/>
    <col min="1794" max="1794" width="20" style="1121" customWidth="1"/>
    <col min="1795" max="1796" width="15.7109375" style="1121" customWidth="1"/>
    <col min="1797" max="1797" width="18.85546875" style="1121" customWidth="1"/>
    <col min="1798" max="1798" width="35.7109375" style="1121" customWidth="1"/>
    <col min="1799" max="1799" width="10.7109375" style="1121" customWidth="1"/>
    <col min="1800" max="1800" width="6.28515625" style="1121" customWidth="1"/>
    <col min="1801" max="1801" width="11" style="1121" customWidth="1"/>
    <col min="1802" max="1802" width="35.85546875" style="1121" customWidth="1"/>
    <col min="1803" max="1803" width="9.140625" style="1121"/>
    <col min="1804" max="1804" width="65.28515625" style="1121" customWidth="1"/>
    <col min="1805" max="1805" width="24.7109375" style="1121" customWidth="1"/>
    <col min="1806" max="1806" width="16.28515625" style="1121" bestFit="1" customWidth="1"/>
    <col min="1807" max="1807" width="9.28515625" style="1121" customWidth="1"/>
    <col min="1808" max="1808" width="11.42578125" style="1121" customWidth="1"/>
    <col min="1809" max="1809" width="0" style="1121" hidden="1" customWidth="1"/>
    <col min="1810" max="2049" width="9.140625" style="1121"/>
    <col min="2050" max="2050" width="20" style="1121" customWidth="1"/>
    <col min="2051" max="2052" width="15.7109375" style="1121" customWidth="1"/>
    <col min="2053" max="2053" width="18.85546875" style="1121" customWidth="1"/>
    <col min="2054" max="2054" width="35.7109375" style="1121" customWidth="1"/>
    <col min="2055" max="2055" width="10.7109375" style="1121" customWidth="1"/>
    <col min="2056" max="2056" width="6.28515625" style="1121" customWidth="1"/>
    <col min="2057" max="2057" width="11" style="1121" customWidth="1"/>
    <col min="2058" max="2058" width="35.85546875" style="1121" customWidth="1"/>
    <col min="2059" max="2059" width="9.140625" style="1121"/>
    <col min="2060" max="2060" width="65.28515625" style="1121" customWidth="1"/>
    <col min="2061" max="2061" width="24.7109375" style="1121" customWidth="1"/>
    <col min="2062" max="2062" width="16.28515625" style="1121" bestFit="1" customWidth="1"/>
    <col min="2063" max="2063" width="9.28515625" style="1121" customWidth="1"/>
    <col min="2064" max="2064" width="11.42578125" style="1121" customWidth="1"/>
    <col min="2065" max="2065" width="0" style="1121" hidden="1" customWidth="1"/>
    <col min="2066" max="2305" width="9.140625" style="1121"/>
    <col min="2306" max="2306" width="20" style="1121" customWidth="1"/>
    <col min="2307" max="2308" width="15.7109375" style="1121" customWidth="1"/>
    <col min="2309" max="2309" width="18.85546875" style="1121" customWidth="1"/>
    <col min="2310" max="2310" width="35.7109375" style="1121" customWidth="1"/>
    <col min="2311" max="2311" width="10.7109375" style="1121" customWidth="1"/>
    <col min="2312" max="2312" width="6.28515625" style="1121" customWidth="1"/>
    <col min="2313" max="2313" width="11" style="1121" customWidth="1"/>
    <col min="2314" max="2314" width="35.85546875" style="1121" customWidth="1"/>
    <col min="2315" max="2315" width="9.140625" style="1121"/>
    <col min="2316" max="2316" width="65.28515625" style="1121" customWidth="1"/>
    <col min="2317" max="2317" width="24.7109375" style="1121" customWidth="1"/>
    <col min="2318" max="2318" width="16.28515625" style="1121" bestFit="1" customWidth="1"/>
    <col min="2319" max="2319" width="9.28515625" style="1121" customWidth="1"/>
    <col min="2320" max="2320" width="11.42578125" style="1121" customWidth="1"/>
    <col min="2321" max="2321" width="0" style="1121" hidden="1" customWidth="1"/>
    <col min="2322" max="2561" width="9.140625" style="1121"/>
    <col min="2562" max="2562" width="20" style="1121" customWidth="1"/>
    <col min="2563" max="2564" width="15.7109375" style="1121" customWidth="1"/>
    <col min="2565" max="2565" width="18.85546875" style="1121" customWidth="1"/>
    <col min="2566" max="2566" width="35.7109375" style="1121" customWidth="1"/>
    <col min="2567" max="2567" width="10.7109375" style="1121" customWidth="1"/>
    <col min="2568" max="2568" width="6.28515625" style="1121" customWidth="1"/>
    <col min="2569" max="2569" width="11" style="1121" customWidth="1"/>
    <col min="2570" max="2570" width="35.85546875" style="1121" customWidth="1"/>
    <col min="2571" max="2571" width="9.140625" style="1121"/>
    <col min="2572" max="2572" width="65.28515625" style="1121" customWidth="1"/>
    <col min="2573" max="2573" width="24.7109375" style="1121" customWidth="1"/>
    <col min="2574" max="2574" width="16.28515625" style="1121" bestFit="1" customWidth="1"/>
    <col min="2575" max="2575" width="9.28515625" style="1121" customWidth="1"/>
    <col min="2576" max="2576" width="11.42578125" style="1121" customWidth="1"/>
    <col min="2577" max="2577" width="0" style="1121" hidden="1" customWidth="1"/>
    <col min="2578" max="2817" width="9.140625" style="1121"/>
    <col min="2818" max="2818" width="20" style="1121" customWidth="1"/>
    <col min="2819" max="2820" width="15.7109375" style="1121" customWidth="1"/>
    <col min="2821" max="2821" width="18.85546875" style="1121" customWidth="1"/>
    <col min="2822" max="2822" width="35.7109375" style="1121" customWidth="1"/>
    <col min="2823" max="2823" width="10.7109375" style="1121" customWidth="1"/>
    <col min="2824" max="2824" width="6.28515625" style="1121" customWidth="1"/>
    <col min="2825" max="2825" width="11" style="1121" customWidth="1"/>
    <col min="2826" max="2826" width="35.85546875" style="1121" customWidth="1"/>
    <col min="2827" max="2827" width="9.140625" style="1121"/>
    <col min="2828" max="2828" width="65.28515625" style="1121" customWidth="1"/>
    <col min="2829" max="2829" width="24.7109375" style="1121" customWidth="1"/>
    <col min="2830" max="2830" width="16.28515625" style="1121" bestFit="1" customWidth="1"/>
    <col min="2831" max="2831" width="9.28515625" style="1121" customWidth="1"/>
    <col min="2832" max="2832" width="11.42578125" style="1121" customWidth="1"/>
    <col min="2833" max="2833" width="0" style="1121" hidden="1" customWidth="1"/>
    <col min="2834" max="3073" width="9.140625" style="1121"/>
    <col min="3074" max="3074" width="20" style="1121" customWidth="1"/>
    <col min="3075" max="3076" width="15.7109375" style="1121" customWidth="1"/>
    <col min="3077" max="3077" width="18.85546875" style="1121" customWidth="1"/>
    <col min="3078" max="3078" width="35.7109375" style="1121" customWidth="1"/>
    <col min="3079" max="3079" width="10.7109375" style="1121" customWidth="1"/>
    <col min="3080" max="3080" width="6.28515625" style="1121" customWidth="1"/>
    <col min="3081" max="3081" width="11" style="1121" customWidth="1"/>
    <col min="3082" max="3082" width="35.85546875" style="1121" customWidth="1"/>
    <col min="3083" max="3083" width="9.140625" style="1121"/>
    <col min="3084" max="3084" width="65.28515625" style="1121" customWidth="1"/>
    <col min="3085" max="3085" width="24.7109375" style="1121" customWidth="1"/>
    <col min="3086" max="3086" width="16.28515625" style="1121" bestFit="1" customWidth="1"/>
    <col min="3087" max="3087" width="9.28515625" style="1121" customWidth="1"/>
    <col min="3088" max="3088" width="11.42578125" style="1121" customWidth="1"/>
    <col min="3089" max="3089" width="0" style="1121" hidden="1" customWidth="1"/>
    <col min="3090" max="3329" width="9.140625" style="1121"/>
    <col min="3330" max="3330" width="20" style="1121" customWidth="1"/>
    <col min="3331" max="3332" width="15.7109375" style="1121" customWidth="1"/>
    <col min="3333" max="3333" width="18.85546875" style="1121" customWidth="1"/>
    <col min="3334" max="3334" width="35.7109375" style="1121" customWidth="1"/>
    <col min="3335" max="3335" width="10.7109375" style="1121" customWidth="1"/>
    <col min="3336" max="3336" width="6.28515625" style="1121" customWidth="1"/>
    <col min="3337" max="3337" width="11" style="1121" customWidth="1"/>
    <col min="3338" max="3338" width="35.85546875" style="1121" customWidth="1"/>
    <col min="3339" max="3339" width="9.140625" style="1121"/>
    <col min="3340" max="3340" width="65.28515625" style="1121" customWidth="1"/>
    <col min="3341" max="3341" width="24.7109375" style="1121" customWidth="1"/>
    <col min="3342" max="3342" width="16.28515625" style="1121" bestFit="1" customWidth="1"/>
    <col min="3343" max="3343" width="9.28515625" style="1121" customWidth="1"/>
    <col min="3344" max="3344" width="11.42578125" style="1121" customWidth="1"/>
    <col min="3345" max="3345" width="0" style="1121" hidden="1" customWidth="1"/>
    <col min="3346" max="3585" width="9.140625" style="1121"/>
    <col min="3586" max="3586" width="20" style="1121" customWidth="1"/>
    <col min="3587" max="3588" width="15.7109375" style="1121" customWidth="1"/>
    <col min="3589" max="3589" width="18.85546875" style="1121" customWidth="1"/>
    <col min="3590" max="3590" width="35.7109375" style="1121" customWidth="1"/>
    <col min="3591" max="3591" width="10.7109375" style="1121" customWidth="1"/>
    <col min="3592" max="3592" width="6.28515625" style="1121" customWidth="1"/>
    <col min="3593" max="3593" width="11" style="1121" customWidth="1"/>
    <col min="3594" max="3594" width="35.85546875" style="1121" customWidth="1"/>
    <col min="3595" max="3595" width="9.140625" style="1121"/>
    <col min="3596" max="3596" width="65.28515625" style="1121" customWidth="1"/>
    <col min="3597" max="3597" width="24.7109375" style="1121" customWidth="1"/>
    <col min="3598" max="3598" width="16.28515625" style="1121" bestFit="1" customWidth="1"/>
    <col min="3599" max="3599" width="9.28515625" style="1121" customWidth="1"/>
    <col min="3600" max="3600" width="11.42578125" style="1121" customWidth="1"/>
    <col min="3601" max="3601" width="0" style="1121" hidden="1" customWidth="1"/>
    <col min="3602" max="3841" width="9.140625" style="1121"/>
    <col min="3842" max="3842" width="20" style="1121" customWidth="1"/>
    <col min="3843" max="3844" width="15.7109375" style="1121" customWidth="1"/>
    <col min="3845" max="3845" width="18.85546875" style="1121" customWidth="1"/>
    <col min="3846" max="3846" width="35.7109375" style="1121" customWidth="1"/>
    <col min="3847" max="3847" width="10.7109375" style="1121" customWidth="1"/>
    <col min="3848" max="3848" width="6.28515625" style="1121" customWidth="1"/>
    <col min="3849" max="3849" width="11" style="1121" customWidth="1"/>
    <col min="3850" max="3850" width="35.85546875" style="1121" customWidth="1"/>
    <col min="3851" max="3851" width="9.140625" style="1121"/>
    <col min="3852" max="3852" width="65.28515625" style="1121" customWidth="1"/>
    <col min="3853" max="3853" width="24.7109375" style="1121" customWidth="1"/>
    <col min="3854" max="3854" width="16.28515625" style="1121" bestFit="1" customWidth="1"/>
    <col min="3855" max="3855" width="9.28515625" style="1121" customWidth="1"/>
    <col min="3856" max="3856" width="11.42578125" style="1121" customWidth="1"/>
    <col min="3857" max="3857" width="0" style="1121" hidden="1" customWidth="1"/>
    <col min="3858" max="4097" width="9.140625" style="1121"/>
    <col min="4098" max="4098" width="20" style="1121" customWidth="1"/>
    <col min="4099" max="4100" width="15.7109375" style="1121" customWidth="1"/>
    <col min="4101" max="4101" width="18.85546875" style="1121" customWidth="1"/>
    <col min="4102" max="4102" width="35.7109375" style="1121" customWidth="1"/>
    <col min="4103" max="4103" width="10.7109375" style="1121" customWidth="1"/>
    <col min="4104" max="4104" width="6.28515625" style="1121" customWidth="1"/>
    <col min="4105" max="4105" width="11" style="1121" customWidth="1"/>
    <col min="4106" max="4106" width="35.85546875" style="1121" customWidth="1"/>
    <col min="4107" max="4107" width="9.140625" style="1121"/>
    <col min="4108" max="4108" width="65.28515625" style="1121" customWidth="1"/>
    <col min="4109" max="4109" width="24.7109375" style="1121" customWidth="1"/>
    <col min="4110" max="4110" width="16.28515625" style="1121" bestFit="1" customWidth="1"/>
    <col min="4111" max="4111" width="9.28515625" style="1121" customWidth="1"/>
    <col min="4112" max="4112" width="11.42578125" style="1121" customWidth="1"/>
    <col min="4113" max="4113" width="0" style="1121" hidden="1" customWidth="1"/>
    <col min="4114" max="4353" width="9.140625" style="1121"/>
    <col min="4354" max="4354" width="20" style="1121" customWidth="1"/>
    <col min="4355" max="4356" width="15.7109375" style="1121" customWidth="1"/>
    <col min="4357" max="4357" width="18.85546875" style="1121" customWidth="1"/>
    <col min="4358" max="4358" width="35.7109375" style="1121" customWidth="1"/>
    <col min="4359" max="4359" width="10.7109375" style="1121" customWidth="1"/>
    <col min="4360" max="4360" width="6.28515625" style="1121" customWidth="1"/>
    <col min="4361" max="4361" width="11" style="1121" customWidth="1"/>
    <col min="4362" max="4362" width="35.85546875" style="1121" customWidth="1"/>
    <col min="4363" max="4363" width="9.140625" style="1121"/>
    <col min="4364" max="4364" width="65.28515625" style="1121" customWidth="1"/>
    <col min="4365" max="4365" width="24.7109375" style="1121" customWidth="1"/>
    <col min="4366" max="4366" width="16.28515625" style="1121" bestFit="1" customWidth="1"/>
    <col min="4367" max="4367" width="9.28515625" style="1121" customWidth="1"/>
    <col min="4368" max="4368" width="11.42578125" style="1121" customWidth="1"/>
    <col min="4369" max="4369" width="0" style="1121" hidden="1" customWidth="1"/>
    <col min="4370" max="4609" width="9.140625" style="1121"/>
    <col min="4610" max="4610" width="20" style="1121" customWidth="1"/>
    <col min="4611" max="4612" width="15.7109375" style="1121" customWidth="1"/>
    <col min="4613" max="4613" width="18.85546875" style="1121" customWidth="1"/>
    <col min="4614" max="4614" width="35.7109375" style="1121" customWidth="1"/>
    <col min="4615" max="4615" width="10.7109375" style="1121" customWidth="1"/>
    <col min="4616" max="4616" width="6.28515625" style="1121" customWidth="1"/>
    <col min="4617" max="4617" width="11" style="1121" customWidth="1"/>
    <col min="4618" max="4618" width="35.85546875" style="1121" customWidth="1"/>
    <col min="4619" max="4619" width="9.140625" style="1121"/>
    <col min="4620" max="4620" width="65.28515625" style="1121" customWidth="1"/>
    <col min="4621" max="4621" width="24.7109375" style="1121" customWidth="1"/>
    <col min="4622" max="4622" width="16.28515625" style="1121" bestFit="1" customWidth="1"/>
    <col min="4623" max="4623" width="9.28515625" style="1121" customWidth="1"/>
    <col min="4624" max="4624" width="11.42578125" style="1121" customWidth="1"/>
    <col min="4625" max="4625" width="0" style="1121" hidden="1" customWidth="1"/>
    <col min="4626" max="4865" width="9.140625" style="1121"/>
    <col min="4866" max="4866" width="20" style="1121" customWidth="1"/>
    <col min="4867" max="4868" width="15.7109375" style="1121" customWidth="1"/>
    <col min="4869" max="4869" width="18.85546875" style="1121" customWidth="1"/>
    <col min="4870" max="4870" width="35.7109375" style="1121" customWidth="1"/>
    <col min="4871" max="4871" width="10.7109375" style="1121" customWidth="1"/>
    <col min="4872" max="4872" width="6.28515625" style="1121" customWidth="1"/>
    <col min="4873" max="4873" width="11" style="1121" customWidth="1"/>
    <col min="4874" max="4874" width="35.85546875" style="1121" customWidth="1"/>
    <col min="4875" max="4875" width="9.140625" style="1121"/>
    <col min="4876" max="4876" width="65.28515625" style="1121" customWidth="1"/>
    <col min="4877" max="4877" width="24.7109375" style="1121" customWidth="1"/>
    <col min="4878" max="4878" width="16.28515625" style="1121" bestFit="1" customWidth="1"/>
    <col min="4879" max="4879" width="9.28515625" style="1121" customWidth="1"/>
    <col min="4880" max="4880" width="11.42578125" style="1121" customWidth="1"/>
    <col min="4881" max="4881" width="0" style="1121" hidden="1" customWidth="1"/>
    <col min="4882" max="5121" width="9.140625" style="1121"/>
    <col min="5122" max="5122" width="20" style="1121" customWidth="1"/>
    <col min="5123" max="5124" width="15.7109375" style="1121" customWidth="1"/>
    <col min="5125" max="5125" width="18.85546875" style="1121" customWidth="1"/>
    <col min="5126" max="5126" width="35.7109375" style="1121" customWidth="1"/>
    <col min="5127" max="5127" width="10.7109375" style="1121" customWidth="1"/>
    <col min="5128" max="5128" width="6.28515625" style="1121" customWidth="1"/>
    <col min="5129" max="5129" width="11" style="1121" customWidth="1"/>
    <col min="5130" max="5130" width="35.85546875" style="1121" customWidth="1"/>
    <col min="5131" max="5131" width="9.140625" style="1121"/>
    <col min="5132" max="5132" width="65.28515625" style="1121" customWidth="1"/>
    <col min="5133" max="5133" width="24.7109375" style="1121" customWidth="1"/>
    <col min="5134" max="5134" width="16.28515625" style="1121" bestFit="1" customWidth="1"/>
    <col min="5135" max="5135" width="9.28515625" style="1121" customWidth="1"/>
    <col min="5136" max="5136" width="11.42578125" style="1121" customWidth="1"/>
    <col min="5137" max="5137" width="0" style="1121" hidden="1" customWidth="1"/>
    <col min="5138" max="5377" width="9.140625" style="1121"/>
    <col min="5378" max="5378" width="20" style="1121" customWidth="1"/>
    <col min="5379" max="5380" width="15.7109375" style="1121" customWidth="1"/>
    <col min="5381" max="5381" width="18.85546875" style="1121" customWidth="1"/>
    <col min="5382" max="5382" width="35.7109375" style="1121" customWidth="1"/>
    <col min="5383" max="5383" width="10.7109375" style="1121" customWidth="1"/>
    <col min="5384" max="5384" width="6.28515625" style="1121" customWidth="1"/>
    <col min="5385" max="5385" width="11" style="1121" customWidth="1"/>
    <col min="5386" max="5386" width="35.85546875" style="1121" customWidth="1"/>
    <col min="5387" max="5387" width="9.140625" style="1121"/>
    <col min="5388" max="5388" width="65.28515625" style="1121" customWidth="1"/>
    <col min="5389" max="5389" width="24.7109375" style="1121" customWidth="1"/>
    <col min="5390" max="5390" width="16.28515625" style="1121" bestFit="1" customWidth="1"/>
    <col min="5391" max="5391" width="9.28515625" style="1121" customWidth="1"/>
    <col min="5392" max="5392" width="11.42578125" style="1121" customWidth="1"/>
    <col min="5393" max="5393" width="0" style="1121" hidden="1" customWidth="1"/>
    <col min="5394" max="5633" width="9.140625" style="1121"/>
    <col min="5634" max="5634" width="20" style="1121" customWidth="1"/>
    <col min="5635" max="5636" width="15.7109375" style="1121" customWidth="1"/>
    <col min="5637" max="5637" width="18.85546875" style="1121" customWidth="1"/>
    <col min="5638" max="5638" width="35.7109375" style="1121" customWidth="1"/>
    <col min="5639" max="5639" width="10.7109375" style="1121" customWidth="1"/>
    <col min="5640" max="5640" width="6.28515625" style="1121" customWidth="1"/>
    <col min="5641" max="5641" width="11" style="1121" customWidth="1"/>
    <col min="5642" max="5642" width="35.85546875" style="1121" customWidth="1"/>
    <col min="5643" max="5643" width="9.140625" style="1121"/>
    <col min="5644" max="5644" width="65.28515625" style="1121" customWidth="1"/>
    <col min="5645" max="5645" width="24.7109375" style="1121" customWidth="1"/>
    <col min="5646" max="5646" width="16.28515625" style="1121" bestFit="1" customWidth="1"/>
    <col min="5647" max="5647" width="9.28515625" style="1121" customWidth="1"/>
    <col min="5648" max="5648" width="11.42578125" style="1121" customWidth="1"/>
    <col min="5649" max="5649" width="0" style="1121" hidden="1" customWidth="1"/>
    <col min="5650" max="5889" width="9.140625" style="1121"/>
    <col min="5890" max="5890" width="20" style="1121" customWidth="1"/>
    <col min="5891" max="5892" width="15.7109375" style="1121" customWidth="1"/>
    <col min="5893" max="5893" width="18.85546875" style="1121" customWidth="1"/>
    <col min="5894" max="5894" width="35.7109375" style="1121" customWidth="1"/>
    <col min="5895" max="5895" width="10.7109375" style="1121" customWidth="1"/>
    <col min="5896" max="5896" width="6.28515625" style="1121" customWidth="1"/>
    <col min="5897" max="5897" width="11" style="1121" customWidth="1"/>
    <col min="5898" max="5898" width="35.85546875" style="1121" customWidth="1"/>
    <col min="5899" max="5899" width="9.140625" style="1121"/>
    <col min="5900" max="5900" width="65.28515625" style="1121" customWidth="1"/>
    <col min="5901" max="5901" width="24.7109375" style="1121" customWidth="1"/>
    <col min="5902" max="5902" width="16.28515625" style="1121" bestFit="1" customWidth="1"/>
    <col min="5903" max="5903" width="9.28515625" style="1121" customWidth="1"/>
    <col min="5904" max="5904" width="11.42578125" style="1121" customWidth="1"/>
    <col min="5905" max="5905" width="0" style="1121" hidden="1" customWidth="1"/>
    <col min="5906" max="6145" width="9.140625" style="1121"/>
    <col min="6146" max="6146" width="20" style="1121" customWidth="1"/>
    <col min="6147" max="6148" width="15.7109375" style="1121" customWidth="1"/>
    <col min="6149" max="6149" width="18.85546875" style="1121" customWidth="1"/>
    <col min="6150" max="6150" width="35.7109375" style="1121" customWidth="1"/>
    <col min="6151" max="6151" width="10.7109375" style="1121" customWidth="1"/>
    <col min="6152" max="6152" width="6.28515625" style="1121" customWidth="1"/>
    <col min="6153" max="6153" width="11" style="1121" customWidth="1"/>
    <col min="6154" max="6154" width="35.85546875" style="1121" customWidth="1"/>
    <col min="6155" max="6155" width="9.140625" style="1121"/>
    <col min="6156" max="6156" width="65.28515625" style="1121" customWidth="1"/>
    <col min="6157" max="6157" width="24.7109375" style="1121" customWidth="1"/>
    <col min="6158" max="6158" width="16.28515625" style="1121" bestFit="1" customWidth="1"/>
    <col min="6159" max="6159" width="9.28515625" style="1121" customWidth="1"/>
    <col min="6160" max="6160" width="11.42578125" style="1121" customWidth="1"/>
    <col min="6161" max="6161" width="0" style="1121" hidden="1" customWidth="1"/>
    <col min="6162" max="6401" width="9.140625" style="1121"/>
    <col min="6402" max="6402" width="20" style="1121" customWidth="1"/>
    <col min="6403" max="6404" width="15.7109375" style="1121" customWidth="1"/>
    <col min="6405" max="6405" width="18.85546875" style="1121" customWidth="1"/>
    <col min="6406" max="6406" width="35.7109375" style="1121" customWidth="1"/>
    <col min="6407" max="6407" width="10.7109375" style="1121" customWidth="1"/>
    <col min="6408" max="6408" width="6.28515625" style="1121" customWidth="1"/>
    <col min="6409" max="6409" width="11" style="1121" customWidth="1"/>
    <col min="6410" max="6410" width="35.85546875" style="1121" customWidth="1"/>
    <col min="6411" max="6411" width="9.140625" style="1121"/>
    <col min="6412" max="6412" width="65.28515625" style="1121" customWidth="1"/>
    <col min="6413" max="6413" width="24.7109375" style="1121" customWidth="1"/>
    <col min="6414" max="6414" width="16.28515625" style="1121" bestFit="1" customWidth="1"/>
    <col min="6415" max="6415" width="9.28515625" style="1121" customWidth="1"/>
    <col min="6416" max="6416" width="11.42578125" style="1121" customWidth="1"/>
    <col min="6417" max="6417" width="0" style="1121" hidden="1" customWidth="1"/>
    <col min="6418" max="6657" width="9.140625" style="1121"/>
    <col min="6658" max="6658" width="20" style="1121" customWidth="1"/>
    <col min="6659" max="6660" width="15.7109375" style="1121" customWidth="1"/>
    <col min="6661" max="6661" width="18.85546875" style="1121" customWidth="1"/>
    <col min="6662" max="6662" width="35.7109375" style="1121" customWidth="1"/>
    <col min="6663" max="6663" width="10.7109375" style="1121" customWidth="1"/>
    <col min="6664" max="6664" width="6.28515625" style="1121" customWidth="1"/>
    <col min="6665" max="6665" width="11" style="1121" customWidth="1"/>
    <col min="6666" max="6666" width="35.85546875" style="1121" customWidth="1"/>
    <col min="6667" max="6667" width="9.140625" style="1121"/>
    <col min="6668" max="6668" width="65.28515625" style="1121" customWidth="1"/>
    <col min="6669" max="6669" width="24.7109375" style="1121" customWidth="1"/>
    <col min="6670" max="6670" width="16.28515625" style="1121" bestFit="1" customWidth="1"/>
    <col min="6671" max="6671" width="9.28515625" style="1121" customWidth="1"/>
    <col min="6672" max="6672" width="11.42578125" style="1121" customWidth="1"/>
    <col min="6673" max="6673" width="0" style="1121" hidden="1" customWidth="1"/>
    <col min="6674" max="6913" width="9.140625" style="1121"/>
    <col min="6914" max="6914" width="20" style="1121" customWidth="1"/>
    <col min="6915" max="6916" width="15.7109375" style="1121" customWidth="1"/>
    <col min="6917" max="6917" width="18.85546875" style="1121" customWidth="1"/>
    <col min="6918" max="6918" width="35.7109375" style="1121" customWidth="1"/>
    <col min="6919" max="6919" width="10.7109375" style="1121" customWidth="1"/>
    <col min="6920" max="6920" width="6.28515625" style="1121" customWidth="1"/>
    <col min="6921" max="6921" width="11" style="1121" customWidth="1"/>
    <col min="6922" max="6922" width="35.85546875" style="1121" customWidth="1"/>
    <col min="6923" max="6923" width="9.140625" style="1121"/>
    <col min="6924" max="6924" width="65.28515625" style="1121" customWidth="1"/>
    <col min="6925" max="6925" width="24.7109375" style="1121" customWidth="1"/>
    <col min="6926" max="6926" width="16.28515625" style="1121" bestFit="1" customWidth="1"/>
    <col min="6927" max="6927" width="9.28515625" style="1121" customWidth="1"/>
    <col min="6928" max="6928" width="11.42578125" style="1121" customWidth="1"/>
    <col min="6929" max="6929" width="0" style="1121" hidden="1" customWidth="1"/>
    <col min="6930" max="7169" width="9.140625" style="1121"/>
    <col min="7170" max="7170" width="20" style="1121" customWidth="1"/>
    <col min="7171" max="7172" width="15.7109375" style="1121" customWidth="1"/>
    <col min="7173" max="7173" width="18.85546875" style="1121" customWidth="1"/>
    <col min="7174" max="7174" width="35.7109375" style="1121" customWidth="1"/>
    <col min="7175" max="7175" width="10.7109375" style="1121" customWidth="1"/>
    <col min="7176" max="7176" width="6.28515625" style="1121" customWidth="1"/>
    <col min="7177" max="7177" width="11" style="1121" customWidth="1"/>
    <col min="7178" max="7178" width="35.85546875" style="1121" customWidth="1"/>
    <col min="7179" max="7179" width="9.140625" style="1121"/>
    <col min="7180" max="7180" width="65.28515625" style="1121" customWidth="1"/>
    <col min="7181" max="7181" width="24.7109375" style="1121" customWidth="1"/>
    <col min="7182" max="7182" width="16.28515625" style="1121" bestFit="1" customWidth="1"/>
    <col min="7183" max="7183" width="9.28515625" style="1121" customWidth="1"/>
    <col min="7184" max="7184" width="11.42578125" style="1121" customWidth="1"/>
    <col min="7185" max="7185" width="0" style="1121" hidden="1" customWidth="1"/>
    <col min="7186" max="7425" width="9.140625" style="1121"/>
    <col min="7426" max="7426" width="20" style="1121" customWidth="1"/>
    <col min="7427" max="7428" width="15.7109375" style="1121" customWidth="1"/>
    <col min="7429" max="7429" width="18.85546875" style="1121" customWidth="1"/>
    <col min="7430" max="7430" width="35.7109375" style="1121" customWidth="1"/>
    <col min="7431" max="7431" width="10.7109375" style="1121" customWidth="1"/>
    <col min="7432" max="7432" width="6.28515625" style="1121" customWidth="1"/>
    <col min="7433" max="7433" width="11" style="1121" customWidth="1"/>
    <col min="7434" max="7434" width="35.85546875" style="1121" customWidth="1"/>
    <col min="7435" max="7435" width="9.140625" style="1121"/>
    <col min="7436" max="7436" width="65.28515625" style="1121" customWidth="1"/>
    <col min="7437" max="7437" width="24.7109375" style="1121" customWidth="1"/>
    <col min="7438" max="7438" width="16.28515625" style="1121" bestFit="1" customWidth="1"/>
    <col min="7439" max="7439" width="9.28515625" style="1121" customWidth="1"/>
    <col min="7440" max="7440" width="11.42578125" style="1121" customWidth="1"/>
    <col min="7441" max="7441" width="0" style="1121" hidden="1" customWidth="1"/>
    <col min="7442" max="7681" width="9.140625" style="1121"/>
    <col min="7682" max="7682" width="20" style="1121" customWidth="1"/>
    <col min="7683" max="7684" width="15.7109375" style="1121" customWidth="1"/>
    <col min="7685" max="7685" width="18.85546875" style="1121" customWidth="1"/>
    <col min="7686" max="7686" width="35.7109375" style="1121" customWidth="1"/>
    <col min="7687" max="7687" width="10.7109375" style="1121" customWidth="1"/>
    <col min="7688" max="7688" width="6.28515625" style="1121" customWidth="1"/>
    <col min="7689" max="7689" width="11" style="1121" customWidth="1"/>
    <col min="7690" max="7690" width="35.85546875" style="1121" customWidth="1"/>
    <col min="7691" max="7691" width="9.140625" style="1121"/>
    <col min="7692" max="7692" width="65.28515625" style="1121" customWidth="1"/>
    <col min="7693" max="7693" width="24.7109375" style="1121" customWidth="1"/>
    <col min="7694" max="7694" width="16.28515625" style="1121" bestFit="1" customWidth="1"/>
    <col min="7695" max="7695" width="9.28515625" style="1121" customWidth="1"/>
    <col min="7696" max="7696" width="11.42578125" style="1121" customWidth="1"/>
    <col min="7697" max="7697" width="0" style="1121" hidden="1" customWidth="1"/>
    <col min="7698" max="7937" width="9.140625" style="1121"/>
    <col min="7938" max="7938" width="20" style="1121" customWidth="1"/>
    <col min="7939" max="7940" width="15.7109375" style="1121" customWidth="1"/>
    <col min="7941" max="7941" width="18.85546875" style="1121" customWidth="1"/>
    <col min="7942" max="7942" width="35.7109375" style="1121" customWidth="1"/>
    <col min="7943" max="7943" width="10.7109375" style="1121" customWidth="1"/>
    <col min="7944" max="7944" width="6.28515625" style="1121" customWidth="1"/>
    <col min="7945" max="7945" width="11" style="1121" customWidth="1"/>
    <col min="7946" max="7946" width="35.85546875" style="1121" customWidth="1"/>
    <col min="7947" max="7947" width="9.140625" style="1121"/>
    <col min="7948" max="7948" width="65.28515625" style="1121" customWidth="1"/>
    <col min="7949" max="7949" width="24.7109375" style="1121" customWidth="1"/>
    <col min="7950" max="7950" width="16.28515625" style="1121" bestFit="1" customWidth="1"/>
    <col min="7951" max="7951" width="9.28515625" style="1121" customWidth="1"/>
    <col min="7952" max="7952" width="11.42578125" style="1121" customWidth="1"/>
    <col min="7953" max="7953" width="0" style="1121" hidden="1" customWidth="1"/>
    <col min="7954" max="8193" width="9.140625" style="1121"/>
    <col min="8194" max="8194" width="20" style="1121" customWidth="1"/>
    <col min="8195" max="8196" width="15.7109375" style="1121" customWidth="1"/>
    <col min="8197" max="8197" width="18.85546875" style="1121" customWidth="1"/>
    <col min="8198" max="8198" width="35.7109375" style="1121" customWidth="1"/>
    <col min="8199" max="8199" width="10.7109375" style="1121" customWidth="1"/>
    <col min="8200" max="8200" width="6.28515625" style="1121" customWidth="1"/>
    <col min="8201" max="8201" width="11" style="1121" customWidth="1"/>
    <col min="8202" max="8202" width="35.85546875" style="1121" customWidth="1"/>
    <col min="8203" max="8203" width="9.140625" style="1121"/>
    <col min="8204" max="8204" width="65.28515625" style="1121" customWidth="1"/>
    <col min="8205" max="8205" width="24.7109375" style="1121" customWidth="1"/>
    <col min="8206" max="8206" width="16.28515625" style="1121" bestFit="1" customWidth="1"/>
    <col min="8207" max="8207" width="9.28515625" style="1121" customWidth="1"/>
    <col min="8208" max="8208" width="11.42578125" style="1121" customWidth="1"/>
    <col min="8209" max="8209" width="0" style="1121" hidden="1" customWidth="1"/>
    <col min="8210" max="8449" width="9.140625" style="1121"/>
    <col min="8450" max="8450" width="20" style="1121" customWidth="1"/>
    <col min="8451" max="8452" width="15.7109375" style="1121" customWidth="1"/>
    <col min="8453" max="8453" width="18.85546875" style="1121" customWidth="1"/>
    <col min="8454" max="8454" width="35.7109375" style="1121" customWidth="1"/>
    <col min="8455" max="8455" width="10.7109375" style="1121" customWidth="1"/>
    <col min="8456" max="8456" width="6.28515625" style="1121" customWidth="1"/>
    <col min="8457" max="8457" width="11" style="1121" customWidth="1"/>
    <col min="8458" max="8458" width="35.85546875" style="1121" customWidth="1"/>
    <col min="8459" max="8459" width="9.140625" style="1121"/>
    <col min="8460" max="8460" width="65.28515625" style="1121" customWidth="1"/>
    <col min="8461" max="8461" width="24.7109375" style="1121" customWidth="1"/>
    <col min="8462" max="8462" width="16.28515625" style="1121" bestFit="1" customWidth="1"/>
    <col min="8463" max="8463" width="9.28515625" style="1121" customWidth="1"/>
    <col min="8464" max="8464" width="11.42578125" style="1121" customWidth="1"/>
    <col min="8465" max="8465" width="0" style="1121" hidden="1" customWidth="1"/>
    <col min="8466" max="8705" width="9.140625" style="1121"/>
    <col min="8706" max="8706" width="20" style="1121" customWidth="1"/>
    <col min="8707" max="8708" width="15.7109375" style="1121" customWidth="1"/>
    <col min="8709" max="8709" width="18.85546875" style="1121" customWidth="1"/>
    <col min="8710" max="8710" width="35.7109375" style="1121" customWidth="1"/>
    <col min="8711" max="8711" width="10.7109375" style="1121" customWidth="1"/>
    <col min="8712" max="8712" width="6.28515625" style="1121" customWidth="1"/>
    <col min="8713" max="8713" width="11" style="1121" customWidth="1"/>
    <col min="8714" max="8714" width="35.85546875" style="1121" customWidth="1"/>
    <col min="8715" max="8715" width="9.140625" style="1121"/>
    <col min="8716" max="8716" width="65.28515625" style="1121" customWidth="1"/>
    <col min="8717" max="8717" width="24.7109375" style="1121" customWidth="1"/>
    <col min="8718" max="8718" width="16.28515625" style="1121" bestFit="1" customWidth="1"/>
    <col min="8719" max="8719" width="9.28515625" style="1121" customWidth="1"/>
    <col min="8720" max="8720" width="11.42578125" style="1121" customWidth="1"/>
    <col min="8721" max="8721" width="0" style="1121" hidden="1" customWidth="1"/>
    <col min="8722" max="8961" width="9.140625" style="1121"/>
    <col min="8962" max="8962" width="20" style="1121" customWidth="1"/>
    <col min="8963" max="8964" width="15.7109375" style="1121" customWidth="1"/>
    <col min="8965" max="8965" width="18.85546875" style="1121" customWidth="1"/>
    <col min="8966" max="8966" width="35.7109375" style="1121" customWidth="1"/>
    <col min="8967" max="8967" width="10.7109375" style="1121" customWidth="1"/>
    <col min="8968" max="8968" width="6.28515625" style="1121" customWidth="1"/>
    <col min="8969" max="8969" width="11" style="1121" customWidth="1"/>
    <col min="8970" max="8970" width="35.85546875" style="1121" customWidth="1"/>
    <col min="8971" max="8971" width="9.140625" style="1121"/>
    <col min="8972" max="8972" width="65.28515625" style="1121" customWidth="1"/>
    <col min="8973" max="8973" width="24.7109375" style="1121" customWidth="1"/>
    <col min="8974" max="8974" width="16.28515625" style="1121" bestFit="1" customWidth="1"/>
    <col min="8975" max="8975" width="9.28515625" style="1121" customWidth="1"/>
    <col min="8976" max="8976" width="11.42578125" style="1121" customWidth="1"/>
    <col min="8977" max="8977" width="0" style="1121" hidden="1" customWidth="1"/>
    <col min="8978" max="9217" width="9.140625" style="1121"/>
    <col min="9218" max="9218" width="20" style="1121" customWidth="1"/>
    <col min="9219" max="9220" width="15.7109375" style="1121" customWidth="1"/>
    <col min="9221" max="9221" width="18.85546875" style="1121" customWidth="1"/>
    <col min="9222" max="9222" width="35.7109375" style="1121" customWidth="1"/>
    <col min="9223" max="9223" width="10.7109375" style="1121" customWidth="1"/>
    <col min="9224" max="9224" width="6.28515625" style="1121" customWidth="1"/>
    <col min="9225" max="9225" width="11" style="1121" customWidth="1"/>
    <col min="9226" max="9226" width="35.85546875" style="1121" customWidth="1"/>
    <col min="9227" max="9227" width="9.140625" style="1121"/>
    <col min="9228" max="9228" width="65.28515625" style="1121" customWidth="1"/>
    <col min="9229" max="9229" width="24.7109375" style="1121" customWidth="1"/>
    <col min="9230" max="9230" width="16.28515625" style="1121" bestFit="1" customWidth="1"/>
    <col min="9231" max="9231" width="9.28515625" style="1121" customWidth="1"/>
    <col min="9232" max="9232" width="11.42578125" style="1121" customWidth="1"/>
    <col min="9233" max="9233" width="0" style="1121" hidden="1" customWidth="1"/>
    <col min="9234" max="9473" width="9.140625" style="1121"/>
    <col min="9474" max="9474" width="20" style="1121" customWidth="1"/>
    <col min="9475" max="9476" width="15.7109375" style="1121" customWidth="1"/>
    <col min="9477" max="9477" width="18.85546875" style="1121" customWidth="1"/>
    <col min="9478" max="9478" width="35.7109375" style="1121" customWidth="1"/>
    <col min="9479" max="9479" width="10.7109375" style="1121" customWidth="1"/>
    <col min="9480" max="9480" width="6.28515625" style="1121" customWidth="1"/>
    <col min="9481" max="9481" width="11" style="1121" customWidth="1"/>
    <col min="9482" max="9482" width="35.85546875" style="1121" customWidth="1"/>
    <col min="9483" max="9483" width="9.140625" style="1121"/>
    <col min="9484" max="9484" width="65.28515625" style="1121" customWidth="1"/>
    <col min="9485" max="9485" width="24.7109375" style="1121" customWidth="1"/>
    <col min="9486" max="9486" width="16.28515625" style="1121" bestFit="1" customWidth="1"/>
    <col min="9487" max="9487" width="9.28515625" style="1121" customWidth="1"/>
    <col min="9488" max="9488" width="11.42578125" style="1121" customWidth="1"/>
    <col min="9489" max="9489" width="0" style="1121" hidden="1" customWidth="1"/>
    <col min="9490" max="9729" width="9.140625" style="1121"/>
    <col min="9730" max="9730" width="20" style="1121" customWidth="1"/>
    <col min="9731" max="9732" width="15.7109375" style="1121" customWidth="1"/>
    <col min="9733" max="9733" width="18.85546875" style="1121" customWidth="1"/>
    <col min="9734" max="9734" width="35.7109375" style="1121" customWidth="1"/>
    <col min="9735" max="9735" width="10.7109375" style="1121" customWidth="1"/>
    <col min="9736" max="9736" width="6.28515625" style="1121" customWidth="1"/>
    <col min="9737" max="9737" width="11" style="1121" customWidth="1"/>
    <col min="9738" max="9738" width="35.85546875" style="1121" customWidth="1"/>
    <col min="9739" max="9739" width="9.140625" style="1121"/>
    <col min="9740" max="9740" width="65.28515625" style="1121" customWidth="1"/>
    <col min="9741" max="9741" width="24.7109375" style="1121" customWidth="1"/>
    <col min="9742" max="9742" width="16.28515625" style="1121" bestFit="1" customWidth="1"/>
    <col min="9743" max="9743" width="9.28515625" style="1121" customWidth="1"/>
    <col min="9744" max="9744" width="11.42578125" style="1121" customWidth="1"/>
    <col min="9745" max="9745" width="0" style="1121" hidden="1" customWidth="1"/>
    <col min="9746" max="9985" width="9.140625" style="1121"/>
    <col min="9986" max="9986" width="20" style="1121" customWidth="1"/>
    <col min="9987" max="9988" width="15.7109375" style="1121" customWidth="1"/>
    <col min="9989" max="9989" width="18.85546875" style="1121" customWidth="1"/>
    <col min="9990" max="9990" width="35.7109375" style="1121" customWidth="1"/>
    <col min="9991" max="9991" width="10.7109375" style="1121" customWidth="1"/>
    <col min="9992" max="9992" width="6.28515625" style="1121" customWidth="1"/>
    <col min="9993" max="9993" width="11" style="1121" customWidth="1"/>
    <col min="9994" max="9994" width="35.85546875" style="1121" customWidth="1"/>
    <col min="9995" max="9995" width="9.140625" style="1121"/>
    <col min="9996" max="9996" width="65.28515625" style="1121" customWidth="1"/>
    <col min="9997" max="9997" width="24.7109375" style="1121" customWidth="1"/>
    <col min="9998" max="9998" width="16.28515625" style="1121" bestFit="1" customWidth="1"/>
    <col min="9999" max="9999" width="9.28515625" style="1121" customWidth="1"/>
    <col min="10000" max="10000" width="11.42578125" style="1121" customWidth="1"/>
    <col min="10001" max="10001" width="0" style="1121" hidden="1" customWidth="1"/>
    <col min="10002" max="10241" width="9.140625" style="1121"/>
    <col min="10242" max="10242" width="20" style="1121" customWidth="1"/>
    <col min="10243" max="10244" width="15.7109375" style="1121" customWidth="1"/>
    <col min="10245" max="10245" width="18.85546875" style="1121" customWidth="1"/>
    <col min="10246" max="10246" width="35.7109375" style="1121" customWidth="1"/>
    <col min="10247" max="10247" width="10.7109375" style="1121" customWidth="1"/>
    <col min="10248" max="10248" width="6.28515625" style="1121" customWidth="1"/>
    <col min="10249" max="10249" width="11" style="1121" customWidth="1"/>
    <col min="10250" max="10250" width="35.85546875" style="1121" customWidth="1"/>
    <col min="10251" max="10251" width="9.140625" style="1121"/>
    <col min="10252" max="10252" width="65.28515625" style="1121" customWidth="1"/>
    <col min="10253" max="10253" width="24.7109375" style="1121" customWidth="1"/>
    <col min="10254" max="10254" width="16.28515625" style="1121" bestFit="1" customWidth="1"/>
    <col min="10255" max="10255" width="9.28515625" style="1121" customWidth="1"/>
    <col min="10256" max="10256" width="11.42578125" style="1121" customWidth="1"/>
    <col min="10257" max="10257" width="0" style="1121" hidden="1" customWidth="1"/>
    <col min="10258" max="10497" width="9.140625" style="1121"/>
    <col min="10498" max="10498" width="20" style="1121" customWidth="1"/>
    <col min="10499" max="10500" width="15.7109375" style="1121" customWidth="1"/>
    <col min="10501" max="10501" width="18.85546875" style="1121" customWidth="1"/>
    <col min="10502" max="10502" width="35.7109375" style="1121" customWidth="1"/>
    <col min="10503" max="10503" width="10.7109375" style="1121" customWidth="1"/>
    <col min="10504" max="10504" width="6.28515625" style="1121" customWidth="1"/>
    <col min="10505" max="10505" width="11" style="1121" customWidth="1"/>
    <col min="10506" max="10506" width="35.85546875" style="1121" customWidth="1"/>
    <col min="10507" max="10507" width="9.140625" style="1121"/>
    <col min="10508" max="10508" width="65.28515625" style="1121" customWidth="1"/>
    <col min="10509" max="10509" width="24.7109375" style="1121" customWidth="1"/>
    <col min="10510" max="10510" width="16.28515625" style="1121" bestFit="1" customWidth="1"/>
    <col min="10511" max="10511" width="9.28515625" style="1121" customWidth="1"/>
    <col min="10512" max="10512" width="11.42578125" style="1121" customWidth="1"/>
    <col min="10513" max="10513" width="0" style="1121" hidden="1" customWidth="1"/>
    <col min="10514" max="10753" width="9.140625" style="1121"/>
    <col min="10754" max="10754" width="20" style="1121" customWidth="1"/>
    <col min="10755" max="10756" width="15.7109375" style="1121" customWidth="1"/>
    <col min="10757" max="10757" width="18.85546875" style="1121" customWidth="1"/>
    <col min="10758" max="10758" width="35.7109375" style="1121" customWidth="1"/>
    <col min="10759" max="10759" width="10.7109375" style="1121" customWidth="1"/>
    <col min="10760" max="10760" width="6.28515625" style="1121" customWidth="1"/>
    <col min="10761" max="10761" width="11" style="1121" customWidth="1"/>
    <col min="10762" max="10762" width="35.85546875" style="1121" customWidth="1"/>
    <col min="10763" max="10763" width="9.140625" style="1121"/>
    <col min="10764" max="10764" width="65.28515625" style="1121" customWidth="1"/>
    <col min="10765" max="10765" width="24.7109375" style="1121" customWidth="1"/>
    <col min="10766" max="10766" width="16.28515625" style="1121" bestFit="1" customWidth="1"/>
    <col min="10767" max="10767" width="9.28515625" style="1121" customWidth="1"/>
    <col min="10768" max="10768" width="11.42578125" style="1121" customWidth="1"/>
    <col min="10769" max="10769" width="0" style="1121" hidden="1" customWidth="1"/>
    <col min="10770" max="11009" width="9.140625" style="1121"/>
    <col min="11010" max="11010" width="20" style="1121" customWidth="1"/>
    <col min="11011" max="11012" width="15.7109375" style="1121" customWidth="1"/>
    <col min="11013" max="11013" width="18.85546875" style="1121" customWidth="1"/>
    <col min="11014" max="11014" width="35.7109375" style="1121" customWidth="1"/>
    <col min="11015" max="11015" width="10.7109375" style="1121" customWidth="1"/>
    <col min="11016" max="11016" width="6.28515625" style="1121" customWidth="1"/>
    <col min="11017" max="11017" width="11" style="1121" customWidth="1"/>
    <col min="11018" max="11018" width="35.85546875" style="1121" customWidth="1"/>
    <col min="11019" max="11019" width="9.140625" style="1121"/>
    <col min="11020" max="11020" width="65.28515625" style="1121" customWidth="1"/>
    <col min="11021" max="11021" width="24.7109375" style="1121" customWidth="1"/>
    <col min="11022" max="11022" width="16.28515625" style="1121" bestFit="1" customWidth="1"/>
    <col min="11023" max="11023" width="9.28515625" style="1121" customWidth="1"/>
    <col min="11024" max="11024" width="11.42578125" style="1121" customWidth="1"/>
    <col min="11025" max="11025" width="0" style="1121" hidden="1" customWidth="1"/>
    <col min="11026" max="11265" width="9.140625" style="1121"/>
    <col min="11266" max="11266" width="20" style="1121" customWidth="1"/>
    <col min="11267" max="11268" width="15.7109375" style="1121" customWidth="1"/>
    <col min="11269" max="11269" width="18.85546875" style="1121" customWidth="1"/>
    <col min="11270" max="11270" width="35.7109375" style="1121" customWidth="1"/>
    <col min="11271" max="11271" width="10.7109375" style="1121" customWidth="1"/>
    <col min="11272" max="11272" width="6.28515625" style="1121" customWidth="1"/>
    <col min="11273" max="11273" width="11" style="1121" customWidth="1"/>
    <col min="11274" max="11274" width="35.85546875" style="1121" customWidth="1"/>
    <col min="11275" max="11275" width="9.140625" style="1121"/>
    <col min="11276" max="11276" width="65.28515625" style="1121" customWidth="1"/>
    <col min="11277" max="11277" width="24.7109375" style="1121" customWidth="1"/>
    <col min="11278" max="11278" width="16.28515625" style="1121" bestFit="1" customWidth="1"/>
    <col min="11279" max="11279" width="9.28515625" style="1121" customWidth="1"/>
    <col min="11280" max="11280" width="11.42578125" style="1121" customWidth="1"/>
    <col min="11281" max="11281" width="0" style="1121" hidden="1" customWidth="1"/>
    <col min="11282" max="11521" width="9.140625" style="1121"/>
    <col min="11522" max="11522" width="20" style="1121" customWidth="1"/>
    <col min="11523" max="11524" width="15.7109375" style="1121" customWidth="1"/>
    <col min="11525" max="11525" width="18.85546875" style="1121" customWidth="1"/>
    <col min="11526" max="11526" width="35.7109375" style="1121" customWidth="1"/>
    <col min="11527" max="11527" width="10.7109375" style="1121" customWidth="1"/>
    <col min="11528" max="11528" width="6.28515625" style="1121" customWidth="1"/>
    <col min="11529" max="11529" width="11" style="1121" customWidth="1"/>
    <col min="11530" max="11530" width="35.85546875" style="1121" customWidth="1"/>
    <col min="11531" max="11531" width="9.140625" style="1121"/>
    <col min="11532" max="11532" width="65.28515625" style="1121" customWidth="1"/>
    <col min="11533" max="11533" width="24.7109375" style="1121" customWidth="1"/>
    <col min="11534" max="11534" width="16.28515625" style="1121" bestFit="1" customWidth="1"/>
    <col min="11535" max="11535" width="9.28515625" style="1121" customWidth="1"/>
    <col min="11536" max="11536" width="11.42578125" style="1121" customWidth="1"/>
    <col min="11537" max="11537" width="0" style="1121" hidden="1" customWidth="1"/>
    <col min="11538" max="11777" width="9.140625" style="1121"/>
    <col min="11778" max="11778" width="20" style="1121" customWidth="1"/>
    <col min="11779" max="11780" width="15.7109375" style="1121" customWidth="1"/>
    <col min="11781" max="11781" width="18.85546875" style="1121" customWidth="1"/>
    <col min="11782" max="11782" width="35.7109375" style="1121" customWidth="1"/>
    <col min="11783" max="11783" width="10.7109375" style="1121" customWidth="1"/>
    <col min="11784" max="11784" width="6.28515625" style="1121" customWidth="1"/>
    <col min="11785" max="11785" width="11" style="1121" customWidth="1"/>
    <col min="11786" max="11786" width="35.85546875" style="1121" customWidth="1"/>
    <col min="11787" max="11787" width="9.140625" style="1121"/>
    <col min="11788" max="11788" width="65.28515625" style="1121" customWidth="1"/>
    <col min="11789" max="11789" width="24.7109375" style="1121" customWidth="1"/>
    <col min="11790" max="11790" width="16.28515625" style="1121" bestFit="1" customWidth="1"/>
    <col min="11791" max="11791" width="9.28515625" style="1121" customWidth="1"/>
    <col min="11792" max="11792" width="11.42578125" style="1121" customWidth="1"/>
    <col min="11793" max="11793" width="0" style="1121" hidden="1" customWidth="1"/>
    <col min="11794" max="12033" width="9.140625" style="1121"/>
    <col min="12034" max="12034" width="20" style="1121" customWidth="1"/>
    <col min="12035" max="12036" width="15.7109375" style="1121" customWidth="1"/>
    <col min="12037" max="12037" width="18.85546875" style="1121" customWidth="1"/>
    <col min="12038" max="12038" width="35.7109375" style="1121" customWidth="1"/>
    <col min="12039" max="12039" width="10.7109375" style="1121" customWidth="1"/>
    <col min="12040" max="12040" width="6.28515625" style="1121" customWidth="1"/>
    <col min="12041" max="12041" width="11" style="1121" customWidth="1"/>
    <col min="12042" max="12042" width="35.85546875" style="1121" customWidth="1"/>
    <col min="12043" max="12043" width="9.140625" style="1121"/>
    <col min="12044" max="12044" width="65.28515625" style="1121" customWidth="1"/>
    <col min="12045" max="12045" width="24.7109375" style="1121" customWidth="1"/>
    <col min="12046" max="12046" width="16.28515625" style="1121" bestFit="1" customWidth="1"/>
    <col min="12047" max="12047" width="9.28515625" style="1121" customWidth="1"/>
    <col min="12048" max="12048" width="11.42578125" style="1121" customWidth="1"/>
    <col min="12049" max="12049" width="0" style="1121" hidden="1" customWidth="1"/>
    <col min="12050" max="12289" width="9.140625" style="1121"/>
    <col min="12290" max="12290" width="20" style="1121" customWidth="1"/>
    <col min="12291" max="12292" width="15.7109375" style="1121" customWidth="1"/>
    <col min="12293" max="12293" width="18.85546875" style="1121" customWidth="1"/>
    <col min="12294" max="12294" width="35.7109375" style="1121" customWidth="1"/>
    <col min="12295" max="12295" width="10.7109375" style="1121" customWidth="1"/>
    <col min="12296" max="12296" width="6.28515625" style="1121" customWidth="1"/>
    <col min="12297" max="12297" width="11" style="1121" customWidth="1"/>
    <col min="12298" max="12298" width="35.85546875" style="1121" customWidth="1"/>
    <col min="12299" max="12299" width="9.140625" style="1121"/>
    <col min="12300" max="12300" width="65.28515625" style="1121" customWidth="1"/>
    <col min="12301" max="12301" width="24.7109375" style="1121" customWidth="1"/>
    <col min="12302" max="12302" width="16.28515625" style="1121" bestFit="1" customWidth="1"/>
    <col min="12303" max="12303" width="9.28515625" style="1121" customWidth="1"/>
    <col min="12304" max="12304" width="11.42578125" style="1121" customWidth="1"/>
    <col min="12305" max="12305" width="0" style="1121" hidden="1" customWidth="1"/>
    <col min="12306" max="12545" width="9.140625" style="1121"/>
    <col min="12546" max="12546" width="20" style="1121" customWidth="1"/>
    <col min="12547" max="12548" width="15.7109375" style="1121" customWidth="1"/>
    <col min="12549" max="12549" width="18.85546875" style="1121" customWidth="1"/>
    <col min="12550" max="12550" width="35.7109375" style="1121" customWidth="1"/>
    <col min="12551" max="12551" width="10.7109375" style="1121" customWidth="1"/>
    <col min="12552" max="12552" width="6.28515625" style="1121" customWidth="1"/>
    <col min="12553" max="12553" width="11" style="1121" customWidth="1"/>
    <col min="12554" max="12554" width="35.85546875" style="1121" customWidth="1"/>
    <col min="12555" max="12555" width="9.140625" style="1121"/>
    <col min="12556" max="12556" width="65.28515625" style="1121" customWidth="1"/>
    <col min="12557" max="12557" width="24.7109375" style="1121" customWidth="1"/>
    <col min="12558" max="12558" width="16.28515625" style="1121" bestFit="1" customWidth="1"/>
    <col min="12559" max="12559" width="9.28515625" style="1121" customWidth="1"/>
    <col min="12560" max="12560" width="11.42578125" style="1121" customWidth="1"/>
    <col min="12561" max="12561" width="0" style="1121" hidden="1" customWidth="1"/>
    <col min="12562" max="12801" width="9.140625" style="1121"/>
    <col min="12802" max="12802" width="20" style="1121" customWidth="1"/>
    <col min="12803" max="12804" width="15.7109375" style="1121" customWidth="1"/>
    <col min="12805" max="12805" width="18.85546875" style="1121" customWidth="1"/>
    <col min="12806" max="12806" width="35.7109375" style="1121" customWidth="1"/>
    <col min="12807" max="12807" width="10.7109375" style="1121" customWidth="1"/>
    <col min="12808" max="12808" width="6.28515625" style="1121" customWidth="1"/>
    <col min="12809" max="12809" width="11" style="1121" customWidth="1"/>
    <col min="12810" max="12810" width="35.85546875" style="1121" customWidth="1"/>
    <col min="12811" max="12811" width="9.140625" style="1121"/>
    <col min="12812" max="12812" width="65.28515625" style="1121" customWidth="1"/>
    <col min="12813" max="12813" width="24.7109375" style="1121" customWidth="1"/>
    <col min="12814" max="12814" width="16.28515625" style="1121" bestFit="1" customWidth="1"/>
    <col min="12815" max="12815" width="9.28515625" style="1121" customWidth="1"/>
    <col min="12816" max="12816" width="11.42578125" style="1121" customWidth="1"/>
    <col min="12817" max="12817" width="0" style="1121" hidden="1" customWidth="1"/>
    <col min="12818" max="13057" width="9.140625" style="1121"/>
    <col min="13058" max="13058" width="20" style="1121" customWidth="1"/>
    <col min="13059" max="13060" width="15.7109375" style="1121" customWidth="1"/>
    <col min="13061" max="13061" width="18.85546875" style="1121" customWidth="1"/>
    <col min="13062" max="13062" width="35.7109375" style="1121" customWidth="1"/>
    <col min="13063" max="13063" width="10.7109375" style="1121" customWidth="1"/>
    <col min="13064" max="13064" width="6.28515625" style="1121" customWidth="1"/>
    <col min="13065" max="13065" width="11" style="1121" customWidth="1"/>
    <col min="13066" max="13066" width="35.85546875" style="1121" customWidth="1"/>
    <col min="13067" max="13067" width="9.140625" style="1121"/>
    <col min="13068" max="13068" width="65.28515625" style="1121" customWidth="1"/>
    <col min="13069" max="13069" width="24.7109375" style="1121" customWidth="1"/>
    <col min="13070" max="13070" width="16.28515625" style="1121" bestFit="1" customWidth="1"/>
    <col min="13071" max="13071" width="9.28515625" style="1121" customWidth="1"/>
    <col min="13072" max="13072" width="11.42578125" style="1121" customWidth="1"/>
    <col min="13073" max="13073" width="0" style="1121" hidden="1" customWidth="1"/>
    <col min="13074" max="13313" width="9.140625" style="1121"/>
    <col min="13314" max="13314" width="20" style="1121" customWidth="1"/>
    <col min="13315" max="13316" width="15.7109375" style="1121" customWidth="1"/>
    <col min="13317" max="13317" width="18.85546875" style="1121" customWidth="1"/>
    <col min="13318" max="13318" width="35.7109375" style="1121" customWidth="1"/>
    <col min="13319" max="13319" width="10.7109375" style="1121" customWidth="1"/>
    <col min="13320" max="13320" width="6.28515625" style="1121" customWidth="1"/>
    <col min="13321" max="13321" width="11" style="1121" customWidth="1"/>
    <col min="13322" max="13322" width="35.85546875" style="1121" customWidth="1"/>
    <col min="13323" max="13323" width="9.140625" style="1121"/>
    <col min="13324" max="13324" width="65.28515625" style="1121" customWidth="1"/>
    <col min="13325" max="13325" width="24.7109375" style="1121" customWidth="1"/>
    <col min="13326" max="13326" width="16.28515625" style="1121" bestFit="1" customWidth="1"/>
    <col min="13327" max="13327" width="9.28515625" style="1121" customWidth="1"/>
    <col min="13328" max="13328" width="11.42578125" style="1121" customWidth="1"/>
    <col min="13329" max="13329" width="0" style="1121" hidden="1" customWidth="1"/>
    <col min="13330" max="13569" width="9.140625" style="1121"/>
    <col min="13570" max="13570" width="20" style="1121" customWidth="1"/>
    <col min="13571" max="13572" width="15.7109375" style="1121" customWidth="1"/>
    <col min="13573" max="13573" width="18.85546875" style="1121" customWidth="1"/>
    <col min="13574" max="13574" width="35.7109375" style="1121" customWidth="1"/>
    <col min="13575" max="13575" width="10.7109375" style="1121" customWidth="1"/>
    <col min="13576" max="13576" width="6.28515625" style="1121" customWidth="1"/>
    <col min="13577" max="13577" width="11" style="1121" customWidth="1"/>
    <col min="13578" max="13578" width="35.85546875" style="1121" customWidth="1"/>
    <col min="13579" max="13579" width="9.140625" style="1121"/>
    <col min="13580" max="13580" width="65.28515625" style="1121" customWidth="1"/>
    <col min="13581" max="13581" width="24.7109375" style="1121" customWidth="1"/>
    <col min="13582" max="13582" width="16.28515625" style="1121" bestFit="1" customWidth="1"/>
    <col min="13583" max="13583" width="9.28515625" style="1121" customWidth="1"/>
    <col min="13584" max="13584" width="11.42578125" style="1121" customWidth="1"/>
    <col min="13585" max="13585" width="0" style="1121" hidden="1" customWidth="1"/>
    <col min="13586" max="13825" width="9.140625" style="1121"/>
    <col min="13826" max="13826" width="20" style="1121" customWidth="1"/>
    <col min="13827" max="13828" width="15.7109375" style="1121" customWidth="1"/>
    <col min="13829" max="13829" width="18.85546875" style="1121" customWidth="1"/>
    <col min="13830" max="13830" width="35.7109375" style="1121" customWidth="1"/>
    <col min="13831" max="13831" width="10.7109375" style="1121" customWidth="1"/>
    <col min="13832" max="13832" width="6.28515625" style="1121" customWidth="1"/>
    <col min="13833" max="13833" width="11" style="1121" customWidth="1"/>
    <col min="13834" max="13834" width="35.85546875" style="1121" customWidth="1"/>
    <col min="13835" max="13835" width="9.140625" style="1121"/>
    <col min="13836" max="13836" width="65.28515625" style="1121" customWidth="1"/>
    <col min="13837" max="13837" width="24.7109375" style="1121" customWidth="1"/>
    <col min="13838" max="13838" width="16.28515625" style="1121" bestFit="1" customWidth="1"/>
    <col min="13839" max="13839" width="9.28515625" style="1121" customWidth="1"/>
    <col min="13840" max="13840" width="11.42578125" style="1121" customWidth="1"/>
    <col min="13841" max="13841" width="0" style="1121" hidden="1" customWidth="1"/>
    <col min="13842" max="14081" width="9.140625" style="1121"/>
    <col min="14082" max="14082" width="20" style="1121" customWidth="1"/>
    <col min="14083" max="14084" width="15.7109375" style="1121" customWidth="1"/>
    <col min="14085" max="14085" width="18.85546875" style="1121" customWidth="1"/>
    <col min="14086" max="14086" width="35.7109375" style="1121" customWidth="1"/>
    <col min="14087" max="14087" width="10.7109375" style="1121" customWidth="1"/>
    <col min="14088" max="14088" width="6.28515625" style="1121" customWidth="1"/>
    <col min="14089" max="14089" width="11" style="1121" customWidth="1"/>
    <col min="14090" max="14090" width="35.85546875" style="1121" customWidth="1"/>
    <col min="14091" max="14091" width="9.140625" style="1121"/>
    <col min="14092" max="14092" width="65.28515625" style="1121" customWidth="1"/>
    <col min="14093" max="14093" width="24.7109375" style="1121" customWidth="1"/>
    <col min="14094" max="14094" width="16.28515625" style="1121" bestFit="1" customWidth="1"/>
    <col min="14095" max="14095" width="9.28515625" style="1121" customWidth="1"/>
    <col min="14096" max="14096" width="11.42578125" style="1121" customWidth="1"/>
    <col min="14097" max="14097" width="0" style="1121" hidden="1" customWidth="1"/>
    <col min="14098" max="14337" width="9.140625" style="1121"/>
    <col min="14338" max="14338" width="20" style="1121" customWidth="1"/>
    <col min="14339" max="14340" width="15.7109375" style="1121" customWidth="1"/>
    <col min="14341" max="14341" width="18.85546875" style="1121" customWidth="1"/>
    <col min="14342" max="14342" width="35.7109375" style="1121" customWidth="1"/>
    <col min="14343" max="14343" width="10.7109375" style="1121" customWidth="1"/>
    <col min="14344" max="14344" width="6.28515625" style="1121" customWidth="1"/>
    <col min="14345" max="14345" width="11" style="1121" customWidth="1"/>
    <col min="14346" max="14346" width="35.85546875" style="1121" customWidth="1"/>
    <col min="14347" max="14347" width="9.140625" style="1121"/>
    <col min="14348" max="14348" width="65.28515625" style="1121" customWidth="1"/>
    <col min="14349" max="14349" width="24.7109375" style="1121" customWidth="1"/>
    <col min="14350" max="14350" width="16.28515625" style="1121" bestFit="1" customWidth="1"/>
    <col min="14351" max="14351" width="9.28515625" style="1121" customWidth="1"/>
    <col min="14352" max="14352" width="11.42578125" style="1121" customWidth="1"/>
    <col min="14353" max="14353" width="0" style="1121" hidden="1" customWidth="1"/>
    <col min="14354" max="14593" width="9.140625" style="1121"/>
    <col min="14594" max="14594" width="20" style="1121" customWidth="1"/>
    <col min="14595" max="14596" width="15.7109375" style="1121" customWidth="1"/>
    <col min="14597" max="14597" width="18.85546875" style="1121" customWidth="1"/>
    <col min="14598" max="14598" width="35.7109375" style="1121" customWidth="1"/>
    <col min="14599" max="14599" width="10.7109375" style="1121" customWidth="1"/>
    <col min="14600" max="14600" width="6.28515625" style="1121" customWidth="1"/>
    <col min="14601" max="14601" width="11" style="1121" customWidth="1"/>
    <col min="14602" max="14602" width="35.85546875" style="1121" customWidth="1"/>
    <col min="14603" max="14603" width="9.140625" style="1121"/>
    <col min="14604" max="14604" width="65.28515625" style="1121" customWidth="1"/>
    <col min="14605" max="14605" width="24.7109375" style="1121" customWidth="1"/>
    <col min="14606" max="14606" width="16.28515625" style="1121" bestFit="1" customWidth="1"/>
    <col min="14607" max="14607" width="9.28515625" style="1121" customWidth="1"/>
    <col min="14608" max="14608" width="11.42578125" style="1121" customWidth="1"/>
    <col min="14609" max="14609" width="0" style="1121" hidden="1" customWidth="1"/>
    <col min="14610" max="14849" width="9.140625" style="1121"/>
    <col min="14850" max="14850" width="20" style="1121" customWidth="1"/>
    <col min="14851" max="14852" width="15.7109375" style="1121" customWidth="1"/>
    <col min="14853" max="14853" width="18.85546875" style="1121" customWidth="1"/>
    <col min="14854" max="14854" width="35.7109375" style="1121" customWidth="1"/>
    <col min="14855" max="14855" width="10.7109375" style="1121" customWidth="1"/>
    <col min="14856" max="14856" width="6.28515625" style="1121" customWidth="1"/>
    <col min="14857" max="14857" width="11" style="1121" customWidth="1"/>
    <col min="14858" max="14858" width="35.85546875" style="1121" customWidth="1"/>
    <col min="14859" max="14859" width="9.140625" style="1121"/>
    <col min="14860" max="14860" width="65.28515625" style="1121" customWidth="1"/>
    <col min="14861" max="14861" width="24.7109375" style="1121" customWidth="1"/>
    <col min="14862" max="14862" width="16.28515625" style="1121" bestFit="1" customWidth="1"/>
    <col min="14863" max="14863" width="9.28515625" style="1121" customWidth="1"/>
    <col min="14864" max="14864" width="11.42578125" style="1121" customWidth="1"/>
    <col min="14865" max="14865" width="0" style="1121" hidden="1" customWidth="1"/>
    <col min="14866" max="15105" width="9.140625" style="1121"/>
    <col min="15106" max="15106" width="20" style="1121" customWidth="1"/>
    <col min="15107" max="15108" width="15.7109375" style="1121" customWidth="1"/>
    <col min="15109" max="15109" width="18.85546875" style="1121" customWidth="1"/>
    <col min="15110" max="15110" width="35.7109375" style="1121" customWidth="1"/>
    <col min="15111" max="15111" width="10.7109375" style="1121" customWidth="1"/>
    <col min="15112" max="15112" width="6.28515625" style="1121" customWidth="1"/>
    <col min="15113" max="15113" width="11" style="1121" customWidth="1"/>
    <col min="15114" max="15114" width="35.85546875" style="1121" customWidth="1"/>
    <col min="15115" max="15115" width="9.140625" style="1121"/>
    <col min="15116" max="15116" width="65.28515625" style="1121" customWidth="1"/>
    <col min="15117" max="15117" width="24.7109375" style="1121" customWidth="1"/>
    <col min="15118" max="15118" width="16.28515625" style="1121" bestFit="1" customWidth="1"/>
    <col min="15119" max="15119" width="9.28515625" style="1121" customWidth="1"/>
    <col min="15120" max="15120" width="11.42578125" style="1121" customWidth="1"/>
    <col min="15121" max="15121" width="0" style="1121" hidden="1" customWidth="1"/>
    <col min="15122" max="15361" width="9.140625" style="1121"/>
    <col min="15362" max="15362" width="20" style="1121" customWidth="1"/>
    <col min="15363" max="15364" width="15.7109375" style="1121" customWidth="1"/>
    <col min="15365" max="15365" width="18.85546875" style="1121" customWidth="1"/>
    <col min="15366" max="15366" width="35.7109375" style="1121" customWidth="1"/>
    <col min="15367" max="15367" width="10.7109375" style="1121" customWidth="1"/>
    <col min="15368" max="15368" width="6.28515625" style="1121" customWidth="1"/>
    <col min="15369" max="15369" width="11" style="1121" customWidth="1"/>
    <col min="15370" max="15370" width="35.85546875" style="1121" customWidth="1"/>
    <col min="15371" max="15371" width="9.140625" style="1121"/>
    <col min="15372" max="15372" width="65.28515625" style="1121" customWidth="1"/>
    <col min="15373" max="15373" width="24.7109375" style="1121" customWidth="1"/>
    <col min="15374" max="15374" width="16.28515625" style="1121" bestFit="1" customWidth="1"/>
    <col min="15375" max="15375" width="9.28515625" style="1121" customWidth="1"/>
    <col min="15376" max="15376" width="11.42578125" style="1121" customWidth="1"/>
    <col min="15377" max="15377" width="0" style="1121" hidden="1" customWidth="1"/>
    <col min="15378" max="15617" width="9.140625" style="1121"/>
    <col min="15618" max="15618" width="20" style="1121" customWidth="1"/>
    <col min="15619" max="15620" width="15.7109375" style="1121" customWidth="1"/>
    <col min="15621" max="15621" width="18.85546875" style="1121" customWidth="1"/>
    <col min="15622" max="15622" width="35.7109375" style="1121" customWidth="1"/>
    <col min="15623" max="15623" width="10.7109375" style="1121" customWidth="1"/>
    <col min="15624" max="15624" width="6.28515625" style="1121" customWidth="1"/>
    <col min="15625" max="15625" width="11" style="1121" customWidth="1"/>
    <col min="15626" max="15626" width="35.85546875" style="1121" customWidth="1"/>
    <col min="15627" max="15627" width="9.140625" style="1121"/>
    <col min="15628" max="15628" width="65.28515625" style="1121" customWidth="1"/>
    <col min="15629" max="15629" width="24.7109375" style="1121" customWidth="1"/>
    <col min="15630" max="15630" width="16.28515625" style="1121" bestFit="1" customWidth="1"/>
    <col min="15631" max="15631" width="9.28515625" style="1121" customWidth="1"/>
    <col min="15632" max="15632" width="11.42578125" style="1121" customWidth="1"/>
    <col min="15633" max="15633" width="0" style="1121" hidden="1" customWidth="1"/>
    <col min="15634" max="15873" width="9.140625" style="1121"/>
    <col min="15874" max="15874" width="20" style="1121" customWidth="1"/>
    <col min="15875" max="15876" width="15.7109375" style="1121" customWidth="1"/>
    <col min="15877" max="15877" width="18.85546875" style="1121" customWidth="1"/>
    <col min="15878" max="15878" width="35.7109375" style="1121" customWidth="1"/>
    <col min="15879" max="15879" width="10.7109375" style="1121" customWidth="1"/>
    <col min="15880" max="15880" width="6.28515625" style="1121" customWidth="1"/>
    <col min="15881" max="15881" width="11" style="1121" customWidth="1"/>
    <col min="15882" max="15882" width="35.85546875" style="1121" customWidth="1"/>
    <col min="15883" max="15883" width="9.140625" style="1121"/>
    <col min="15884" max="15884" width="65.28515625" style="1121" customWidth="1"/>
    <col min="15885" max="15885" width="24.7109375" style="1121" customWidth="1"/>
    <col min="15886" max="15886" width="16.28515625" style="1121" bestFit="1" customWidth="1"/>
    <col min="15887" max="15887" width="9.28515625" style="1121" customWidth="1"/>
    <col min="15888" max="15888" width="11.42578125" style="1121" customWidth="1"/>
    <col min="15889" max="15889" width="0" style="1121" hidden="1" customWidth="1"/>
    <col min="15890" max="16129" width="9.140625" style="1121"/>
    <col min="16130" max="16130" width="20" style="1121" customWidth="1"/>
    <col min="16131" max="16132" width="15.7109375" style="1121" customWidth="1"/>
    <col min="16133" max="16133" width="18.85546875" style="1121" customWidth="1"/>
    <col min="16134" max="16134" width="35.7109375" style="1121" customWidth="1"/>
    <col min="16135" max="16135" width="10.7109375" style="1121" customWidth="1"/>
    <col min="16136" max="16136" width="6.28515625" style="1121" customWidth="1"/>
    <col min="16137" max="16137" width="11" style="1121" customWidth="1"/>
    <col min="16138" max="16138" width="35.85546875" style="1121" customWidth="1"/>
    <col min="16139" max="16139" width="9.140625" style="1121"/>
    <col min="16140" max="16140" width="65.28515625" style="1121" customWidth="1"/>
    <col min="16141" max="16141" width="24.7109375" style="1121" customWidth="1"/>
    <col min="16142" max="16142" width="16.28515625" style="1121" bestFit="1" customWidth="1"/>
    <col min="16143" max="16143" width="9.28515625" style="1121" customWidth="1"/>
    <col min="16144" max="16144" width="11.42578125" style="1121" customWidth="1"/>
    <col min="16145" max="16145" width="0" style="1121" hidden="1" customWidth="1"/>
    <col min="16146" max="16384" width="9.140625" style="1121"/>
  </cols>
  <sheetData>
    <row r="1" spans="1:93" s="1119" customFormat="1" ht="18.75">
      <c r="A1" s="1881" t="s">
        <v>3609</v>
      </c>
      <c r="B1" s="1155" t="s">
        <v>3997</v>
      </c>
      <c r="C1" s="1118"/>
      <c r="D1" s="906"/>
      <c r="E1" s="906"/>
      <c r="F1" s="1122"/>
      <c r="G1" s="906"/>
      <c r="H1" s="2472" t="s">
        <v>2595</v>
      </c>
      <c r="I1" s="2472"/>
      <c r="J1" s="1158" t="s">
        <v>3610</v>
      </c>
    </row>
    <row r="2" spans="1:93" s="1119" customFormat="1">
      <c r="B2" s="1034" t="s">
        <v>3198</v>
      </c>
      <c r="C2" s="1035">
        <f>'Basic Info'!C29:D29</f>
        <v>0</v>
      </c>
      <c r="D2" s="906"/>
      <c r="E2" s="906"/>
      <c r="F2" s="1122"/>
      <c r="G2" s="906"/>
      <c r="H2" s="2502"/>
      <c r="I2" s="2502"/>
      <c r="J2" s="1006"/>
    </row>
    <row r="3" spans="1:93" s="1119" customFormat="1">
      <c r="B3" s="906"/>
      <c r="C3" s="906"/>
      <c r="D3" s="906"/>
      <c r="E3" s="906"/>
      <c r="F3" s="1122"/>
      <c r="G3" s="906"/>
      <c r="H3" s="2502"/>
      <c r="I3" s="2502"/>
      <c r="J3" s="1006"/>
    </row>
    <row r="4" spans="1:93">
      <c r="A4" s="1195"/>
      <c r="B4" s="896"/>
      <c r="D4" s="906"/>
      <c r="E4" s="906"/>
      <c r="F4" s="906"/>
      <c r="G4" s="906"/>
      <c r="H4" s="2502"/>
      <c r="I4" s="2502"/>
      <c r="J4" s="1006"/>
      <c r="Q4" s="1129"/>
      <c r="R4" s="1129"/>
      <c r="S4" s="1129"/>
      <c r="T4" s="1129"/>
      <c r="U4" s="1129"/>
      <c r="V4" s="1129"/>
      <c r="W4" s="1129"/>
      <c r="X4" s="1129"/>
      <c r="Y4" s="1129"/>
      <c r="Z4" s="1129"/>
      <c r="AA4" s="1129"/>
      <c r="AB4" s="1129"/>
      <c r="AC4" s="1129"/>
      <c r="AD4" s="1129"/>
      <c r="AE4" s="1129"/>
      <c r="AF4" s="1129"/>
      <c r="AG4" s="1129"/>
      <c r="AH4" s="1129"/>
      <c r="AI4" s="1129"/>
      <c r="AJ4" s="1129"/>
      <c r="AK4" s="1129"/>
      <c r="AL4" s="1129"/>
      <c r="AM4" s="1129"/>
      <c r="AN4" s="1129"/>
      <c r="AO4" s="1129"/>
      <c r="AP4" s="1129"/>
      <c r="AQ4" s="1129"/>
      <c r="AR4" s="1129"/>
      <c r="AS4" s="1129"/>
      <c r="AT4" s="1129"/>
      <c r="AU4" s="1129"/>
      <c r="AV4" s="1129"/>
      <c r="AW4" s="1129"/>
      <c r="AX4" s="1129"/>
      <c r="AY4" s="1129"/>
      <c r="AZ4" s="1129"/>
      <c r="BA4" s="1129"/>
      <c r="BB4" s="1129"/>
      <c r="BC4" s="1129"/>
      <c r="BD4" s="1129"/>
      <c r="BE4" s="1129"/>
      <c r="BF4" s="1129"/>
      <c r="BG4" s="1129"/>
      <c r="BH4" s="1129"/>
      <c r="BI4" s="1129"/>
      <c r="BJ4" s="1129"/>
      <c r="BK4" s="1129"/>
      <c r="BL4" s="1129"/>
      <c r="BM4" s="1129"/>
      <c r="BN4" s="1129"/>
      <c r="BO4" s="1129"/>
      <c r="BP4" s="1129"/>
      <c r="BQ4" s="1129"/>
      <c r="BR4" s="1129"/>
      <c r="BS4" s="1129"/>
      <c r="BT4" s="1129"/>
      <c r="BU4" s="1129"/>
      <c r="BV4" s="1129"/>
      <c r="BW4" s="1129"/>
      <c r="BX4" s="1129"/>
      <c r="BY4" s="1129"/>
      <c r="BZ4" s="1129"/>
      <c r="CA4" s="1129"/>
      <c r="CB4" s="1129"/>
      <c r="CC4" s="1129"/>
      <c r="CD4" s="1129"/>
      <c r="CE4" s="1129"/>
      <c r="CF4" s="1129"/>
      <c r="CG4" s="1129"/>
      <c r="CH4" s="1129"/>
      <c r="CI4" s="1129"/>
      <c r="CJ4" s="1129"/>
      <c r="CK4" s="1129"/>
      <c r="CL4" s="1129"/>
      <c r="CM4" s="1129"/>
      <c r="CN4" s="1129"/>
      <c r="CO4" s="1129"/>
    </row>
    <row r="5" spans="1:93" s="1199" customFormat="1">
      <c r="A5" s="1196"/>
      <c r="B5" s="1011" t="s">
        <v>3981</v>
      </c>
      <c r="C5" s="895"/>
      <c r="D5" s="936"/>
      <c r="E5" s="936"/>
      <c r="F5" s="936"/>
      <c r="G5" s="936"/>
      <c r="H5" s="1197"/>
      <c r="I5" s="1196"/>
      <c r="J5" s="1196"/>
      <c r="K5" s="1196"/>
      <c r="L5" s="1197"/>
      <c r="M5" s="1197"/>
      <c r="N5" s="1198"/>
      <c r="O5" s="1198"/>
      <c r="P5" s="1198"/>
      <c r="Q5" s="1198"/>
      <c r="R5" s="1198"/>
      <c r="S5" s="1198"/>
      <c r="T5" s="1198"/>
      <c r="U5" s="1198"/>
      <c r="V5" s="1198"/>
      <c r="W5" s="1198"/>
      <c r="X5" s="1198"/>
      <c r="Y5" s="1198"/>
      <c r="Z5" s="1198"/>
      <c r="AA5" s="1198"/>
      <c r="AB5" s="1198"/>
      <c r="AC5" s="1198"/>
      <c r="AD5" s="1198"/>
      <c r="AE5" s="1198"/>
      <c r="AF5" s="1198"/>
      <c r="AG5" s="1198"/>
      <c r="AH5" s="1198"/>
      <c r="AI5" s="1198"/>
      <c r="AJ5" s="1198"/>
      <c r="AK5" s="1198"/>
      <c r="AL5" s="1198"/>
      <c r="AM5" s="1198"/>
      <c r="AN5" s="1198"/>
      <c r="AO5" s="1198"/>
      <c r="AP5" s="1198"/>
      <c r="AQ5" s="1198"/>
      <c r="AR5" s="1198"/>
      <c r="AS5" s="1198"/>
      <c r="AT5" s="1198"/>
      <c r="AU5" s="1198"/>
      <c r="AV5" s="1198"/>
      <c r="AW5" s="1198"/>
      <c r="AX5" s="1198"/>
      <c r="AY5" s="1198"/>
      <c r="AZ5" s="1198"/>
      <c r="BA5" s="1198"/>
      <c r="BB5" s="1198"/>
      <c r="BC5" s="1198"/>
      <c r="BD5" s="1198"/>
      <c r="BE5" s="1198"/>
      <c r="BF5" s="1198"/>
      <c r="BG5" s="1198"/>
      <c r="BH5" s="1198"/>
      <c r="BI5" s="1198"/>
      <c r="BJ5" s="1198"/>
      <c r="BK5" s="1198"/>
      <c r="BL5" s="1198"/>
      <c r="BM5" s="1198"/>
      <c r="BN5" s="1198"/>
      <c r="BO5" s="1198"/>
      <c r="BP5" s="1198"/>
      <c r="BQ5" s="1198"/>
      <c r="BR5" s="1198"/>
      <c r="BS5" s="1198"/>
      <c r="BT5" s="1198"/>
      <c r="BU5" s="1198"/>
      <c r="BV5" s="1198"/>
      <c r="BW5" s="1198"/>
      <c r="BX5" s="1198"/>
      <c r="BY5" s="1198"/>
      <c r="BZ5" s="1198"/>
      <c r="CA5" s="1198"/>
      <c r="CB5" s="1198"/>
      <c r="CC5" s="1198"/>
      <c r="CD5" s="1198"/>
      <c r="CE5" s="1198"/>
      <c r="CF5" s="1198"/>
      <c r="CG5" s="1198"/>
      <c r="CH5" s="1198"/>
      <c r="CI5" s="1198"/>
      <c r="CJ5" s="1198"/>
      <c r="CK5" s="1198"/>
      <c r="CL5" s="1198"/>
    </row>
    <row r="6" spans="1:93" s="1139" customFormat="1" ht="12" customHeight="1">
      <c r="B6" s="2395" t="s">
        <v>3699</v>
      </c>
      <c r="C6" s="2395"/>
      <c r="D6" s="2395"/>
      <c r="E6" s="2395"/>
      <c r="F6" s="2395"/>
      <c r="G6" s="2395"/>
      <c r="H6" s="2395"/>
      <c r="I6" s="2395"/>
      <c r="J6" s="2395"/>
      <c r="K6" s="1136"/>
      <c r="L6" s="1120"/>
      <c r="M6" s="1120"/>
      <c r="N6" s="1120"/>
      <c r="O6" s="1136"/>
      <c r="P6" s="1136"/>
      <c r="Q6" s="1200"/>
      <c r="R6" s="1200"/>
      <c r="S6" s="1200"/>
      <c r="T6" s="1200"/>
      <c r="U6" s="1200"/>
      <c r="V6" s="1200"/>
      <c r="W6" s="1200"/>
      <c r="X6" s="1200"/>
      <c r="Y6" s="1200"/>
      <c r="Z6" s="1200"/>
      <c r="AA6" s="1200"/>
      <c r="AB6" s="1200"/>
      <c r="AC6" s="1200"/>
      <c r="AD6" s="1200"/>
      <c r="AE6" s="1200"/>
      <c r="AF6" s="1200"/>
      <c r="AG6" s="1200"/>
      <c r="AH6" s="1200"/>
      <c r="AI6" s="1200"/>
      <c r="AJ6" s="1200"/>
      <c r="AK6" s="1200"/>
      <c r="AL6" s="1200"/>
      <c r="AM6" s="1200"/>
      <c r="AN6" s="1200"/>
      <c r="AO6" s="1200"/>
      <c r="AP6" s="1200"/>
      <c r="AQ6" s="1200"/>
      <c r="AR6" s="1200"/>
      <c r="AS6" s="1200"/>
      <c r="AT6" s="1200"/>
      <c r="AU6" s="1200"/>
      <c r="AV6" s="1200"/>
      <c r="AW6" s="1200"/>
      <c r="AX6" s="1200"/>
      <c r="AY6" s="1200"/>
      <c r="AZ6" s="1200"/>
      <c r="BA6" s="1200"/>
      <c r="BB6" s="1200"/>
      <c r="BC6" s="1200"/>
      <c r="BD6" s="1200"/>
      <c r="BE6" s="1200"/>
      <c r="BF6" s="1200"/>
      <c r="BG6" s="1200"/>
      <c r="BH6" s="1200"/>
      <c r="BI6" s="1200"/>
      <c r="BJ6" s="1200"/>
      <c r="BK6" s="1200"/>
      <c r="BL6" s="1200"/>
      <c r="BM6" s="1200"/>
      <c r="BN6" s="1200"/>
      <c r="BO6" s="1200"/>
      <c r="BP6" s="1200"/>
      <c r="BQ6" s="1200"/>
      <c r="BR6" s="1200"/>
      <c r="BS6" s="1200"/>
      <c r="BT6" s="1200"/>
      <c r="BU6" s="1200"/>
      <c r="BV6" s="1200"/>
      <c r="BW6" s="1200"/>
      <c r="BX6" s="1200"/>
      <c r="BY6" s="1200"/>
      <c r="BZ6" s="1200"/>
      <c r="CA6" s="1200"/>
      <c r="CB6" s="1200"/>
      <c r="CC6" s="1200"/>
      <c r="CD6" s="1200"/>
      <c r="CE6" s="1200"/>
      <c r="CF6" s="1200"/>
      <c r="CG6" s="1200"/>
      <c r="CH6" s="1200"/>
      <c r="CI6" s="1200"/>
      <c r="CJ6" s="1200"/>
      <c r="CK6" s="1200"/>
      <c r="CL6" s="1200"/>
      <c r="CM6" s="1200"/>
      <c r="CN6" s="1200"/>
      <c r="CO6" s="1200"/>
    </row>
    <row r="7" spans="1:93" s="1139" customFormat="1">
      <c r="B7" s="936"/>
      <c r="C7" s="895"/>
      <c r="D7" s="936"/>
      <c r="E7" s="936"/>
      <c r="F7" s="936"/>
      <c r="G7" s="936"/>
      <c r="H7" s="923"/>
      <c r="I7" s="923"/>
      <c r="J7" s="1122"/>
      <c r="K7" s="1136"/>
      <c r="L7" s="1120"/>
      <c r="M7" s="1120"/>
      <c r="N7" s="1120"/>
      <c r="O7" s="1136"/>
      <c r="P7" s="1136"/>
      <c r="Q7" s="1200"/>
      <c r="R7" s="1200"/>
      <c r="S7" s="1200"/>
      <c r="T7" s="1200"/>
      <c r="U7" s="1200"/>
      <c r="V7" s="1200"/>
      <c r="W7" s="1200"/>
      <c r="X7" s="1200"/>
      <c r="Y7" s="1200"/>
      <c r="Z7" s="1200"/>
      <c r="AA7" s="1200"/>
      <c r="AB7" s="1200"/>
      <c r="AC7" s="1200"/>
      <c r="AD7" s="1200"/>
      <c r="AE7" s="1200"/>
      <c r="AF7" s="1200"/>
      <c r="AG7" s="1200"/>
      <c r="AH7" s="1200"/>
      <c r="AI7" s="1200"/>
      <c r="AJ7" s="1200"/>
      <c r="AK7" s="1200"/>
      <c r="AL7" s="1200"/>
      <c r="AM7" s="1200"/>
      <c r="AN7" s="1200"/>
      <c r="AO7" s="1200"/>
      <c r="AP7" s="1200"/>
      <c r="AQ7" s="1200"/>
      <c r="AR7" s="1200"/>
      <c r="AS7" s="1200"/>
      <c r="AT7" s="1200"/>
      <c r="AU7" s="1200"/>
      <c r="AV7" s="1200"/>
      <c r="AW7" s="1200"/>
      <c r="AX7" s="1200"/>
      <c r="AY7" s="1200"/>
      <c r="AZ7" s="1200"/>
      <c r="BA7" s="1200"/>
      <c r="BB7" s="1200"/>
      <c r="BC7" s="1200"/>
      <c r="BD7" s="1200"/>
      <c r="BE7" s="1200"/>
      <c r="BF7" s="1200"/>
      <c r="BG7" s="1200"/>
      <c r="BH7" s="1200"/>
      <c r="BI7" s="1200"/>
      <c r="BJ7" s="1200"/>
      <c r="BK7" s="1200"/>
      <c r="BL7" s="1200"/>
      <c r="BM7" s="1200"/>
      <c r="BN7" s="1200"/>
      <c r="BO7" s="1200"/>
      <c r="BP7" s="1200"/>
      <c r="BQ7" s="1200"/>
      <c r="BR7" s="1200"/>
      <c r="BS7" s="1200"/>
      <c r="BT7" s="1200"/>
      <c r="BU7" s="1200"/>
      <c r="BV7" s="1200"/>
      <c r="BW7" s="1200"/>
      <c r="BX7" s="1200"/>
      <c r="BY7" s="1200"/>
      <c r="BZ7" s="1200"/>
      <c r="CA7" s="1200"/>
      <c r="CB7" s="1200"/>
      <c r="CC7" s="1200"/>
      <c r="CD7" s="1200"/>
      <c r="CE7" s="1200"/>
      <c r="CF7" s="1200"/>
      <c r="CG7" s="1200"/>
      <c r="CH7" s="1200"/>
      <c r="CI7" s="1200"/>
      <c r="CJ7" s="1200"/>
      <c r="CK7" s="1200"/>
      <c r="CL7" s="1200"/>
      <c r="CM7" s="1200"/>
      <c r="CN7" s="1200"/>
      <c r="CO7" s="1200"/>
    </row>
    <row r="8" spans="1:93">
      <c r="A8" s="1120"/>
      <c r="B8" s="1011" t="s">
        <v>3927</v>
      </c>
      <c r="C8" s="895"/>
      <c r="D8" s="936"/>
      <c r="E8" s="936"/>
      <c r="F8" s="936"/>
      <c r="G8" s="936"/>
      <c r="H8" s="923"/>
      <c r="I8" s="923"/>
      <c r="J8" s="1122"/>
      <c r="K8" s="1120"/>
      <c r="L8" s="1120"/>
      <c r="M8" s="1120"/>
      <c r="N8" s="1120"/>
      <c r="O8" s="1120"/>
      <c r="P8" s="1120"/>
      <c r="Q8" s="1120"/>
      <c r="R8" s="1120"/>
      <c r="S8" s="1120"/>
      <c r="T8" s="1120"/>
      <c r="U8" s="1120"/>
      <c r="V8" s="1120"/>
      <c r="W8" s="1120"/>
      <c r="X8" s="1120"/>
      <c r="Y8" s="1120"/>
      <c r="Z8" s="1120"/>
      <c r="AA8" s="1120"/>
      <c r="AB8" s="1120"/>
      <c r="AC8" s="1120"/>
      <c r="AD8" s="1120"/>
      <c r="AE8" s="1120"/>
      <c r="AF8" s="1120"/>
      <c r="AG8" s="1120"/>
      <c r="AH8" s="1120"/>
      <c r="AI8" s="1120"/>
      <c r="AJ8" s="1120"/>
      <c r="AK8" s="1120"/>
      <c r="AL8" s="1120"/>
      <c r="AM8" s="1120"/>
      <c r="AN8" s="1120"/>
      <c r="AO8" s="1120"/>
      <c r="AP8" s="1120"/>
      <c r="AQ8" s="1120"/>
      <c r="AR8" s="1120"/>
      <c r="AS8" s="1120"/>
      <c r="AT8" s="1120"/>
      <c r="AU8" s="1120"/>
      <c r="AV8" s="1120"/>
      <c r="AW8" s="1120"/>
      <c r="AX8" s="1120"/>
      <c r="AY8" s="1120"/>
      <c r="AZ8" s="1120"/>
      <c r="BA8" s="1120"/>
      <c r="BB8" s="1120"/>
    </row>
    <row r="9" spans="1:93">
      <c r="A9" s="1120"/>
      <c r="B9" s="936" t="s">
        <v>3613</v>
      </c>
      <c r="C9" s="895"/>
      <c r="D9" s="936"/>
      <c r="E9" s="936"/>
      <c r="F9" s="936"/>
      <c r="G9" s="936"/>
      <c r="H9" s="923"/>
      <c r="I9" s="923"/>
      <c r="J9" s="923"/>
      <c r="K9" s="1120"/>
      <c r="L9" s="1120"/>
      <c r="M9" s="1120"/>
      <c r="N9" s="1120"/>
      <c r="O9" s="1120"/>
      <c r="P9" s="1120"/>
      <c r="Q9" s="1120"/>
      <c r="R9" s="1120"/>
      <c r="S9" s="1120"/>
      <c r="T9" s="1120"/>
      <c r="U9" s="1120"/>
      <c r="V9" s="1120"/>
      <c r="W9" s="1120"/>
      <c r="X9" s="1120"/>
      <c r="Y9" s="1120"/>
      <c r="Z9" s="1120"/>
      <c r="AA9" s="1120"/>
      <c r="AB9" s="1120"/>
      <c r="AC9" s="1120"/>
      <c r="AD9" s="1120"/>
      <c r="AE9" s="1120"/>
      <c r="AF9" s="1120"/>
      <c r="AG9" s="1120"/>
      <c r="AH9" s="1120"/>
      <c r="AI9" s="1120"/>
      <c r="AJ9" s="1120"/>
      <c r="AK9" s="1120"/>
      <c r="AL9" s="1120"/>
      <c r="AM9" s="1120"/>
      <c r="AN9" s="1120"/>
      <c r="AO9" s="1120"/>
      <c r="AP9" s="1120"/>
      <c r="AQ9" s="1120"/>
      <c r="AR9" s="1120"/>
      <c r="AS9" s="1120"/>
      <c r="AT9" s="1120"/>
      <c r="AU9" s="1120"/>
      <c r="AV9" s="1120"/>
      <c r="AW9" s="1120"/>
      <c r="AX9" s="1120"/>
      <c r="AY9" s="1120"/>
      <c r="AZ9" s="1120"/>
      <c r="BA9" s="1120"/>
      <c r="BB9" s="1120"/>
    </row>
    <row r="10" spans="1:93">
      <c r="A10" s="1120"/>
      <c r="B10" s="936" t="s">
        <v>3661</v>
      </c>
      <c r="C10" s="895"/>
      <c r="D10" s="936"/>
      <c r="E10" s="936"/>
      <c r="F10" s="936"/>
      <c r="G10" s="936"/>
      <c r="H10" s="923"/>
      <c r="I10" s="923"/>
      <c r="J10" s="923"/>
      <c r="K10" s="1121"/>
      <c r="L10" s="1120"/>
      <c r="M10" s="1120"/>
      <c r="N10" s="1120"/>
      <c r="O10" s="1121"/>
      <c r="P10" s="1121"/>
    </row>
    <row r="11" spans="1:93">
      <c r="A11" s="1120"/>
      <c r="B11" s="936" t="s">
        <v>3700</v>
      </c>
      <c r="C11" s="895"/>
      <c r="D11" s="936"/>
      <c r="E11" s="936"/>
      <c r="F11" s="936"/>
      <c r="G11" s="936"/>
      <c r="H11" s="923"/>
      <c r="I11" s="923"/>
      <c r="J11" s="923"/>
      <c r="K11" s="1121"/>
      <c r="O11" s="1121"/>
      <c r="P11" s="1121"/>
    </row>
    <row r="12" spans="1:93">
      <c r="A12" s="1120"/>
      <c r="B12" s="936" t="s">
        <v>3701</v>
      </c>
      <c r="C12" s="895"/>
      <c r="D12" s="936"/>
      <c r="E12" s="936"/>
      <c r="F12" s="936"/>
      <c r="G12" s="936"/>
      <c r="H12" s="923"/>
      <c r="I12" s="923"/>
      <c r="J12" s="923"/>
      <c r="K12" s="1121"/>
      <c r="O12" s="1121"/>
      <c r="P12" s="1121"/>
    </row>
    <row r="13" spans="1:93">
      <c r="A13" s="1120"/>
      <c r="B13" s="936"/>
      <c r="C13" s="895"/>
      <c r="D13" s="936"/>
      <c r="E13" s="936"/>
      <c r="F13" s="936"/>
      <c r="G13" s="936"/>
      <c r="H13" s="923"/>
      <c r="I13" s="923"/>
      <c r="J13" s="923"/>
      <c r="K13" s="1121"/>
      <c r="O13" s="1121"/>
      <c r="P13" s="1121"/>
    </row>
    <row r="14" spans="1:93">
      <c r="A14" s="1120"/>
      <c r="B14" s="1011" t="s">
        <v>3982</v>
      </c>
      <c r="C14" s="895"/>
      <c r="D14" s="936"/>
      <c r="E14" s="936"/>
      <c r="F14" s="936"/>
      <c r="G14" s="936"/>
      <c r="H14" s="923"/>
      <c r="I14" s="923"/>
      <c r="J14" s="923"/>
      <c r="K14" s="1121"/>
      <c r="O14" s="1121"/>
      <c r="P14" s="1121"/>
    </row>
    <row r="15" spans="1:93" ht="24" customHeight="1">
      <c r="A15" s="1120"/>
      <c r="B15" s="2395" t="s">
        <v>3702</v>
      </c>
      <c r="C15" s="2395"/>
      <c r="D15" s="2395"/>
      <c r="E15" s="2395"/>
      <c r="F15" s="2395"/>
      <c r="G15" s="2395"/>
      <c r="H15" s="2395"/>
      <c r="I15" s="2395"/>
      <c r="J15" s="2395"/>
      <c r="K15" s="1121"/>
      <c r="O15" s="1121"/>
      <c r="P15" s="1121"/>
    </row>
    <row r="16" spans="1:93" ht="50.25" customHeight="1">
      <c r="A16" s="1120"/>
      <c r="B16" s="2395" t="s">
        <v>3992</v>
      </c>
      <c r="C16" s="2395"/>
      <c r="D16" s="2395"/>
      <c r="E16" s="2395"/>
      <c r="F16" s="2395"/>
      <c r="G16" s="2395"/>
      <c r="H16" s="2395"/>
      <c r="I16" s="2395"/>
      <c r="J16" s="2395"/>
      <c r="K16" s="1121"/>
      <c r="O16" s="1121"/>
      <c r="P16" s="1121"/>
    </row>
    <row r="17" spans="1:16" ht="37.5" customHeight="1">
      <c r="A17" s="1120"/>
      <c r="B17" s="2395" t="s">
        <v>3703</v>
      </c>
      <c r="C17" s="2395"/>
      <c r="D17" s="2395"/>
      <c r="E17" s="2395"/>
      <c r="F17" s="2395"/>
      <c r="G17" s="2395"/>
      <c r="H17" s="2395"/>
      <c r="I17" s="2395"/>
      <c r="J17" s="2395"/>
      <c r="K17" s="1121"/>
      <c r="O17" s="1121"/>
      <c r="P17" s="1121"/>
    </row>
    <row r="18" spans="1:16" ht="39" customHeight="1">
      <c r="A18" s="1120"/>
      <c r="B18" s="2395" t="s">
        <v>3704</v>
      </c>
      <c r="C18" s="2395"/>
      <c r="D18" s="2395"/>
      <c r="E18" s="2395"/>
      <c r="F18" s="2395"/>
      <c r="G18" s="2395"/>
      <c r="H18" s="2395"/>
      <c r="I18" s="2395"/>
      <c r="J18" s="2395"/>
      <c r="K18" s="1121"/>
      <c r="O18" s="1121"/>
      <c r="P18" s="1121"/>
    </row>
    <row r="19" spans="1:16">
      <c r="A19" s="1120"/>
      <c r="B19" s="2395" t="s">
        <v>3998</v>
      </c>
      <c r="C19" s="2395"/>
      <c r="D19" s="2395"/>
      <c r="E19" s="2395"/>
      <c r="F19" s="2395"/>
      <c r="G19" s="2395"/>
      <c r="H19" s="923"/>
      <c r="I19" s="923"/>
      <c r="J19" s="923"/>
      <c r="K19" s="1121"/>
      <c r="O19" s="1121"/>
      <c r="P19" s="1121"/>
    </row>
    <row r="20" spans="1:16">
      <c r="A20" s="1120"/>
      <c r="B20" s="2480" t="s">
        <v>4008</v>
      </c>
      <c r="C20" s="2480"/>
      <c r="D20" s="2480"/>
      <c r="E20" s="2480"/>
      <c r="F20" s="2480"/>
      <c r="G20" s="2480"/>
      <c r="H20" s="2480"/>
      <c r="I20" s="2480"/>
      <c r="J20" s="2480"/>
      <c r="K20" s="1121"/>
      <c r="O20" s="1121"/>
      <c r="P20" s="1121"/>
    </row>
    <row r="21" spans="1:16">
      <c r="A21" s="1120"/>
      <c r="B21" s="2480" t="s">
        <v>4006</v>
      </c>
      <c r="C21" s="2480"/>
      <c r="D21" s="2480"/>
      <c r="E21" s="2480"/>
      <c r="F21" s="2480"/>
      <c r="G21" s="2480"/>
      <c r="H21" s="2480"/>
      <c r="I21" s="2480"/>
      <c r="J21" s="2480"/>
      <c r="K21" s="1121"/>
      <c r="O21" s="1121"/>
      <c r="P21" s="1121"/>
    </row>
    <row r="22" spans="1:16">
      <c r="A22" s="1120"/>
      <c r="B22" s="2480" t="s">
        <v>4020</v>
      </c>
      <c r="C22" s="2480"/>
      <c r="D22" s="2480"/>
      <c r="E22" s="2480"/>
      <c r="F22" s="2480"/>
      <c r="G22" s="2480"/>
      <c r="H22" s="2480"/>
      <c r="I22" s="2480"/>
      <c r="J22" s="2480"/>
      <c r="K22" s="1121"/>
      <c r="O22" s="1121"/>
      <c r="P22" s="1121"/>
    </row>
    <row r="23" spans="1:16">
      <c r="A23" s="1120"/>
      <c r="B23" s="2480" t="s">
        <v>4021</v>
      </c>
      <c r="C23" s="2480"/>
      <c r="D23" s="2480"/>
      <c r="E23" s="2480"/>
      <c r="F23" s="2480"/>
      <c r="G23" s="2480"/>
      <c r="H23" s="2480"/>
      <c r="I23" s="2480"/>
      <c r="J23" s="2480"/>
      <c r="K23" s="1121"/>
      <c r="O23" s="1121"/>
      <c r="P23" s="1121"/>
    </row>
    <row r="24" spans="1:16">
      <c r="A24" s="1120"/>
      <c r="B24" s="1201"/>
      <c r="C24" s="978"/>
      <c r="D24" s="978"/>
      <c r="E24" s="978"/>
      <c r="F24" s="978"/>
      <c r="G24" s="978"/>
      <c r="H24" s="923"/>
      <c r="I24" s="923"/>
      <c r="J24" s="923"/>
      <c r="K24" s="1121"/>
      <c r="O24" s="1121"/>
      <c r="P24" s="1121"/>
    </row>
    <row r="25" spans="1:16">
      <c r="A25" s="1120"/>
      <c r="B25" s="1165" t="s">
        <v>3928</v>
      </c>
      <c r="C25" s="1037"/>
      <c r="D25" s="1037"/>
      <c r="E25" s="1037"/>
      <c r="F25" s="1202"/>
      <c r="G25" s="1203"/>
      <c r="H25" s="1124"/>
      <c r="I25" s="1124"/>
      <c r="J25" s="1124"/>
      <c r="K25" s="1124"/>
      <c r="L25" s="1124"/>
      <c r="M25" s="1124"/>
      <c r="O25" s="1121"/>
      <c r="P25" s="1121"/>
    </row>
    <row r="26" spans="1:16">
      <c r="A26" s="1120"/>
      <c r="B26" s="2414" t="s">
        <v>4024</v>
      </c>
      <c r="C26" s="2395"/>
      <c r="D26" s="2395"/>
      <c r="E26" s="2395"/>
      <c r="F26" s="2395"/>
      <c r="G26" s="2395"/>
      <c r="H26" s="2395"/>
      <c r="I26" s="2395"/>
      <c r="J26" s="2395"/>
      <c r="K26" s="1127"/>
      <c r="O26" s="1121"/>
      <c r="P26" s="1121"/>
    </row>
    <row r="27" spans="1:16">
      <c r="A27" s="1120"/>
      <c r="B27" s="2414" t="s">
        <v>4014</v>
      </c>
      <c r="C27" s="2395"/>
      <c r="D27" s="2395"/>
      <c r="E27" s="2395"/>
      <c r="F27" s="2395"/>
      <c r="G27" s="2395"/>
      <c r="H27" s="2395"/>
      <c r="I27" s="2395"/>
      <c r="J27" s="2395"/>
      <c r="K27" s="1127"/>
      <c r="O27" s="1121"/>
      <c r="P27" s="1121"/>
    </row>
    <row r="28" spans="1:16">
      <c r="A28" s="1120"/>
      <c r="B28" s="2414" t="s">
        <v>4015</v>
      </c>
      <c r="C28" s="2395"/>
      <c r="D28" s="2395"/>
      <c r="E28" s="2395"/>
      <c r="F28" s="2395"/>
      <c r="G28" s="2395"/>
      <c r="H28" s="2395"/>
      <c r="I28" s="2395"/>
      <c r="J28" s="2395"/>
      <c r="K28" s="1127"/>
      <c r="O28" s="1121"/>
      <c r="P28" s="1121"/>
    </row>
    <row r="29" spans="1:16">
      <c r="A29" s="1120"/>
      <c r="B29" s="2414" t="s">
        <v>4016</v>
      </c>
      <c r="C29" s="2395"/>
      <c r="D29" s="2395"/>
      <c r="E29" s="2395"/>
      <c r="F29" s="2395"/>
      <c r="G29" s="2395"/>
      <c r="H29" s="2395"/>
      <c r="I29" s="2395"/>
      <c r="J29" s="2395"/>
      <c r="K29" s="1127"/>
      <c r="O29" s="1121"/>
      <c r="P29" s="1121"/>
    </row>
    <row r="30" spans="1:16">
      <c r="A30" s="1120"/>
      <c r="B30" s="2414" t="s">
        <v>4018</v>
      </c>
      <c r="C30" s="2395"/>
      <c r="D30" s="2395"/>
      <c r="E30" s="2395"/>
      <c r="F30" s="2395"/>
      <c r="G30" s="2395"/>
      <c r="H30" s="2395"/>
      <c r="I30" s="2395"/>
      <c r="J30" s="2395"/>
      <c r="K30" s="1127"/>
      <c r="O30" s="1121"/>
      <c r="P30" s="1121"/>
    </row>
    <row r="31" spans="1:16">
      <c r="A31" s="1120"/>
      <c r="B31" s="2414" t="s">
        <v>4022</v>
      </c>
      <c r="C31" s="2395"/>
      <c r="D31" s="2395"/>
      <c r="E31" s="2395"/>
      <c r="F31" s="2395"/>
      <c r="G31" s="2395"/>
      <c r="H31" s="2395"/>
      <c r="I31" s="2395"/>
      <c r="J31" s="2395"/>
      <c r="K31" s="1127"/>
      <c r="O31" s="1121"/>
      <c r="P31" s="1121"/>
    </row>
    <row r="32" spans="1:16" ht="24" customHeight="1">
      <c r="A32" s="1120"/>
      <c r="B32" s="2414" t="s">
        <v>4023</v>
      </c>
      <c r="C32" s="2395"/>
      <c r="D32" s="2395"/>
      <c r="E32" s="2395"/>
      <c r="F32" s="2395"/>
      <c r="G32" s="2395"/>
      <c r="H32" s="2395"/>
      <c r="I32" s="2395"/>
      <c r="J32" s="2395"/>
      <c r="K32" s="1127"/>
      <c r="O32" s="1121"/>
      <c r="P32" s="1121"/>
    </row>
    <row r="33" spans="1:17">
      <c r="A33" s="1120"/>
      <c r="B33" s="974"/>
      <c r="C33" s="978"/>
      <c r="D33" s="978"/>
      <c r="E33" s="978"/>
      <c r="F33" s="978"/>
      <c r="G33" s="978"/>
      <c r="H33" s="978"/>
      <c r="I33" s="978"/>
      <c r="J33" s="978"/>
      <c r="K33" s="1127"/>
      <c r="O33" s="1121"/>
      <c r="P33" s="1121"/>
    </row>
    <row r="34" spans="1:17" ht="56.25" customHeight="1">
      <c r="A34" s="1120"/>
      <c r="B34" s="2428" t="s">
        <v>3994</v>
      </c>
      <c r="C34" s="2428"/>
      <c r="D34" s="2483"/>
      <c r="E34" s="2483"/>
      <c r="F34" s="2388" t="s">
        <v>3995</v>
      </c>
      <c r="G34" s="2390"/>
      <c r="H34" s="1083" t="s">
        <v>3627</v>
      </c>
      <c r="I34" s="2443" t="s">
        <v>3975</v>
      </c>
      <c r="J34" s="2443"/>
      <c r="K34" s="1124"/>
      <c r="L34" s="1153" t="s">
        <v>3667</v>
      </c>
      <c r="M34" s="1154" t="s">
        <v>3668</v>
      </c>
      <c r="N34" s="1153" t="s">
        <v>3669</v>
      </c>
      <c r="P34" s="1124"/>
    </row>
    <row r="35" spans="1:17" s="1175" customFormat="1">
      <c r="A35" s="1148"/>
      <c r="B35" s="2484" t="s">
        <v>3993</v>
      </c>
      <c r="C35" s="2485"/>
      <c r="D35" s="2486"/>
      <c r="E35" s="2487"/>
      <c r="F35" s="2496"/>
      <c r="G35" s="2496"/>
      <c r="H35" s="1212"/>
      <c r="I35" s="2496"/>
      <c r="J35" s="2496"/>
      <c r="K35" s="1205"/>
      <c r="L35" s="1137" t="s">
        <v>3672</v>
      </c>
      <c r="M35" s="1138">
        <v>5</v>
      </c>
      <c r="N35" s="1137" t="s">
        <v>3673</v>
      </c>
      <c r="O35" s="1206"/>
    </row>
    <row r="36" spans="1:17">
      <c r="B36" s="2488" t="s">
        <v>3705</v>
      </c>
      <c r="C36" s="2489"/>
      <c r="D36" s="2490"/>
      <c r="E36" s="1140" t="s">
        <v>3671</v>
      </c>
      <c r="F36" s="2496"/>
      <c r="G36" s="2496"/>
      <c r="H36" s="1214"/>
      <c r="I36" s="2496"/>
      <c r="J36" s="2496"/>
      <c r="K36" s="1121"/>
      <c r="L36" s="1137" t="s">
        <v>3675</v>
      </c>
      <c r="M36" s="1141">
        <v>5.6</v>
      </c>
      <c r="N36" s="1137" t="s">
        <v>3676</v>
      </c>
      <c r="O36" s="1206"/>
      <c r="P36" s="1121"/>
    </row>
    <row r="37" spans="1:17">
      <c r="A37" s="1120"/>
      <c r="B37" s="2491"/>
      <c r="C37" s="2492"/>
      <c r="D37" s="2490"/>
      <c r="E37" s="1140" t="s">
        <v>3674</v>
      </c>
      <c r="F37" s="2496"/>
      <c r="G37" s="2496"/>
      <c r="H37" s="1214"/>
      <c r="I37" s="2496"/>
      <c r="J37" s="2496"/>
      <c r="L37" s="1137" t="s">
        <v>3678</v>
      </c>
      <c r="M37" s="1141">
        <v>3.4</v>
      </c>
      <c r="N37" s="1137" t="s">
        <v>3679</v>
      </c>
      <c r="O37" s="1208"/>
    </row>
    <row r="38" spans="1:17">
      <c r="B38" s="2491"/>
      <c r="C38" s="2492"/>
      <c r="D38" s="2490"/>
      <c r="E38" s="1140" t="s">
        <v>3677</v>
      </c>
      <c r="F38" s="2496"/>
      <c r="G38" s="2496"/>
      <c r="H38" s="1214"/>
      <c r="I38" s="2496"/>
      <c r="J38" s="2496"/>
      <c r="K38" s="1206"/>
      <c r="L38" s="1137" t="s">
        <v>3681</v>
      </c>
      <c r="M38" s="1141">
        <v>3.4</v>
      </c>
      <c r="N38" s="1137" t="s">
        <v>3679</v>
      </c>
      <c r="O38" s="1208"/>
      <c r="P38" s="1206"/>
      <c r="Q38" s="1207"/>
    </row>
    <row r="39" spans="1:17">
      <c r="B39" s="2491"/>
      <c r="C39" s="2492"/>
      <c r="D39" s="2490"/>
      <c r="E39" s="1140" t="s">
        <v>3680</v>
      </c>
      <c r="F39" s="2496"/>
      <c r="G39" s="2496"/>
      <c r="H39" s="1214"/>
      <c r="I39" s="2496"/>
      <c r="J39" s="2496"/>
      <c r="K39" s="1206"/>
      <c r="L39" s="1142" t="s">
        <v>3683</v>
      </c>
      <c r="M39" s="1138">
        <v>3.2</v>
      </c>
      <c r="N39" s="1137" t="s">
        <v>3679</v>
      </c>
      <c r="O39" s="1208"/>
      <c r="P39" s="1206"/>
      <c r="Q39" s="1207"/>
    </row>
    <row r="40" spans="1:17">
      <c r="B40" s="2491"/>
      <c r="C40" s="2492"/>
      <c r="D40" s="2490"/>
      <c r="E40" s="1140" t="s">
        <v>3682</v>
      </c>
      <c r="F40" s="2496"/>
      <c r="G40" s="2496"/>
      <c r="H40" s="1214"/>
      <c r="I40" s="2496"/>
      <c r="J40" s="2496"/>
      <c r="K40" s="1208"/>
      <c r="L40" s="1142" t="s">
        <v>3685</v>
      </c>
      <c r="M40" s="1138" t="s">
        <v>3686</v>
      </c>
      <c r="N40" s="1137" t="s">
        <v>3679</v>
      </c>
      <c r="O40" s="1208"/>
      <c r="P40" s="1208"/>
      <c r="Q40" s="1207"/>
    </row>
    <row r="41" spans="1:17">
      <c r="B41" s="2491"/>
      <c r="C41" s="2492"/>
      <c r="D41" s="2490"/>
      <c r="E41" s="1140" t="s">
        <v>3684</v>
      </c>
      <c r="F41" s="2496"/>
      <c r="G41" s="2496"/>
      <c r="H41" s="1214"/>
      <c r="I41" s="2496"/>
      <c r="J41" s="2496"/>
      <c r="K41" s="1208"/>
      <c r="L41" s="1142" t="s">
        <v>3688</v>
      </c>
      <c r="M41" s="1138">
        <v>3.2</v>
      </c>
      <c r="N41" s="1137" t="s">
        <v>3679</v>
      </c>
      <c r="O41" s="1208"/>
      <c r="P41" s="1208"/>
      <c r="Q41" s="1207"/>
    </row>
    <row r="42" spans="1:17">
      <c r="B42" s="2491"/>
      <c r="C42" s="2492"/>
      <c r="D42" s="2490"/>
      <c r="E42" s="1143"/>
      <c r="F42" s="2496"/>
      <c r="G42" s="2496"/>
      <c r="H42" s="1214"/>
      <c r="I42" s="2496"/>
      <c r="J42" s="2496"/>
      <c r="K42" s="1208"/>
      <c r="L42" s="1137" t="s">
        <v>3689</v>
      </c>
      <c r="M42" s="1141">
        <v>6.5</v>
      </c>
      <c r="N42" s="1137" t="s">
        <v>3690</v>
      </c>
      <c r="O42" s="1208"/>
      <c r="P42" s="1208"/>
      <c r="Q42" s="1207"/>
    </row>
    <row r="43" spans="1:17">
      <c r="B43" s="2493"/>
      <c r="C43" s="2494"/>
      <c r="D43" s="2495"/>
      <c r="E43" s="1144" t="s">
        <v>3687</v>
      </c>
      <c r="F43" s="2496"/>
      <c r="G43" s="2496"/>
      <c r="H43" s="1214"/>
      <c r="I43" s="2496"/>
      <c r="J43" s="2496"/>
      <c r="K43" s="1208"/>
      <c r="L43" s="1137" t="s">
        <v>3691</v>
      </c>
      <c r="M43" s="1138">
        <v>4</v>
      </c>
      <c r="N43" s="1137" t="s">
        <v>3692</v>
      </c>
      <c r="O43" s="1208"/>
      <c r="P43" s="1208"/>
      <c r="Q43" s="1207"/>
    </row>
    <row r="44" spans="1:17" ht="31.5" customHeight="1">
      <c r="B44" s="1209"/>
      <c r="C44" s="1209"/>
      <c r="D44" s="1210"/>
      <c r="E44" s="1210"/>
      <c r="F44" s="1151"/>
      <c r="G44" s="906"/>
      <c r="H44" s="1130"/>
      <c r="I44" s="1130"/>
      <c r="J44" s="1131"/>
      <c r="K44" s="1208"/>
      <c r="L44" s="1133"/>
      <c r="M44" s="1133"/>
      <c r="N44" s="1133"/>
      <c r="O44" s="1208"/>
      <c r="P44" s="1208"/>
      <c r="Q44" s="1207"/>
    </row>
    <row r="45" spans="1:17" ht="66" customHeight="1">
      <c r="B45" s="2388"/>
      <c r="C45" s="2389"/>
      <c r="D45" s="2390"/>
      <c r="E45" s="1162" t="s">
        <v>3968</v>
      </c>
      <c r="F45" s="1162" t="s">
        <v>3619</v>
      </c>
      <c r="G45" s="1162" t="s">
        <v>3620</v>
      </c>
      <c r="H45" s="1083" t="s">
        <v>3627</v>
      </c>
      <c r="I45" s="2443" t="s">
        <v>3975</v>
      </c>
      <c r="J45" s="2443"/>
      <c r="K45" s="1124"/>
      <c r="L45" s="1124"/>
      <c r="M45" s="1124"/>
      <c r="N45" s="1205"/>
      <c r="O45" s="1208"/>
      <c r="P45" s="1207"/>
    </row>
    <row r="46" spans="1:17" ht="108">
      <c r="B46" s="2460" t="s">
        <v>3976</v>
      </c>
      <c r="C46" s="2461"/>
      <c r="D46" s="2461"/>
      <c r="E46" s="1770" t="s">
        <v>4507</v>
      </c>
      <c r="F46" s="2465" t="s">
        <v>3652</v>
      </c>
      <c r="G46" s="2460" t="s">
        <v>3652</v>
      </c>
      <c r="H46" s="1189"/>
      <c r="I46" s="2503"/>
      <c r="J46" s="2504"/>
      <c r="K46" s="1149"/>
      <c r="L46" s="1149"/>
      <c r="M46" s="1149"/>
      <c r="N46" s="1206"/>
      <c r="O46" s="1208"/>
      <c r="P46" s="1207"/>
    </row>
    <row r="47" spans="1:17" ht="96">
      <c r="B47" s="2463"/>
      <c r="C47" s="2464"/>
      <c r="D47" s="2464"/>
      <c r="E47" s="1826" t="s">
        <v>4566</v>
      </c>
      <c r="F47" s="2427"/>
      <c r="G47" s="2463"/>
      <c r="H47" s="1189"/>
      <c r="I47" s="2497"/>
      <c r="J47" s="2498"/>
      <c r="K47" s="1149"/>
      <c r="L47" s="1149"/>
      <c r="M47" s="1149"/>
      <c r="N47" s="1206"/>
      <c r="O47" s="1208"/>
      <c r="P47" s="1207"/>
    </row>
    <row r="48" spans="1:17" ht="122.25" customHeight="1">
      <c r="B48" s="2391" t="s">
        <v>3996</v>
      </c>
      <c r="C48" s="2400"/>
      <c r="D48" s="2400"/>
      <c r="E48" s="2417"/>
      <c r="F48" s="1009" t="str">
        <f>ERMs!C26</f>
        <v>, U-</v>
      </c>
      <c r="G48" s="1619" t="str">
        <f>ERMs!D26</f>
        <v>Baseline: U-
Proposed: U-</v>
      </c>
      <c r="H48" s="1215"/>
      <c r="I48" s="2497"/>
      <c r="J48" s="2498"/>
      <c r="K48" s="1124"/>
      <c r="L48" s="1124"/>
      <c r="M48" s="1124"/>
      <c r="N48" s="1206"/>
      <c r="O48" s="1208"/>
      <c r="P48" s="1207"/>
    </row>
    <row r="49" spans="1:17" s="1175" customFormat="1" ht="39" customHeight="1">
      <c r="A49" s="1148"/>
      <c r="B49" s="2499" t="s">
        <v>3977</v>
      </c>
      <c r="C49" s="2500"/>
      <c r="D49" s="2500"/>
      <c r="E49" s="2500"/>
      <c r="F49" s="2500"/>
      <c r="G49" s="2501"/>
      <c r="H49" s="1019"/>
      <c r="I49" s="2497"/>
      <c r="J49" s="2498"/>
      <c r="K49" s="1124"/>
      <c r="L49" s="1124"/>
      <c r="M49" s="1124"/>
      <c r="N49" s="1124"/>
      <c r="O49" s="1205"/>
    </row>
    <row r="50" spans="1:17" ht="25.5" customHeight="1">
      <c r="B50" s="2448" t="s">
        <v>3978</v>
      </c>
      <c r="C50" s="2449"/>
      <c r="D50" s="2449"/>
      <c r="E50" s="2449"/>
      <c r="F50" s="2449"/>
      <c r="G50" s="2450"/>
      <c r="H50" s="1019"/>
      <c r="I50" s="2497"/>
      <c r="J50" s="2498"/>
      <c r="K50" s="1124"/>
      <c r="L50" s="1124"/>
      <c r="M50" s="1124"/>
      <c r="N50" s="1124"/>
      <c r="O50" s="1206"/>
      <c r="P50" s="1207"/>
    </row>
    <row r="51" spans="1:17" ht="24.75" customHeight="1">
      <c r="B51" s="2395" t="s">
        <v>3979</v>
      </c>
      <c r="C51" s="2395"/>
      <c r="D51" s="2395"/>
      <c r="E51" s="2395"/>
      <c r="F51" s="2395"/>
      <c r="G51" s="2395"/>
      <c r="H51" s="2395"/>
      <c r="I51" s="2395"/>
      <c r="J51" s="2395"/>
      <c r="K51" s="1206"/>
      <c r="O51" s="1124"/>
      <c r="P51" s="1206"/>
      <c r="Q51" s="1207"/>
    </row>
    <row r="52" spans="1:17">
      <c r="A52" s="1120"/>
      <c r="K52" s="1150"/>
      <c r="P52" s="1124"/>
      <c r="Q52" s="1124"/>
    </row>
    <row r="53" spans="1:17">
      <c r="A53" s="1120"/>
      <c r="P53" s="1124"/>
      <c r="Q53" s="1124"/>
    </row>
    <row r="54" spans="1:17">
      <c r="A54" s="1148"/>
      <c r="O54" s="1121"/>
      <c r="P54" s="1124"/>
      <c r="Q54" s="1124"/>
    </row>
    <row r="55" spans="1:17">
      <c r="O55" s="1121"/>
    </row>
    <row r="56" spans="1:17">
      <c r="O56" s="1121"/>
    </row>
    <row r="57" spans="1:17">
      <c r="K57" s="1121"/>
      <c r="O57" s="1121"/>
      <c r="P57" s="1121"/>
    </row>
    <row r="58" spans="1:17">
      <c r="K58" s="1121"/>
      <c r="P58" s="1121"/>
      <c r="Q58" s="1119"/>
    </row>
    <row r="59" spans="1:17">
      <c r="K59" s="1121"/>
      <c r="P59" s="1121"/>
      <c r="Q59" s="1119" t="s">
        <v>1493</v>
      </c>
    </row>
    <row r="60" spans="1:17">
      <c r="K60" s="1121"/>
      <c r="P60" s="1121"/>
      <c r="Q60" s="1119" t="s">
        <v>1494</v>
      </c>
    </row>
    <row r="61" spans="1:17">
      <c r="Q61" s="1119" t="s">
        <v>2677</v>
      </c>
    </row>
  </sheetData>
  <sheetProtection formatCells="0" formatColumns="0" formatRows="0" insertColumns="0" insertRows="0"/>
  <mergeCells count="58">
    <mergeCell ref="B32:J32"/>
    <mergeCell ref="I45:J45"/>
    <mergeCell ref="I46:J46"/>
    <mergeCell ref="I48:J48"/>
    <mergeCell ref="B27:J27"/>
    <mergeCell ref="B28:J28"/>
    <mergeCell ref="B29:J29"/>
    <mergeCell ref="B30:J30"/>
    <mergeCell ref="B31:J31"/>
    <mergeCell ref="F34:G34"/>
    <mergeCell ref="F35:G35"/>
    <mergeCell ref="I34:J34"/>
    <mergeCell ref="I35:J35"/>
    <mergeCell ref="I36:J36"/>
    <mergeCell ref="I37:J37"/>
    <mergeCell ref="I38:J38"/>
    <mergeCell ref="B50:G50"/>
    <mergeCell ref="B45:D45"/>
    <mergeCell ref="I39:J39"/>
    <mergeCell ref="I40:J40"/>
    <mergeCell ref="I41:J41"/>
    <mergeCell ref="I42:J42"/>
    <mergeCell ref="I43:J43"/>
    <mergeCell ref="B46:D47"/>
    <mergeCell ref="F46:F47"/>
    <mergeCell ref="G46:G47"/>
    <mergeCell ref="I47:J47"/>
    <mergeCell ref="H1:I1"/>
    <mergeCell ref="H2:I2"/>
    <mergeCell ref="H3:I3"/>
    <mergeCell ref="H4:I4"/>
    <mergeCell ref="B26:J26"/>
    <mergeCell ref="B19:G19"/>
    <mergeCell ref="B15:J15"/>
    <mergeCell ref="B16:J16"/>
    <mergeCell ref="B17:J17"/>
    <mergeCell ref="B18:J18"/>
    <mergeCell ref="B20:J20"/>
    <mergeCell ref="B6:J6"/>
    <mergeCell ref="B21:J21"/>
    <mergeCell ref="B22:J22"/>
    <mergeCell ref="B23:J23"/>
    <mergeCell ref="B51:J51"/>
    <mergeCell ref="B34:E34"/>
    <mergeCell ref="B35:E35"/>
    <mergeCell ref="B36:D43"/>
    <mergeCell ref="F43:G43"/>
    <mergeCell ref="F38:G38"/>
    <mergeCell ref="F39:G39"/>
    <mergeCell ref="F40:G40"/>
    <mergeCell ref="F41:G41"/>
    <mergeCell ref="F42:G42"/>
    <mergeCell ref="F36:G36"/>
    <mergeCell ref="F37:G37"/>
    <mergeCell ref="I49:J49"/>
    <mergeCell ref="I50:J50"/>
    <mergeCell ref="B48:E48"/>
    <mergeCell ref="B49:G49"/>
  </mergeCells>
  <dataValidations count="1">
    <dataValidation type="list" allowBlank="1" showInputMessage="1" showErrorMessage="1" sqref="JC45:JD47 H35:H43 SZ36 ACV36 AMR36 AWN36 BGJ36 BQF36 CAB36 CJX36 CTT36 DDP36 DNL36 DXH36 EHD36 EQZ36 FAV36 FKR36 FUN36 GEJ36 GOF36 GYB36 HHX36 HRT36 IBP36 ILL36 IVH36 JFD36 JOZ36 JYV36 KIR36 KSN36 LCJ36 LMF36 LWB36 MFX36 MPT36 MZP36 NJL36 NTH36 ODD36 OMZ36 OWV36 PGR36 PQN36 QAJ36 QKF36 QUB36 RDX36 RNT36 RXP36 SHL36 SRH36 TBD36 TKZ36 TUV36 UER36 UON36 UYJ36 VIF36 VSB36 WBX36 WLT36 WVP36 JD36 JD65573 SZ65573 ACV65573 AMR65573 AWN65573 BGJ65573 BQF65573 CAB65573 CJX65573 CTT65573 DDP65573 DNL65573 DXH65573 EHD65573 EQZ65573 FAV65573 FKR65573 FUN65573 GEJ65573 GOF65573 GYB65573 HHX65573 HRT65573 IBP65573 ILL65573 IVH65573 JFD65573 JOZ65573 JYV65573 KIR65573 KSN65573 LCJ65573 LMF65573 LWB65573 MFX65573 MPT65573 MZP65573 NJL65573 NTH65573 ODD65573 OMZ65573 OWV65573 PGR65573 PQN65573 QAJ65573 QKF65573 QUB65573 RDX65573 RNT65573 RXP65573 SHL65573 SRH65573 TBD65573 TKZ65573 TUV65573 UER65573 UON65573 UYJ65573 VIF65573 VSB65573 WBX65573 WLT65573 WVP65573 JD131109 SZ131109 ACV131109 AMR131109 AWN131109 BGJ131109 BQF131109 CAB131109 CJX131109 CTT131109 DDP131109 DNL131109 DXH131109 EHD131109 EQZ131109 FAV131109 FKR131109 FUN131109 GEJ131109 GOF131109 GYB131109 HHX131109 HRT131109 IBP131109 ILL131109 IVH131109 JFD131109 JOZ131109 JYV131109 KIR131109 KSN131109 LCJ131109 LMF131109 LWB131109 MFX131109 MPT131109 MZP131109 NJL131109 NTH131109 ODD131109 OMZ131109 OWV131109 PGR131109 PQN131109 QAJ131109 QKF131109 QUB131109 RDX131109 RNT131109 RXP131109 SHL131109 SRH131109 TBD131109 TKZ131109 TUV131109 UER131109 UON131109 UYJ131109 VIF131109 VSB131109 WBX131109 WLT131109 WVP131109 JD196645 SZ196645 ACV196645 AMR196645 AWN196645 BGJ196645 BQF196645 CAB196645 CJX196645 CTT196645 DDP196645 DNL196645 DXH196645 EHD196645 EQZ196645 FAV196645 FKR196645 FUN196645 GEJ196645 GOF196645 GYB196645 HHX196645 HRT196645 IBP196645 ILL196645 IVH196645 JFD196645 JOZ196645 JYV196645 KIR196645 KSN196645 LCJ196645 LMF196645 LWB196645 MFX196645 MPT196645 MZP196645 NJL196645 NTH196645 ODD196645 OMZ196645 OWV196645 PGR196645 PQN196645 QAJ196645 QKF196645 QUB196645 RDX196645 RNT196645 RXP196645 SHL196645 SRH196645 TBD196645 TKZ196645 TUV196645 UER196645 UON196645 UYJ196645 VIF196645 VSB196645 WBX196645 WLT196645 WVP196645 JD262181 SZ262181 ACV262181 AMR262181 AWN262181 BGJ262181 BQF262181 CAB262181 CJX262181 CTT262181 DDP262181 DNL262181 DXH262181 EHD262181 EQZ262181 FAV262181 FKR262181 FUN262181 GEJ262181 GOF262181 GYB262181 HHX262181 HRT262181 IBP262181 ILL262181 IVH262181 JFD262181 JOZ262181 JYV262181 KIR262181 KSN262181 LCJ262181 LMF262181 LWB262181 MFX262181 MPT262181 MZP262181 NJL262181 NTH262181 ODD262181 OMZ262181 OWV262181 PGR262181 PQN262181 QAJ262181 QKF262181 QUB262181 RDX262181 RNT262181 RXP262181 SHL262181 SRH262181 TBD262181 TKZ262181 TUV262181 UER262181 UON262181 UYJ262181 VIF262181 VSB262181 WBX262181 WLT262181 WVP262181 JD327717 SZ327717 ACV327717 AMR327717 AWN327717 BGJ327717 BQF327717 CAB327717 CJX327717 CTT327717 DDP327717 DNL327717 DXH327717 EHD327717 EQZ327717 FAV327717 FKR327717 FUN327717 GEJ327717 GOF327717 GYB327717 HHX327717 HRT327717 IBP327717 ILL327717 IVH327717 JFD327717 JOZ327717 JYV327717 KIR327717 KSN327717 LCJ327717 LMF327717 LWB327717 MFX327717 MPT327717 MZP327717 NJL327717 NTH327717 ODD327717 OMZ327717 OWV327717 PGR327717 PQN327717 QAJ327717 QKF327717 QUB327717 RDX327717 RNT327717 RXP327717 SHL327717 SRH327717 TBD327717 TKZ327717 TUV327717 UER327717 UON327717 UYJ327717 VIF327717 VSB327717 WBX327717 WLT327717 WVP327717 JD393253 SZ393253 ACV393253 AMR393253 AWN393253 BGJ393253 BQF393253 CAB393253 CJX393253 CTT393253 DDP393253 DNL393253 DXH393253 EHD393253 EQZ393253 FAV393253 FKR393253 FUN393253 GEJ393253 GOF393253 GYB393253 HHX393253 HRT393253 IBP393253 ILL393253 IVH393253 JFD393253 JOZ393253 JYV393253 KIR393253 KSN393253 LCJ393253 LMF393253 LWB393253 MFX393253 MPT393253 MZP393253 NJL393253 NTH393253 ODD393253 OMZ393253 OWV393253 PGR393253 PQN393253 QAJ393253 QKF393253 QUB393253 RDX393253 RNT393253 RXP393253 SHL393253 SRH393253 TBD393253 TKZ393253 TUV393253 UER393253 UON393253 UYJ393253 VIF393253 VSB393253 WBX393253 WLT393253 WVP393253 JD458789 SZ458789 ACV458789 AMR458789 AWN458789 BGJ458789 BQF458789 CAB458789 CJX458789 CTT458789 DDP458789 DNL458789 DXH458789 EHD458789 EQZ458789 FAV458789 FKR458789 FUN458789 GEJ458789 GOF458789 GYB458789 HHX458789 HRT458789 IBP458789 ILL458789 IVH458789 JFD458789 JOZ458789 JYV458789 KIR458789 KSN458789 LCJ458789 LMF458789 LWB458789 MFX458789 MPT458789 MZP458789 NJL458789 NTH458789 ODD458789 OMZ458789 OWV458789 PGR458789 PQN458789 QAJ458789 QKF458789 QUB458789 RDX458789 RNT458789 RXP458789 SHL458789 SRH458789 TBD458789 TKZ458789 TUV458789 UER458789 UON458789 UYJ458789 VIF458789 VSB458789 WBX458789 WLT458789 WVP458789 JD524325 SZ524325 ACV524325 AMR524325 AWN524325 BGJ524325 BQF524325 CAB524325 CJX524325 CTT524325 DDP524325 DNL524325 DXH524325 EHD524325 EQZ524325 FAV524325 FKR524325 FUN524325 GEJ524325 GOF524325 GYB524325 HHX524325 HRT524325 IBP524325 ILL524325 IVH524325 JFD524325 JOZ524325 JYV524325 KIR524325 KSN524325 LCJ524325 LMF524325 LWB524325 MFX524325 MPT524325 MZP524325 NJL524325 NTH524325 ODD524325 OMZ524325 OWV524325 PGR524325 PQN524325 QAJ524325 QKF524325 QUB524325 RDX524325 RNT524325 RXP524325 SHL524325 SRH524325 TBD524325 TKZ524325 TUV524325 UER524325 UON524325 UYJ524325 VIF524325 VSB524325 WBX524325 WLT524325 WVP524325 JD589861 SZ589861 ACV589861 AMR589861 AWN589861 BGJ589861 BQF589861 CAB589861 CJX589861 CTT589861 DDP589861 DNL589861 DXH589861 EHD589861 EQZ589861 FAV589861 FKR589861 FUN589861 GEJ589861 GOF589861 GYB589861 HHX589861 HRT589861 IBP589861 ILL589861 IVH589861 JFD589861 JOZ589861 JYV589861 KIR589861 KSN589861 LCJ589861 LMF589861 LWB589861 MFX589861 MPT589861 MZP589861 NJL589861 NTH589861 ODD589861 OMZ589861 OWV589861 PGR589861 PQN589861 QAJ589861 QKF589861 QUB589861 RDX589861 RNT589861 RXP589861 SHL589861 SRH589861 TBD589861 TKZ589861 TUV589861 UER589861 UON589861 UYJ589861 VIF589861 VSB589861 WBX589861 WLT589861 WVP589861 JD655397 SZ655397 ACV655397 AMR655397 AWN655397 BGJ655397 BQF655397 CAB655397 CJX655397 CTT655397 DDP655397 DNL655397 DXH655397 EHD655397 EQZ655397 FAV655397 FKR655397 FUN655397 GEJ655397 GOF655397 GYB655397 HHX655397 HRT655397 IBP655397 ILL655397 IVH655397 JFD655397 JOZ655397 JYV655397 KIR655397 KSN655397 LCJ655397 LMF655397 LWB655397 MFX655397 MPT655397 MZP655397 NJL655397 NTH655397 ODD655397 OMZ655397 OWV655397 PGR655397 PQN655397 QAJ655397 QKF655397 QUB655397 RDX655397 RNT655397 RXP655397 SHL655397 SRH655397 TBD655397 TKZ655397 TUV655397 UER655397 UON655397 UYJ655397 VIF655397 VSB655397 WBX655397 WLT655397 WVP655397 JD720933 SZ720933 ACV720933 AMR720933 AWN720933 BGJ720933 BQF720933 CAB720933 CJX720933 CTT720933 DDP720933 DNL720933 DXH720933 EHD720933 EQZ720933 FAV720933 FKR720933 FUN720933 GEJ720933 GOF720933 GYB720933 HHX720933 HRT720933 IBP720933 ILL720933 IVH720933 JFD720933 JOZ720933 JYV720933 KIR720933 KSN720933 LCJ720933 LMF720933 LWB720933 MFX720933 MPT720933 MZP720933 NJL720933 NTH720933 ODD720933 OMZ720933 OWV720933 PGR720933 PQN720933 QAJ720933 QKF720933 QUB720933 RDX720933 RNT720933 RXP720933 SHL720933 SRH720933 TBD720933 TKZ720933 TUV720933 UER720933 UON720933 UYJ720933 VIF720933 VSB720933 WBX720933 WLT720933 WVP720933 JD786469 SZ786469 ACV786469 AMR786469 AWN786469 BGJ786469 BQF786469 CAB786469 CJX786469 CTT786469 DDP786469 DNL786469 DXH786469 EHD786469 EQZ786469 FAV786469 FKR786469 FUN786469 GEJ786469 GOF786469 GYB786469 HHX786469 HRT786469 IBP786469 ILL786469 IVH786469 JFD786469 JOZ786469 JYV786469 KIR786469 KSN786469 LCJ786469 LMF786469 LWB786469 MFX786469 MPT786469 MZP786469 NJL786469 NTH786469 ODD786469 OMZ786469 OWV786469 PGR786469 PQN786469 QAJ786469 QKF786469 QUB786469 RDX786469 RNT786469 RXP786469 SHL786469 SRH786469 TBD786469 TKZ786469 TUV786469 UER786469 UON786469 UYJ786469 VIF786469 VSB786469 WBX786469 WLT786469 WVP786469 JD852005 SZ852005 ACV852005 AMR852005 AWN852005 BGJ852005 BQF852005 CAB852005 CJX852005 CTT852005 DDP852005 DNL852005 DXH852005 EHD852005 EQZ852005 FAV852005 FKR852005 FUN852005 GEJ852005 GOF852005 GYB852005 HHX852005 HRT852005 IBP852005 ILL852005 IVH852005 JFD852005 JOZ852005 JYV852005 KIR852005 KSN852005 LCJ852005 LMF852005 LWB852005 MFX852005 MPT852005 MZP852005 NJL852005 NTH852005 ODD852005 OMZ852005 OWV852005 PGR852005 PQN852005 QAJ852005 QKF852005 QUB852005 RDX852005 RNT852005 RXP852005 SHL852005 SRH852005 TBD852005 TKZ852005 TUV852005 UER852005 UON852005 UYJ852005 VIF852005 VSB852005 WBX852005 WLT852005 WVP852005 JD917541 SZ917541 ACV917541 AMR917541 AWN917541 BGJ917541 BQF917541 CAB917541 CJX917541 CTT917541 DDP917541 DNL917541 DXH917541 EHD917541 EQZ917541 FAV917541 FKR917541 FUN917541 GEJ917541 GOF917541 GYB917541 HHX917541 HRT917541 IBP917541 ILL917541 IVH917541 JFD917541 JOZ917541 JYV917541 KIR917541 KSN917541 LCJ917541 LMF917541 LWB917541 MFX917541 MPT917541 MZP917541 NJL917541 NTH917541 ODD917541 OMZ917541 OWV917541 PGR917541 PQN917541 QAJ917541 QKF917541 QUB917541 RDX917541 RNT917541 RXP917541 SHL917541 SRH917541 TBD917541 TKZ917541 TUV917541 UER917541 UON917541 UYJ917541 VIF917541 VSB917541 WBX917541 WLT917541 WVP917541 JD983077 SZ983077 ACV983077 AMR983077 AWN983077 BGJ983077 BQF983077 CAB983077 CJX983077 CTT983077 DDP983077 DNL983077 DXH983077 EHD983077 EQZ983077 FAV983077 FKR983077 FUN983077 GEJ983077 GOF983077 GYB983077 HHX983077 HRT983077 IBP983077 ILL983077 IVH983077 JFD983077 JOZ983077 JYV983077 KIR983077 KSN983077 LCJ983077 LMF983077 LWB983077 MFX983077 MPT983077 MZP983077 NJL983077 NTH983077 ODD983077 OMZ983077 OWV983077 PGR983077 PQN983077 QAJ983077 QKF983077 QUB983077 RDX983077 RNT983077 RXP983077 SHL983077 SRH983077 TBD983077 TKZ983077 TUV983077 UER983077 UON983077 UYJ983077 VIF983077 VSB983077 WBX983077 WLT983077 WVP983077 JE52:JE53 TA52:TA53 ACW52:ACW53 AMS52:AMS53 AWO52:AWO53 BGK52:BGK53 BQG52:BQG53 CAC52:CAC53 CJY52:CJY53 CTU52:CTU53 DDQ52:DDQ53 DNM52:DNM53 DXI52:DXI53 EHE52:EHE53 ERA52:ERA53 FAW52:FAW53 FKS52:FKS53 FUO52:FUO53 GEK52:GEK53 GOG52:GOG53 GYC52:GYC53 HHY52:HHY53 HRU52:HRU53 IBQ52:IBQ53 ILM52:ILM53 IVI52:IVI53 JFE52:JFE53 JPA52:JPA53 JYW52:JYW53 KIS52:KIS53 KSO52:KSO53 LCK52:LCK53 LMG52:LMG53 LWC52:LWC53 MFY52:MFY53 MPU52:MPU53 MZQ52:MZQ53 NJM52:NJM53 NTI52:NTI53 ODE52:ODE53 ONA52:ONA53 OWW52:OWW53 PGS52:PGS53 PQO52:PQO53 QAK52:QAK53 QKG52:QKG53 QUC52:QUC53 RDY52:RDY53 RNU52:RNU53 RXQ52:RXQ53 SHM52:SHM53 SRI52:SRI53 TBE52:TBE53 TLA52:TLA53 TUW52:TUW53 UES52:UES53 UOO52:UOO53 UYK52:UYK53 VIG52:VIG53 VSC52:VSC53 WBY52:WBY53 WLU52:WLU53 WVQ52:WVQ53 JE65588:JE65589 TA65588:TA65589 ACW65588:ACW65589 AMS65588:AMS65589 AWO65588:AWO65589 BGK65588:BGK65589 BQG65588:BQG65589 CAC65588:CAC65589 CJY65588:CJY65589 CTU65588:CTU65589 DDQ65588:DDQ65589 DNM65588:DNM65589 DXI65588:DXI65589 EHE65588:EHE65589 ERA65588:ERA65589 FAW65588:FAW65589 FKS65588:FKS65589 FUO65588:FUO65589 GEK65588:GEK65589 GOG65588:GOG65589 GYC65588:GYC65589 HHY65588:HHY65589 HRU65588:HRU65589 IBQ65588:IBQ65589 ILM65588:ILM65589 IVI65588:IVI65589 JFE65588:JFE65589 JPA65588:JPA65589 JYW65588:JYW65589 KIS65588:KIS65589 KSO65588:KSO65589 LCK65588:LCK65589 LMG65588:LMG65589 LWC65588:LWC65589 MFY65588:MFY65589 MPU65588:MPU65589 MZQ65588:MZQ65589 NJM65588:NJM65589 NTI65588:NTI65589 ODE65588:ODE65589 ONA65588:ONA65589 OWW65588:OWW65589 PGS65588:PGS65589 PQO65588:PQO65589 QAK65588:QAK65589 QKG65588:QKG65589 QUC65588:QUC65589 RDY65588:RDY65589 RNU65588:RNU65589 RXQ65588:RXQ65589 SHM65588:SHM65589 SRI65588:SRI65589 TBE65588:TBE65589 TLA65588:TLA65589 TUW65588:TUW65589 UES65588:UES65589 UOO65588:UOO65589 UYK65588:UYK65589 VIG65588:VIG65589 VSC65588:VSC65589 WBY65588:WBY65589 WLU65588:WLU65589 WVQ65588:WVQ65589 JE131124:JE131125 TA131124:TA131125 ACW131124:ACW131125 AMS131124:AMS131125 AWO131124:AWO131125 BGK131124:BGK131125 BQG131124:BQG131125 CAC131124:CAC131125 CJY131124:CJY131125 CTU131124:CTU131125 DDQ131124:DDQ131125 DNM131124:DNM131125 DXI131124:DXI131125 EHE131124:EHE131125 ERA131124:ERA131125 FAW131124:FAW131125 FKS131124:FKS131125 FUO131124:FUO131125 GEK131124:GEK131125 GOG131124:GOG131125 GYC131124:GYC131125 HHY131124:HHY131125 HRU131124:HRU131125 IBQ131124:IBQ131125 ILM131124:ILM131125 IVI131124:IVI131125 JFE131124:JFE131125 JPA131124:JPA131125 JYW131124:JYW131125 KIS131124:KIS131125 KSO131124:KSO131125 LCK131124:LCK131125 LMG131124:LMG131125 LWC131124:LWC131125 MFY131124:MFY131125 MPU131124:MPU131125 MZQ131124:MZQ131125 NJM131124:NJM131125 NTI131124:NTI131125 ODE131124:ODE131125 ONA131124:ONA131125 OWW131124:OWW131125 PGS131124:PGS131125 PQO131124:PQO131125 QAK131124:QAK131125 QKG131124:QKG131125 QUC131124:QUC131125 RDY131124:RDY131125 RNU131124:RNU131125 RXQ131124:RXQ131125 SHM131124:SHM131125 SRI131124:SRI131125 TBE131124:TBE131125 TLA131124:TLA131125 TUW131124:TUW131125 UES131124:UES131125 UOO131124:UOO131125 UYK131124:UYK131125 VIG131124:VIG131125 VSC131124:VSC131125 WBY131124:WBY131125 WLU131124:WLU131125 WVQ131124:WVQ131125 JE196660:JE196661 TA196660:TA196661 ACW196660:ACW196661 AMS196660:AMS196661 AWO196660:AWO196661 BGK196660:BGK196661 BQG196660:BQG196661 CAC196660:CAC196661 CJY196660:CJY196661 CTU196660:CTU196661 DDQ196660:DDQ196661 DNM196660:DNM196661 DXI196660:DXI196661 EHE196660:EHE196661 ERA196660:ERA196661 FAW196660:FAW196661 FKS196660:FKS196661 FUO196660:FUO196661 GEK196660:GEK196661 GOG196660:GOG196661 GYC196660:GYC196661 HHY196660:HHY196661 HRU196660:HRU196661 IBQ196660:IBQ196661 ILM196660:ILM196661 IVI196660:IVI196661 JFE196660:JFE196661 JPA196660:JPA196661 JYW196660:JYW196661 KIS196660:KIS196661 KSO196660:KSO196661 LCK196660:LCK196661 LMG196660:LMG196661 LWC196660:LWC196661 MFY196660:MFY196661 MPU196660:MPU196661 MZQ196660:MZQ196661 NJM196660:NJM196661 NTI196660:NTI196661 ODE196660:ODE196661 ONA196660:ONA196661 OWW196660:OWW196661 PGS196660:PGS196661 PQO196660:PQO196661 QAK196660:QAK196661 QKG196660:QKG196661 QUC196660:QUC196661 RDY196660:RDY196661 RNU196660:RNU196661 RXQ196660:RXQ196661 SHM196660:SHM196661 SRI196660:SRI196661 TBE196660:TBE196661 TLA196660:TLA196661 TUW196660:TUW196661 UES196660:UES196661 UOO196660:UOO196661 UYK196660:UYK196661 VIG196660:VIG196661 VSC196660:VSC196661 WBY196660:WBY196661 WLU196660:WLU196661 WVQ196660:WVQ196661 JE262196:JE262197 TA262196:TA262197 ACW262196:ACW262197 AMS262196:AMS262197 AWO262196:AWO262197 BGK262196:BGK262197 BQG262196:BQG262197 CAC262196:CAC262197 CJY262196:CJY262197 CTU262196:CTU262197 DDQ262196:DDQ262197 DNM262196:DNM262197 DXI262196:DXI262197 EHE262196:EHE262197 ERA262196:ERA262197 FAW262196:FAW262197 FKS262196:FKS262197 FUO262196:FUO262197 GEK262196:GEK262197 GOG262196:GOG262197 GYC262196:GYC262197 HHY262196:HHY262197 HRU262196:HRU262197 IBQ262196:IBQ262197 ILM262196:ILM262197 IVI262196:IVI262197 JFE262196:JFE262197 JPA262196:JPA262197 JYW262196:JYW262197 KIS262196:KIS262197 KSO262196:KSO262197 LCK262196:LCK262197 LMG262196:LMG262197 LWC262196:LWC262197 MFY262196:MFY262197 MPU262196:MPU262197 MZQ262196:MZQ262197 NJM262196:NJM262197 NTI262196:NTI262197 ODE262196:ODE262197 ONA262196:ONA262197 OWW262196:OWW262197 PGS262196:PGS262197 PQO262196:PQO262197 QAK262196:QAK262197 QKG262196:QKG262197 QUC262196:QUC262197 RDY262196:RDY262197 RNU262196:RNU262197 RXQ262196:RXQ262197 SHM262196:SHM262197 SRI262196:SRI262197 TBE262196:TBE262197 TLA262196:TLA262197 TUW262196:TUW262197 UES262196:UES262197 UOO262196:UOO262197 UYK262196:UYK262197 VIG262196:VIG262197 VSC262196:VSC262197 WBY262196:WBY262197 WLU262196:WLU262197 WVQ262196:WVQ262197 JE327732:JE327733 TA327732:TA327733 ACW327732:ACW327733 AMS327732:AMS327733 AWO327732:AWO327733 BGK327732:BGK327733 BQG327732:BQG327733 CAC327732:CAC327733 CJY327732:CJY327733 CTU327732:CTU327733 DDQ327732:DDQ327733 DNM327732:DNM327733 DXI327732:DXI327733 EHE327732:EHE327733 ERA327732:ERA327733 FAW327732:FAW327733 FKS327732:FKS327733 FUO327732:FUO327733 GEK327732:GEK327733 GOG327732:GOG327733 GYC327732:GYC327733 HHY327732:HHY327733 HRU327732:HRU327733 IBQ327732:IBQ327733 ILM327732:ILM327733 IVI327732:IVI327733 JFE327732:JFE327733 JPA327732:JPA327733 JYW327732:JYW327733 KIS327732:KIS327733 KSO327732:KSO327733 LCK327732:LCK327733 LMG327732:LMG327733 LWC327732:LWC327733 MFY327732:MFY327733 MPU327732:MPU327733 MZQ327732:MZQ327733 NJM327732:NJM327733 NTI327732:NTI327733 ODE327732:ODE327733 ONA327732:ONA327733 OWW327732:OWW327733 PGS327732:PGS327733 PQO327732:PQO327733 QAK327732:QAK327733 QKG327732:QKG327733 QUC327732:QUC327733 RDY327732:RDY327733 RNU327732:RNU327733 RXQ327732:RXQ327733 SHM327732:SHM327733 SRI327732:SRI327733 TBE327732:TBE327733 TLA327732:TLA327733 TUW327732:TUW327733 UES327732:UES327733 UOO327732:UOO327733 UYK327732:UYK327733 VIG327732:VIG327733 VSC327732:VSC327733 WBY327732:WBY327733 WLU327732:WLU327733 WVQ327732:WVQ327733 JE393268:JE393269 TA393268:TA393269 ACW393268:ACW393269 AMS393268:AMS393269 AWO393268:AWO393269 BGK393268:BGK393269 BQG393268:BQG393269 CAC393268:CAC393269 CJY393268:CJY393269 CTU393268:CTU393269 DDQ393268:DDQ393269 DNM393268:DNM393269 DXI393268:DXI393269 EHE393268:EHE393269 ERA393268:ERA393269 FAW393268:FAW393269 FKS393268:FKS393269 FUO393268:FUO393269 GEK393268:GEK393269 GOG393268:GOG393269 GYC393268:GYC393269 HHY393268:HHY393269 HRU393268:HRU393269 IBQ393268:IBQ393269 ILM393268:ILM393269 IVI393268:IVI393269 JFE393268:JFE393269 JPA393268:JPA393269 JYW393268:JYW393269 KIS393268:KIS393269 KSO393268:KSO393269 LCK393268:LCK393269 LMG393268:LMG393269 LWC393268:LWC393269 MFY393268:MFY393269 MPU393268:MPU393269 MZQ393268:MZQ393269 NJM393268:NJM393269 NTI393268:NTI393269 ODE393268:ODE393269 ONA393268:ONA393269 OWW393268:OWW393269 PGS393268:PGS393269 PQO393268:PQO393269 QAK393268:QAK393269 QKG393268:QKG393269 QUC393268:QUC393269 RDY393268:RDY393269 RNU393268:RNU393269 RXQ393268:RXQ393269 SHM393268:SHM393269 SRI393268:SRI393269 TBE393268:TBE393269 TLA393268:TLA393269 TUW393268:TUW393269 UES393268:UES393269 UOO393268:UOO393269 UYK393268:UYK393269 VIG393268:VIG393269 VSC393268:VSC393269 WBY393268:WBY393269 WLU393268:WLU393269 WVQ393268:WVQ393269 JE458804:JE458805 TA458804:TA458805 ACW458804:ACW458805 AMS458804:AMS458805 AWO458804:AWO458805 BGK458804:BGK458805 BQG458804:BQG458805 CAC458804:CAC458805 CJY458804:CJY458805 CTU458804:CTU458805 DDQ458804:DDQ458805 DNM458804:DNM458805 DXI458804:DXI458805 EHE458804:EHE458805 ERA458804:ERA458805 FAW458804:FAW458805 FKS458804:FKS458805 FUO458804:FUO458805 GEK458804:GEK458805 GOG458804:GOG458805 GYC458804:GYC458805 HHY458804:HHY458805 HRU458804:HRU458805 IBQ458804:IBQ458805 ILM458804:ILM458805 IVI458804:IVI458805 JFE458804:JFE458805 JPA458804:JPA458805 JYW458804:JYW458805 KIS458804:KIS458805 KSO458804:KSO458805 LCK458804:LCK458805 LMG458804:LMG458805 LWC458804:LWC458805 MFY458804:MFY458805 MPU458804:MPU458805 MZQ458804:MZQ458805 NJM458804:NJM458805 NTI458804:NTI458805 ODE458804:ODE458805 ONA458804:ONA458805 OWW458804:OWW458805 PGS458804:PGS458805 PQO458804:PQO458805 QAK458804:QAK458805 QKG458804:QKG458805 QUC458804:QUC458805 RDY458804:RDY458805 RNU458804:RNU458805 RXQ458804:RXQ458805 SHM458804:SHM458805 SRI458804:SRI458805 TBE458804:TBE458805 TLA458804:TLA458805 TUW458804:TUW458805 UES458804:UES458805 UOO458804:UOO458805 UYK458804:UYK458805 VIG458804:VIG458805 VSC458804:VSC458805 WBY458804:WBY458805 WLU458804:WLU458805 WVQ458804:WVQ458805 JE524340:JE524341 TA524340:TA524341 ACW524340:ACW524341 AMS524340:AMS524341 AWO524340:AWO524341 BGK524340:BGK524341 BQG524340:BQG524341 CAC524340:CAC524341 CJY524340:CJY524341 CTU524340:CTU524341 DDQ524340:DDQ524341 DNM524340:DNM524341 DXI524340:DXI524341 EHE524340:EHE524341 ERA524340:ERA524341 FAW524340:FAW524341 FKS524340:FKS524341 FUO524340:FUO524341 GEK524340:GEK524341 GOG524340:GOG524341 GYC524340:GYC524341 HHY524340:HHY524341 HRU524340:HRU524341 IBQ524340:IBQ524341 ILM524340:ILM524341 IVI524340:IVI524341 JFE524340:JFE524341 JPA524340:JPA524341 JYW524340:JYW524341 KIS524340:KIS524341 KSO524340:KSO524341 LCK524340:LCK524341 LMG524340:LMG524341 LWC524340:LWC524341 MFY524340:MFY524341 MPU524340:MPU524341 MZQ524340:MZQ524341 NJM524340:NJM524341 NTI524340:NTI524341 ODE524340:ODE524341 ONA524340:ONA524341 OWW524340:OWW524341 PGS524340:PGS524341 PQO524340:PQO524341 QAK524340:QAK524341 QKG524340:QKG524341 QUC524340:QUC524341 RDY524340:RDY524341 RNU524340:RNU524341 RXQ524340:RXQ524341 SHM524340:SHM524341 SRI524340:SRI524341 TBE524340:TBE524341 TLA524340:TLA524341 TUW524340:TUW524341 UES524340:UES524341 UOO524340:UOO524341 UYK524340:UYK524341 VIG524340:VIG524341 VSC524340:VSC524341 WBY524340:WBY524341 WLU524340:WLU524341 WVQ524340:WVQ524341 JE589876:JE589877 TA589876:TA589877 ACW589876:ACW589877 AMS589876:AMS589877 AWO589876:AWO589877 BGK589876:BGK589877 BQG589876:BQG589877 CAC589876:CAC589877 CJY589876:CJY589877 CTU589876:CTU589877 DDQ589876:DDQ589877 DNM589876:DNM589877 DXI589876:DXI589877 EHE589876:EHE589877 ERA589876:ERA589877 FAW589876:FAW589877 FKS589876:FKS589877 FUO589876:FUO589877 GEK589876:GEK589877 GOG589876:GOG589877 GYC589876:GYC589877 HHY589876:HHY589877 HRU589876:HRU589877 IBQ589876:IBQ589877 ILM589876:ILM589877 IVI589876:IVI589877 JFE589876:JFE589877 JPA589876:JPA589877 JYW589876:JYW589877 KIS589876:KIS589877 KSO589876:KSO589877 LCK589876:LCK589877 LMG589876:LMG589877 LWC589876:LWC589877 MFY589876:MFY589877 MPU589876:MPU589877 MZQ589876:MZQ589877 NJM589876:NJM589877 NTI589876:NTI589877 ODE589876:ODE589877 ONA589876:ONA589877 OWW589876:OWW589877 PGS589876:PGS589877 PQO589876:PQO589877 QAK589876:QAK589877 QKG589876:QKG589877 QUC589876:QUC589877 RDY589876:RDY589877 RNU589876:RNU589877 RXQ589876:RXQ589877 SHM589876:SHM589877 SRI589876:SRI589877 TBE589876:TBE589877 TLA589876:TLA589877 TUW589876:TUW589877 UES589876:UES589877 UOO589876:UOO589877 UYK589876:UYK589877 VIG589876:VIG589877 VSC589876:VSC589877 WBY589876:WBY589877 WLU589876:WLU589877 WVQ589876:WVQ589877 JE655412:JE655413 TA655412:TA655413 ACW655412:ACW655413 AMS655412:AMS655413 AWO655412:AWO655413 BGK655412:BGK655413 BQG655412:BQG655413 CAC655412:CAC655413 CJY655412:CJY655413 CTU655412:CTU655413 DDQ655412:DDQ655413 DNM655412:DNM655413 DXI655412:DXI655413 EHE655412:EHE655413 ERA655412:ERA655413 FAW655412:FAW655413 FKS655412:FKS655413 FUO655412:FUO655413 GEK655412:GEK655413 GOG655412:GOG655413 GYC655412:GYC655413 HHY655412:HHY655413 HRU655412:HRU655413 IBQ655412:IBQ655413 ILM655412:ILM655413 IVI655412:IVI655413 JFE655412:JFE655413 JPA655412:JPA655413 JYW655412:JYW655413 KIS655412:KIS655413 KSO655412:KSO655413 LCK655412:LCK655413 LMG655412:LMG655413 LWC655412:LWC655413 MFY655412:MFY655413 MPU655412:MPU655413 MZQ655412:MZQ655413 NJM655412:NJM655413 NTI655412:NTI655413 ODE655412:ODE655413 ONA655412:ONA655413 OWW655412:OWW655413 PGS655412:PGS655413 PQO655412:PQO655413 QAK655412:QAK655413 QKG655412:QKG655413 QUC655412:QUC655413 RDY655412:RDY655413 RNU655412:RNU655413 RXQ655412:RXQ655413 SHM655412:SHM655413 SRI655412:SRI655413 TBE655412:TBE655413 TLA655412:TLA655413 TUW655412:TUW655413 UES655412:UES655413 UOO655412:UOO655413 UYK655412:UYK655413 VIG655412:VIG655413 VSC655412:VSC655413 WBY655412:WBY655413 WLU655412:WLU655413 WVQ655412:WVQ655413 JE720948:JE720949 TA720948:TA720949 ACW720948:ACW720949 AMS720948:AMS720949 AWO720948:AWO720949 BGK720948:BGK720949 BQG720948:BQG720949 CAC720948:CAC720949 CJY720948:CJY720949 CTU720948:CTU720949 DDQ720948:DDQ720949 DNM720948:DNM720949 DXI720948:DXI720949 EHE720948:EHE720949 ERA720948:ERA720949 FAW720948:FAW720949 FKS720948:FKS720949 FUO720948:FUO720949 GEK720948:GEK720949 GOG720948:GOG720949 GYC720948:GYC720949 HHY720948:HHY720949 HRU720948:HRU720949 IBQ720948:IBQ720949 ILM720948:ILM720949 IVI720948:IVI720949 JFE720948:JFE720949 JPA720948:JPA720949 JYW720948:JYW720949 KIS720948:KIS720949 KSO720948:KSO720949 LCK720948:LCK720949 LMG720948:LMG720949 LWC720948:LWC720949 MFY720948:MFY720949 MPU720948:MPU720949 MZQ720948:MZQ720949 NJM720948:NJM720949 NTI720948:NTI720949 ODE720948:ODE720949 ONA720948:ONA720949 OWW720948:OWW720949 PGS720948:PGS720949 PQO720948:PQO720949 QAK720948:QAK720949 QKG720948:QKG720949 QUC720948:QUC720949 RDY720948:RDY720949 RNU720948:RNU720949 RXQ720948:RXQ720949 SHM720948:SHM720949 SRI720948:SRI720949 TBE720948:TBE720949 TLA720948:TLA720949 TUW720948:TUW720949 UES720948:UES720949 UOO720948:UOO720949 UYK720948:UYK720949 VIG720948:VIG720949 VSC720948:VSC720949 WBY720948:WBY720949 WLU720948:WLU720949 WVQ720948:WVQ720949 JE786484:JE786485 TA786484:TA786485 ACW786484:ACW786485 AMS786484:AMS786485 AWO786484:AWO786485 BGK786484:BGK786485 BQG786484:BQG786485 CAC786484:CAC786485 CJY786484:CJY786485 CTU786484:CTU786485 DDQ786484:DDQ786485 DNM786484:DNM786485 DXI786484:DXI786485 EHE786484:EHE786485 ERA786484:ERA786485 FAW786484:FAW786485 FKS786484:FKS786485 FUO786484:FUO786485 GEK786484:GEK786485 GOG786484:GOG786485 GYC786484:GYC786485 HHY786484:HHY786485 HRU786484:HRU786485 IBQ786484:IBQ786485 ILM786484:ILM786485 IVI786484:IVI786485 JFE786484:JFE786485 JPA786484:JPA786485 JYW786484:JYW786485 KIS786484:KIS786485 KSO786484:KSO786485 LCK786484:LCK786485 LMG786484:LMG786485 LWC786484:LWC786485 MFY786484:MFY786485 MPU786484:MPU786485 MZQ786484:MZQ786485 NJM786484:NJM786485 NTI786484:NTI786485 ODE786484:ODE786485 ONA786484:ONA786485 OWW786484:OWW786485 PGS786484:PGS786485 PQO786484:PQO786485 QAK786484:QAK786485 QKG786484:QKG786485 QUC786484:QUC786485 RDY786484:RDY786485 RNU786484:RNU786485 RXQ786484:RXQ786485 SHM786484:SHM786485 SRI786484:SRI786485 TBE786484:TBE786485 TLA786484:TLA786485 TUW786484:TUW786485 UES786484:UES786485 UOO786484:UOO786485 UYK786484:UYK786485 VIG786484:VIG786485 VSC786484:VSC786485 WBY786484:WBY786485 WLU786484:WLU786485 WVQ786484:WVQ786485 JE852020:JE852021 TA852020:TA852021 ACW852020:ACW852021 AMS852020:AMS852021 AWO852020:AWO852021 BGK852020:BGK852021 BQG852020:BQG852021 CAC852020:CAC852021 CJY852020:CJY852021 CTU852020:CTU852021 DDQ852020:DDQ852021 DNM852020:DNM852021 DXI852020:DXI852021 EHE852020:EHE852021 ERA852020:ERA852021 FAW852020:FAW852021 FKS852020:FKS852021 FUO852020:FUO852021 GEK852020:GEK852021 GOG852020:GOG852021 GYC852020:GYC852021 HHY852020:HHY852021 HRU852020:HRU852021 IBQ852020:IBQ852021 ILM852020:ILM852021 IVI852020:IVI852021 JFE852020:JFE852021 JPA852020:JPA852021 JYW852020:JYW852021 KIS852020:KIS852021 KSO852020:KSO852021 LCK852020:LCK852021 LMG852020:LMG852021 LWC852020:LWC852021 MFY852020:MFY852021 MPU852020:MPU852021 MZQ852020:MZQ852021 NJM852020:NJM852021 NTI852020:NTI852021 ODE852020:ODE852021 ONA852020:ONA852021 OWW852020:OWW852021 PGS852020:PGS852021 PQO852020:PQO852021 QAK852020:QAK852021 QKG852020:QKG852021 QUC852020:QUC852021 RDY852020:RDY852021 RNU852020:RNU852021 RXQ852020:RXQ852021 SHM852020:SHM852021 SRI852020:SRI852021 TBE852020:TBE852021 TLA852020:TLA852021 TUW852020:TUW852021 UES852020:UES852021 UOO852020:UOO852021 UYK852020:UYK852021 VIG852020:VIG852021 VSC852020:VSC852021 WBY852020:WBY852021 WLU852020:WLU852021 WVQ852020:WVQ852021 JE917556:JE917557 TA917556:TA917557 ACW917556:ACW917557 AMS917556:AMS917557 AWO917556:AWO917557 BGK917556:BGK917557 BQG917556:BQG917557 CAC917556:CAC917557 CJY917556:CJY917557 CTU917556:CTU917557 DDQ917556:DDQ917557 DNM917556:DNM917557 DXI917556:DXI917557 EHE917556:EHE917557 ERA917556:ERA917557 FAW917556:FAW917557 FKS917556:FKS917557 FUO917556:FUO917557 GEK917556:GEK917557 GOG917556:GOG917557 GYC917556:GYC917557 HHY917556:HHY917557 HRU917556:HRU917557 IBQ917556:IBQ917557 ILM917556:ILM917557 IVI917556:IVI917557 JFE917556:JFE917557 JPA917556:JPA917557 JYW917556:JYW917557 KIS917556:KIS917557 KSO917556:KSO917557 LCK917556:LCK917557 LMG917556:LMG917557 LWC917556:LWC917557 MFY917556:MFY917557 MPU917556:MPU917557 MZQ917556:MZQ917557 NJM917556:NJM917557 NTI917556:NTI917557 ODE917556:ODE917557 ONA917556:ONA917557 OWW917556:OWW917557 PGS917556:PGS917557 PQO917556:PQO917557 QAK917556:QAK917557 QKG917556:QKG917557 QUC917556:QUC917557 RDY917556:RDY917557 RNU917556:RNU917557 RXQ917556:RXQ917557 SHM917556:SHM917557 SRI917556:SRI917557 TBE917556:TBE917557 TLA917556:TLA917557 TUW917556:TUW917557 UES917556:UES917557 UOO917556:UOO917557 UYK917556:UYK917557 VIG917556:VIG917557 VSC917556:VSC917557 WBY917556:WBY917557 WLU917556:WLU917557 WVQ917556:WVQ917557 JE983092:JE983093 TA983092:TA983093 ACW983092:ACW983093 AMS983092:AMS983093 AWO983092:AWO983093 BGK983092:BGK983093 BQG983092:BQG983093 CAC983092:CAC983093 CJY983092:CJY983093 CTU983092:CTU983093 DDQ983092:DDQ983093 DNM983092:DNM983093 DXI983092:DXI983093 EHE983092:EHE983093 ERA983092:ERA983093 FAW983092:FAW983093 FKS983092:FKS983093 FUO983092:FUO983093 GEK983092:GEK983093 GOG983092:GOG983093 GYC983092:GYC983093 HHY983092:HHY983093 HRU983092:HRU983093 IBQ983092:IBQ983093 ILM983092:ILM983093 IVI983092:IVI983093 JFE983092:JFE983093 JPA983092:JPA983093 JYW983092:JYW983093 KIS983092:KIS983093 KSO983092:KSO983093 LCK983092:LCK983093 LMG983092:LMG983093 LWC983092:LWC983093 MFY983092:MFY983093 MPU983092:MPU983093 MZQ983092:MZQ983093 NJM983092:NJM983093 NTI983092:NTI983093 ODE983092:ODE983093 ONA983092:ONA983093 OWW983092:OWW983093 PGS983092:PGS983093 PQO983092:PQO983093 QAK983092:QAK983093 QKG983092:QKG983093 QUC983092:QUC983093 RDY983092:RDY983093 RNU983092:RNU983093 RXQ983092:RXQ983093 SHM983092:SHM983093 SRI983092:SRI983093 TBE983092:TBE983093 TLA983092:TLA983093 TUW983092:TUW983093 UES983092:UES983093 UOO983092:UOO983093 UYK983092:UYK983093 VIG983092:VIG983093 VSC983092:VSC983093 WBY983092:WBY983093 WLU983092:WLU983093 WVQ983092:WVQ983093 JD51:JE51 JC50:JD50 SZ51:TA51 SY50:SZ50 ACV51:ACW51 ACU50:ACV50 AMR51:AMS51 AMQ50:AMR50 AWN51:AWO51 AWM50:AWN50 BGJ51:BGK51 BGI50:BGJ50 BQF51:BQG51 BQE50:BQF50 CAB51:CAC51 CAA50:CAB50 CJX51:CJY51 CJW50:CJX50 CTT51:CTU51 CTS50:CTT50 DDP51:DDQ51 DDO50:DDP50 DNL51:DNM51 DNK50:DNL50 DXH51:DXI51 DXG50:DXH50 EHD51:EHE51 EHC50:EHD50 EQZ51:ERA51 EQY50:EQZ50 FAV51:FAW51 FAU50:FAV50 FKR51:FKS51 FKQ50:FKR50 FUN51:FUO51 FUM50:FUN50 GEJ51:GEK51 GEI50:GEJ50 GOF51:GOG51 GOE50:GOF50 GYB51:GYC51 GYA50:GYB50 HHX51:HHY51 HHW50:HHX50 HRT51:HRU51 HRS50:HRT50 IBP51:IBQ51 IBO50:IBP50 ILL51:ILM51 ILK50:ILL50 IVH51:IVI51 IVG50:IVH50 JFD51:JFE51 JFC50:JFD50 JOZ51:JPA51 JOY50:JOZ50 JYV51:JYW51 JYU50:JYV50 KIR51:KIS51 KIQ50:KIR50 KSN51:KSO51 KSM50:KSN50 LCJ51:LCK51 LCI50:LCJ50 LMF51:LMG51 LME50:LMF50 LWB51:LWC51 LWA50:LWB50 MFX51:MFY51 MFW50:MFX50 MPT51:MPU51 MPS50:MPT50 MZP51:MZQ51 MZO50:MZP50 NJL51:NJM51 NJK50:NJL50 NTH51:NTI51 NTG50:NTH50 ODD51:ODE51 ODC50:ODD50 OMZ51:ONA51 OMY50:OMZ50 OWV51:OWW51 OWU50:OWV50 PGR51:PGS51 PGQ50:PGR50 PQN51:PQO51 PQM50:PQN50 QAJ51:QAK51 QAI50:QAJ50 QKF51:QKG51 QKE50:QKF50 QUB51:QUC51 QUA50:QUB50 RDX51:RDY51 RDW50:RDX50 RNT51:RNU51 RNS50:RNT50 RXP51:RXQ51 RXO50:RXP50 SHL51:SHM51 SHK50:SHL50 SRH51:SRI51 SRG50:SRH50 TBD51:TBE51 TBC50:TBD50 TKZ51:TLA51 TKY50:TKZ50 TUV51:TUW51 TUU50:TUV50 UER51:UES51 UEQ50:UER50 UON51:UOO51 UOM50:UON50 UYJ51:UYK51 UYI50:UYJ50 VIF51:VIG51 VIE50:VIF50 VSB51:VSC51 VSA50:VSB50 WBX51:WBY51 WBW50:WBX50 WLT51:WLU51 WLS50:WLT50 WVP51:WVQ51 WVO50:WVP50 JD65586:JE65587 SZ65586:TA65587 ACV65586:ACW65587 AMR65586:AMS65587 AWN65586:AWO65587 BGJ65586:BGK65587 BQF65586:BQG65587 CAB65586:CAC65587 CJX65586:CJY65587 CTT65586:CTU65587 DDP65586:DDQ65587 DNL65586:DNM65587 DXH65586:DXI65587 EHD65586:EHE65587 EQZ65586:ERA65587 FAV65586:FAW65587 FKR65586:FKS65587 FUN65586:FUO65587 GEJ65586:GEK65587 GOF65586:GOG65587 GYB65586:GYC65587 HHX65586:HHY65587 HRT65586:HRU65587 IBP65586:IBQ65587 ILL65586:ILM65587 IVH65586:IVI65587 JFD65586:JFE65587 JOZ65586:JPA65587 JYV65586:JYW65587 KIR65586:KIS65587 KSN65586:KSO65587 LCJ65586:LCK65587 LMF65586:LMG65587 LWB65586:LWC65587 MFX65586:MFY65587 MPT65586:MPU65587 MZP65586:MZQ65587 NJL65586:NJM65587 NTH65586:NTI65587 ODD65586:ODE65587 OMZ65586:ONA65587 OWV65586:OWW65587 PGR65586:PGS65587 PQN65586:PQO65587 QAJ65586:QAK65587 QKF65586:QKG65587 QUB65586:QUC65587 RDX65586:RDY65587 RNT65586:RNU65587 RXP65586:RXQ65587 SHL65586:SHM65587 SRH65586:SRI65587 TBD65586:TBE65587 TKZ65586:TLA65587 TUV65586:TUW65587 UER65586:UES65587 UON65586:UOO65587 UYJ65586:UYK65587 VIF65586:VIG65587 VSB65586:VSC65587 WBX65586:WBY65587 WLT65586:WLU65587 WVP65586:WVQ65587 JD131122:JE131123 SZ131122:TA131123 ACV131122:ACW131123 AMR131122:AMS131123 AWN131122:AWO131123 BGJ131122:BGK131123 BQF131122:BQG131123 CAB131122:CAC131123 CJX131122:CJY131123 CTT131122:CTU131123 DDP131122:DDQ131123 DNL131122:DNM131123 DXH131122:DXI131123 EHD131122:EHE131123 EQZ131122:ERA131123 FAV131122:FAW131123 FKR131122:FKS131123 FUN131122:FUO131123 GEJ131122:GEK131123 GOF131122:GOG131123 GYB131122:GYC131123 HHX131122:HHY131123 HRT131122:HRU131123 IBP131122:IBQ131123 ILL131122:ILM131123 IVH131122:IVI131123 JFD131122:JFE131123 JOZ131122:JPA131123 JYV131122:JYW131123 KIR131122:KIS131123 KSN131122:KSO131123 LCJ131122:LCK131123 LMF131122:LMG131123 LWB131122:LWC131123 MFX131122:MFY131123 MPT131122:MPU131123 MZP131122:MZQ131123 NJL131122:NJM131123 NTH131122:NTI131123 ODD131122:ODE131123 OMZ131122:ONA131123 OWV131122:OWW131123 PGR131122:PGS131123 PQN131122:PQO131123 QAJ131122:QAK131123 QKF131122:QKG131123 QUB131122:QUC131123 RDX131122:RDY131123 RNT131122:RNU131123 RXP131122:RXQ131123 SHL131122:SHM131123 SRH131122:SRI131123 TBD131122:TBE131123 TKZ131122:TLA131123 TUV131122:TUW131123 UER131122:UES131123 UON131122:UOO131123 UYJ131122:UYK131123 VIF131122:VIG131123 VSB131122:VSC131123 WBX131122:WBY131123 WLT131122:WLU131123 WVP131122:WVQ131123 JD196658:JE196659 SZ196658:TA196659 ACV196658:ACW196659 AMR196658:AMS196659 AWN196658:AWO196659 BGJ196658:BGK196659 BQF196658:BQG196659 CAB196658:CAC196659 CJX196658:CJY196659 CTT196658:CTU196659 DDP196658:DDQ196659 DNL196658:DNM196659 DXH196658:DXI196659 EHD196658:EHE196659 EQZ196658:ERA196659 FAV196658:FAW196659 FKR196658:FKS196659 FUN196658:FUO196659 GEJ196658:GEK196659 GOF196658:GOG196659 GYB196658:GYC196659 HHX196658:HHY196659 HRT196658:HRU196659 IBP196658:IBQ196659 ILL196658:ILM196659 IVH196658:IVI196659 JFD196658:JFE196659 JOZ196658:JPA196659 JYV196658:JYW196659 KIR196658:KIS196659 KSN196658:KSO196659 LCJ196658:LCK196659 LMF196658:LMG196659 LWB196658:LWC196659 MFX196658:MFY196659 MPT196658:MPU196659 MZP196658:MZQ196659 NJL196658:NJM196659 NTH196658:NTI196659 ODD196658:ODE196659 OMZ196658:ONA196659 OWV196658:OWW196659 PGR196658:PGS196659 PQN196658:PQO196659 QAJ196658:QAK196659 QKF196658:QKG196659 QUB196658:QUC196659 RDX196658:RDY196659 RNT196658:RNU196659 RXP196658:RXQ196659 SHL196658:SHM196659 SRH196658:SRI196659 TBD196658:TBE196659 TKZ196658:TLA196659 TUV196658:TUW196659 UER196658:UES196659 UON196658:UOO196659 UYJ196658:UYK196659 VIF196658:VIG196659 VSB196658:VSC196659 WBX196658:WBY196659 WLT196658:WLU196659 WVP196658:WVQ196659 JD262194:JE262195 SZ262194:TA262195 ACV262194:ACW262195 AMR262194:AMS262195 AWN262194:AWO262195 BGJ262194:BGK262195 BQF262194:BQG262195 CAB262194:CAC262195 CJX262194:CJY262195 CTT262194:CTU262195 DDP262194:DDQ262195 DNL262194:DNM262195 DXH262194:DXI262195 EHD262194:EHE262195 EQZ262194:ERA262195 FAV262194:FAW262195 FKR262194:FKS262195 FUN262194:FUO262195 GEJ262194:GEK262195 GOF262194:GOG262195 GYB262194:GYC262195 HHX262194:HHY262195 HRT262194:HRU262195 IBP262194:IBQ262195 ILL262194:ILM262195 IVH262194:IVI262195 JFD262194:JFE262195 JOZ262194:JPA262195 JYV262194:JYW262195 KIR262194:KIS262195 KSN262194:KSO262195 LCJ262194:LCK262195 LMF262194:LMG262195 LWB262194:LWC262195 MFX262194:MFY262195 MPT262194:MPU262195 MZP262194:MZQ262195 NJL262194:NJM262195 NTH262194:NTI262195 ODD262194:ODE262195 OMZ262194:ONA262195 OWV262194:OWW262195 PGR262194:PGS262195 PQN262194:PQO262195 QAJ262194:QAK262195 QKF262194:QKG262195 QUB262194:QUC262195 RDX262194:RDY262195 RNT262194:RNU262195 RXP262194:RXQ262195 SHL262194:SHM262195 SRH262194:SRI262195 TBD262194:TBE262195 TKZ262194:TLA262195 TUV262194:TUW262195 UER262194:UES262195 UON262194:UOO262195 UYJ262194:UYK262195 VIF262194:VIG262195 VSB262194:VSC262195 WBX262194:WBY262195 WLT262194:WLU262195 WVP262194:WVQ262195 JD327730:JE327731 SZ327730:TA327731 ACV327730:ACW327731 AMR327730:AMS327731 AWN327730:AWO327731 BGJ327730:BGK327731 BQF327730:BQG327731 CAB327730:CAC327731 CJX327730:CJY327731 CTT327730:CTU327731 DDP327730:DDQ327731 DNL327730:DNM327731 DXH327730:DXI327731 EHD327730:EHE327731 EQZ327730:ERA327731 FAV327730:FAW327731 FKR327730:FKS327731 FUN327730:FUO327731 GEJ327730:GEK327731 GOF327730:GOG327731 GYB327730:GYC327731 HHX327730:HHY327731 HRT327730:HRU327731 IBP327730:IBQ327731 ILL327730:ILM327731 IVH327730:IVI327731 JFD327730:JFE327731 JOZ327730:JPA327731 JYV327730:JYW327731 KIR327730:KIS327731 KSN327730:KSO327731 LCJ327730:LCK327731 LMF327730:LMG327731 LWB327730:LWC327731 MFX327730:MFY327731 MPT327730:MPU327731 MZP327730:MZQ327731 NJL327730:NJM327731 NTH327730:NTI327731 ODD327730:ODE327731 OMZ327730:ONA327731 OWV327730:OWW327731 PGR327730:PGS327731 PQN327730:PQO327731 QAJ327730:QAK327731 QKF327730:QKG327731 QUB327730:QUC327731 RDX327730:RDY327731 RNT327730:RNU327731 RXP327730:RXQ327731 SHL327730:SHM327731 SRH327730:SRI327731 TBD327730:TBE327731 TKZ327730:TLA327731 TUV327730:TUW327731 UER327730:UES327731 UON327730:UOO327731 UYJ327730:UYK327731 VIF327730:VIG327731 VSB327730:VSC327731 WBX327730:WBY327731 WLT327730:WLU327731 WVP327730:WVQ327731 JD393266:JE393267 SZ393266:TA393267 ACV393266:ACW393267 AMR393266:AMS393267 AWN393266:AWO393267 BGJ393266:BGK393267 BQF393266:BQG393267 CAB393266:CAC393267 CJX393266:CJY393267 CTT393266:CTU393267 DDP393266:DDQ393267 DNL393266:DNM393267 DXH393266:DXI393267 EHD393266:EHE393267 EQZ393266:ERA393267 FAV393266:FAW393267 FKR393266:FKS393267 FUN393266:FUO393267 GEJ393266:GEK393267 GOF393266:GOG393267 GYB393266:GYC393267 HHX393266:HHY393267 HRT393266:HRU393267 IBP393266:IBQ393267 ILL393266:ILM393267 IVH393266:IVI393267 JFD393266:JFE393267 JOZ393266:JPA393267 JYV393266:JYW393267 KIR393266:KIS393267 KSN393266:KSO393267 LCJ393266:LCK393267 LMF393266:LMG393267 LWB393266:LWC393267 MFX393266:MFY393267 MPT393266:MPU393267 MZP393266:MZQ393267 NJL393266:NJM393267 NTH393266:NTI393267 ODD393266:ODE393267 OMZ393266:ONA393267 OWV393266:OWW393267 PGR393266:PGS393267 PQN393266:PQO393267 QAJ393266:QAK393267 QKF393266:QKG393267 QUB393266:QUC393267 RDX393266:RDY393267 RNT393266:RNU393267 RXP393266:RXQ393267 SHL393266:SHM393267 SRH393266:SRI393267 TBD393266:TBE393267 TKZ393266:TLA393267 TUV393266:TUW393267 UER393266:UES393267 UON393266:UOO393267 UYJ393266:UYK393267 VIF393266:VIG393267 VSB393266:VSC393267 WBX393266:WBY393267 WLT393266:WLU393267 WVP393266:WVQ393267 JD458802:JE458803 SZ458802:TA458803 ACV458802:ACW458803 AMR458802:AMS458803 AWN458802:AWO458803 BGJ458802:BGK458803 BQF458802:BQG458803 CAB458802:CAC458803 CJX458802:CJY458803 CTT458802:CTU458803 DDP458802:DDQ458803 DNL458802:DNM458803 DXH458802:DXI458803 EHD458802:EHE458803 EQZ458802:ERA458803 FAV458802:FAW458803 FKR458802:FKS458803 FUN458802:FUO458803 GEJ458802:GEK458803 GOF458802:GOG458803 GYB458802:GYC458803 HHX458802:HHY458803 HRT458802:HRU458803 IBP458802:IBQ458803 ILL458802:ILM458803 IVH458802:IVI458803 JFD458802:JFE458803 JOZ458802:JPA458803 JYV458802:JYW458803 KIR458802:KIS458803 KSN458802:KSO458803 LCJ458802:LCK458803 LMF458802:LMG458803 LWB458802:LWC458803 MFX458802:MFY458803 MPT458802:MPU458803 MZP458802:MZQ458803 NJL458802:NJM458803 NTH458802:NTI458803 ODD458802:ODE458803 OMZ458802:ONA458803 OWV458802:OWW458803 PGR458802:PGS458803 PQN458802:PQO458803 QAJ458802:QAK458803 QKF458802:QKG458803 QUB458802:QUC458803 RDX458802:RDY458803 RNT458802:RNU458803 RXP458802:RXQ458803 SHL458802:SHM458803 SRH458802:SRI458803 TBD458802:TBE458803 TKZ458802:TLA458803 TUV458802:TUW458803 UER458802:UES458803 UON458802:UOO458803 UYJ458802:UYK458803 VIF458802:VIG458803 VSB458802:VSC458803 WBX458802:WBY458803 WLT458802:WLU458803 WVP458802:WVQ458803 JD524338:JE524339 SZ524338:TA524339 ACV524338:ACW524339 AMR524338:AMS524339 AWN524338:AWO524339 BGJ524338:BGK524339 BQF524338:BQG524339 CAB524338:CAC524339 CJX524338:CJY524339 CTT524338:CTU524339 DDP524338:DDQ524339 DNL524338:DNM524339 DXH524338:DXI524339 EHD524338:EHE524339 EQZ524338:ERA524339 FAV524338:FAW524339 FKR524338:FKS524339 FUN524338:FUO524339 GEJ524338:GEK524339 GOF524338:GOG524339 GYB524338:GYC524339 HHX524338:HHY524339 HRT524338:HRU524339 IBP524338:IBQ524339 ILL524338:ILM524339 IVH524338:IVI524339 JFD524338:JFE524339 JOZ524338:JPA524339 JYV524338:JYW524339 KIR524338:KIS524339 KSN524338:KSO524339 LCJ524338:LCK524339 LMF524338:LMG524339 LWB524338:LWC524339 MFX524338:MFY524339 MPT524338:MPU524339 MZP524338:MZQ524339 NJL524338:NJM524339 NTH524338:NTI524339 ODD524338:ODE524339 OMZ524338:ONA524339 OWV524338:OWW524339 PGR524338:PGS524339 PQN524338:PQO524339 QAJ524338:QAK524339 QKF524338:QKG524339 QUB524338:QUC524339 RDX524338:RDY524339 RNT524338:RNU524339 RXP524338:RXQ524339 SHL524338:SHM524339 SRH524338:SRI524339 TBD524338:TBE524339 TKZ524338:TLA524339 TUV524338:TUW524339 UER524338:UES524339 UON524338:UOO524339 UYJ524338:UYK524339 VIF524338:VIG524339 VSB524338:VSC524339 WBX524338:WBY524339 WLT524338:WLU524339 WVP524338:WVQ524339 JD589874:JE589875 SZ589874:TA589875 ACV589874:ACW589875 AMR589874:AMS589875 AWN589874:AWO589875 BGJ589874:BGK589875 BQF589874:BQG589875 CAB589874:CAC589875 CJX589874:CJY589875 CTT589874:CTU589875 DDP589874:DDQ589875 DNL589874:DNM589875 DXH589874:DXI589875 EHD589874:EHE589875 EQZ589874:ERA589875 FAV589874:FAW589875 FKR589874:FKS589875 FUN589874:FUO589875 GEJ589874:GEK589875 GOF589874:GOG589875 GYB589874:GYC589875 HHX589874:HHY589875 HRT589874:HRU589875 IBP589874:IBQ589875 ILL589874:ILM589875 IVH589874:IVI589875 JFD589874:JFE589875 JOZ589874:JPA589875 JYV589874:JYW589875 KIR589874:KIS589875 KSN589874:KSO589875 LCJ589874:LCK589875 LMF589874:LMG589875 LWB589874:LWC589875 MFX589874:MFY589875 MPT589874:MPU589875 MZP589874:MZQ589875 NJL589874:NJM589875 NTH589874:NTI589875 ODD589874:ODE589875 OMZ589874:ONA589875 OWV589874:OWW589875 PGR589874:PGS589875 PQN589874:PQO589875 QAJ589874:QAK589875 QKF589874:QKG589875 QUB589874:QUC589875 RDX589874:RDY589875 RNT589874:RNU589875 RXP589874:RXQ589875 SHL589874:SHM589875 SRH589874:SRI589875 TBD589874:TBE589875 TKZ589874:TLA589875 TUV589874:TUW589875 UER589874:UES589875 UON589874:UOO589875 UYJ589874:UYK589875 VIF589874:VIG589875 VSB589874:VSC589875 WBX589874:WBY589875 WLT589874:WLU589875 WVP589874:WVQ589875 JD655410:JE655411 SZ655410:TA655411 ACV655410:ACW655411 AMR655410:AMS655411 AWN655410:AWO655411 BGJ655410:BGK655411 BQF655410:BQG655411 CAB655410:CAC655411 CJX655410:CJY655411 CTT655410:CTU655411 DDP655410:DDQ655411 DNL655410:DNM655411 DXH655410:DXI655411 EHD655410:EHE655411 EQZ655410:ERA655411 FAV655410:FAW655411 FKR655410:FKS655411 FUN655410:FUO655411 GEJ655410:GEK655411 GOF655410:GOG655411 GYB655410:GYC655411 HHX655410:HHY655411 HRT655410:HRU655411 IBP655410:IBQ655411 ILL655410:ILM655411 IVH655410:IVI655411 JFD655410:JFE655411 JOZ655410:JPA655411 JYV655410:JYW655411 KIR655410:KIS655411 KSN655410:KSO655411 LCJ655410:LCK655411 LMF655410:LMG655411 LWB655410:LWC655411 MFX655410:MFY655411 MPT655410:MPU655411 MZP655410:MZQ655411 NJL655410:NJM655411 NTH655410:NTI655411 ODD655410:ODE655411 OMZ655410:ONA655411 OWV655410:OWW655411 PGR655410:PGS655411 PQN655410:PQO655411 QAJ655410:QAK655411 QKF655410:QKG655411 QUB655410:QUC655411 RDX655410:RDY655411 RNT655410:RNU655411 RXP655410:RXQ655411 SHL655410:SHM655411 SRH655410:SRI655411 TBD655410:TBE655411 TKZ655410:TLA655411 TUV655410:TUW655411 UER655410:UES655411 UON655410:UOO655411 UYJ655410:UYK655411 VIF655410:VIG655411 VSB655410:VSC655411 WBX655410:WBY655411 WLT655410:WLU655411 WVP655410:WVQ655411 JD720946:JE720947 SZ720946:TA720947 ACV720946:ACW720947 AMR720946:AMS720947 AWN720946:AWO720947 BGJ720946:BGK720947 BQF720946:BQG720947 CAB720946:CAC720947 CJX720946:CJY720947 CTT720946:CTU720947 DDP720946:DDQ720947 DNL720946:DNM720947 DXH720946:DXI720947 EHD720946:EHE720947 EQZ720946:ERA720947 FAV720946:FAW720947 FKR720946:FKS720947 FUN720946:FUO720947 GEJ720946:GEK720947 GOF720946:GOG720947 GYB720946:GYC720947 HHX720946:HHY720947 HRT720946:HRU720947 IBP720946:IBQ720947 ILL720946:ILM720947 IVH720946:IVI720947 JFD720946:JFE720947 JOZ720946:JPA720947 JYV720946:JYW720947 KIR720946:KIS720947 KSN720946:KSO720947 LCJ720946:LCK720947 LMF720946:LMG720947 LWB720946:LWC720947 MFX720946:MFY720947 MPT720946:MPU720947 MZP720946:MZQ720947 NJL720946:NJM720947 NTH720946:NTI720947 ODD720946:ODE720947 OMZ720946:ONA720947 OWV720946:OWW720947 PGR720946:PGS720947 PQN720946:PQO720947 QAJ720946:QAK720947 QKF720946:QKG720947 QUB720946:QUC720947 RDX720946:RDY720947 RNT720946:RNU720947 RXP720946:RXQ720947 SHL720946:SHM720947 SRH720946:SRI720947 TBD720946:TBE720947 TKZ720946:TLA720947 TUV720946:TUW720947 UER720946:UES720947 UON720946:UOO720947 UYJ720946:UYK720947 VIF720946:VIG720947 VSB720946:VSC720947 WBX720946:WBY720947 WLT720946:WLU720947 WVP720946:WVQ720947 JD786482:JE786483 SZ786482:TA786483 ACV786482:ACW786483 AMR786482:AMS786483 AWN786482:AWO786483 BGJ786482:BGK786483 BQF786482:BQG786483 CAB786482:CAC786483 CJX786482:CJY786483 CTT786482:CTU786483 DDP786482:DDQ786483 DNL786482:DNM786483 DXH786482:DXI786483 EHD786482:EHE786483 EQZ786482:ERA786483 FAV786482:FAW786483 FKR786482:FKS786483 FUN786482:FUO786483 GEJ786482:GEK786483 GOF786482:GOG786483 GYB786482:GYC786483 HHX786482:HHY786483 HRT786482:HRU786483 IBP786482:IBQ786483 ILL786482:ILM786483 IVH786482:IVI786483 JFD786482:JFE786483 JOZ786482:JPA786483 JYV786482:JYW786483 KIR786482:KIS786483 KSN786482:KSO786483 LCJ786482:LCK786483 LMF786482:LMG786483 LWB786482:LWC786483 MFX786482:MFY786483 MPT786482:MPU786483 MZP786482:MZQ786483 NJL786482:NJM786483 NTH786482:NTI786483 ODD786482:ODE786483 OMZ786482:ONA786483 OWV786482:OWW786483 PGR786482:PGS786483 PQN786482:PQO786483 QAJ786482:QAK786483 QKF786482:QKG786483 QUB786482:QUC786483 RDX786482:RDY786483 RNT786482:RNU786483 RXP786482:RXQ786483 SHL786482:SHM786483 SRH786482:SRI786483 TBD786482:TBE786483 TKZ786482:TLA786483 TUV786482:TUW786483 UER786482:UES786483 UON786482:UOO786483 UYJ786482:UYK786483 VIF786482:VIG786483 VSB786482:VSC786483 WBX786482:WBY786483 WLT786482:WLU786483 WVP786482:WVQ786483 JD852018:JE852019 SZ852018:TA852019 ACV852018:ACW852019 AMR852018:AMS852019 AWN852018:AWO852019 BGJ852018:BGK852019 BQF852018:BQG852019 CAB852018:CAC852019 CJX852018:CJY852019 CTT852018:CTU852019 DDP852018:DDQ852019 DNL852018:DNM852019 DXH852018:DXI852019 EHD852018:EHE852019 EQZ852018:ERA852019 FAV852018:FAW852019 FKR852018:FKS852019 FUN852018:FUO852019 GEJ852018:GEK852019 GOF852018:GOG852019 GYB852018:GYC852019 HHX852018:HHY852019 HRT852018:HRU852019 IBP852018:IBQ852019 ILL852018:ILM852019 IVH852018:IVI852019 JFD852018:JFE852019 JOZ852018:JPA852019 JYV852018:JYW852019 KIR852018:KIS852019 KSN852018:KSO852019 LCJ852018:LCK852019 LMF852018:LMG852019 LWB852018:LWC852019 MFX852018:MFY852019 MPT852018:MPU852019 MZP852018:MZQ852019 NJL852018:NJM852019 NTH852018:NTI852019 ODD852018:ODE852019 OMZ852018:ONA852019 OWV852018:OWW852019 PGR852018:PGS852019 PQN852018:PQO852019 QAJ852018:QAK852019 QKF852018:QKG852019 QUB852018:QUC852019 RDX852018:RDY852019 RNT852018:RNU852019 RXP852018:RXQ852019 SHL852018:SHM852019 SRH852018:SRI852019 TBD852018:TBE852019 TKZ852018:TLA852019 TUV852018:TUW852019 UER852018:UES852019 UON852018:UOO852019 UYJ852018:UYK852019 VIF852018:VIG852019 VSB852018:VSC852019 WBX852018:WBY852019 WLT852018:WLU852019 WVP852018:WVQ852019 JD917554:JE917555 SZ917554:TA917555 ACV917554:ACW917555 AMR917554:AMS917555 AWN917554:AWO917555 BGJ917554:BGK917555 BQF917554:BQG917555 CAB917554:CAC917555 CJX917554:CJY917555 CTT917554:CTU917555 DDP917554:DDQ917555 DNL917554:DNM917555 DXH917554:DXI917555 EHD917554:EHE917555 EQZ917554:ERA917555 FAV917554:FAW917555 FKR917554:FKS917555 FUN917554:FUO917555 GEJ917554:GEK917555 GOF917554:GOG917555 GYB917554:GYC917555 HHX917554:HHY917555 HRT917554:HRU917555 IBP917554:IBQ917555 ILL917554:ILM917555 IVH917554:IVI917555 JFD917554:JFE917555 JOZ917554:JPA917555 JYV917554:JYW917555 KIR917554:KIS917555 KSN917554:KSO917555 LCJ917554:LCK917555 LMF917554:LMG917555 LWB917554:LWC917555 MFX917554:MFY917555 MPT917554:MPU917555 MZP917554:MZQ917555 NJL917554:NJM917555 NTH917554:NTI917555 ODD917554:ODE917555 OMZ917554:ONA917555 OWV917554:OWW917555 PGR917554:PGS917555 PQN917554:PQO917555 QAJ917554:QAK917555 QKF917554:QKG917555 QUB917554:QUC917555 RDX917554:RDY917555 RNT917554:RNU917555 RXP917554:RXQ917555 SHL917554:SHM917555 SRH917554:SRI917555 TBD917554:TBE917555 TKZ917554:TLA917555 TUV917554:TUW917555 UER917554:UES917555 UON917554:UOO917555 UYJ917554:UYK917555 VIF917554:VIG917555 VSB917554:VSC917555 WBX917554:WBY917555 WLT917554:WLU917555 WVP917554:WVQ917555 JD983090:JE983091 SZ983090:TA983091 ACV983090:ACW983091 AMR983090:AMS983091 AWN983090:AWO983091 BGJ983090:BGK983091 BQF983090:BQG983091 CAB983090:CAC983091 CJX983090:CJY983091 CTT983090:CTU983091 DDP983090:DDQ983091 DNL983090:DNM983091 DXH983090:DXI983091 EHD983090:EHE983091 EQZ983090:ERA983091 FAV983090:FAW983091 FKR983090:FKS983091 FUN983090:FUO983091 GEJ983090:GEK983091 GOF983090:GOG983091 GYB983090:GYC983091 HHX983090:HHY983091 HRT983090:HRU983091 IBP983090:IBQ983091 ILL983090:ILM983091 IVH983090:IVI983091 JFD983090:JFE983091 JOZ983090:JPA983091 JYV983090:JYW983091 KIR983090:KIS983091 KSN983090:KSO983091 LCJ983090:LCK983091 LMF983090:LMG983091 LWB983090:LWC983091 MFX983090:MFY983091 MPT983090:MPU983091 MZP983090:MZQ983091 NJL983090:NJM983091 NTH983090:NTI983091 ODD983090:ODE983091 OMZ983090:ONA983091 OWV983090:OWW983091 PGR983090:PGS983091 PQN983090:PQO983091 QAJ983090:QAK983091 QKF983090:QKG983091 QUB983090:QUC983091 RDX983090:RDY983091 RNT983090:RNU983091 RXP983090:RXQ983091 SHL983090:SHM983091 SRH983090:SRI983091 TBD983090:TBE983091 TKZ983090:TLA983091 TUV983090:TUW983091 UER983090:UES983091 UON983090:UOO983091 UYJ983090:UYK983091 VIF983090:VIG983091 VSB983090:VSC983091 WBX983090:WBY983091 WLT983090:WLU983091 WVP983090:WVQ983091 JD38:JE44 SZ38:TA44 ACV38:ACW44 AMR38:AMS44 AWN38:AWO44 BGJ38:BGK44 BQF38:BQG44 CAB38:CAC44 CJX38:CJY44 CTT38:CTU44 DDP38:DDQ44 DNL38:DNM44 DXH38:DXI44 EHD38:EHE44 EQZ38:ERA44 FAV38:FAW44 FKR38:FKS44 FUN38:FUO44 GEJ38:GEK44 GOF38:GOG44 GYB38:GYC44 HHX38:HHY44 HRT38:HRU44 IBP38:IBQ44 ILL38:ILM44 IVH38:IVI44 JFD38:JFE44 JOZ38:JPA44 JYV38:JYW44 KIR38:KIS44 KSN38:KSO44 LCJ38:LCK44 LMF38:LMG44 LWB38:LWC44 MFX38:MFY44 MPT38:MPU44 MZP38:MZQ44 NJL38:NJM44 NTH38:NTI44 ODD38:ODE44 OMZ38:ONA44 OWV38:OWW44 PGR38:PGS44 PQN38:PQO44 QAJ38:QAK44 QKF38:QKG44 QUB38:QUC44 RDX38:RDY44 RNT38:RNU44 RXP38:RXQ44 SHL38:SHM44 SRH38:SRI44 TBD38:TBE44 TKZ38:TLA44 TUV38:TUW44 UER38:UES44 UON38:UOO44 UYJ38:UYK44 VIF38:VIG44 VSB38:VSC44 WBX38:WBY44 WLT38:WLU44 WVP38:WVQ44 JD65575:JE65583 SZ65575:TA65583 ACV65575:ACW65583 AMR65575:AMS65583 AWN65575:AWO65583 BGJ65575:BGK65583 BQF65575:BQG65583 CAB65575:CAC65583 CJX65575:CJY65583 CTT65575:CTU65583 DDP65575:DDQ65583 DNL65575:DNM65583 DXH65575:DXI65583 EHD65575:EHE65583 EQZ65575:ERA65583 FAV65575:FAW65583 FKR65575:FKS65583 FUN65575:FUO65583 GEJ65575:GEK65583 GOF65575:GOG65583 GYB65575:GYC65583 HHX65575:HHY65583 HRT65575:HRU65583 IBP65575:IBQ65583 ILL65575:ILM65583 IVH65575:IVI65583 JFD65575:JFE65583 JOZ65575:JPA65583 JYV65575:JYW65583 KIR65575:KIS65583 KSN65575:KSO65583 LCJ65575:LCK65583 LMF65575:LMG65583 LWB65575:LWC65583 MFX65575:MFY65583 MPT65575:MPU65583 MZP65575:MZQ65583 NJL65575:NJM65583 NTH65575:NTI65583 ODD65575:ODE65583 OMZ65575:ONA65583 OWV65575:OWW65583 PGR65575:PGS65583 PQN65575:PQO65583 QAJ65575:QAK65583 QKF65575:QKG65583 QUB65575:QUC65583 RDX65575:RDY65583 RNT65575:RNU65583 RXP65575:RXQ65583 SHL65575:SHM65583 SRH65575:SRI65583 TBD65575:TBE65583 TKZ65575:TLA65583 TUV65575:TUW65583 UER65575:UES65583 UON65575:UOO65583 UYJ65575:UYK65583 VIF65575:VIG65583 VSB65575:VSC65583 WBX65575:WBY65583 WLT65575:WLU65583 WVP65575:WVQ65583 JD131111:JE131119 SZ131111:TA131119 ACV131111:ACW131119 AMR131111:AMS131119 AWN131111:AWO131119 BGJ131111:BGK131119 BQF131111:BQG131119 CAB131111:CAC131119 CJX131111:CJY131119 CTT131111:CTU131119 DDP131111:DDQ131119 DNL131111:DNM131119 DXH131111:DXI131119 EHD131111:EHE131119 EQZ131111:ERA131119 FAV131111:FAW131119 FKR131111:FKS131119 FUN131111:FUO131119 GEJ131111:GEK131119 GOF131111:GOG131119 GYB131111:GYC131119 HHX131111:HHY131119 HRT131111:HRU131119 IBP131111:IBQ131119 ILL131111:ILM131119 IVH131111:IVI131119 JFD131111:JFE131119 JOZ131111:JPA131119 JYV131111:JYW131119 KIR131111:KIS131119 KSN131111:KSO131119 LCJ131111:LCK131119 LMF131111:LMG131119 LWB131111:LWC131119 MFX131111:MFY131119 MPT131111:MPU131119 MZP131111:MZQ131119 NJL131111:NJM131119 NTH131111:NTI131119 ODD131111:ODE131119 OMZ131111:ONA131119 OWV131111:OWW131119 PGR131111:PGS131119 PQN131111:PQO131119 QAJ131111:QAK131119 QKF131111:QKG131119 QUB131111:QUC131119 RDX131111:RDY131119 RNT131111:RNU131119 RXP131111:RXQ131119 SHL131111:SHM131119 SRH131111:SRI131119 TBD131111:TBE131119 TKZ131111:TLA131119 TUV131111:TUW131119 UER131111:UES131119 UON131111:UOO131119 UYJ131111:UYK131119 VIF131111:VIG131119 VSB131111:VSC131119 WBX131111:WBY131119 WLT131111:WLU131119 WVP131111:WVQ131119 JD196647:JE196655 SZ196647:TA196655 ACV196647:ACW196655 AMR196647:AMS196655 AWN196647:AWO196655 BGJ196647:BGK196655 BQF196647:BQG196655 CAB196647:CAC196655 CJX196647:CJY196655 CTT196647:CTU196655 DDP196647:DDQ196655 DNL196647:DNM196655 DXH196647:DXI196655 EHD196647:EHE196655 EQZ196647:ERA196655 FAV196647:FAW196655 FKR196647:FKS196655 FUN196647:FUO196655 GEJ196647:GEK196655 GOF196647:GOG196655 GYB196647:GYC196655 HHX196647:HHY196655 HRT196647:HRU196655 IBP196647:IBQ196655 ILL196647:ILM196655 IVH196647:IVI196655 JFD196647:JFE196655 JOZ196647:JPA196655 JYV196647:JYW196655 KIR196647:KIS196655 KSN196647:KSO196655 LCJ196647:LCK196655 LMF196647:LMG196655 LWB196647:LWC196655 MFX196647:MFY196655 MPT196647:MPU196655 MZP196647:MZQ196655 NJL196647:NJM196655 NTH196647:NTI196655 ODD196647:ODE196655 OMZ196647:ONA196655 OWV196647:OWW196655 PGR196647:PGS196655 PQN196647:PQO196655 QAJ196647:QAK196655 QKF196647:QKG196655 QUB196647:QUC196655 RDX196647:RDY196655 RNT196647:RNU196655 RXP196647:RXQ196655 SHL196647:SHM196655 SRH196647:SRI196655 TBD196647:TBE196655 TKZ196647:TLA196655 TUV196647:TUW196655 UER196647:UES196655 UON196647:UOO196655 UYJ196647:UYK196655 VIF196647:VIG196655 VSB196647:VSC196655 WBX196647:WBY196655 WLT196647:WLU196655 WVP196647:WVQ196655 JD262183:JE262191 SZ262183:TA262191 ACV262183:ACW262191 AMR262183:AMS262191 AWN262183:AWO262191 BGJ262183:BGK262191 BQF262183:BQG262191 CAB262183:CAC262191 CJX262183:CJY262191 CTT262183:CTU262191 DDP262183:DDQ262191 DNL262183:DNM262191 DXH262183:DXI262191 EHD262183:EHE262191 EQZ262183:ERA262191 FAV262183:FAW262191 FKR262183:FKS262191 FUN262183:FUO262191 GEJ262183:GEK262191 GOF262183:GOG262191 GYB262183:GYC262191 HHX262183:HHY262191 HRT262183:HRU262191 IBP262183:IBQ262191 ILL262183:ILM262191 IVH262183:IVI262191 JFD262183:JFE262191 JOZ262183:JPA262191 JYV262183:JYW262191 KIR262183:KIS262191 KSN262183:KSO262191 LCJ262183:LCK262191 LMF262183:LMG262191 LWB262183:LWC262191 MFX262183:MFY262191 MPT262183:MPU262191 MZP262183:MZQ262191 NJL262183:NJM262191 NTH262183:NTI262191 ODD262183:ODE262191 OMZ262183:ONA262191 OWV262183:OWW262191 PGR262183:PGS262191 PQN262183:PQO262191 QAJ262183:QAK262191 QKF262183:QKG262191 QUB262183:QUC262191 RDX262183:RDY262191 RNT262183:RNU262191 RXP262183:RXQ262191 SHL262183:SHM262191 SRH262183:SRI262191 TBD262183:TBE262191 TKZ262183:TLA262191 TUV262183:TUW262191 UER262183:UES262191 UON262183:UOO262191 UYJ262183:UYK262191 VIF262183:VIG262191 VSB262183:VSC262191 WBX262183:WBY262191 WLT262183:WLU262191 WVP262183:WVQ262191 JD327719:JE327727 SZ327719:TA327727 ACV327719:ACW327727 AMR327719:AMS327727 AWN327719:AWO327727 BGJ327719:BGK327727 BQF327719:BQG327727 CAB327719:CAC327727 CJX327719:CJY327727 CTT327719:CTU327727 DDP327719:DDQ327727 DNL327719:DNM327727 DXH327719:DXI327727 EHD327719:EHE327727 EQZ327719:ERA327727 FAV327719:FAW327727 FKR327719:FKS327727 FUN327719:FUO327727 GEJ327719:GEK327727 GOF327719:GOG327727 GYB327719:GYC327727 HHX327719:HHY327727 HRT327719:HRU327727 IBP327719:IBQ327727 ILL327719:ILM327727 IVH327719:IVI327727 JFD327719:JFE327727 JOZ327719:JPA327727 JYV327719:JYW327727 KIR327719:KIS327727 KSN327719:KSO327727 LCJ327719:LCK327727 LMF327719:LMG327727 LWB327719:LWC327727 MFX327719:MFY327727 MPT327719:MPU327727 MZP327719:MZQ327727 NJL327719:NJM327727 NTH327719:NTI327727 ODD327719:ODE327727 OMZ327719:ONA327727 OWV327719:OWW327727 PGR327719:PGS327727 PQN327719:PQO327727 QAJ327719:QAK327727 QKF327719:QKG327727 QUB327719:QUC327727 RDX327719:RDY327727 RNT327719:RNU327727 RXP327719:RXQ327727 SHL327719:SHM327727 SRH327719:SRI327727 TBD327719:TBE327727 TKZ327719:TLA327727 TUV327719:TUW327727 UER327719:UES327727 UON327719:UOO327727 UYJ327719:UYK327727 VIF327719:VIG327727 VSB327719:VSC327727 WBX327719:WBY327727 WLT327719:WLU327727 WVP327719:WVQ327727 JD393255:JE393263 SZ393255:TA393263 ACV393255:ACW393263 AMR393255:AMS393263 AWN393255:AWO393263 BGJ393255:BGK393263 BQF393255:BQG393263 CAB393255:CAC393263 CJX393255:CJY393263 CTT393255:CTU393263 DDP393255:DDQ393263 DNL393255:DNM393263 DXH393255:DXI393263 EHD393255:EHE393263 EQZ393255:ERA393263 FAV393255:FAW393263 FKR393255:FKS393263 FUN393255:FUO393263 GEJ393255:GEK393263 GOF393255:GOG393263 GYB393255:GYC393263 HHX393255:HHY393263 HRT393255:HRU393263 IBP393255:IBQ393263 ILL393255:ILM393263 IVH393255:IVI393263 JFD393255:JFE393263 JOZ393255:JPA393263 JYV393255:JYW393263 KIR393255:KIS393263 KSN393255:KSO393263 LCJ393255:LCK393263 LMF393255:LMG393263 LWB393255:LWC393263 MFX393255:MFY393263 MPT393255:MPU393263 MZP393255:MZQ393263 NJL393255:NJM393263 NTH393255:NTI393263 ODD393255:ODE393263 OMZ393255:ONA393263 OWV393255:OWW393263 PGR393255:PGS393263 PQN393255:PQO393263 QAJ393255:QAK393263 QKF393255:QKG393263 QUB393255:QUC393263 RDX393255:RDY393263 RNT393255:RNU393263 RXP393255:RXQ393263 SHL393255:SHM393263 SRH393255:SRI393263 TBD393255:TBE393263 TKZ393255:TLA393263 TUV393255:TUW393263 UER393255:UES393263 UON393255:UOO393263 UYJ393255:UYK393263 VIF393255:VIG393263 VSB393255:VSC393263 WBX393255:WBY393263 WLT393255:WLU393263 WVP393255:WVQ393263 JD458791:JE458799 SZ458791:TA458799 ACV458791:ACW458799 AMR458791:AMS458799 AWN458791:AWO458799 BGJ458791:BGK458799 BQF458791:BQG458799 CAB458791:CAC458799 CJX458791:CJY458799 CTT458791:CTU458799 DDP458791:DDQ458799 DNL458791:DNM458799 DXH458791:DXI458799 EHD458791:EHE458799 EQZ458791:ERA458799 FAV458791:FAW458799 FKR458791:FKS458799 FUN458791:FUO458799 GEJ458791:GEK458799 GOF458791:GOG458799 GYB458791:GYC458799 HHX458791:HHY458799 HRT458791:HRU458799 IBP458791:IBQ458799 ILL458791:ILM458799 IVH458791:IVI458799 JFD458791:JFE458799 JOZ458791:JPA458799 JYV458791:JYW458799 KIR458791:KIS458799 KSN458791:KSO458799 LCJ458791:LCK458799 LMF458791:LMG458799 LWB458791:LWC458799 MFX458791:MFY458799 MPT458791:MPU458799 MZP458791:MZQ458799 NJL458791:NJM458799 NTH458791:NTI458799 ODD458791:ODE458799 OMZ458791:ONA458799 OWV458791:OWW458799 PGR458791:PGS458799 PQN458791:PQO458799 QAJ458791:QAK458799 QKF458791:QKG458799 QUB458791:QUC458799 RDX458791:RDY458799 RNT458791:RNU458799 RXP458791:RXQ458799 SHL458791:SHM458799 SRH458791:SRI458799 TBD458791:TBE458799 TKZ458791:TLA458799 TUV458791:TUW458799 UER458791:UES458799 UON458791:UOO458799 UYJ458791:UYK458799 VIF458791:VIG458799 VSB458791:VSC458799 WBX458791:WBY458799 WLT458791:WLU458799 WVP458791:WVQ458799 JD524327:JE524335 SZ524327:TA524335 ACV524327:ACW524335 AMR524327:AMS524335 AWN524327:AWO524335 BGJ524327:BGK524335 BQF524327:BQG524335 CAB524327:CAC524335 CJX524327:CJY524335 CTT524327:CTU524335 DDP524327:DDQ524335 DNL524327:DNM524335 DXH524327:DXI524335 EHD524327:EHE524335 EQZ524327:ERA524335 FAV524327:FAW524335 FKR524327:FKS524335 FUN524327:FUO524335 GEJ524327:GEK524335 GOF524327:GOG524335 GYB524327:GYC524335 HHX524327:HHY524335 HRT524327:HRU524335 IBP524327:IBQ524335 ILL524327:ILM524335 IVH524327:IVI524335 JFD524327:JFE524335 JOZ524327:JPA524335 JYV524327:JYW524335 KIR524327:KIS524335 KSN524327:KSO524335 LCJ524327:LCK524335 LMF524327:LMG524335 LWB524327:LWC524335 MFX524327:MFY524335 MPT524327:MPU524335 MZP524327:MZQ524335 NJL524327:NJM524335 NTH524327:NTI524335 ODD524327:ODE524335 OMZ524327:ONA524335 OWV524327:OWW524335 PGR524327:PGS524335 PQN524327:PQO524335 QAJ524327:QAK524335 QKF524327:QKG524335 QUB524327:QUC524335 RDX524327:RDY524335 RNT524327:RNU524335 RXP524327:RXQ524335 SHL524327:SHM524335 SRH524327:SRI524335 TBD524327:TBE524335 TKZ524327:TLA524335 TUV524327:TUW524335 UER524327:UES524335 UON524327:UOO524335 UYJ524327:UYK524335 VIF524327:VIG524335 VSB524327:VSC524335 WBX524327:WBY524335 WLT524327:WLU524335 WVP524327:WVQ524335 JD589863:JE589871 SZ589863:TA589871 ACV589863:ACW589871 AMR589863:AMS589871 AWN589863:AWO589871 BGJ589863:BGK589871 BQF589863:BQG589871 CAB589863:CAC589871 CJX589863:CJY589871 CTT589863:CTU589871 DDP589863:DDQ589871 DNL589863:DNM589871 DXH589863:DXI589871 EHD589863:EHE589871 EQZ589863:ERA589871 FAV589863:FAW589871 FKR589863:FKS589871 FUN589863:FUO589871 GEJ589863:GEK589871 GOF589863:GOG589871 GYB589863:GYC589871 HHX589863:HHY589871 HRT589863:HRU589871 IBP589863:IBQ589871 ILL589863:ILM589871 IVH589863:IVI589871 JFD589863:JFE589871 JOZ589863:JPA589871 JYV589863:JYW589871 KIR589863:KIS589871 KSN589863:KSO589871 LCJ589863:LCK589871 LMF589863:LMG589871 LWB589863:LWC589871 MFX589863:MFY589871 MPT589863:MPU589871 MZP589863:MZQ589871 NJL589863:NJM589871 NTH589863:NTI589871 ODD589863:ODE589871 OMZ589863:ONA589871 OWV589863:OWW589871 PGR589863:PGS589871 PQN589863:PQO589871 QAJ589863:QAK589871 QKF589863:QKG589871 QUB589863:QUC589871 RDX589863:RDY589871 RNT589863:RNU589871 RXP589863:RXQ589871 SHL589863:SHM589871 SRH589863:SRI589871 TBD589863:TBE589871 TKZ589863:TLA589871 TUV589863:TUW589871 UER589863:UES589871 UON589863:UOO589871 UYJ589863:UYK589871 VIF589863:VIG589871 VSB589863:VSC589871 WBX589863:WBY589871 WLT589863:WLU589871 WVP589863:WVQ589871 JD655399:JE655407 SZ655399:TA655407 ACV655399:ACW655407 AMR655399:AMS655407 AWN655399:AWO655407 BGJ655399:BGK655407 BQF655399:BQG655407 CAB655399:CAC655407 CJX655399:CJY655407 CTT655399:CTU655407 DDP655399:DDQ655407 DNL655399:DNM655407 DXH655399:DXI655407 EHD655399:EHE655407 EQZ655399:ERA655407 FAV655399:FAW655407 FKR655399:FKS655407 FUN655399:FUO655407 GEJ655399:GEK655407 GOF655399:GOG655407 GYB655399:GYC655407 HHX655399:HHY655407 HRT655399:HRU655407 IBP655399:IBQ655407 ILL655399:ILM655407 IVH655399:IVI655407 JFD655399:JFE655407 JOZ655399:JPA655407 JYV655399:JYW655407 KIR655399:KIS655407 KSN655399:KSO655407 LCJ655399:LCK655407 LMF655399:LMG655407 LWB655399:LWC655407 MFX655399:MFY655407 MPT655399:MPU655407 MZP655399:MZQ655407 NJL655399:NJM655407 NTH655399:NTI655407 ODD655399:ODE655407 OMZ655399:ONA655407 OWV655399:OWW655407 PGR655399:PGS655407 PQN655399:PQO655407 QAJ655399:QAK655407 QKF655399:QKG655407 QUB655399:QUC655407 RDX655399:RDY655407 RNT655399:RNU655407 RXP655399:RXQ655407 SHL655399:SHM655407 SRH655399:SRI655407 TBD655399:TBE655407 TKZ655399:TLA655407 TUV655399:TUW655407 UER655399:UES655407 UON655399:UOO655407 UYJ655399:UYK655407 VIF655399:VIG655407 VSB655399:VSC655407 WBX655399:WBY655407 WLT655399:WLU655407 WVP655399:WVQ655407 JD720935:JE720943 SZ720935:TA720943 ACV720935:ACW720943 AMR720935:AMS720943 AWN720935:AWO720943 BGJ720935:BGK720943 BQF720935:BQG720943 CAB720935:CAC720943 CJX720935:CJY720943 CTT720935:CTU720943 DDP720935:DDQ720943 DNL720935:DNM720943 DXH720935:DXI720943 EHD720935:EHE720943 EQZ720935:ERA720943 FAV720935:FAW720943 FKR720935:FKS720943 FUN720935:FUO720943 GEJ720935:GEK720943 GOF720935:GOG720943 GYB720935:GYC720943 HHX720935:HHY720943 HRT720935:HRU720943 IBP720935:IBQ720943 ILL720935:ILM720943 IVH720935:IVI720943 JFD720935:JFE720943 JOZ720935:JPA720943 JYV720935:JYW720943 KIR720935:KIS720943 KSN720935:KSO720943 LCJ720935:LCK720943 LMF720935:LMG720943 LWB720935:LWC720943 MFX720935:MFY720943 MPT720935:MPU720943 MZP720935:MZQ720943 NJL720935:NJM720943 NTH720935:NTI720943 ODD720935:ODE720943 OMZ720935:ONA720943 OWV720935:OWW720943 PGR720935:PGS720943 PQN720935:PQO720943 QAJ720935:QAK720943 QKF720935:QKG720943 QUB720935:QUC720943 RDX720935:RDY720943 RNT720935:RNU720943 RXP720935:RXQ720943 SHL720935:SHM720943 SRH720935:SRI720943 TBD720935:TBE720943 TKZ720935:TLA720943 TUV720935:TUW720943 UER720935:UES720943 UON720935:UOO720943 UYJ720935:UYK720943 VIF720935:VIG720943 VSB720935:VSC720943 WBX720935:WBY720943 WLT720935:WLU720943 WVP720935:WVQ720943 JD786471:JE786479 SZ786471:TA786479 ACV786471:ACW786479 AMR786471:AMS786479 AWN786471:AWO786479 BGJ786471:BGK786479 BQF786471:BQG786479 CAB786471:CAC786479 CJX786471:CJY786479 CTT786471:CTU786479 DDP786471:DDQ786479 DNL786471:DNM786479 DXH786471:DXI786479 EHD786471:EHE786479 EQZ786471:ERA786479 FAV786471:FAW786479 FKR786471:FKS786479 FUN786471:FUO786479 GEJ786471:GEK786479 GOF786471:GOG786479 GYB786471:GYC786479 HHX786471:HHY786479 HRT786471:HRU786479 IBP786471:IBQ786479 ILL786471:ILM786479 IVH786471:IVI786479 JFD786471:JFE786479 JOZ786471:JPA786479 JYV786471:JYW786479 KIR786471:KIS786479 KSN786471:KSO786479 LCJ786471:LCK786479 LMF786471:LMG786479 LWB786471:LWC786479 MFX786471:MFY786479 MPT786471:MPU786479 MZP786471:MZQ786479 NJL786471:NJM786479 NTH786471:NTI786479 ODD786471:ODE786479 OMZ786471:ONA786479 OWV786471:OWW786479 PGR786471:PGS786479 PQN786471:PQO786479 QAJ786471:QAK786479 QKF786471:QKG786479 QUB786471:QUC786479 RDX786471:RDY786479 RNT786471:RNU786479 RXP786471:RXQ786479 SHL786471:SHM786479 SRH786471:SRI786479 TBD786471:TBE786479 TKZ786471:TLA786479 TUV786471:TUW786479 UER786471:UES786479 UON786471:UOO786479 UYJ786471:UYK786479 VIF786471:VIG786479 VSB786471:VSC786479 WBX786471:WBY786479 WLT786471:WLU786479 WVP786471:WVQ786479 JD852007:JE852015 SZ852007:TA852015 ACV852007:ACW852015 AMR852007:AMS852015 AWN852007:AWO852015 BGJ852007:BGK852015 BQF852007:BQG852015 CAB852007:CAC852015 CJX852007:CJY852015 CTT852007:CTU852015 DDP852007:DDQ852015 DNL852007:DNM852015 DXH852007:DXI852015 EHD852007:EHE852015 EQZ852007:ERA852015 FAV852007:FAW852015 FKR852007:FKS852015 FUN852007:FUO852015 GEJ852007:GEK852015 GOF852007:GOG852015 GYB852007:GYC852015 HHX852007:HHY852015 HRT852007:HRU852015 IBP852007:IBQ852015 ILL852007:ILM852015 IVH852007:IVI852015 JFD852007:JFE852015 JOZ852007:JPA852015 JYV852007:JYW852015 KIR852007:KIS852015 KSN852007:KSO852015 LCJ852007:LCK852015 LMF852007:LMG852015 LWB852007:LWC852015 MFX852007:MFY852015 MPT852007:MPU852015 MZP852007:MZQ852015 NJL852007:NJM852015 NTH852007:NTI852015 ODD852007:ODE852015 OMZ852007:ONA852015 OWV852007:OWW852015 PGR852007:PGS852015 PQN852007:PQO852015 QAJ852007:QAK852015 QKF852007:QKG852015 QUB852007:QUC852015 RDX852007:RDY852015 RNT852007:RNU852015 RXP852007:RXQ852015 SHL852007:SHM852015 SRH852007:SRI852015 TBD852007:TBE852015 TKZ852007:TLA852015 TUV852007:TUW852015 UER852007:UES852015 UON852007:UOO852015 UYJ852007:UYK852015 VIF852007:VIG852015 VSB852007:VSC852015 WBX852007:WBY852015 WLT852007:WLU852015 WVP852007:WVQ852015 JD917543:JE917551 SZ917543:TA917551 ACV917543:ACW917551 AMR917543:AMS917551 AWN917543:AWO917551 BGJ917543:BGK917551 BQF917543:BQG917551 CAB917543:CAC917551 CJX917543:CJY917551 CTT917543:CTU917551 DDP917543:DDQ917551 DNL917543:DNM917551 DXH917543:DXI917551 EHD917543:EHE917551 EQZ917543:ERA917551 FAV917543:FAW917551 FKR917543:FKS917551 FUN917543:FUO917551 GEJ917543:GEK917551 GOF917543:GOG917551 GYB917543:GYC917551 HHX917543:HHY917551 HRT917543:HRU917551 IBP917543:IBQ917551 ILL917543:ILM917551 IVH917543:IVI917551 JFD917543:JFE917551 JOZ917543:JPA917551 JYV917543:JYW917551 KIR917543:KIS917551 KSN917543:KSO917551 LCJ917543:LCK917551 LMF917543:LMG917551 LWB917543:LWC917551 MFX917543:MFY917551 MPT917543:MPU917551 MZP917543:MZQ917551 NJL917543:NJM917551 NTH917543:NTI917551 ODD917543:ODE917551 OMZ917543:ONA917551 OWV917543:OWW917551 PGR917543:PGS917551 PQN917543:PQO917551 QAJ917543:QAK917551 QKF917543:QKG917551 QUB917543:QUC917551 RDX917543:RDY917551 RNT917543:RNU917551 RXP917543:RXQ917551 SHL917543:SHM917551 SRH917543:SRI917551 TBD917543:TBE917551 TKZ917543:TLA917551 TUV917543:TUW917551 UER917543:UES917551 UON917543:UOO917551 UYJ917543:UYK917551 VIF917543:VIG917551 VSB917543:VSC917551 WBX917543:WBY917551 WLT917543:WLU917551 WVP917543:WVQ917551 JD983079:JE983087 SZ983079:TA983087 ACV983079:ACW983087 AMR983079:AMS983087 AWN983079:AWO983087 BGJ983079:BGK983087 BQF983079:BQG983087 CAB983079:CAC983087 CJX983079:CJY983087 CTT983079:CTU983087 DDP983079:DDQ983087 DNL983079:DNM983087 DXH983079:DXI983087 EHD983079:EHE983087 EQZ983079:ERA983087 FAV983079:FAW983087 FKR983079:FKS983087 FUN983079:FUO983087 GEJ983079:GEK983087 GOF983079:GOG983087 GYB983079:GYC983087 HHX983079:HHY983087 HRT983079:HRU983087 IBP983079:IBQ983087 ILL983079:ILM983087 IVH983079:IVI983087 JFD983079:JFE983087 JOZ983079:JPA983087 JYV983079:JYW983087 KIR983079:KIS983087 KSN983079:KSO983087 LCJ983079:LCK983087 LMF983079:LMG983087 LWB983079:LWC983087 MFX983079:MFY983087 MPT983079:MPU983087 MZP983079:MZQ983087 NJL983079:NJM983087 NTH983079:NTI983087 ODD983079:ODE983087 OMZ983079:ONA983087 OWV983079:OWW983087 PGR983079:PGS983087 PQN983079:PQO983087 QAJ983079:QAK983087 QKF983079:QKG983087 QUB983079:QUC983087 RDX983079:RDY983087 RNT983079:RNU983087 RXP983079:RXQ983087 SHL983079:SHM983087 SRH983079:SRI983087 TBD983079:TBE983087 TKZ983079:TLA983087 TUV983079:TUW983087 UER983079:UES983087 UON983079:UOO983087 UYJ983079:UYK983087 VIF983079:VIG983087 VSB983079:VSC983087 WBX983079:WBY983087 WLT983079:WLU983087 WVP983079:WVQ983087 H983076:I983084 H917540:I917548 H852004:I852012 H786468:I786476 H720932:I720940 H655396:I655404 H589860:I589868 H524324:I524332 H458788:I458796 H393252:I393260 H327716:I327724 H262180:I262188 H196644:I196652 H131108:I131116 H65572:I65580 H983087:I983088 H917551:I917552 H852015:I852016 H786479:I786480 H720943:I720944 H655407:I655408 H589871:I589872 H524335:I524336 H458799:I458800 H393263:I393264 H327727:I327728 H262191:I262192 H196655:I196656 H131119:I131120 H65583:I65584 I983089:I983090 I917553:I917554 I852017:I852018 I786481:I786482 I720945:I720946 I655409:I655410 I589873:I589874 I524337:I524338 I458801:I458802 I393265:I393266 I327729:I327730 I262193:I262194 I196657:I196658 I131121:I131122 I65585:I65586 H983074 H917538 H852002 H786466 H720930 H655394 H589858 H524322 H458786 H393250 H327714 H262178 H196642 H131106 H65570 SY45:SZ47 WVO45:WVP47 WLS45:WLT47 WBW45:WBX47 VSA45:VSB47 VIE45:VIF47 UYI45:UYJ47 UOM45:UON47 UEQ45:UER47 TUU45:TUV47 TKY45:TKZ47 TBC45:TBD47 SRG45:SRH47 SHK45:SHL47 RXO45:RXP47 RNS45:RNT47 RDW45:RDX47 QUA45:QUB47 QKE45:QKF47 QAI45:QAJ47 PQM45:PQN47 PGQ45:PGR47 OWU45:OWV47 OMY45:OMZ47 ODC45:ODD47 NTG45:NTH47 NJK45:NJL47 MZO45:MZP47 MPS45:MPT47 MFW45:MFX47 LWA45:LWB47 LME45:LMF47 LCI45:LCJ47 KSM45:KSN47 KIQ45:KIR47 JYU45:JYV47 JOY45:JOZ47 JFC45:JFD47 IVG45:IVH47 ILK45:ILL47 IBO45:IBP47 HRS45:HRT47 HHW45:HHX47 GYA45:GYB47 GOE45:GOF47 GEI45:GEJ47 FUM45:FUN47 FKQ45:FKR47 FAU45:FAV47 EQY45:EQZ47 EHC45:EHD47 DXG45:DXH47 DNK45:DNL47 DDO45:DDP47 CTS45:CTT47 CJW45:CJX47 CAA45:CAB47 BQE45:BQF47 BGI45:BGJ47 AWM45:AWN47 AMQ45:AMR47 ACU45:ACV47 H46:H50">
      <formula1>$Q$58:$Q$61</formula1>
    </dataValidation>
  </dataValidations>
  <hyperlinks>
    <hyperlink ref="A1" location="'T&amp;V TOC'!A1" display="TOC"/>
  </hyperlinks>
  <pageMargins left="0.25" right="0.25" top="0.75" bottom="0.75" header="0.3" footer="0.3"/>
  <pageSetup scale="47" orientation="portrait" r:id="rId1"/>
  <headerFooter alignWithMargins="0"/>
  <legacyDrawingHF r:id="rId2"/>
</worksheet>
</file>

<file path=xl/worksheets/sheet25.xml><?xml version="1.0" encoding="utf-8"?>
<worksheet xmlns="http://schemas.openxmlformats.org/spreadsheetml/2006/main" xmlns:r="http://schemas.openxmlformats.org/officeDocument/2006/relationships">
  <sheetPr>
    <tabColor theme="3" tint="0.79998168889431442"/>
  </sheetPr>
  <dimension ref="A1:DV68"/>
  <sheetViews>
    <sheetView showGridLines="0" view="pageBreakPreview" zoomScaleNormal="100" zoomScaleSheetLayoutView="100" workbookViewId="0"/>
  </sheetViews>
  <sheetFormatPr defaultRowHeight="12"/>
  <cols>
    <col min="1" max="1" width="5" style="1121" customWidth="1"/>
    <col min="2" max="2" width="20" style="1119" customWidth="1"/>
    <col min="3" max="3" width="17.85546875" style="1119" customWidth="1"/>
    <col min="4" max="4" width="15.7109375" style="1119" customWidth="1"/>
    <col min="5" max="5" width="19.5703125" style="1119" customWidth="1"/>
    <col min="6" max="6" width="18.42578125" style="1119" customWidth="1"/>
    <col min="7" max="7" width="16.140625" style="1119" customWidth="1"/>
    <col min="8" max="8" width="5.7109375" style="1119" customWidth="1"/>
    <col min="9" max="9" width="11" style="1119" customWidth="1"/>
    <col min="10" max="11" width="32.85546875" style="1119" customWidth="1"/>
    <col min="12" max="12" width="60.42578125" style="1123" customWidth="1"/>
    <col min="13" max="13" width="36.140625" style="1121" bestFit="1" customWidth="1"/>
    <col min="14" max="14" width="24.7109375" style="1121" customWidth="1"/>
    <col min="15" max="15" width="16.28515625" style="1121" bestFit="1" customWidth="1"/>
    <col min="16" max="16" width="9.28515625" style="1123" customWidth="1"/>
    <col min="17" max="17" width="11.42578125" style="1123" customWidth="1"/>
    <col min="18" max="18" width="9.140625" style="1121" hidden="1" customWidth="1"/>
    <col min="19" max="258" width="9.140625" style="1121"/>
    <col min="259" max="259" width="20" style="1121" customWidth="1"/>
    <col min="260" max="260" width="17.85546875" style="1121" customWidth="1"/>
    <col min="261" max="262" width="15.7109375" style="1121" customWidth="1"/>
    <col min="263" max="263" width="35.7109375" style="1121" customWidth="1"/>
    <col min="264" max="264" width="10.7109375" style="1121" customWidth="1"/>
    <col min="265" max="265" width="5.7109375" style="1121" customWidth="1"/>
    <col min="266" max="266" width="11" style="1121" customWidth="1"/>
    <col min="267" max="267" width="32.85546875" style="1121" customWidth="1"/>
    <col min="268" max="268" width="9.140625" style="1121"/>
    <col min="269" max="269" width="65.28515625" style="1121" customWidth="1"/>
    <col min="270" max="270" width="24.7109375" style="1121" customWidth="1"/>
    <col min="271" max="271" width="16.28515625" style="1121" bestFit="1" customWidth="1"/>
    <col min="272" max="272" width="9.28515625" style="1121" customWidth="1"/>
    <col min="273" max="273" width="11.42578125" style="1121" customWidth="1"/>
    <col min="274" max="274" width="0" style="1121" hidden="1" customWidth="1"/>
    <col min="275" max="514" width="9.140625" style="1121"/>
    <col min="515" max="515" width="20" style="1121" customWidth="1"/>
    <col min="516" max="516" width="17.85546875" style="1121" customWidth="1"/>
    <col min="517" max="518" width="15.7109375" style="1121" customWidth="1"/>
    <col min="519" max="519" width="35.7109375" style="1121" customWidth="1"/>
    <col min="520" max="520" width="10.7109375" style="1121" customWidth="1"/>
    <col min="521" max="521" width="5.7109375" style="1121" customWidth="1"/>
    <col min="522" max="522" width="11" style="1121" customWidth="1"/>
    <col min="523" max="523" width="32.85546875" style="1121" customWidth="1"/>
    <col min="524" max="524" width="9.140625" style="1121"/>
    <col min="525" max="525" width="65.28515625" style="1121" customWidth="1"/>
    <col min="526" max="526" width="24.7109375" style="1121" customWidth="1"/>
    <col min="527" max="527" width="16.28515625" style="1121" bestFit="1" customWidth="1"/>
    <col min="528" max="528" width="9.28515625" style="1121" customWidth="1"/>
    <col min="529" max="529" width="11.42578125" style="1121" customWidth="1"/>
    <col min="530" max="530" width="0" style="1121" hidden="1" customWidth="1"/>
    <col min="531" max="770" width="9.140625" style="1121"/>
    <col min="771" max="771" width="20" style="1121" customWidth="1"/>
    <col min="772" max="772" width="17.85546875" style="1121" customWidth="1"/>
    <col min="773" max="774" width="15.7109375" style="1121" customWidth="1"/>
    <col min="775" max="775" width="35.7109375" style="1121" customWidth="1"/>
    <col min="776" max="776" width="10.7109375" style="1121" customWidth="1"/>
    <col min="777" max="777" width="5.7109375" style="1121" customWidth="1"/>
    <col min="778" max="778" width="11" style="1121" customWidth="1"/>
    <col min="779" max="779" width="32.85546875" style="1121" customWidth="1"/>
    <col min="780" max="780" width="9.140625" style="1121"/>
    <col min="781" max="781" width="65.28515625" style="1121" customWidth="1"/>
    <col min="782" max="782" width="24.7109375" style="1121" customWidth="1"/>
    <col min="783" max="783" width="16.28515625" style="1121" bestFit="1" customWidth="1"/>
    <col min="784" max="784" width="9.28515625" style="1121" customWidth="1"/>
    <col min="785" max="785" width="11.42578125" style="1121" customWidth="1"/>
    <col min="786" max="786" width="0" style="1121" hidden="1" customWidth="1"/>
    <col min="787" max="1026" width="9.140625" style="1121"/>
    <col min="1027" max="1027" width="20" style="1121" customWidth="1"/>
    <col min="1028" max="1028" width="17.85546875" style="1121" customWidth="1"/>
    <col min="1029" max="1030" width="15.7109375" style="1121" customWidth="1"/>
    <col min="1031" max="1031" width="35.7109375" style="1121" customWidth="1"/>
    <col min="1032" max="1032" width="10.7109375" style="1121" customWidth="1"/>
    <col min="1033" max="1033" width="5.7109375" style="1121" customWidth="1"/>
    <col min="1034" max="1034" width="11" style="1121" customWidth="1"/>
    <col min="1035" max="1035" width="32.85546875" style="1121" customWidth="1"/>
    <col min="1036" max="1036" width="9.140625" style="1121"/>
    <col min="1037" max="1037" width="65.28515625" style="1121" customWidth="1"/>
    <col min="1038" max="1038" width="24.7109375" style="1121" customWidth="1"/>
    <col min="1039" max="1039" width="16.28515625" style="1121" bestFit="1" customWidth="1"/>
    <col min="1040" max="1040" width="9.28515625" style="1121" customWidth="1"/>
    <col min="1041" max="1041" width="11.42578125" style="1121" customWidth="1"/>
    <col min="1042" max="1042" width="0" style="1121" hidden="1" customWidth="1"/>
    <col min="1043" max="1282" width="9.140625" style="1121"/>
    <col min="1283" max="1283" width="20" style="1121" customWidth="1"/>
    <col min="1284" max="1284" width="17.85546875" style="1121" customWidth="1"/>
    <col min="1285" max="1286" width="15.7109375" style="1121" customWidth="1"/>
    <col min="1287" max="1287" width="35.7109375" style="1121" customWidth="1"/>
    <col min="1288" max="1288" width="10.7109375" style="1121" customWidth="1"/>
    <col min="1289" max="1289" width="5.7109375" style="1121" customWidth="1"/>
    <col min="1290" max="1290" width="11" style="1121" customWidth="1"/>
    <col min="1291" max="1291" width="32.85546875" style="1121" customWidth="1"/>
    <col min="1292" max="1292" width="9.140625" style="1121"/>
    <col min="1293" max="1293" width="65.28515625" style="1121" customWidth="1"/>
    <col min="1294" max="1294" width="24.7109375" style="1121" customWidth="1"/>
    <col min="1295" max="1295" width="16.28515625" style="1121" bestFit="1" customWidth="1"/>
    <col min="1296" max="1296" width="9.28515625" style="1121" customWidth="1"/>
    <col min="1297" max="1297" width="11.42578125" style="1121" customWidth="1"/>
    <col min="1298" max="1298" width="0" style="1121" hidden="1" customWidth="1"/>
    <col min="1299" max="1538" width="9.140625" style="1121"/>
    <col min="1539" max="1539" width="20" style="1121" customWidth="1"/>
    <col min="1540" max="1540" width="17.85546875" style="1121" customWidth="1"/>
    <col min="1541" max="1542" width="15.7109375" style="1121" customWidth="1"/>
    <col min="1543" max="1543" width="35.7109375" style="1121" customWidth="1"/>
    <col min="1544" max="1544" width="10.7109375" style="1121" customWidth="1"/>
    <col min="1545" max="1545" width="5.7109375" style="1121" customWidth="1"/>
    <col min="1546" max="1546" width="11" style="1121" customWidth="1"/>
    <col min="1547" max="1547" width="32.85546875" style="1121" customWidth="1"/>
    <col min="1548" max="1548" width="9.140625" style="1121"/>
    <col min="1549" max="1549" width="65.28515625" style="1121" customWidth="1"/>
    <col min="1550" max="1550" width="24.7109375" style="1121" customWidth="1"/>
    <col min="1551" max="1551" width="16.28515625" style="1121" bestFit="1" customWidth="1"/>
    <col min="1552" max="1552" width="9.28515625" style="1121" customWidth="1"/>
    <col min="1553" max="1553" width="11.42578125" style="1121" customWidth="1"/>
    <col min="1554" max="1554" width="0" style="1121" hidden="1" customWidth="1"/>
    <col min="1555" max="1794" width="9.140625" style="1121"/>
    <col min="1795" max="1795" width="20" style="1121" customWidth="1"/>
    <col min="1796" max="1796" width="17.85546875" style="1121" customWidth="1"/>
    <col min="1797" max="1798" width="15.7109375" style="1121" customWidth="1"/>
    <col min="1799" max="1799" width="35.7109375" style="1121" customWidth="1"/>
    <col min="1800" max="1800" width="10.7109375" style="1121" customWidth="1"/>
    <col min="1801" max="1801" width="5.7109375" style="1121" customWidth="1"/>
    <col min="1802" max="1802" width="11" style="1121" customWidth="1"/>
    <col min="1803" max="1803" width="32.85546875" style="1121" customWidth="1"/>
    <col min="1804" max="1804" width="9.140625" style="1121"/>
    <col min="1805" max="1805" width="65.28515625" style="1121" customWidth="1"/>
    <col min="1806" max="1806" width="24.7109375" style="1121" customWidth="1"/>
    <col min="1807" max="1807" width="16.28515625" style="1121" bestFit="1" customWidth="1"/>
    <col min="1808" max="1808" width="9.28515625" style="1121" customWidth="1"/>
    <col min="1809" max="1809" width="11.42578125" style="1121" customWidth="1"/>
    <col min="1810" max="1810" width="0" style="1121" hidden="1" customWidth="1"/>
    <col min="1811" max="2050" width="9.140625" style="1121"/>
    <col min="2051" max="2051" width="20" style="1121" customWidth="1"/>
    <col min="2052" max="2052" width="17.85546875" style="1121" customWidth="1"/>
    <col min="2053" max="2054" width="15.7109375" style="1121" customWidth="1"/>
    <col min="2055" max="2055" width="35.7109375" style="1121" customWidth="1"/>
    <col min="2056" max="2056" width="10.7109375" style="1121" customWidth="1"/>
    <col min="2057" max="2057" width="5.7109375" style="1121" customWidth="1"/>
    <col min="2058" max="2058" width="11" style="1121" customWidth="1"/>
    <col min="2059" max="2059" width="32.85546875" style="1121" customWidth="1"/>
    <col min="2060" max="2060" width="9.140625" style="1121"/>
    <col min="2061" max="2061" width="65.28515625" style="1121" customWidth="1"/>
    <col min="2062" max="2062" width="24.7109375" style="1121" customWidth="1"/>
    <col min="2063" max="2063" width="16.28515625" style="1121" bestFit="1" customWidth="1"/>
    <col min="2064" max="2064" width="9.28515625" style="1121" customWidth="1"/>
    <col min="2065" max="2065" width="11.42578125" style="1121" customWidth="1"/>
    <col min="2066" max="2066" width="0" style="1121" hidden="1" customWidth="1"/>
    <col min="2067" max="2306" width="9.140625" style="1121"/>
    <col min="2307" max="2307" width="20" style="1121" customWidth="1"/>
    <col min="2308" max="2308" width="17.85546875" style="1121" customWidth="1"/>
    <col min="2309" max="2310" width="15.7109375" style="1121" customWidth="1"/>
    <col min="2311" max="2311" width="35.7109375" style="1121" customWidth="1"/>
    <col min="2312" max="2312" width="10.7109375" style="1121" customWidth="1"/>
    <col min="2313" max="2313" width="5.7109375" style="1121" customWidth="1"/>
    <col min="2314" max="2314" width="11" style="1121" customWidth="1"/>
    <col min="2315" max="2315" width="32.85546875" style="1121" customWidth="1"/>
    <col min="2316" max="2316" width="9.140625" style="1121"/>
    <col min="2317" max="2317" width="65.28515625" style="1121" customWidth="1"/>
    <col min="2318" max="2318" width="24.7109375" style="1121" customWidth="1"/>
    <col min="2319" max="2319" width="16.28515625" style="1121" bestFit="1" customWidth="1"/>
    <col min="2320" max="2320" width="9.28515625" style="1121" customWidth="1"/>
    <col min="2321" max="2321" width="11.42578125" style="1121" customWidth="1"/>
    <col min="2322" max="2322" width="0" style="1121" hidden="1" customWidth="1"/>
    <col min="2323" max="2562" width="9.140625" style="1121"/>
    <col min="2563" max="2563" width="20" style="1121" customWidth="1"/>
    <col min="2564" max="2564" width="17.85546875" style="1121" customWidth="1"/>
    <col min="2565" max="2566" width="15.7109375" style="1121" customWidth="1"/>
    <col min="2567" max="2567" width="35.7109375" style="1121" customWidth="1"/>
    <col min="2568" max="2568" width="10.7109375" style="1121" customWidth="1"/>
    <col min="2569" max="2569" width="5.7109375" style="1121" customWidth="1"/>
    <col min="2570" max="2570" width="11" style="1121" customWidth="1"/>
    <col min="2571" max="2571" width="32.85546875" style="1121" customWidth="1"/>
    <col min="2572" max="2572" width="9.140625" style="1121"/>
    <col min="2573" max="2573" width="65.28515625" style="1121" customWidth="1"/>
    <col min="2574" max="2574" width="24.7109375" style="1121" customWidth="1"/>
    <col min="2575" max="2575" width="16.28515625" style="1121" bestFit="1" customWidth="1"/>
    <col min="2576" max="2576" width="9.28515625" style="1121" customWidth="1"/>
    <col min="2577" max="2577" width="11.42578125" style="1121" customWidth="1"/>
    <col min="2578" max="2578" width="0" style="1121" hidden="1" customWidth="1"/>
    <col min="2579" max="2818" width="9.140625" style="1121"/>
    <col min="2819" max="2819" width="20" style="1121" customWidth="1"/>
    <col min="2820" max="2820" width="17.85546875" style="1121" customWidth="1"/>
    <col min="2821" max="2822" width="15.7109375" style="1121" customWidth="1"/>
    <col min="2823" max="2823" width="35.7109375" style="1121" customWidth="1"/>
    <col min="2824" max="2824" width="10.7109375" style="1121" customWidth="1"/>
    <col min="2825" max="2825" width="5.7109375" style="1121" customWidth="1"/>
    <col min="2826" max="2826" width="11" style="1121" customWidth="1"/>
    <col min="2827" max="2827" width="32.85546875" style="1121" customWidth="1"/>
    <col min="2828" max="2828" width="9.140625" style="1121"/>
    <col min="2829" max="2829" width="65.28515625" style="1121" customWidth="1"/>
    <col min="2830" max="2830" width="24.7109375" style="1121" customWidth="1"/>
    <col min="2831" max="2831" width="16.28515625" style="1121" bestFit="1" customWidth="1"/>
    <col min="2832" max="2832" width="9.28515625" style="1121" customWidth="1"/>
    <col min="2833" max="2833" width="11.42578125" style="1121" customWidth="1"/>
    <col min="2834" max="2834" width="0" style="1121" hidden="1" customWidth="1"/>
    <col min="2835" max="3074" width="9.140625" style="1121"/>
    <col min="3075" max="3075" width="20" style="1121" customWidth="1"/>
    <col min="3076" max="3076" width="17.85546875" style="1121" customWidth="1"/>
    <col min="3077" max="3078" width="15.7109375" style="1121" customWidth="1"/>
    <col min="3079" max="3079" width="35.7109375" style="1121" customWidth="1"/>
    <col min="3080" max="3080" width="10.7109375" style="1121" customWidth="1"/>
    <col min="3081" max="3081" width="5.7109375" style="1121" customWidth="1"/>
    <col min="3082" max="3082" width="11" style="1121" customWidth="1"/>
    <col min="3083" max="3083" width="32.85546875" style="1121" customWidth="1"/>
    <col min="3084" max="3084" width="9.140625" style="1121"/>
    <col min="3085" max="3085" width="65.28515625" style="1121" customWidth="1"/>
    <col min="3086" max="3086" width="24.7109375" style="1121" customWidth="1"/>
    <col min="3087" max="3087" width="16.28515625" style="1121" bestFit="1" customWidth="1"/>
    <col min="3088" max="3088" width="9.28515625" style="1121" customWidth="1"/>
    <col min="3089" max="3089" width="11.42578125" style="1121" customWidth="1"/>
    <col min="3090" max="3090" width="0" style="1121" hidden="1" customWidth="1"/>
    <col min="3091" max="3330" width="9.140625" style="1121"/>
    <col min="3331" max="3331" width="20" style="1121" customWidth="1"/>
    <col min="3332" max="3332" width="17.85546875" style="1121" customWidth="1"/>
    <col min="3333" max="3334" width="15.7109375" style="1121" customWidth="1"/>
    <col min="3335" max="3335" width="35.7109375" style="1121" customWidth="1"/>
    <col min="3336" max="3336" width="10.7109375" style="1121" customWidth="1"/>
    <col min="3337" max="3337" width="5.7109375" style="1121" customWidth="1"/>
    <col min="3338" max="3338" width="11" style="1121" customWidth="1"/>
    <col min="3339" max="3339" width="32.85546875" style="1121" customWidth="1"/>
    <col min="3340" max="3340" width="9.140625" style="1121"/>
    <col min="3341" max="3341" width="65.28515625" style="1121" customWidth="1"/>
    <col min="3342" max="3342" width="24.7109375" style="1121" customWidth="1"/>
    <col min="3343" max="3343" width="16.28515625" style="1121" bestFit="1" customWidth="1"/>
    <col min="3344" max="3344" width="9.28515625" style="1121" customWidth="1"/>
    <col min="3345" max="3345" width="11.42578125" style="1121" customWidth="1"/>
    <col min="3346" max="3346" width="0" style="1121" hidden="1" customWidth="1"/>
    <col min="3347" max="3586" width="9.140625" style="1121"/>
    <col min="3587" max="3587" width="20" style="1121" customWidth="1"/>
    <col min="3588" max="3588" width="17.85546875" style="1121" customWidth="1"/>
    <col min="3589" max="3590" width="15.7109375" style="1121" customWidth="1"/>
    <col min="3591" max="3591" width="35.7109375" style="1121" customWidth="1"/>
    <col min="3592" max="3592" width="10.7109375" style="1121" customWidth="1"/>
    <col min="3593" max="3593" width="5.7109375" style="1121" customWidth="1"/>
    <col min="3594" max="3594" width="11" style="1121" customWidth="1"/>
    <col min="3595" max="3595" width="32.85546875" style="1121" customWidth="1"/>
    <col min="3596" max="3596" width="9.140625" style="1121"/>
    <col min="3597" max="3597" width="65.28515625" style="1121" customWidth="1"/>
    <col min="3598" max="3598" width="24.7109375" style="1121" customWidth="1"/>
    <col min="3599" max="3599" width="16.28515625" style="1121" bestFit="1" customWidth="1"/>
    <col min="3600" max="3600" width="9.28515625" style="1121" customWidth="1"/>
    <col min="3601" max="3601" width="11.42578125" style="1121" customWidth="1"/>
    <col min="3602" max="3602" width="0" style="1121" hidden="1" customWidth="1"/>
    <col min="3603" max="3842" width="9.140625" style="1121"/>
    <col min="3843" max="3843" width="20" style="1121" customWidth="1"/>
    <col min="3844" max="3844" width="17.85546875" style="1121" customWidth="1"/>
    <col min="3845" max="3846" width="15.7109375" style="1121" customWidth="1"/>
    <col min="3847" max="3847" width="35.7109375" style="1121" customWidth="1"/>
    <col min="3848" max="3848" width="10.7109375" style="1121" customWidth="1"/>
    <col min="3849" max="3849" width="5.7109375" style="1121" customWidth="1"/>
    <col min="3850" max="3850" width="11" style="1121" customWidth="1"/>
    <col min="3851" max="3851" width="32.85546875" style="1121" customWidth="1"/>
    <col min="3852" max="3852" width="9.140625" style="1121"/>
    <col min="3853" max="3853" width="65.28515625" style="1121" customWidth="1"/>
    <col min="3854" max="3854" width="24.7109375" style="1121" customWidth="1"/>
    <col min="3855" max="3855" width="16.28515625" style="1121" bestFit="1" customWidth="1"/>
    <col min="3856" max="3856" width="9.28515625" style="1121" customWidth="1"/>
    <col min="3857" max="3857" width="11.42578125" style="1121" customWidth="1"/>
    <col min="3858" max="3858" width="0" style="1121" hidden="1" customWidth="1"/>
    <col min="3859" max="4098" width="9.140625" style="1121"/>
    <col min="4099" max="4099" width="20" style="1121" customWidth="1"/>
    <col min="4100" max="4100" width="17.85546875" style="1121" customWidth="1"/>
    <col min="4101" max="4102" width="15.7109375" style="1121" customWidth="1"/>
    <col min="4103" max="4103" width="35.7109375" style="1121" customWidth="1"/>
    <col min="4104" max="4104" width="10.7109375" style="1121" customWidth="1"/>
    <col min="4105" max="4105" width="5.7109375" style="1121" customWidth="1"/>
    <col min="4106" max="4106" width="11" style="1121" customWidth="1"/>
    <col min="4107" max="4107" width="32.85546875" style="1121" customWidth="1"/>
    <col min="4108" max="4108" width="9.140625" style="1121"/>
    <col min="4109" max="4109" width="65.28515625" style="1121" customWidth="1"/>
    <col min="4110" max="4110" width="24.7109375" style="1121" customWidth="1"/>
    <col min="4111" max="4111" width="16.28515625" style="1121" bestFit="1" customWidth="1"/>
    <col min="4112" max="4112" width="9.28515625" style="1121" customWidth="1"/>
    <col min="4113" max="4113" width="11.42578125" style="1121" customWidth="1"/>
    <col min="4114" max="4114" width="0" style="1121" hidden="1" customWidth="1"/>
    <col min="4115" max="4354" width="9.140625" style="1121"/>
    <col min="4355" max="4355" width="20" style="1121" customWidth="1"/>
    <col min="4356" max="4356" width="17.85546875" style="1121" customWidth="1"/>
    <col min="4357" max="4358" width="15.7109375" style="1121" customWidth="1"/>
    <col min="4359" max="4359" width="35.7109375" style="1121" customWidth="1"/>
    <col min="4360" max="4360" width="10.7109375" style="1121" customWidth="1"/>
    <col min="4361" max="4361" width="5.7109375" style="1121" customWidth="1"/>
    <col min="4362" max="4362" width="11" style="1121" customWidth="1"/>
    <col min="4363" max="4363" width="32.85546875" style="1121" customWidth="1"/>
    <col min="4364" max="4364" width="9.140625" style="1121"/>
    <col min="4365" max="4365" width="65.28515625" style="1121" customWidth="1"/>
    <col min="4366" max="4366" width="24.7109375" style="1121" customWidth="1"/>
    <col min="4367" max="4367" width="16.28515625" style="1121" bestFit="1" customWidth="1"/>
    <col min="4368" max="4368" width="9.28515625" style="1121" customWidth="1"/>
    <col min="4369" max="4369" width="11.42578125" style="1121" customWidth="1"/>
    <col min="4370" max="4370" width="0" style="1121" hidden="1" customWidth="1"/>
    <col min="4371" max="4610" width="9.140625" style="1121"/>
    <col min="4611" max="4611" width="20" style="1121" customWidth="1"/>
    <col min="4612" max="4612" width="17.85546875" style="1121" customWidth="1"/>
    <col min="4613" max="4614" width="15.7109375" style="1121" customWidth="1"/>
    <col min="4615" max="4615" width="35.7109375" style="1121" customWidth="1"/>
    <col min="4616" max="4616" width="10.7109375" style="1121" customWidth="1"/>
    <col min="4617" max="4617" width="5.7109375" style="1121" customWidth="1"/>
    <col min="4618" max="4618" width="11" style="1121" customWidth="1"/>
    <col min="4619" max="4619" width="32.85546875" style="1121" customWidth="1"/>
    <col min="4620" max="4620" width="9.140625" style="1121"/>
    <col min="4621" max="4621" width="65.28515625" style="1121" customWidth="1"/>
    <col min="4622" max="4622" width="24.7109375" style="1121" customWidth="1"/>
    <col min="4623" max="4623" width="16.28515625" style="1121" bestFit="1" customWidth="1"/>
    <col min="4624" max="4624" width="9.28515625" style="1121" customWidth="1"/>
    <col min="4625" max="4625" width="11.42578125" style="1121" customWidth="1"/>
    <col min="4626" max="4626" width="0" style="1121" hidden="1" customWidth="1"/>
    <col min="4627" max="4866" width="9.140625" style="1121"/>
    <col min="4867" max="4867" width="20" style="1121" customWidth="1"/>
    <col min="4868" max="4868" width="17.85546875" style="1121" customWidth="1"/>
    <col min="4869" max="4870" width="15.7109375" style="1121" customWidth="1"/>
    <col min="4871" max="4871" width="35.7109375" style="1121" customWidth="1"/>
    <col min="4872" max="4872" width="10.7109375" style="1121" customWidth="1"/>
    <col min="4873" max="4873" width="5.7109375" style="1121" customWidth="1"/>
    <col min="4874" max="4874" width="11" style="1121" customWidth="1"/>
    <col min="4875" max="4875" width="32.85546875" style="1121" customWidth="1"/>
    <col min="4876" max="4876" width="9.140625" style="1121"/>
    <col min="4877" max="4877" width="65.28515625" style="1121" customWidth="1"/>
    <col min="4878" max="4878" width="24.7109375" style="1121" customWidth="1"/>
    <col min="4879" max="4879" width="16.28515625" style="1121" bestFit="1" customWidth="1"/>
    <col min="4880" max="4880" width="9.28515625" style="1121" customWidth="1"/>
    <col min="4881" max="4881" width="11.42578125" style="1121" customWidth="1"/>
    <col min="4882" max="4882" width="0" style="1121" hidden="1" customWidth="1"/>
    <col min="4883" max="5122" width="9.140625" style="1121"/>
    <col min="5123" max="5123" width="20" style="1121" customWidth="1"/>
    <col min="5124" max="5124" width="17.85546875" style="1121" customWidth="1"/>
    <col min="5125" max="5126" width="15.7109375" style="1121" customWidth="1"/>
    <col min="5127" max="5127" width="35.7109375" style="1121" customWidth="1"/>
    <col min="5128" max="5128" width="10.7109375" style="1121" customWidth="1"/>
    <col min="5129" max="5129" width="5.7109375" style="1121" customWidth="1"/>
    <col min="5130" max="5130" width="11" style="1121" customWidth="1"/>
    <col min="5131" max="5131" width="32.85546875" style="1121" customWidth="1"/>
    <col min="5132" max="5132" width="9.140625" style="1121"/>
    <col min="5133" max="5133" width="65.28515625" style="1121" customWidth="1"/>
    <col min="5134" max="5134" width="24.7109375" style="1121" customWidth="1"/>
    <col min="5135" max="5135" width="16.28515625" style="1121" bestFit="1" customWidth="1"/>
    <col min="5136" max="5136" width="9.28515625" style="1121" customWidth="1"/>
    <col min="5137" max="5137" width="11.42578125" style="1121" customWidth="1"/>
    <col min="5138" max="5138" width="0" style="1121" hidden="1" customWidth="1"/>
    <col min="5139" max="5378" width="9.140625" style="1121"/>
    <col min="5379" max="5379" width="20" style="1121" customWidth="1"/>
    <col min="5380" max="5380" width="17.85546875" style="1121" customWidth="1"/>
    <col min="5381" max="5382" width="15.7109375" style="1121" customWidth="1"/>
    <col min="5383" max="5383" width="35.7109375" style="1121" customWidth="1"/>
    <col min="5384" max="5384" width="10.7109375" style="1121" customWidth="1"/>
    <col min="5385" max="5385" width="5.7109375" style="1121" customWidth="1"/>
    <col min="5386" max="5386" width="11" style="1121" customWidth="1"/>
    <col min="5387" max="5387" width="32.85546875" style="1121" customWidth="1"/>
    <col min="5388" max="5388" width="9.140625" style="1121"/>
    <col min="5389" max="5389" width="65.28515625" style="1121" customWidth="1"/>
    <col min="5390" max="5390" width="24.7109375" style="1121" customWidth="1"/>
    <col min="5391" max="5391" width="16.28515625" style="1121" bestFit="1" customWidth="1"/>
    <col min="5392" max="5392" width="9.28515625" style="1121" customWidth="1"/>
    <col min="5393" max="5393" width="11.42578125" style="1121" customWidth="1"/>
    <col min="5394" max="5394" width="0" style="1121" hidden="1" customWidth="1"/>
    <col min="5395" max="5634" width="9.140625" style="1121"/>
    <col min="5635" max="5635" width="20" style="1121" customWidth="1"/>
    <col min="5636" max="5636" width="17.85546875" style="1121" customWidth="1"/>
    <col min="5637" max="5638" width="15.7109375" style="1121" customWidth="1"/>
    <col min="5639" max="5639" width="35.7109375" style="1121" customWidth="1"/>
    <col min="5640" max="5640" width="10.7109375" style="1121" customWidth="1"/>
    <col min="5641" max="5641" width="5.7109375" style="1121" customWidth="1"/>
    <col min="5642" max="5642" width="11" style="1121" customWidth="1"/>
    <col min="5643" max="5643" width="32.85546875" style="1121" customWidth="1"/>
    <col min="5644" max="5644" width="9.140625" style="1121"/>
    <col min="5645" max="5645" width="65.28515625" style="1121" customWidth="1"/>
    <col min="5646" max="5646" width="24.7109375" style="1121" customWidth="1"/>
    <col min="5647" max="5647" width="16.28515625" style="1121" bestFit="1" customWidth="1"/>
    <col min="5648" max="5648" width="9.28515625" style="1121" customWidth="1"/>
    <col min="5649" max="5649" width="11.42578125" style="1121" customWidth="1"/>
    <col min="5650" max="5650" width="0" style="1121" hidden="1" customWidth="1"/>
    <col min="5651" max="5890" width="9.140625" style="1121"/>
    <col min="5891" max="5891" width="20" style="1121" customWidth="1"/>
    <col min="5892" max="5892" width="17.85546875" style="1121" customWidth="1"/>
    <col min="5893" max="5894" width="15.7109375" style="1121" customWidth="1"/>
    <col min="5895" max="5895" width="35.7109375" style="1121" customWidth="1"/>
    <col min="5896" max="5896" width="10.7109375" style="1121" customWidth="1"/>
    <col min="5897" max="5897" width="5.7109375" style="1121" customWidth="1"/>
    <col min="5898" max="5898" width="11" style="1121" customWidth="1"/>
    <col min="5899" max="5899" width="32.85546875" style="1121" customWidth="1"/>
    <col min="5900" max="5900" width="9.140625" style="1121"/>
    <col min="5901" max="5901" width="65.28515625" style="1121" customWidth="1"/>
    <col min="5902" max="5902" width="24.7109375" style="1121" customWidth="1"/>
    <col min="5903" max="5903" width="16.28515625" style="1121" bestFit="1" customWidth="1"/>
    <col min="5904" max="5904" width="9.28515625" style="1121" customWidth="1"/>
    <col min="5905" max="5905" width="11.42578125" style="1121" customWidth="1"/>
    <col min="5906" max="5906" width="0" style="1121" hidden="1" customWidth="1"/>
    <col min="5907" max="6146" width="9.140625" style="1121"/>
    <col min="6147" max="6147" width="20" style="1121" customWidth="1"/>
    <col min="6148" max="6148" width="17.85546875" style="1121" customWidth="1"/>
    <col min="6149" max="6150" width="15.7109375" style="1121" customWidth="1"/>
    <col min="6151" max="6151" width="35.7109375" style="1121" customWidth="1"/>
    <col min="6152" max="6152" width="10.7109375" style="1121" customWidth="1"/>
    <col min="6153" max="6153" width="5.7109375" style="1121" customWidth="1"/>
    <col min="6154" max="6154" width="11" style="1121" customWidth="1"/>
    <col min="6155" max="6155" width="32.85546875" style="1121" customWidth="1"/>
    <col min="6156" max="6156" width="9.140625" style="1121"/>
    <col min="6157" max="6157" width="65.28515625" style="1121" customWidth="1"/>
    <col min="6158" max="6158" width="24.7109375" style="1121" customWidth="1"/>
    <col min="6159" max="6159" width="16.28515625" style="1121" bestFit="1" customWidth="1"/>
    <col min="6160" max="6160" width="9.28515625" style="1121" customWidth="1"/>
    <col min="6161" max="6161" width="11.42578125" style="1121" customWidth="1"/>
    <col min="6162" max="6162" width="0" style="1121" hidden="1" customWidth="1"/>
    <col min="6163" max="6402" width="9.140625" style="1121"/>
    <col min="6403" max="6403" width="20" style="1121" customWidth="1"/>
    <col min="6404" max="6404" width="17.85546875" style="1121" customWidth="1"/>
    <col min="6405" max="6406" width="15.7109375" style="1121" customWidth="1"/>
    <col min="6407" max="6407" width="35.7109375" style="1121" customWidth="1"/>
    <col min="6408" max="6408" width="10.7109375" style="1121" customWidth="1"/>
    <col min="6409" max="6409" width="5.7109375" style="1121" customWidth="1"/>
    <col min="6410" max="6410" width="11" style="1121" customWidth="1"/>
    <col min="6411" max="6411" width="32.85546875" style="1121" customWidth="1"/>
    <col min="6412" max="6412" width="9.140625" style="1121"/>
    <col min="6413" max="6413" width="65.28515625" style="1121" customWidth="1"/>
    <col min="6414" max="6414" width="24.7109375" style="1121" customWidth="1"/>
    <col min="6415" max="6415" width="16.28515625" style="1121" bestFit="1" customWidth="1"/>
    <col min="6416" max="6416" width="9.28515625" style="1121" customWidth="1"/>
    <col min="6417" max="6417" width="11.42578125" style="1121" customWidth="1"/>
    <col min="6418" max="6418" width="0" style="1121" hidden="1" customWidth="1"/>
    <col min="6419" max="6658" width="9.140625" style="1121"/>
    <col min="6659" max="6659" width="20" style="1121" customWidth="1"/>
    <col min="6660" max="6660" width="17.85546875" style="1121" customWidth="1"/>
    <col min="6661" max="6662" width="15.7109375" style="1121" customWidth="1"/>
    <col min="6663" max="6663" width="35.7109375" style="1121" customWidth="1"/>
    <col min="6664" max="6664" width="10.7109375" style="1121" customWidth="1"/>
    <col min="6665" max="6665" width="5.7109375" style="1121" customWidth="1"/>
    <col min="6666" max="6666" width="11" style="1121" customWidth="1"/>
    <col min="6667" max="6667" width="32.85546875" style="1121" customWidth="1"/>
    <col min="6668" max="6668" width="9.140625" style="1121"/>
    <col min="6669" max="6669" width="65.28515625" style="1121" customWidth="1"/>
    <col min="6670" max="6670" width="24.7109375" style="1121" customWidth="1"/>
    <col min="6671" max="6671" width="16.28515625" style="1121" bestFit="1" customWidth="1"/>
    <col min="6672" max="6672" width="9.28515625" style="1121" customWidth="1"/>
    <col min="6673" max="6673" width="11.42578125" style="1121" customWidth="1"/>
    <col min="6674" max="6674" width="0" style="1121" hidden="1" customWidth="1"/>
    <col min="6675" max="6914" width="9.140625" style="1121"/>
    <col min="6915" max="6915" width="20" style="1121" customWidth="1"/>
    <col min="6916" max="6916" width="17.85546875" style="1121" customWidth="1"/>
    <col min="6917" max="6918" width="15.7109375" style="1121" customWidth="1"/>
    <col min="6919" max="6919" width="35.7109375" style="1121" customWidth="1"/>
    <col min="6920" max="6920" width="10.7109375" style="1121" customWidth="1"/>
    <col min="6921" max="6921" width="5.7109375" style="1121" customWidth="1"/>
    <col min="6922" max="6922" width="11" style="1121" customWidth="1"/>
    <col min="6923" max="6923" width="32.85546875" style="1121" customWidth="1"/>
    <col min="6924" max="6924" width="9.140625" style="1121"/>
    <col min="6925" max="6925" width="65.28515625" style="1121" customWidth="1"/>
    <col min="6926" max="6926" width="24.7109375" style="1121" customWidth="1"/>
    <col min="6927" max="6927" width="16.28515625" style="1121" bestFit="1" customWidth="1"/>
    <col min="6928" max="6928" width="9.28515625" style="1121" customWidth="1"/>
    <col min="6929" max="6929" width="11.42578125" style="1121" customWidth="1"/>
    <col min="6930" max="6930" width="0" style="1121" hidden="1" customWidth="1"/>
    <col min="6931" max="7170" width="9.140625" style="1121"/>
    <col min="7171" max="7171" width="20" style="1121" customWidth="1"/>
    <col min="7172" max="7172" width="17.85546875" style="1121" customWidth="1"/>
    <col min="7173" max="7174" width="15.7109375" style="1121" customWidth="1"/>
    <col min="7175" max="7175" width="35.7109375" style="1121" customWidth="1"/>
    <col min="7176" max="7176" width="10.7109375" style="1121" customWidth="1"/>
    <col min="7177" max="7177" width="5.7109375" style="1121" customWidth="1"/>
    <col min="7178" max="7178" width="11" style="1121" customWidth="1"/>
    <col min="7179" max="7179" width="32.85546875" style="1121" customWidth="1"/>
    <col min="7180" max="7180" width="9.140625" style="1121"/>
    <col min="7181" max="7181" width="65.28515625" style="1121" customWidth="1"/>
    <col min="7182" max="7182" width="24.7109375" style="1121" customWidth="1"/>
    <col min="7183" max="7183" width="16.28515625" style="1121" bestFit="1" customWidth="1"/>
    <col min="7184" max="7184" width="9.28515625" style="1121" customWidth="1"/>
    <col min="7185" max="7185" width="11.42578125" style="1121" customWidth="1"/>
    <col min="7186" max="7186" width="0" style="1121" hidden="1" customWidth="1"/>
    <col min="7187" max="7426" width="9.140625" style="1121"/>
    <col min="7427" max="7427" width="20" style="1121" customWidth="1"/>
    <col min="7428" max="7428" width="17.85546875" style="1121" customWidth="1"/>
    <col min="7429" max="7430" width="15.7109375" style="1121" customWidth="1"/>
    <col min="7431" max="7431" width="35.7109375" style="1121" customWidth="1"/>
    <col min="7432" max="7432" width="10.7109375" style="1121" customWidth="1"/>
    <col min="7433" max="7433" width="5.7109375" style="1121" customWidth="1"/>
    <col min="7434" max="7434" width="11" style="1121" customWidth="1"/>
    <col min="7435" max="7435" width="32.85546875" style="1121" customWidth="1"/>
    <col min="7436" max="7436" width="9.140625" style="1121"/>
    <col min="7437" max="7437" width="65.28515625" style="1121" customWidth="1"/>
    <col min="7438" max="7438" width="24.7109375" style="1121" customWidth="1"/>
    <col min="7439" max="7439" width="16.28515625" style="1121" bestFit="1" customWidth="1"/>
    <col min="7440" max="7440" width="9.28515625" style="1121" customWidth="1"/>
    <col min="7441" max="7441" width="11.42578125" style="1121" customWidth="1"/>
    <col min="7442" max="7442" width="0" style="1121" hidden="1" customWidth="1"/>
    <col min="7443" max="7682" width="9.140625" style="1121"/>
    <col min="7683" max="7683" width="20" style="1121" customWidth="1"/>
    <col min="7684" max="7684" width="17.85546875" style="1121" customWidth="1"/>
    <col min="7685" max="7686" width="15.7109375" style="1121" customWidth="1"/>
    <col min="7687" max="7687" width="35.7109375" style="1121" customWidth="1"/>
    <col min="7688" max="7688" width="10.7109375" style="1121" customWidth="1"/>
    <col min="7689" max="7689" width="5.7109375" style="1121" customWidth="1"/>
    <col min="7690" max="7690" width="11" style="1121" customWidth="1"/>
    <col min="7691" max="7691" width="32.85546875" style="1121" customWidth="1"/>
    <col min="7692" max="7692" width="9.140625" style="1121"/>
    <col min="7693" max="7693" width="65.28515625" style="1121" customWidth="1"/>
    <col min="7694" max="7694" width="24.7109375" style="1121" customWidth="1"/>
    <col min="7695" max="7695" width="16.28515625" style="1121" bestFit="1" customWidth="1"/>
    <col min="7696" max="7696" width="9.28515625" style="1121" customWidth="1"/>
    <col min="7697" max="7697" width="11.42578125" style="1121" customWidth="1"/>
    <col min="7698" max="7698" width="0" style="1121" hidden="1" customWidth="1"/>
    <col min="7699" max="7938" width="9.140625" style="1121"/>
    <col min="7939" max="7939" width="20" style="1121" customWidth="1"/>
    <col min="7940" max="7940" width="17.85546875" style="1121" customWidth="1"/>
    <col min="7941" max="7942" width="15.7109375" style="1121" customWidth="1"/>
    <col min="7943" max="7943" width="35.7109375" style="1121" customWidth="1"/>
    <col min="7944" max="7944" width="10.7109375" style="1121" customWidth="1"/>
    <col min="7945" max="7945" width="5.7109375" style="1121" customWidth="1"/>
    <col min="7946" max="7946" width="11" style="1121" customWidth="1"/>
    <col min="7947" max="7947" width="32.85546875" style="1121" customWidth="1"/>
    <col min="7948" max="7948" width="9.140625" style="1121"/>
    <col min="7949" max="7949" width="65.28515625" style="1121" customWidth="1"/>
    <col min="7950" max="7950" width="24.7109375" style="1121" customWidth="1"/>
    <col min="7951" max="7951" width="16.28515625" style="1121" bestFit="1" customWidth="1"/>
    <col min="7952" max="7952" width="9.28515625" style="1121" customWidth="1"/>
    <col min="7953" max="7953" width="11.42578125" style="1121" customWidth="1"/>
    <col min="7954" max="7954" width="0" style="1121" hidden="1" customWidth="1"/>
    <col min="7955" max="8194" width="9.140625" style="1121"/>
    <col min="8195" max="8195" width="20" style="1121" customWidth="1"/>
    <col min="8196" max="8196" width="17.85546875" style="1121" customWidth="1"/>
    <col min="8197" max="8198" width="15.7109375" style="1121" customWidth="1"/>
    <col min="8199" max="8199" width="35.7109375" style="1121" customWidth="1"/>
    <col min="8200" max="8200" width="10.7109375" style="1121" customWidth="1"/>
    <col min="8201" max="8201" width="5.7109375" style="1121" customWidth="1"/>
    <col min="8202" max="8202" width="11" style="1121" customWidth="1"/>
    <col min="8203" max="8203" width="32.85546875" style="1121" customWidth="1"/>
    <col min="8204" max="8204" width="9.140625" style="1121"/>
    <col min="8205" max="8205" width="65.28515625" style="1121" customWidth="1"/>
    <col min="8206" max="8206" width="24.7109375" style="1121" customWidth="1"/>
    <col min="8207" max="8207" width="16.28515625" style="1121" bestFit="1" customWidth="1"/>
    <col min="8208" max="8208" width="9.28515625" style="1121" customWidth="1"/>
    <col min="8209" max="8209" width="11.42578125" style="1121" customWidth="1"/>
    <col min="8210" max="8210" width="0" style="1121" hidden="1" customWidth="1"/>
    <col min="8211" max="8450" width="9.140625" style="1121"/>
    <col min="8451" max="8451" width="20" style="1121" customWidth="1"/>
    <col min="8452" max="8452" width="17.85546875" style="1121" customWidth="1"/>
    <col min="8453" max="8454" width="15.7109375" style="1121" customWidth="1"/>
    <col min="8455" max="8455" width="35.7109375" style="1121" customWidth="1"/>
    <col min="8456" max="8456" width="10.7109375" style="1121" customWidth="1"/>
    <col min="8457" max="8457" width="5.7109375" style="1121" customWidth="1"/>
    <col min="8458" max="8458" width="11" style="1121" customWidth="1"/>
    <col min="8459" max="8459" width="32.85546875" style="1121" customWidth="1"/>
    <col min="8460" max="8460" width="9.140625" style="1121"/>
    <col min="8461" max="8461" width="65.28515625" style="1121" customWidth="1"/>
    <col min="8462" max="8462" width="24.7109375" style="1121" customWidth="1"/>
    <col min="8463" max="8463" width="16.28515625" style="1121" bestFit="1" customWidth="1"/>
    <col min="8464" max="8464" width="9.28515625" style="1121" customWidth="1"/>
    <col min="8465" max="8465" width="11.42578125" style="1121" customWidth="1"/>
    <col min="8466" max="8466" width="0" style="1121" hidden="1" customWidth="1"/>
    <col min="8467" max="8706" width="9.140625" style="1121"/>
    <col min="8707" max="8707" width="20" style="1121" customWidth="1"/>
    <col min="8708" max="8708" width="17.85546875" style="1121" customWidth="1"/>
    <col min="8709" max="8710" width="15.7109375" style="1121" customWidth="1"/>
    <col min="8711" max="8711" width="35.7109375" style="1121" customWidth="1"/>
    <col min="8712" max="8712" width="10.7109375" style="1121" customWidth="1"/>
    <col min="8713" max="8713" width="5.7109375" style="1121" customWidth="1"/>
    <col min="8714" max="8714" width="11" style="1121" customWidth="1"/>
    <col min="8715" max="8715" width="32.85546875" style="1121" customWidth="1"/>
    <col min="8716" max="8716" width="9.140625" style="1121"/>
    <col min="8717" max="8717" width="65.28515625" style="1121" customWidth="1"/>
    <col min="8718" max="8718" width="24.7109375" style="1121" customWidth="1"/>
    <col min="8719" max="8719" width="16.28515625" style="1121" bestFit="1" customWidth="1"/>
    <col min="8720" max="8720" width="9.28515625" style="1121" customWidth="1"/>
    <col min="8721" max="8721" width="11.42578125" style="1121" customWidth="1"/>
    <col min="8722" max="8722" width="0" style="1121" hidden="1" customWidth="1"/>
    <col min="8723" max="8962" width="9.140625" style="1121"/>
    <col min="8963" max="8963" width="20" style="1121" customWidth="1"/>
    <col min="8964" max="8964" width="17.85546875" style="1121" customWidth="1"/>
    <col min="8965" max="8966" width="15.7109375" style="1121" customWidth="1"/>
    <col min="8967" max="8967" width="35.7109375" style="1121" customWidth="1"/>
    <col min="8968" max="8968" width="10.7109375" style="1121" customWidth="1"/>
    <col min="8969" max="8969" width="5.7109375" style="1121" customWidth="1"/>
    <col min="8970" max="8970" width="11" style="1121" customWidth="1"/>
    <col min="8971" max="8971" width="32.85546875" style="1121" customWidth="1"/>
    <col min="8972" max="8972" width="9.140625" style="1121"/>
    <col min="8973" max="8973" width="65.28515625" style="1121" customWidth="1"/>
    <col min="8974" max="8974" width="24.7109375" style="1121" customWidth="1"/>
    <col min="8975" max="8975" width="16.28515625" style="1121" bestFit="1" customWidth="1"/>
    <col min="8976" max="8976" width="9.28515625" style="1121" customWidth="1"/>
    <col min="8977" max="8977" width="11.42578125" style="1121" customWidth="1"/>
    <col min="8978" max="8978" width="0" style="1121" hidden="1" customWidth="1"/>
    <col min="8979" max="9218" width="9.140625" style="1121"/>
    <col min="9219" max="9219" width="20" style="1121" customWidth="1"/>
    <col min="9220" max="9220" width="17.85546875" style="1121" customWidth="1"/>
    <col min="9221" max="9222" width="15.7109375" style="1121" customWidth="1"/>
    <col min="9223" max="9223" width="35.7109375" style="1121" customWidth="1"/>
    <col min="9224" max="9224" width="10.7109375" style="1121" customWidth="1"/>
    <col min="9225" max="9225" width="5.7109375" style="1121" customWidth="1"/>
    <col min="9226" max="9226" width="11" style="1121" customWidth="1"/>
    <col min="9227" max="9227" width="32.85546875" style="1121" customWidth="1"/>
    <col min="9228" max="9228" width="9.140625" style="1121"/>
    <col min="9229" max="9229" width="65.28515625" style="1121" customWidth="1"/>
    <col min="9230" max="9230" width="24.7109375" style="1121" customWidth="1"/>
    <col min="9231" max="9231" width="16.28515625" style="1121" bestFit="1" customWidth="1"/>
    <col min="9232" max="9232" width="9.28515625" style="1121" customWidth="1"/>
    <col min="9233" max="9233" width="11.42578125" style="1121" customWidth="1"/>
    <col min="9234" max="9234" width="0" style="1121" hidden="1" customWidth="1"/>
    <col min="9235" max="9474" width="9.140625" style="1121"/>
    <col min="9475" max="9475" width="20" style="1121" customWidth="1"/>
    <col min="9476" max="9476" width="17.85546875" style="1121" customWidth="1"/>
    <col min="9477" max="9478" width="15.7109375" style="1121" customWidth="1"/>
    <col min="9479" max="9479" width="35.7109375" style="1121" customWidth="1"/>
    <col min="9480" max="9480" width="10.7109375" style="1121" customWidth="1"/>
    <col min="9481" max="9481" width="5.7109375" style="1121" customWidth="1"/>
    <col min="9482" max="9482" width="11" style="1121" customWidth="1"/>
    <col min="9483" max="9483" width="32.85546875" style="1121" customWidth="1"/>
    <col min="9484" max="9484" width="9.140625" style="1121"/>
    <col min="9485" max="9485" width="65.28515625" style="1121" customWidth="1"/>
    <col min="9486" max="9486" width="24.7109375" style="1121" customWidth="1"/>
    <col min="9487" max="9487" width="16.28515625" style="1121" bestFit="1" customWidth="1"/>
    <col min="9488" max="9488" width="9.28515625" style="1121" customWidth="1"/>
    <col min="9489" max="9489" width="11.42578125" style="1121" customWidth="1"/>
    <col min="9490" max="9490" width="0" style="1121" hidden="1" customWidth="1"/>
    <col min="9491" max="9730" width="9.140625" style="1121"/>
    <col min="9731" max="9731" width="20" style="1121" customWidth="1"/>
    <col min="9732" max="9732" width="17.85546875" style="1121" customWidth="1"/>
    <col min="9733" max="9734" width="15.7109375" style="1121" customWidth="1"/>
    <col min="9735" max="9735" width="35.7109375" style="1121" customWidth="1"/>
    <col min="9736" max="9736" width="10.7109375" style="1121" customWidth="1"/>
    <col min="9737" max="9737" width="5.7109375" style="1121" customWidth="1"/>
    <col min="9738" max="9738" width="11" style="1121" customWidth="1"/>
    <col min="9739" max="9739" width="32.85546875" style="1121" customWidth="1"/>
    <col min="9740" max="9740" width="9.140625" style="1121"/>
    <col min="9741" max="9741" width="65.28515625" style="1121" customWidth="1"/>
    <col min="9742" max="9742" width="24.7109375" style="1121" customWidth="1"/>
    <col min="9743" max="9743" width="16.28515625" style="1121" bestFit="1" customWidth="1"/>
    <col min="9744" max="9744" width="9.28515625" style="1121" customWidth="1"/>
    <col min="9745" max="9745" width="11.42578125" style="1121" customWidth="1"/>
    <col min="9746" max="9746" width="0" style="1121" hidden="1" customWidth="1"/>
    <col min="9747" max="9986" width="9.140625" style="1121"/>
    <col min="9987" max="9987" width="20" style="1121" customWidth="1"/>
    <col min="9988" max="9988" width="17.85546875" style="1121" customWidth="1"/>
    <col min="9989" max="9990" width="15.7109375" style="1121" customWidth="1"/>
    <col min="9991" max="9991" width="35.7109375" style="1121" customWidth="1"/>
    <col min="9992" max="9992" width="10.7109375" style="1121" customWidth="1"/>
    <col min="9993" max="9993" width="5.7109375" style="1121" customWidth="1"/>
    <col min="9994" max="9994" width="11" style="1121" customWidth="1"/>
    <col min="9995" max="9995" width="32.85546875" style="1121" customWidth="1"/>
    <col min="9996" max="9996" width="9.140625" style="1121"/>
    <col min="9997" max="9997" width="65.28515625" style="1121" customWidth="1"/>
    <col min="9998" max="9998" width="24.7109375" style="1121" customWidth="1"/>
    <col min="9999" max="9999" width="16.28515625" style="1121" bestFit="1" customWidth="1"/>
    <col min="10000" max="10000" width="9.28515625" style="1121" customWidth="1"/>
    <col min="10001" max="10001" width="11.42578125" style="1121" customWidth="1"/>
    <col min="10002" max="10002" width="0" style="1121" hidden="1" customWidth="1"/>
    <col min="10003" max="10242" width="9.140625" style="1121"/>
    <col min="10243" max="10243" width="20" style="1121" customWidth="1"/>
    <col min="10244" max="10244" width="17.85546875" style="1121" customWidth="1"/>
    <col min="10245" max="10246" width="15.7109375" style="1121" customWidth="1"/>
    <col min="10247" max="10247" width="35.7109375" style="1121" customWidth="1"/>
    <col min="10248" max="10248" width="10.7109375" style="1121" customWidth="1"/>
    <col min="10249" max="10249" width="5.7109375" style="1121" customWidth="1"/>
    <col min="10250" max="10250" width="11" style="1121" customWidth="1"/>
    <col min="10251" max="10251" width="32.85546875" style="1121" customWidth="1"/>
    <col min="10252" max="10252" width="9.140625" style="1121"/>
    <col min="10253" max="10253" width="65.28515625" style="1121" customWidth="1"/>
    <col min="10254" max="10254" width="24.7109375" style="1121" customWidth="1"/>
    <col min="10255" max="10255" width="16.28515625" style="1121" bestFit="1" customWidth="1"/>
    <col min="10256" max="10256" width="9.28515625" style="1121" customWidth="1"/>
    <col min="10257" max="10257" width="11.42578125" style="1121" customWidth="1"/>
    <col min="10258" max="10258" width="0" style="1121" hidden="1" customWidth="1"/>
    <col min="10259" max="10498" width="9.140625" style="1121"/>
    <col min="10499" max="10499" width="20" style="1121" customWidth="1"/>
    <col min="10500" max="10500" width="17.85546875" style="1121" customWidth="1"/>
    <col min="10501" max="10502" width="15.7109375" style="1121" customWidth="1"/>
    <col min="10503" max="10503" width="35.7109375" style="1121" customWidth="1"/>
    <col min="10504" max="10504" width="10.7109375" style="1121" customWidth="1"/>
    <col min="10505" max="10505" width="5.7109375" style="1121" customWidth="1"/>
    <col min="10506" max="10506" width="11" style="1121" customWidth="1"/>
    <col min="10507" max="10507" width="32.85546875" style="1121" customWidth="1"/>
    <col min="10508" max="10508" width="9.140625" style="1121"/>
    <col min="10509" max="10509" width="65.28515625" style="1121" customWidth="1"/>
    <col min="10510" max="10510" width="24.7109375" style="1121" customWidth="1"/>
    <col min="10511" max="10511" width="16.28515625" style="1121" bestFit="1" customWidth="1"/>
    <col min="10512" max="10512" width="9.28515625" style="1121" customWidth="1"/>
    <col min="10513" max="10513" width="11.42578125" style="1121" customWidth="1"/>
    <col min="10514" max="10514" width="0" style="1121" hidden="1" customWidth="1"/>
    <col min="10515" max="10754" width="9.140625" style="1121"/>
    <col min="10755" max="10755" width="20" style="1121" customWidth="1"/>
    <col min="10756" max="10756" width="17.85546875" style="1121" customWidth="1"/>
    <col min="10757" max="10758" width="15.7109375" style="1121" customWidth="1"/>
    <col min="10759" max="10759" width="35.7109375" style="1121" customWidth="1"/>
    <col min="10760" max="10760" width="10.7109375" style="1121" customWidth="1"/>
    <col min="10761" max="10761" width="5.7109375" style="1121" customWidth="1"/>
    <col min="10762" max="10762" width="11" style="1121" customWidth="1"/>
    <col min="10763" max="10763" width="32.85546875" style="1121" customWidth="1"/>
    <col min="10764" max="10764" width="9.140625" style="1121"/>
    <col min="10765" max="10765" width="65.28515625" style="1121" customWidth="1"/>
    <col min="10766" max="10766" width="24.7109375" style="1121" customWidth="1"/>
    <col min="10767" max="10767" width="16.28515625" style="1121" bestFit="1" customWidth="1"/>
    <col min="10768" max="10768" width="9.28515625" style="1121" customWidth="1"/>
    <col min="10769" max="10769" width="11.42578125" style="1121" customWidth="1"/>
    <col min="10770" max="10770" width="0" style="1121" hidden="1" customWidth="1"/>
    <col min="10771" max="11010" width="9.140625" style="1121"/>
    <col min="11011" max="11011" width="20" style="1121" customWidth="1"/>
    <col min="11012" max="11012" width="17.85546875" style="1121" customWidth="1"/>
    <col min="11013" max="11014" width="15.7109375" style="1121" customWidth="1"/>
    <col min="11015" max="11015" width="35.7109375" style="1121" customWidth="1"/>
    <col min="11016" max="11016" width="10.7109375" style="1121" customWidth="1"/>
    <col min="11017" max="11017" width="5.7109375" style="1121" customWidth="1"/>
    <col min="11018" max="11018" width="11" style="1121" customWidth="1"/>
    <col min="11019" max="11019" width="32.85546875" style="1121" customWidth="1"/>
    <col min="11020" max="11020" width="9.140625" style="1121"/>
    <col min="11021" max="11021" width="65.28515625" style="1121" customWidth="1"/>
    <col min="11022" max="11022" width="24.7109375" style="1121" customWidth="1"/>
    <col min="11023" max="11023" width="16.28515625" style="1121" bestFit="1" customWidth="1"/>
    <col min="11024" max="11024" width="9.28515625" style="1121" customWidth="1"/>
    <col min="11025" max="11025" width="11.42578125" style="1121" customWidth="1"/>
    <col min="11026" max="11026" width="0" style="1121" hidden="1" customWidth="1"/>
    <col min="11027" max="11266" width="9.140625" style="1121"/>
    <col min="11267" max="11267" width="20" style="1121" customWidth="1"/>
    <col min="11268" max="11268" width="17.85546875" style="1121" customWidth="1"/>
    <col min="11269" max="11270" width="15.7109375" style="1121" customWidth="1"/>
    <col min="11271" max="11271" width="35.7109375" style="1121" customWidth="1"/>
    <col min="11272" max="11272" width="10.7109375" style="1121" customWidth="1"/>
    <col min="11273" max="11273" width="5.7109375" style="1121" customWidth="1"/>
    <col min="11274" max="11274" width="11" style="1121" customWidth="1"/>
    <col min="11275" max="11275" width="32.85546875" style="1121" customWidth="1"/>
    <col min="11276" max="11276" width="9.140625" style="1121"/>
    <col min="11277" max="11277" width="65.28515625" style="1121" customWidth="1"/>
    <col min="11278" max="11278" width="24.7109375" style="1121" customWidth="1"/>
    <col min="11279" max="11279" width="16.28515625" style="1121" bestFit="1" customWidth="1"/>
    <col min="11280" max="11280" width="9.28515625" style="1121" customWidth="1"/>
    <col min="11281" max="11281" width="11.42578125" style="1121" customWidth="1"/>
    <col min="11282" max="11282" width="0" style="1121" hidden="1" customWidth="1"/>
    <col min="11283" max="11522" width="9.140625" style="1121"/>
    <col min="11523" max="11523" width="20" style="1121" customWidth="1"/>
    <col min="11524" max="11524" width="17.85546875" style="1121" customWidth="1"/>
    <col min="11525" max="11526" width="15.7109375" style="1121" customWidth="1"/>
    <col min="11527" max="11527" width="35.7109375" style="1121" customWidth="1"/>
    <col min="11528" max="11528" width="10.7109375" style="1121" customWidth="1"/>
    <col min="11529" max="11529" width="5.7109375" style="1121" customWidth="1"/>
    <col min="11530" max="11530" width="11" style="1121" customWidth="1"/>
    <col min="11531" max="11531" width="32.85546875" style="1121" customWidth="1"/>
    <col min="11532" max="11532" width="9.140625" style="1121"/>
    <col min="11533" max="11533" width="65.28515625" style="1121" customWidth="1"/>
    <col min="11534" max="11534" width="24.7109375" style="1121" customWidth="1"/>
    <col min="11535" max="11535" width="16.28515625" style="1121" bestFit="1" customWidth="1"/>
    <col min="11536" max="11536" width="9.28515625" style="1121" customWidth="1"/>
    <col min="11537" max="11537" width="11.42578125" style="1121" customWidth="1"/>
    <col min="11538" max="11538" width="0" style="1121" hidden="1" customWidth="1"/>
    <col min="11539" max="11778" width="9.140625" style="1121"/>
    <col min="11779" max="11779" width="20" style="1121" customWidth="1"/>
    <col min="11780" max="11780" width="17.85546875" style="1121" customWidth="1"/>
    <col min="11781" max="11782" width="15.7109375" style="1121" customWidth="1"/>
    <col min="11783" max="11783" width="35.7109375" style="1121" customWidth="1"/>
    <col min="11784" max="11784" width="10.7109375" style="1121" customWidth="1"/>
    <col min="11785" max="11785" width="5.7109375" style="1121" customWidth="1"/>
    <col min="11786" max="11786" width="11" style="1121" customWidth="1"/>
    <col min="11787" max="11787" width="32.85546875" style="1121" customWidth="1"/>
    <col min="11788" max="11788" width="9.140625" style="1121"/>
    <col min="11789" max="11789" width="65.28515625" style="1121" customWidth="1"/>
    <col min="11790" max="11790" width="24.7109375" style="1121" customWidth="1"/>
    <col min="11791" max="11791" width="16.28515625" style="1121" bestFit="1" customWidth="1"/>
    <col min="11792" max="11792" width="9.28515625" style="1121" customWidth="1"/>
    <col min="11793" max="11793" width="11.42578125" style="1121" customWidth="1"/>
    <col min="11794" max="11794" width="0" style="1121" hidden="1" customWidth="1"/>
    <col min="11795" max="12034" width="9.140625" style="1121"/>
    <col min="12035" max="12035" width="20" style="1121" customWidth="1"/>
    <col min="12036" max="12036" width="17.85546875" style="1121" customWidth="1"/>
    <col min="12037" max="12038" width="15.7109375" style="1121" customWidth="1"/>
    <col min="12039" max="12039" width="35.7109375" style="1121" customWidth="1"/>
    <col min="12040" max="12040" width="10.7109375" style="1121" customWidth="1"/>
    <col min="12041" max="12041" width="5.7109375" style="1121" customWidth="1"/>
    <col min="12042" max="12042" width="11" style="1121" customWidth="1"/>
    <col min="12043" max="12043" width="32.85546875" style="1121" customWidth="1"/>
    <col min="12044" max="12044" width="9.140625" style="1121"/>
    <col min="12045" max="12045" width="65.28515625" style="1121" customWidth="1"/>
    <col min="12046" max="12046" width="24.7109375" style="1121" customWidth="1"/>
    <col min="12047" max="12047" width="16.28515625" style="1121" bestFit="1" customWidth="1"/>
    <col min="12048" max="12048" width="9.28515625" style="1121" customWidth="1"/>
    <col min="12049" max="12049" width="11.42578125" style="1121" customWidth="1"/>
    <col min="12050" max="12050" width="0" style="1121" hidden="1" customWidth="1"/>
    <col min="12051" max="12290" width="9.140625" style="1121"/>
    <col min="12291" max="12291" width="20" style="1121" customWidth="1"/>
    <col min="12292" max="12292" width="17.85546875" style="1121" customWidth="1"/>
    <col min="12293" max="12294" width="15.7109375" style="1121" customWidth="1"/>
    <col min="12295" max="12295" width="35.7109375" style="1121" customWidth="1"/>
    <col min="12296" max="12296" width="10.7109375" style="1121" customWidth="1"/>
    <col min="12297" max="12297" width="5.7109375" style="1121" customWidth="1"/>
    <col min="12298" max="12298" width="11" style="1121" customWidth="1"/>
    <col min="12299" max="12299" width="32.85546875" style="1121" customWidth="1"/>
    <col min="12300" max="12300" width="9.140625" style="1121"/>
    <col min="12301" max="12301" width="65.28515625" style="1121" customWidth="1"/>
    <col min="12302" max="12302" width="24.7109375" style="1121" customWidth="1"/>
    <col min="12303" max="12303" width="16.28515625" style="1121" bestFit="1" customWidth="1"/>
    <col min="12304" max="12304" width="9.28515625" style="1121" customWidth="1"/>
    <col min="12305" max="12305" width="11.42578125" style="1121" customWidth="1"/>
    <col min="12306" max="12306" width="0" style="1121" hidden="1" customWidth="1"/>
    <col min="12307" max="12546" width="9.140625" style="1121"/>
    <col min="12547" max="12547" width="20" style="1121" customWidth="1"/>
    <col min="12548" max="12548" width="17.85546875" style="1121" customWidth="1"/>
    <col min="12549" max="12550" width="15.7109375" style="1121" customWidth="1"/>
    <col min="12551" max="12551" width="35.7109375" style="1121" customWidth="1"/>
    <col min="12552" max="12552" width="10.7109375" style="1121" customWidth="1"/>
    <col min="12553" max="12553" width="5.7109375" style="1121" customWidth="1"/>
    <col min="12554" max="12554" width="11" style="1121" customWidth="1"/>
    <col min="12555" max="12555" width="32.85546875" style="1121" customWidth="1"/>
    <col min="12556" max="12556" width="9.140625" style="1121"/>
    <col min="12557" max="12557" width="65.28515625" style="1121" customWidth="1"/>
    <col min="12558" max="12558" width="24.7109375" style="1121" customWidth="1"/>
    <col min="12559" max="12559" width="16.28515625" style="1121" bestFit="1" customWidth="1"/>
    <col min="12560" max="12560" width="9.28515625" style="1121" customWidth="1"/>
    <col min="12561" max="12561" width="11.42578125" style="1121" customWidth="1"/>
    <col min="12562" max="12562" width="0" style="1121" hidden="1" customWidth="1"/>
    <col min="12563" max="12802" width="9.140625" style="1121"/>
    <col min="12803" max="12803" width="20" style="1121" customWidth="1"/>
    <col min="12804" max="12804" width="17.85546875" style="1121" customWidth="1"/>
    <col min="12805" max="12806" width="15.7109375" style="1121" customWidth="1"/>
    <col min="12807" max="12807" width="35.7109375" style="1121" customWidth="1"/>
    <col min="12808" max="12808" width="10.7109375" style="1121" customWidth="1"/>
    <col min="12809" max="12809" width="5.7109375" style="1121" customWidth="1"/>
    <col min="12810" max="12810" width="11" style="1121" customWidth="1"/>
    <col min="12811" max="12811" width="32.85546875" style="1121" customWidth="1"/>
    <col min="12812" max="12812" width="9.140625" style="1121"/>
    <col min="12813" max="12813" width="65.28515625" style="1121" customWidth="1"/>
    <col min="12814" max="12814" width="24.7109375" style="1121" customWidth="1"/>
    <col min="12815" max="12815" width="16.28515625" style="1121" bestFit="1" customWidth="1"/>
    <col min="12816" max="12816" width="9.28515625" style="1121" customWidth="1"/>
    <col min="12817" max="12817" width="11.42578125" style="1121" customWidth="1"/>
    <col min="12818" max="12818" width="0" style="1121" hidden="1" customWidth="1"/>
    <col min="12819" max="13058" width="9.140625" style="1121"/>
    <col min="13059" max="13059" width="20" style="1121" customWidth="1"/>
    <col min="13060" max="13060" width="17.85546875" style="1121" customWidth="1"/>
    <col min="13061" max="13062" width="15.7109375" style="1121" customWidth="1"/>
    <col min="13063" max="13063" width="35.7109375" style="1121" customWidth="1"/>
    <col min="13064" max="13064" width="10.7109375" style="1121" customWidth="1"/>
    <col min="13065" max="13065" width="5.7109375" style="1121" customWidth="1"/>
    <col min="13066" max="13066" width="11" style="1121" customWidth="1"/>
    <col min="13067" max="13067" width="32.85546875" style="1121" customWidth="1"/>
    <col min="13068" max="13068" width="9.140625" style="1121"/>
    <col min="13069" max="13069" width="65.28515625" style="1121" customWidth="1"/>
    <col min="13070" max="13070" width="24.7109375" style="1121" customWidth="1"/>
    <col min="13071" max="13071" width="16.28515625" style="1121" bestFit="1" customWidth="1"/>
    <col min="13072" max="13072" width="9.28515625" style="1121" customWidth="1"/>
    <col min="13073" max="13073" width="11.42578125" style="1121" customWidth="1"/>
    <col min="13074" max="13074" width="0" style="1121" hidden="1" customWidth="1"/>
    <col min="13075" max="13314" width="9.140625" style="1121"/>
    <col min="13315" max="13315" width="20" style="1121" customWidth="1"/>
    <col min="13316" max="13316" width="17.85546875" style="1121" customWidth="1"/>
    <col min="13317" max="13318" width="15.7109375" style="1121" customWidth="1"/>
    <col min="13319" max="13319" width="35.7109375" style="1121" customWidth="1"/>
    <col min="13320" max="13320" width="10.7109375" style="1121" customWidth="1"/>
    <col min="13321" max="13321" width="5.7109375" style="1121" customWidth="1"/>
    <col min="13322" max="13322" width="11" style="1121" customWidth="1"/>
    <col min="13323" max="13323" width="32.85546875" style="1121" customWidth="1"/>
    <col min="13324" max="13324" width="9.140625" style="1121"/>
    <col min="13325" max="13325" width="65.28515625" style="1121" customWidth="1"/>
    <col min="13326" max="13326" width="24.7109375" style="1121" customWidth="1"/>
    <col min="13327" max="13327" width="16.28515625" style="1121" bestFit="1" customWidth="1"/>
    <col min="13328" max="13328" width="9.28515625" style="1121" customWidth="1"/>
    <col min="13329" max="13329" width="11.42578125" style="1121" customWidth="1"/>
    <col min="13330" max="13330" width="0" style="1121" hidden="1" customWidth="1"/>
    <col min="13331" max="13570" width="9.140625" style="1121"/>
    <col min="13571" max="13571" width="20" style="1121" customWidth="1"/>
    <col min="13572" max="13572" width="17.85546875" style="1121" customWidth="1"/>
    <col min="13573" max="13574" width="15.7109375" style="1121" customWidth="1"/>
    <col min="13575" max="13575" width="35.7109375" style="1121" customWidth="1"/>
    <col min="13576" max="13576" width="10.7109375" style="1121" customWidth="1"/>
    <col min="13577" max="13577" width="5.7109375" style="1121" customWidth="1"/>
    <col min="13578" max="13578" width="11" style="1121" customWidth="1"/>
    <col min="13579" max="13579" width="32.85546875" style="1121" customWidth="1"/>
    <col min="13580" max="13580" width="9.140625" style="1121"/>
    <col min="13581" max="13581" width="65.28515625" style="1121" customWidth="1"/>
    <col min="13582" max="13582" width="24.7109375" style="1121" customWidth="1"/>
    <col min="13583" max="13583" width="16.28515625" style="1121" bestFit="1" customWidth="1"/>
    <col min="13584" max="13584" width="9.28515625" style="1121" customWidth="1"/>
    <col min="13585" max="13585" width="11.42578125" style="1121" customWidth="1"/>
    <col min="13586" max="13586" width="0" style="1121" hidden="1" customWidth="1"/>
    <col min="13587" max="13826" width="9.140625" style="1121"/>
    <col min="13827" max="13827" width="20" style="1121" customWidth="1"/>
    <col min="13828" max="13828" width="17.85546875" style="1121" customWidth="1"/>
    <col min="13829" max="13830" width="15.7109375" style="1121" customWidth="1"/>
    <col min="13831" max="13831" width="35.7109375" style="1121" customWidth="1"/>
    <col min="13832" max="13832" width="10.7109375" style="1121" customWidth="1"/>
    <col min="13833" max="13833" width="5.7109375" style="1121" customWidth="1"/>
    <col min="13834" max="13834" width="11" style="1121" customWidth="1"/>
    <col min="13835" max="13835" width="32.85546875" style="1121" customWidth="1"/>
    <col min="13836" max="13836" width="9.140625" style="1121"/>
    <col min="13837" max="13837" width="65.28515625" style="1121" customWidth="1"/>
    <col min="13838" max="13838" width="24.7109375" style="1121" customWidth="1"/>
    <col min="13839" max="13839" width="16.28515625" style="1121" bestFit="1" customWidth="1"/>
    <col min="13840" max="13840" width="9.28515625" style="1121" customWidth="1"/>
    <col min="13841" max="13841" width="11.42578125" style="1121" customWidth="1"/>
    <col min="13842" max="13842" width="0" style="1121" hidden="1" customWidth="1"/>
    <col min="13843" max="14082" width="9.140625" style="1121"/>
    <col min="14083" max="14083" width="20" style="1121" customWidth="1"/>
    <col min="14084" max="14084" width="17.85546875" style="1121" customWidth="1"/>
    <col min="14085" max="14086" width="15.7109375" style="1121" customWidth="1"/>
    <col min="14087" max="14087" width="35.7109375" style="1121" customWidth="1"/>
    <col min="14088" max="14088" width="10.7109375" style="1121" customWidth="1"/>
    <col min="14089" max="14089" width="5.7109375" style="1121" customWidth="1"/>
    <col min="14090" max="14090" width="11" style="1121" customWidth="1"/>
    <col min="14091" max="14091" width="32.85546875" style="1121" customWidth="1"/>
    <col min="14092" max="14092" width="9.140625" style="1121"/>
    <col min="14093" max="14093" width="65.28515625" style="1121" customWidth="1"/>
    <col min="14094" max="14094" width="24.7109375" style="1121" customWidth="1"/>
    <col min="14095" max="14095" width="16.28515625" style="1121" bestFit="1" customWidth="1"/>
    <col min="14096" max="14096" width="9.28515625" style="1121" customWidth="1"/>
    <col min="14097" max="14097" width="11.42578125" style="1121" customWidth="1"/>
    <col min="14098" max="14098" width="0" style="1121" hidden="1" customWidth="1"/>
    <col min="14099" max="14338" width="9.140625" style="1121"/>
    <col min="14339" max="14339" width="20" style="1121" customWidth="1"/>
    <col min="14340" max="14340" width="17.85546875" style="1121" customWidth="1"/>
    <col min="14341" max="14342" width="15.7109375" style="1121" customWidth="1"/>
    <col min="14343" max="14343" width="35.7109375" style="1121" customWidth="1"/>
    <col min="14344" max="14344" width="10.7109375" style="1121" customWidth="1"/>
    <col min="14345" max="14345" width="5.7109375" style="1121" customWidth="1"/>
    <col min="14346" max="14346" width="11" style="1121" customWidth="1"/>
    <col min="14347" max="14347" width="32.85546875" style="1121" customWidth="1"/>
    <col min="14348" max="14348" width="9.140625" style="1121"/>
    <col min="14349" max="14349" width="65.28515625" style="1121" customWidth="1"/>
    <col min="14350" max="14350" width="24.7109375" style="1121" customWidth="1"/>
    <col min="14351" max="14351" width="16.28515625" style="1121" bestFit="1" customWidth="1"/>
    <col min="14352" max="14352" width="9.28515625" style="1121" customWidth="1"/>
    <col min="14353" max="14353" width="11.42578125" style="1121" customWidth="1"/>
    <col min="14354" max="14354" width="0" style="1121" hidden="1" customWidth="1"/>
    <col min="14355" max="14594" width="9.140625" style="1121"/>
    <col min="14595" max="14595" width="20" style="1121" customWidth="1"/>
    <col min="14596" max="14596" width="17.85546875" style="1121" customWidth="1"/>
    <col min="14597" max="14598" width="15.7109375" style="1121" customWidth="1"/>
    <col min="14599" max="14599" width="35.7109375" style="1121" customWidth="1"/>
    <col min="14600" max="14600" width="10.7109375" style="1121" customWidth="1"/>
    <col min="14601" max="14601" width="5.7109375" style="1121" customWidth="1"/>
    <col min="14602" max="14602" width="11" style="1121" customWidth="1"/>
    <col min="14603" max="14603" width="32.85546875" style="1121" customWidth="1"/>
    <col min="14604" max="14604" width="9.140625" style="1121"/>
    <col min="14605" max="14605" width="65.28515625" style="1121" customWidth="1"/>
    <col min="14606" max="14606" width="24.7109375" style="1121" customWidth="1"/>
    <col min="14607" max="14607" width="16.28515625" style="1121" bestFit="1" customWidth="1"/>
    <col min="14608" max="14608" width="9.28515625" style="1121" customWidth="1"/>
    <col min="14609" max="14609" width="11.42578125" style="1121" customWidth="1"/>
    <col min="14610" max="14610" width="0" style="1121" hidden="1" customWidth="1"/>
    <col min="14611" max="14850" width="9.140625" style="1121"/>
    <col min="14851" max="14851" width="20" style="1121" customWidth="1"/>
    <col min="14852" max="14852" width="17.85546875" style="1121" customWidth="1"/>
    <col min="14853" max="14854" width="15.7109375" style="1121" customWidth="1"/>
    <col min="14855" max="14855" width="35.7109375" style="1121" customWidth="1"/>
    <col min="14856" max="14856" width="10.7109375" style="1121" customWidth="1"/>
    <col min="14857" max="14857" width="5.7109375" style="1121" customWidth="1"/>
    <col min="14858" max="14858" width="11" style="1121" customWidth="1"/>
    <col min="14859" max="14859" width="32.85546875" style="1121" customWidth="1"/>
    <col min="14860" max="14860" width="9.140625" style="1121"/>
    <col min="14861" max="14861" width="65.28515625" style="1121" customWidth="1"/>
    <col min="14862" max="14862" width="24.7109375" style="1121" customWidth="1"/>
    <col min="14863" max="14863" width="16.28515625" style="1121" bestFit="1" customWidth="1"/>
    <col min="14864" max="14864" width="9.28515625" style="1121" customWidth="1"/>
    <col min="14865" max="14865" width="11.42578125" style="1121" customWidth="1"/>
    <col min="14866" max="14866" width="0" style="1121" hidden="1" customWidth="1"/>
    <col min="14867" max="15106" width="9.140625" style="1121"/>
    <col min="15107" max="15107" width="20" style="1121" customWidth="1"/>
    <col min="15108" max="15108" width="17.85546875" style="1121" customWidth="1"/>
    <col min="15109" max="15110" width="15.7109375" style="1121" customWidth="1"/>
    <col min="15111" max="15111" width="35.7109375" style="1121" customWidth="1"/>
    <col min="15112" max="15112" width="10.7109375" style="1121" customWidth="1"/>
    <col min="15113" max="15113" width="5.7109375" style="1121" customWidth="1"/>
    <col min="15114" max="15114" width="11" style="1121" customWidth="1"/>
    <col min="15115" max="15115" width="32.85546875" style="1121" customWidth="1"/>
    <col min="15116" max="15116" width="9.140625" style="1121"/>
    <col min="15117" max="15117" width="65.28515625" style="1121" customWidth="1"/>
    <col min="15118" max="15118" width="24.7109375" style="1121" customWidth="1"/>
    <col min="15119" max="15119" width="16.28515625" style="1121" bestFit="1" customWidth="1"/>
    <col min="15120" max="15120" width="9.28515625" style="1121" customWidth="1"/>
    <col min="15121" max="15121" width="11.42578125" style="1121" customWidth="1"/>
    <col min="15122" max="15122" width="0" style="1121" hidden="1" customWidth="1"/>
    <col min="15123" max="15362" width="9.140625" style="1121"/>
    <col min="15363" max="15363" width="20" style="1121" customWidth="1"/>
    <col min="15364" max="15364" width="17.85546875" style="1121" customWidth="1"/>
    <col min="15365" max="15366" width="15.7109375" style="1121" customWidth="1"/>
    <col min="15367" max="15367" width="35.7109375" style="1121" customWidth="1"/>
    <col min="15368" max="15368" width="10.7109375" style="1121" customWidth="1"/>
    <col min="15369" max="15369" width="5.7109375" style="1121" customWidth="1"/>
    <col min="15370" max="15370" width="11" style="1121" customWidth="1"/>
    <col min="15371" max="15371" width="32.85546875" style="1121" customWidth="1"/>
    <col min="15372" max="15372" width="9.140625" style="1121"/>
    <col min="15373" max="15373" width="65.28515625" style="1121" customWidth="1"/>
    <col min="15374" max="15374" width="24.7109375" style="1121" customWidth="1"/>
    <col min="15375" max="15375" width="16.28515625" style="1121" bestFit="1" customWidth="1"/>
    <col min="15376" max="15376" width="9.28515625" style="1121" customWidth="1"/>
    <col min="15377" max="15377" width="11.42578125" style="1121" customWidth="1"/>
    <col min="15378" max="15378" width="0" style="1121" hidden="1" customWidth="1"/>
    <col min="15379" max="15618" width="9.140625" style="1121"/>
    <col min="15619" max="15619" width="20" style="1121" customWidth="1"/>
    <col min="15620" max="15620" width="17.85546875" style="1121" customWidth="1"/>
    <col min="15621" max="15622" width="15.7109375" style="1121" customWidth="1"/>
    <col min="15623" max="15623" width="35.7109375" style="1121" customWidth="1"/>
    <col min="15624" max="15624" width="10.7109375" style="1121" customWidth="1"/>
    <col min="15625" max="15625" width="5.7109375" style="1121" customWidth="1"/>
    <col min="15626" max="15626" width="11" style="1121" customWidth="1"/>
    <col min="15627" max="15627" width="32.85546875" style="1121" customWidth="1"/>
    <col min="15628" max="15628" width="9.140625" style="1121"/>
    <col min="15629" max="15629" width="65.28515625" style="1121" customWidth="1"/>
    <col min="15630" max="15630" width="24.7109375" style="1121" customWidth="1"/>
    <col min="15631" max="15631" width="16.28515625" style="1121" bestFit="1" customWidth="1"/>
    <col min="15632" max="15632" width="9.28515625" style="1121" customWidth="1"/>
    <col min="15633" max="15633" width="11.42578125" style="1121" customWidth="1"/>
    <col min="15634" max="15634" width="0" style="1121" hidden="1" customWidth="1"/>
    <col min="15635" max="15874" width="9.140625" style="1121"/>
    <col min="15875" max="15875" width="20" style="1121" customWidth="1"/>
    <col min="15876" max="15876" width="17.85546875" style="1121" customWidth="1"/>
    <col min="15877" max="15878" width="15.7109375" style="1121" customWidth="1"/>
    <col min="15879" max="15879" width="35.7109375" style="1121" customWidth="1"/>
    <col min="15880" max="15880" width="10.7109375" style="1121" customWidth="1"/>
    <col min="15881" max="15881" width="5.7109375" style="1121" customWidth="1"/>
    <col min="15882" max="15882" width="11" style="1121" customWidth="1"/>
    <col min="15883" max="15883" width="32.85546875" style="1121" customWidth="1"/>
    <col min="15884" max="15884" width="9.140625" style="1121"/>
    <col min="15885" max="15885" width="65.28515625" style="1121" customWidth="1"/>
    <col min="15886" max="15886" width="24.7109375" style="1121" customWidth="1"/>
    <col min="15887" max="15887" width="16.28515625" style="1121" bestFit="1" customWidth="1"/>
    <col min="15888" max="15888" width="9.28515625" style="1121" customWidth="1"/>
    <col min="15889" max="15889" width="11.42578125" style="1121" customWidth="1"/>
    <col min="15890" max="15890" width="0" style="1121" hidden="1" customWidth="1"/>
    <col min="15891" max="16130" width="9.140625" style="1121"/>
    <col min="16131" max="16131" width="20" style="1121" customWidth="1"/>
    <col min="16132" max="16132" width="17.85546875" style="1121" customWidth="1"/>
    <col min="16133" max="16134" width="15.7109375" style="1121" customWidth="1"/>
    <col min="16135" max="16135" width="35.7109375" style="1121" customWidth="1"/>
    <col min="16136" max="16136" width="10.7109375" style="1121" customWidth="1"/>
    <col min="16137" max="16137" width="5.7109375" style="1121" customWidth="1"/>
    <col min="16138" max="16138" width="11" style="1121" customWidth="1"/>
    <col min="16139" max="16139" width="32.85546875" style="1121" customWidth="1"/>
    <col min="16140" max="16140" width="9.140625" style="1121"/>
    <col min="16141" max="16141" width="65.28515625" style="1121" customWidth="1"/>
    <col min="16142" max="16142" width="24.7109375" style="1121" customWidth="1"/>
    <col min="16143" max="16143" width="16.28515625" style="1121" bestFit="1" customWidth="1"/>
    <col min="16144" max="16144" width="9.28515625" style="1121" customWidth="1"/>
    <col min="16145" max="16145" width="11.42578125" style="1121" customWidth="1"/>
    <col min="16146" max="16146" width="0" style="1121" hidden="1" customWidth="1"/>
    <col min="16147" max="16384" width="9.140625" style="1121"/>
  </cols>
  <sheetData>
    <row r="1" spans="1:126" s="1119" customFormat="1" ht="18.75">
      <c r="A1" s="1881" t="s">
        <v>3609</v>
      </c>
      <c r="B1" s="1155" t="s">
        <v>4004</v>
      </c>
      <c r="C1" s="1216"/>
      <c r="D1" s="1216"/>
      <c r="E1" s="1201"/>
      <c r="F1" s="1217"/>
      <c r="G1" s="1217"/>
      <c r="H1" s="2472" t="s">
        <v>2595</v>
      </c>
      <c r="I1" s="2472"/>
      <c r="J1" s="1158" t="s">
        <v>3610</v>
      </c>
      <c r="K1" s="1229"/>
    </row>
    <row r="2" spans="1:126" s="1119" customFormat="1">
      <c r="B2" s="1034" t="s">
        <v>3198</v>
      </c>
      <c r="C2" s="1035">
        <f>'Basic Info'!C29:D29</f>
        <v>0</v>
      </c>
      <c r="D2" s="1185"/>
      <c r="E2" s="1185"/>
      <c r="F2" s="1185"/>
      <c r="G2" s="1185"/>
      <c r="H2" s="2502"/>
      <c r="I2" s="2502"/>
      <c r="J2" s="1006"/>
      <c r="K2" s="1224"/>
    </row>
    <row r="3" spans="1:126" s="1119" customFormat="1">
      <c r="B3" s="2514"/>
      <c r="C3" s="2514"/>
      <c r="D3" s="2514"/>
      <c r="E3" s="2514"/>
      <c r="F3" s="2514"/>
      <c r="G3" s="2514"/>
      <c r="H3" s="2502"/>
      <c r="I3" s="2502"/>
      <c r="J3" s="1006"/>
      <c r="K3" s="1224"/>
    </row>
    <row r="4" spans="1:126">
      <c r="A4" s="1195"/>
      <c r="C4" s="895"/>
      <c r="D4" s="936"/>
      <c r="E4" s="936"/>
      <c r="F4" s="936"/>
      <c r="G4" s="936"/>
      <c r="H4" s="2502"/>
      <c r="I4" s="2502"/>
      <c r="J4" s="1006"/>
      <c r="K4" s="1224"/>
    </row>
    <row r="5" spans="1:126" s="1199" customFormat="1" ht="12" customHeight="1">
      <c r="A5" s="1198"/>
      <c r="B5" s="1011" t="s">
        <v>3981</v>
      </c>
      <c r="C5" s="1198"/>
      <c r="D5" s="1198"/>
      <c r="E5" s="1198"/>
      <c r="F5" s="1198"/>
      <c r="G5" s="1198"/>
      <c r="H5" s="1198"/>
      <c r="I5" s="1198"/>
      <c r="J5" s="1198"/>
      <c r="K5" s="1198"/>
      <c r="L5" s="1197"/>
      <c r="M5" s="1196"/>
      <c r="N5" s="1196"/>
      <c r="O5" s="1196"/>
      <c r="P5" s="1197"/>
      <c r="Q5" s="1197"/>
      <c r="R5" s="1198"/>
      <c r="S5" s="1198"/>
      <c r="T5" s="1198"/>
      <c r="U5" s="1198"/>
      <c r="V5" s="1198"/>
      <c r="W5" s="1198"/>
      <c r="X5" s="1198"/>
      <c r="Y5" s="1198"/>
      <c r="Z5" s="1198"/>
      <c r="AA5" s="1198"/>
      <c r="AB5" s="1198"/>
      <c r="AC5" s="1198"/>
      <c r="AD5" s="1198"/>
      <c r="AE5" s="1198"/>
      <c r="AF5" s="1198"/>
      <c r="AG5" s="1198"/>
      <c r="AH5" s="1198"/>
      <c r="AI5" s="1198"/>
      <c r="AJ5" s="1198"/>
      <c r="AK5" s="1198"/>
      <c r="AL5" s="1198"/>
      <c r="AM5" s="1198"/>
      <c r="AN5" s="1198"/>
      <c r="AO5" s="1198"/>
      <c r="AP5" s="1198"/>
      <c r="AQ5" s="1198"/>
      <c r="AR5" s="1198"/>
      <c r="AS5" s="1198"/>
      <c r="AT5" s="1198"/>
      <c r="AU5" s="1198"/>
      <c r="AV5" s="1198"/>
      <c r="AW5" s="1198"/>
      <c r="AX5" s="1198"/>
      <c r="AY5" s="1198"/>
      <c r="AZ5" s="1198"/>
      <c r="BA5" s="1198"/>
      <c r="BB5" s="1198"/>
      <c r="BC5" s="1198"/>
      <c r="BD5" s="1198"/>
      <c r="BE5" s="1198"/>
      <c r="BF5" s="1198"/>
      <c r="BG5" s="1198"/>
      <c r="BH5" s="1198"/>
      <c r="BI5" s="1198"/>
      <c r="BJ5" s="1198"/>
      <c r="BK5" s="1198"/>
      <c r="BL5" s="1198"/>
      <c r="BM5" s="1198"/>
      <c r="BN5" s="1198"/>
      <c r="BO5" s="1198"/>
      <c r="BP5" s="1198"/>
      <c r="BQ5" s="1198"/>
      <c r="BR5" s="1198"/>
      <c r="BS5" s="1198"/>
      <c r="BT5" s="1198"/>
      <c r="BU5" s="1198"/>
      <c r="BV5" s="1198"/>
      <c r="BW5" s="1198"/>
      <c r="BX5" s="1198"/>
      <c r="BY5" s="1198"/>
      <c r="BZ5" s="1198"/>
      <c r="CA5" s="1198"/>
      <c r="CB5" s="1198"/>
      <c r="CC5" s="1198"/>
      <c r="CD5" s="1198"/>
      <c r="CE5" s="1198"/>
      <c r="CF5" s="1198"/>
      <c r="CG5" s="1198"/>
      <c r="CH5" s="1198"/>
      <c r="CI5" s="1198"/>
      <c r="CJ5" s="1198"/>
      <c r="CK5" s="1198"/>
      <c r="CL5" s="1198"/>
      <c r="CM5" s="1198"/>
      <c r="CN5" s="1198"/>
      <c r="CO5" s="1198"/>
      <c r="CP5" s="1198"/>
      <c r="CQ5" s="1198"/>
      <c r="CR5" s="1198"/>
      <c r="CS5" s="1198"/>
      <c r="CT5" s="1198"/>
      <c r="CU5" s="1198"/>
      <c r="CV5" s="1198"/>
      <c r="CW5" s="1198"/>
      <c r="CX5" s="1198"/>
      <c r="CY5" s="1198"/>
      <c r="CZ5" s="1198"/>
      <c r="DA5" s="1198"/>
      <c r="DB5" s="1198"/>
      <c r="DC5" s="1198"/>
      <c r="DD5" s="1198"/>
      <c r="DE5" s="1198"/>
      <c r="DF5" s="1198"/>
      <c r="DG5" s="1198"/>
      <c r="DH5" s="1198"/>
      <c r="DI5" s="1198"/>
      <c r="DJ5" s="1198"/>
      <c r="DK5" s="1198"/>
      <c r="DL5" s="1198"/>
      <c r="DM5" s="1198"/>
      <c r="DN5" s="1198"/>
      <c r="DO5" s="1198"/>
      <c r="DP5" s="1198"/>
      <c r="DQ5" s="1198"/>
      <c r="DR5" s="1198"/>
      <c r="DS5" s="1198"/>
      <c r="DT5" s="1198"/>
      <c r="DU5" s="1198"/>
      <c r="DV5" s="1198"/>
    </row>
    <row r="6" spans="1:126" s="1199" customFormat="1">
      <c r="A6" s="1198"/>
      <c r="B6" s="2395" t="s">
        <v>3659</v>
      </c>
      <c r="C6" s="2395"/>
      <c r="D6" s="2395"/>
      <c r="E6" s="2395"/>
      <c r="F6" s="2395"/>
      <c r="G6" s="2395"/>
      <c r="H6" s="2395"/>
      <c r="I6" s="2395"/>
      <c r="J6" s="2395"/>
      <c r="K6" s="978"/>
      <c r="L6" s="1197"/>
      <c r="M6" s="1120"/>
      <c r="N6" s="1120"/>
      <c r="O6" s="1120"/>
      <c r="P6" s="1197"/>
      <c r="Q6" s="1197"/>
      <c r="R6" s="1198"/>
      <c r="S6" s="1198"/>
      <c r="T6" s="1198"/>
      <c r="U6" s="1198"/>
      <c r="V6" s="1198"/>
      <c r="W6" s="1198"/>
      <c r="X6" s="1198"/>
      <c r="Y6" s="1198"/>
      <c r="Z6" s="1198"/>
      <c r="AA6" s="1198"/>
      <c r="AB6" s="1198"/>
      <c r="AC6" s="1198"/>
      <c r="AD6" s="1198"/>
      <c r="AE6" s="1198"/>
      <c r="AF6" s="1198"/>
      <c r="AG6" s="1198"/>
      <c r="AH6" s="1198"/>
      <c r="AI6" s="1198"/>
      <c r="AJ6" s="1198"/>
      <c r="AK6" s="1198"/>
      <c r="AL6" s="1198"/>
      <c r="AM6" s="1198"/>
      <c r="AN6" s="1198"/>
      <c r="AO6" s="1198"/>
      <c r="AP6" s="1198"/>
      <c r="AQ6" s="1198"/>
      <c r="AR6" s="1198"/>
      <c r="AS6" s="1198"/>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c r="BP6" s="1198"/>
      <c r="BQ6" s="1198"/>
      <c r="BR6" s="1198"/>
      <c r="BS6" s="1198"/>
      <c r="BT6" s="1198"/>
      <c r="BU6" s="1198"/>
      <c r="BV6" s="1198"/>
      <c r="BW6" s="1198"/>
      <c r="BX6" s="1198"/>
      <c r="BY6" s="1198"/>
      <c r="BZ6" s="1198"/>
      <c r="CA6" s="1198"/>
      <c r="CB6" s="1198"/>
      <c r="CC6" s="1198"/>
      <c r="CD6" s="1198"/>
      <c r="CE6" s="1198"/>
      <c r="CF6" s="1198"/>
      <c r="CG6" s="1198"/>
      <c r="CH6" s="1198"/>
      <c r="CI6" s="1198"/>
      <c r="CJ6" s="1198"/>
      <c r="CK6" s="1198"/>
      <c r="CL6" s="1198"/>
      <c r="CM6" s="1198"/>
      <c r="CN6" s="1198"/>
      <c r="CO6" s="1198"/>
      <c r="CP6" s="1198"/>
      <c r="CQ6" s="1198"/>
      <c r="CR6" s="1198"/>
      <c r="CS6" s="1198"/>
      <c r="CT6" s="1198"/>
      <c r="CU6" s="1198"/>
      <c r="CV6" s="1198"/>
      <c r="CW6" s="1198"/>
      <c r="CX6" s="1198"/>
      <c r="CY6" s="1198"/>
      <c r="CZ6" s="1198"/>
      <c r="DA6" s="1198"/>
      <c r="DB6" s="1198"/>
      <c r="DC6" s="1198"/>
      <c r="DD6" s="1198"/>
      <c r="DE6" s="1198"/>
      <c r="DF6" s="1198"/>
      <c r="DG6" s="1198"/>
      <c r="DH6" s="1198"/>
      <c r="DI6" s="1198"/>
      <c r="DJ6" s="1198"/>
      <c r="DK6" s="1198"/>
      <c r="DL6" s="1198"/>
      <c r="DM6" s="1198"/>
      <c r="DN6" s="1198"/>
      <c r="DO6" s="1198"/>
      <c r="DP6" s="1198"/>
      <c r="DQ6" s="1198"/>
      <c r="DR6" s="1198"/>
      <c r="DS6" s="1198"/>
      <c r="DT6" s="1198"/>
      <c r="DU6" s="1198"/>
      <c r="DV6" s="1198"/>
    </row>
    <row r="7" spans="1:126">
      <c r="B7" s="936"/>
      <c r="C7" s="895"/>
      <c r="D7" s="936"/>
      <c r="E7" s="936"/>
      <c r="F7" s="936"/>
      <c r="G7" s="936"/>
      <c r="H7" s="923"/>
      <c r="I7" s="923"/>
      <c r="J7" s="1122"/>
      <c r="K7" s="1122"/>
      <c r="M7" s="1120"/>
      <c r="N7" s="1120"/>
      <c r="O7" s="1120"/>
      <c r="R7" s="1129"/>
      <c r="S7" s="1129"/>
      <c r="T7" s="1129"/>
      <c r="U7" s="1129"/>
      <c r="V7" s="1129"/>
      <c r="W7" s="1129"/>
      <c r="X7" s="1129"/>
      <c r="Y7" s="1129"/>
      <c r="Z7" s="1129"/>
      <c r="AA7" s="1129"/>
      <c r="AB7" s="1129"/>
      <c r="AC7" s="1129"/>
      <c r="AD7" s="1129"/>
      <c r="AE7" s="1129"/>
      <c r="AF7" s="1129"/>
      <c r="AG7" s="1129"/>
      <c r="AH7" s="1129"/>
      <c r="AI7" s="1129"/>
      <c r="AJ7" s="1129"/>
      <c r="AK7" s="1129"/>
      <c r="AL7" s="1129"/>
      <c r="AM7" s="1129"/>
      <c r="AN7" s="1129"/>
      <c r="AO7" s="1129"/>
      <c r="AP7" s="1129"/>
      <c r="AQ7" s="1129"/>
      <c r="AR7" s="1129"/>
      <c r="AS7" s="1129"/>
      <c r="AT7" s="1129"/>
      <c r="AU7" s="1129"/>
      <c r="AV7" s="1129"/>
      <c r="AW7" s="1129"/>
      <c r="AX7" s="1129"/>
      <c r="AY7" s="1129"/>
      <c r="AZ7" s="1129"/>
      <c r="BA7" s="1129"/>
      <c r="BB7" s="1129"/>
      <c r="BC7" s="1129"/>
      <c r="BD7" s="1129"/>
      <c r="BE7" s="1129"/>
      <c r="BF7" s="1129"/>
      <c r="BG7" s="1129"/>
      <c r="BH7" s="1129"/>
      <c r="BI7" s="1129"/>
      <c r="BJ7" s="1129"/>
      <c r="BK7" s="1129"/>
      <c r="BL7" s="1129"/>
      <c r="BM7" s="1129"/>
      <c r="BN7" s="1129"/>
      <c r="BO7" s="1129"/>
      <c r="BP7" s="1129"/>
      <c r="BQ7" s="1129"/>
      <c r="BR7" s="1129"/>
      <c r="BS7" s="1129"/>
      <c r="BT7" s="1129"/>
      <c r="BU7" s="1129"/>
      <c r="BV7" s="1129"/>
      <c r="BW7" s="1129"/>
      <c r="BX7" s="1129"/>
      <c r="BY7" s="1129"/>
      <c r="BZ7" s="1129"/>
      <c r="CA7" s="1129"/>
      <c r="CB7" s="1129"/>
      <c r="CC7" s="1129"/>
      <c r="CD7" s="1129"/>
      <c r="CE7" s="1129"/>
      <c r="CF7" s="1129"/>
      <c r="CG7" s="1129"/>
      <c r="CH7" s="1129"/>
      <c r="CI7" s="1129"/>
      <c r="CJ7" s="1129"/>
      <c r="CK7" s="1129"/>
      <c r="CL7" s="1129"/>
      <c r="CM7" s="1129"/>
      <c r="CN7" s="1129"/>
      <c r="CO7" s="1129"/>
      <c r="CP7" s="1129"/>
      <c r="CQ7" s="1129"/>
      <c r="CR7" s="1129"/>
      <c r="CS7" s="1129"/>
      <c r="CT7" s="1129"/>
      <c r="CU7" s="1129"/>
      <c r="CV7" s="1129"/>
      <c r="CW7" s="1129"/>
      <c r="CX7" s="1129"/>
      <c r="CY7" s="1129"/>
      <c r="CZ7" s="1129"/>
      <c r="DA7" s="1129"/>
      <c r="DB7" s="1129"/>
      <c r="DC7" s="1129"/>
      <c r="DD7" s="1129"/>
      <c r="DE7" s="1129"/>
      <c r="DF7" s="1129"/>
      <c r="DG7" s="1129"/>
      <c r="DH7" s="1129"/>
      <c r="DI7" s="1129"/>
      <c r="DJ7" s="1129"/>
      <c r="DK7" s="1129"/>
      <c r="DL7" s="1129"/>
      <c r="DM7" s="1129"/>
      <c r="DN7" s="1129"/>
      <c r="DO7" s="1129"/>
      <c r="DP7" s="1129"/>
      <c r="DQ7" s="1129"/>
      <c r="DR7" s="1129"/>
      <c r="DS7" s="1129"/>
      <c r="DT7" s="1129"/>
      <c r="DU7" s="1129"/>
      <c r="DV7" s="1129"/>
    </row>
    <row r="8" spans="1:126">
      <c r="A8" s="1120"/>
      <c r="B8" s="1011" t="s">
        <v>3927</v>
      </c>
      <c r="C8" s="895"/>
      <c r="D8" s="936"/>
      <c r="E8" s="936"/>
      <c r="F8" s="936"/>
      <c r="G8" s="936"/>
      <c r="H8" s="923"/>
      <c r="I8" s="923"/>
      <c r="J8" s="1122"/>
      <c r="K8" s="1122"/>
      <c r="L8" s="1120"/>
      <c r="M8" s="1120"/>
      <c r="N8" s="1120"/>
      <c r="O8" s="1120"/>
      <c r="P8" s="1120"/>
      <c r="Q8" s="1120"/>
      <c r="R8" s="1120"/>
      <c r="S8" s="1120"/>
      <c r="T8" s="1120"/>
      <c r="U8" s="1120"/>
      <c r="V8" s="1120"/>
      <c r="W8" s="1120"/>
      <c r="X8" s="1120"/>
      <c r="Y8" s="1120"/>
      <c r="Z8" s="1120"/>
      <c r="AA8" s="1120"/>
      <c r="AB8" s="1120"/>
      <c r="AC8" s="1120"/>
      <c r="AD8" s="1120"/>
      <c r="AE8" s="1120"/>
      <c r="AF8" s="1120"/>
      <c r="AG8" s="1120"/>
      <c r="AH8" s="1120"/>
      <c r="AI8" s="1120"/>
      <c r="AJ8" s="1120"/>
      <c r="AK8" s="1120"/>
      <c r="AL8" s="1120"/>
      <c r="AM8" s="1120"/>
      <c r="AN8" s="1120"/>
      <c r="AO8" s="1120"/>
      <c r="AP8" s="1120"/>
      <c r="AQ8" s="1120"/>
      <c r="AR8" s="1120"/>
      <c r="AS8" s="1120"/>
      <c r="AT8" s="1120"/>
      <c r="AU8" s="1120"/>
      <c r="AV8" s="1120"/>
      <c r="AW8" s="1120"/>
      <c r="AX8" s="1120"/>
      <c r="AY8" s="1120"/>
      <c r="AZ8" s="1120"/>
      <c r="BA8" s="1120"/>
      <c r="BB8" s="1120"/>
    </row>
    <row r="9" spans="1:126">
      <c r="A9" s="1120"/>
      <c r="B9" s="936" t="s">
        <v>3613</v>
      </c>
      <c r="C9" s="895"/>
      <c r="D9" s="936"/>
      <c r="E9" s="936"/>
      <c r="F9" s="936"/>
      <c r="G9" s="936"/>
      <c r="H9" s="923"/>
      <c r="I9" s="923"/>
      <c r="J9" s="923"/>
      <c r="K9" s="923"/>
      <c r="L9" s="1120"/>
      <c r="M9" s="1120"/>
      <c r="N9" s="1120"/>
      <c r="O9" s="1120"/>
      <c r="P9" s="1120"/>
      <c r="Q9" s="1120"/>
      <c r="R9" s="1120"/>
      <c r="S9" s="1120"/>
      <c r="T9" s="1120"/>
      <c r="U9" s="1120"/>
      <c r="V9" s="1120"/>
      <c r="W9" s="1120"/>
      <c r="X9" s="1120"/>
      <c r="Y9" s="1120"/>
      <c r="Z9" s="1120"/>
      <c r="AA9" s="1120"/>
      <c r="AB9" s="1120"/>
      <c r="AC9" s="1120"/>
      <c r="AD9" s="1120"/>
      <c r="AE9" s="1120"/>
      <c r="AF9" s="1120"/>
      <c r="AG9" s="1120"/>
      <c r="AH9" s="1120"/>
      <c r="AI9" s="1120"/>
      <c r="AJ9" s="1120"/>
      <c r="AK9" s="1120"/>
      <c r="AL9" s="1120"/>
      <c r="AM9" s="1120"/>
      <c r="AN9" s="1120"/>
      <c r="AO9" s="1120"/>
      <c r="AP9" s="1120"/>
      <c r="AQ9" s="1120"/>
      <c r="AR9" s="1120"/>
      <c r="AS9" s="1120"/>
      <c r="AT9" s="1120"/>
      <c r="AU9" s="1120"/>
      <c r="AV9" s="1120"/>
      <c r="AW9" s="1120"/>
      <c r="AX9" s="1120"/>
      <c r="AY9" s="1120"/>
      <c r="AZ9" s="1120"/>
      <c r="BA9" s="1120"/>
      <c r="BB9" s="1120"/>
      <c r="BC9" s="1120"/>
    </row>
    <row r="10" spans="1:126">
      <c r="A10" s="1120"/>
      <c r="B10" s="936" t="s">
        <v>3661</v>
      </c>
      <c r="C10" s="895"/>
      <c r="D10" s="936"/>
      <c r="E10" s="936"/>
      <c r="F10" s="936"/>
      <c r="G10" s="936"/>
      <c r="H10" s="923"/>
      <c r="I10" s="923"/>
      <c r="J10" s="923"/>
      <c r="K10" s="923"/>
      <c r="L10" s="1120"/>
      <c r="M10" s="1120"/>
      <c r="N10" s="1120"/>
      <c r="O10" s="1120"/>
      <c r="P10" s="1120"/>
      <c r="Q10" s="1120"/>
      <c r="R10" s="1120"/>
      <c r="S10" s="1120"/>
      <c r="T10" s="1120"/>
      <c r="U10" s="1120"/>
      <c r="V10" s="1120"/>
      <c r="W10" s="1120"/>
      <c r="X10" s="1120"/>
      <c r="Y10" s="1120"/>
      <c r="Z10" s="1120"/>
      <c r="AA10" s="1120"/>
      <c r="AB10" s="1120"/>
      <c r="AC10" s="1120"/>
      <c r="AD10" s="1120"/>
      <c r="AE10" s="1120"/>
      <c r="AF10" s="1120"/>
      <c r="AG10" s="1120"/>
      <c r="AH10" s="1120"/>
      <c r="AI10" s="1120"/>
      <c r="AJ10" s="1120"/>
      <c r="AK10" s="1120"/>
      <c r="AL10" s="1120"/>
      <c r="AM10" s="1120"/>
      <c r="AN10" s="1120"/>
      <c r="AO10" s="1120"/>
      <c r="AP10" s="1120"/>
      <c r="AQ10" s="1120"/>
      <c r="AR10" s="1120"/>
      <c r="AS10" s="1120"/>
      <c r="AT10" s="1120"/>
      <c r="AU10" s="1120"/>
      <c r="AV10" s="1120"/>
      <c r="AW10" s="1120"/>
      <c r="AX10" s="1120"/>
      <c r="AY10" s="1120"/>
      <c r="AZ10" s="1120"/>
      <c r="BA10" s="1120"/>
      <c r="BB10" s="1120"/>
    </row>
    <row r="11" spans="1:126">
      <c r="A11" s="1120"/>
      <c r="B11" s="936" t="s">
        <v>3706</v>
      </c>
      <c r="C11" s="895"/>
      <c r="D11" s="936"/>
      <c r="E11" s="936"/>
      <c r="F11" s="936"/>
      <c r="G11" s="936"/>
      <c r="H11" s="923"/>
      <c r="I11" s="923"/>
      <c r="J11" s="923"/>
      <c r="K11" s="923"/>
      <c r="L11" s="1121"/>
      <c r="P11" s="1121"/>
      <c r="Q11" s="1121"/>
    </row>
    <row r="12" spans="1:126">
      <c r="A12" s="1120"/>
      <c r="B12" s="936"/>
      <c r="C12" s="895"/>
      <c r="D12" s="936"/>
      <c r="E12" s="936"/>
      <c r="F12" s="936"/>
      <c r="G12" s="936"/>
      <c r="H12" s="923"/>
      <c r="I12" s="923"/>
      <c r="J12" s="923"/>
      <c r="K12" s="923"/>
      <c r="L12" s="1121"/>
      <c r="P12" s="1121"/>
      <c r="Q12" s="1121"/>
    </row>
    <row r="13" spans="1:126">
      <c r="A13" s="1120"/>
      <c r="B13" s="1011" t="s">
        <v>3982</v>
      </c>
      <c r="C13" s="895"/>
      <c r="D13" s="936"/>
      <c r="E13" s="936"/>
      <c r="F13" s="936"/>
      <c r="G13" s="936"/>
      <c r="H13" s="923"/>
      <c r="I13" s="923"/>
      <c r="J13" s="923"/>
      <c r="K13" s="923"/>
      <c r="L13" s="1121"/>
      <c r="P13" s="1121"/>
      <c r="Q13" s="1121"/>
    </row>
    <row r="14" spans="1:126" ht="24.75" customHeight="1">
      <c r="A14" s="1120"/>
      <c r="B14" s="2395" t="s">
        <v>3707</v>
      </c>
      <c r="C14" s="2395"/>
      <c r="D14" s="2395"/>
      <c r="E14" s="2395"/>
      <c r="F14" s="2395"/>
      <c r="G14" s="2395"/>
      <c r="H14" s="2395"/>
      <c r="I14" s="2395"/>
      <c r="J14" s="2395"/>
      <c r="K14" s="978"/>
      <c r="L14" s="1121"/>
      <c r="P14" s="1121"/>
      <c r="Q14" s="1121"/>
    </row>
    <row r="15" spans="1:126" ht="38.25" customHeight="1">
      <c r="A15" s="1120"/>
      <c r="B15" s="2395" t="s">
        <v>3708</v>
      </c>
      <c r="C15" s="2395"/>
      <c r="D15" s="2395"/>
      <c r="E15" s="2395"/>
      <c r="F15" s="2395"/>
      <c r="G15" s="2395"/>
      <c r="H15" s="2395"/>
      <c r="I15" s="2395"/>
      <c r="J15" s="2395"/>
      <c r="K15" s="978"/>
      <c r="L15" s="1121"/>
      <c r="P15" s="1121"/>
      <c r="Q15" s="1121"/>
    </row>
    <row r="16" spans="1:126" ht="38.25" customHeight="1">
      <c r="A16" s="1120"/>
      <c r="B16" s="2395" t="s">
        <v>3664</v>
      </c>
      <c r="C16" s="2395"/>
      <c r="D16" s="2395"/>
      <c r="E16" s="2395"/>
      <c r="F16" s="2395"/>
      <c r="G16" s="2395"/>
      <c r="H16" s="2395"/>
      <c r="I16" s="2395"/>
      <c r="J16" s="2395"/>
      <c r="K16" s="978"/>
      <c r="L16" s="1121"/>
      <c r="P16" s="1121"/>
      <c r="Q16" s="1121"/>
    </row>
    <row r="17" spans="1:17">
      <c r="A17" s="1120"/>
      <c r="B17" s="2395" t="s">
        <v>3983</v>
      </c>
      <c r="C17" s="2395"/>
      <c r="D17" s="2395"/>
      <c r="E17" s="2395"/>
      <c r="F17" s="2395"/>
      <c r="G17" s="2395"/>
      <c r="H17" s="923"/>
      <c r="I17" s="923"/>
      <c r="J17" s="923"/>
      <c r="K17" s="923"/>
      <c r="L17" s="1121"/>
      <c r="P17" s="1121"/>
      <c r="Q17" s="1121"/>
    </row>
    <row r="18" spans="1:17">
      <c r="A18" s="1120"/>
      <c r="B18" s="2459" t="s">
        <v>4028</v>
      </c>
      <c r="C18" s="2459"/>
      <c r="D18" s="2459"/>
      <c r="E18" s="2459"/>
      <c r="F18" s="2459"/>
      <c r="G18" s="2459"/>
      <c r="H18" s="2459"/>
      <c r="I18" s="2459"/>
      <c r="J18" s="2459"/>
      <c r="K18" s="1230"/>
      <c r="L18" s="1121"/>
      <c r="P18" s="1121"/>
      <c r="Q18" s="1121"/>
    </row>
    <row r="19" spans="1:17">
      <c r="A19" s="1120"/>
      <c r="B19" s="2459" t="s">
        <v>4025</v>
      </c>
      <c r="C19" s="2459"/>
      <c r="D19" s="2459"/>
      <c r="E19" s="2459"/>
      <c r="F19" s="2459"/>
      <c r="G19" s="2459"/>
      <c r="H19" s="2459"/>
      <c r="I19" s="2459"/>
      <c r="J19" s="2459"/>
      <c r="K19" s="1230"/>
      <c r="L19" s="1121"/>
      <c r="P19" s="1121"/>
      <c r="Q19" s="1121"/>
    </row>
    <row r="20" spans="1:17">
      <c r="A20" s="1120"/>
      <c r="B20" s="2459" t="s">
        <v>4026</v>
      </c>
      <c r="C20" s="2459"/>
      <c r="D20" s="2459"/>
      <c r="E20" s="2459"/>
      <c r="F20" s="2459"/>
      <c r="G20" s="2459"/>
      <c r="H20" s="2459"/>
      <c r="I20" s="2459"/>
      <c r="J20" s="2459"/>
      <c r="K20" s="1230"/>
      <c r="L20" s="1121"/>
      <c r="P20" s="1121"/>
      <c r="Q20" s="1121"/>
    </row>
    <row r="21" spans="1:17">
      <c r="A21" s="1120"/>
      <c r="B21" s="2459" t="s">
        <v>4027</v>
      </c>
      <c r="C21" s="2459"/>
      <c r="D21" s="2459"/>
      <c r="E21" s="2459"/>
      <c r="F21" s="2459"/>
      <c r="G21" s="2459"/>
      <c r="H21" s="2459"/>
      <c r="I21" s="2459"/>
      <c r="J21" s="2459"/>
      <c r="K21" s="1230"/>
      <c r="L21" s="1121"/>
      <c r="P21" s="1121"/>
      <c r="Q21" s="1121"/>
    </row>
    <row r="22" spans="1:17">
      <c r="A22" s="1120"/>
      <c r="B22" s="2480" t="s">
        <v>4029</v>
      </c>
      <c r="C22" s="2480"/>
      <c r="D22" s="2480"/>
      <c r="E22" s="2480"/>
      <c r="F22" s="2480"/>
      <c r="G22" s="2480"/>
      <c r="H22" s="2480"/>
      <c r="I22" s="2480"/>
      <c r="J22" s="2480"/>
      <c r="K22" s="1201"/>
      <c r="L22" s="1121"/>
      <c r="P22" s="1121"/>
      <c r="Q22" s="1121"/>
    </row>
    <row r="23" spans="1:17">
      <c r="A23" s="1120"/>
      <c r="B23" s="1165" t="s">
        <v>3928</v>
      </c>
      <c r="C23" s="1038"/>
      <c r="D23" s="1038"/>
      <c r="E23" s="1038"/>
      <c r="F23" s="1202"/>
      <c r="G23" s="1202"/>
      <c r="H23" s="1121"/>
      <c r="I23" s="1121"/>
      <c r="J23" s="1121"/>
      <c r="K23" s="1121"/>
      <c r="L23" s="1121"/>
      <c r="P23" s="1121"/>
      <c r="Q23" s="1121"/>
    </row>
    <row r="24" spans="1:17">
      <c r="A24" s="1120"/>
      <c r="B24" s="2414" t="s">
        <v>4017</v>
      </c>
      <c r="C24" s="2395"/>
      <c r="D24" s="2395"/>
      <c r="E24" s="2395"/>
      <c r="F24" s="2395"/>
      <c r="G24" s="2395"/>
      <c r="H24" s="2395"/>
      <c r="I24" s="2395"/>
      <c r="J24" s="2395"/>
      <c r="K24" s="978"/>
      <c r="L24" s="1121"/>
      <c r="P24" s="1121"/>
      <c r="Q24" s="1121"/>
    </row>
    <row r="25" spans="1:17">
      <c r="A25" s="1120"/>
      <c r="B25" s="2395" t="s">
        <v>4014</v>
      </c>
      <c r="C25" s="2395"/>
      <c r="D25" s="2395"/>
      <c r="E25" s="2395"/>
      <c r="F25" s="2395"/>
      <c r="G25" s="2395"/>
      <c r="H25" s="2395"/>
      <c r="I25" s="2395"/>
      <c r="J25" s="2395"/>
      <c r="K25" s="978"/>
      <c r="L25" s="1121"/>
      <c r="P25" s="1121"/>
      <c r="Q25" s="1121"/>
    </row>
    <row r="26" spans="1:17">
      <c r="A26" s="1120"/>
      <c r="B26" s="2395" t="s">
        <v>4015</v>
      </c>
      <c r="C26" s="2395"/>
      <c r="D26" s="2395"/>
      <c r="E26" s="2395"/>
      <c r="F26" s="2395"/>
      <c r="G26" s="2395"/>
      <c r="H26" s="2395"/>
      <c r="I26" s="2395"/>
      <c r="J26" s="2395"/>
      <c r="K26" s="978"/>
      <c r="L26" s="1121"/>
      <c r="P26" s="1121"/>
      <c r="Q26" s="1121"/>
    </row>
    <row r="27" spans="1:17">
      <c r="A27" s="1120"/>
      <c r="B27" s="2395" t="s">
        <v>4016</v>
      </c>
      <c r="C27" s="2395"/>
      <c r="D27" s="2395"/>
      <c r="E27" s="2395"/>
      <c r="F27" s="2395"/>
      <c r="G27" s="2395"/>
      <c r="H27" s="2395"/>
      <c r="I27" s="2395"/>
      <c r="J27" s="2395"/>
      <c r="K27" s="978"/>
      <c r="L27" s="1121"/>
      <c r="P27" s="1121"/>
      <c r="Q27" s="1121"/>
    </row>
    <row r="28" spans="1:17" ht="25.5" customHeight="1">
      <c r="A28" s="1120"/>
      <c r="B28" s="2395" t="s">
        <v>4018</v>
      </c>
      <c r="C28" s="2395"/>
      <c r="D28" s="2395"/>
      <c r="E28" s="2395"/>
      <c r="F28" s="2395"/>
      <c r="G28" s="2395"/>
      <c r="H28" s="2395"/>
      <c r="I28" s="2395"/>
      <c r="J28" s="2395"/>
      <c r="K28" s="978"/>
      <c r="L28" s="1121"/>
      <c r="P28" s="1121"/>
      <c r="Q28" s="1121"/>
    </row>
    <row r="29" spans="1:17">
      <c r="A29" s="1120"/>
      <c r="B29" s="2395" t="s">
        <v>4030</v>
      </c>
      <c r="C29" s="2395"/>
      <c r="D29" s="2395"/>
      <c r="E29" s="2395"/>
      <c r="F29" s="2395"/>
      <c r="G29" s="2395"/>
      <c r="H29" s="2395"/>
      <c r="I29" s="2395"/>
      <c r="J29" s="2395"/>
      <c r="K29" s="978"/>
      <c r="L29" s="1121"/>
      <c r="P29" s="1121"/>
      <c r="Q29" s="1121"/>
    </row>
    <row r="30" spans="1:17">
      <c r="A30" s="1120"/>
      <c r="B30" s="978"/>
      <c r="C30" s="978"/>
      <c r="D30" s="978"/>
      <c r="E30" s="978"/>
      <c r="F30" s="978"/>
      <c r="G30" s="978"/>
      <c r="H30" s="978"/>
      <c r="I30" s="978"/>
      <c r="J30" s="978"/>
      <c r="K30" s="978"/>
      <c r="L30" s="1121"/>
      <c r="P30" s="1121"/>
      <c r="Q30" s="1121"/>
    </row>
    <row r="31" spans="1:17" ht="72" customHeight="1">
      <c r="A31" s="1120"/>
      <c r="B31" s="2397" t="s">
        <v>3999</v>
      </c>
      <c r="C31" s="2397"/>
      <c r="D31" s="2505"/>
      <c r="E31" s="2505"/>
      <c r="F31" s="2388" t="s">
        <v>3974</v>
      </c>
      <c r="G31" s="2390"/>
      <c r="H31" s="1083" t="s">
        <v>3627</v>
      </c>
      <c r="I31" s="2443" t="s">
        <v>3975</v>
      </c>
      <c r="J31" s="2443"/>
      <c r="K31" s="1124"/>
      <c r="L31" s="1153" t="s">
        <v>3667</v>
      </c>
      <c r="M31" s="1154" t="s">
        <v>3668</v>
      </c>
      <c r="N31" s="1153" t="s">
        <v>3669</v>
      </c>
      <c r="O31" s="1124"/>
      <c r="P31" s="1124"/>
      <c r="Q31" s="1121"/>
    </row>
    <row r="32" spans="1:17">
      <c r="A32" s="1120"/>
      <c r="B32" s="2506" t="s">
        <v>3709</v>
      </c>
      <c r="C32" s="2507"/>
      <c r="D32" s="2508"/>
      <c r="E32" s="1135" t="s">
        <v>3671</v>
      </c>
      <c r="F32" s="2511"/>
      <c r="G32" s="2512"/>
      <c r="H32" s="1161"/>
      <c r="I32" s="2479"/>
      <c r="J32" s="2479"/>
      <c r="K32" s="1124"/>
      <c r="L32" s="1137" t="s">
        <v>3672</v>
      </c>
      <c r="M32" s="1138">
        <v>5</v>
      </c>
      <c r="N32" s="1137" t="s">
        <v>3673</v>
      </c>
      <c r="O32" s="1124"/>
      <c r="P32" s="1124"/>
      <c r="Q32" s="1121"/>
    </row>
    <row r="33" spans="1:18" s="1175" customFormat="1">
      <c r="A33" s="1148"/>
      <c r="B33" s="2509"/>
      <c r="C33" s="2510"/>
      <c r="D33" s="2510"/>
      <c r="E33" s="1140" t="s">
        <v>3674</v>
      </c>
      <c r="F33" s="2511"/>
      <c r="G33" s="2512"/>
      <c r="H33" s="1161"/>
      <c r="I33" s="2479"/>
      <c r="J33" s="2479"/>
      <c r="K33" s="1174"/>
      <c r="L33" s="1137" t="s">
        <v>3675</v>
      </c>
      <c r="M33" s="1141">
        <v>5.6</v>
      </c>
      <c r="N33" s="1137" t="s">
        <v>3676</v>
      </c>
    </row>
    <row r="34" spans="1:18">
      <c r="B34" s="2509"/>
      <c r="C34" s="2510"/>
      <c r="D34" s="2510"/>
      <c r="E34" s="1140" t="s">
        <v>3677</v>
      </c>
      <c r="F34" s="2511"/>
      <c r="G34" s="2512"/>
      <c r="H34" s="1161"/>
      <c r="I34" s="2479"/>
      <c r="J34" s="2479"/>
      <c r="K34" s="1121"/>
      <c r="L34" s="1137" t="s">
        <v>3678</v>
      </c>
      <c r="M34" s="1141">
        <v>3.4</v>
      </c>
      <c r="N34" s="1137" t="s">
        <v>3679</v>
      </c>
      <c r="P34" s="1121"/>
      <c r="Q34" s="1121"/>
    </row>
    <row r="35" spans="1:18">
      <c r="A35" s="1120"/>
      <c r="B35" s="2509"/>
      <c r="C35" s="2510"/>
      <c r="D35" s="2510"/>
      <c r="E35" s="1140" t="s">
        <v>3680</v>
      </c>
      <c r="F35" s="2511"/>
      <c r="G35" s="2512"/>
      <c r="H35" s="1161"/>
      <c r="I35" s="2479"/>
      <c r="J35" s="2479"/>
      <c r="K35" s="1123"/>
      <c r="L35" s="1137" t="s">
        <v>3681</v>
      </c>
      <c r="M35" s="1141">
        <v>3.4</v>
      </c>
      <c r="N35" s="1137" t="s">
        <v>3679</v>
      </c>
      <c r="O35" s="1123"/>
      <c r="Q35" s="1121"/>
    </row>
    <row r="36" spans="1:18" s="1139" customFormat="1">
      <c r="A36" s="1134"/>
      <c r="B36" s="2509"/>
      <c r="C36" s="2510"/>
      <c r="D36" s="2510"/>
      <c r="E36" s="1140" t="s">
        <v>3682</v>
      </c>
      <c r="F36" s="2511"/>
      <c r="G36" s="2512"/>
      <c r="H36" s="1161"/>
      <c r="I36" s="2479"/>
      <c r="J36" s="2479"/>
      <c r="K36" s="1136"/>
      <c r="L36" s="1142" t="s">
        <v>3683</v>
      </c>
      <c r="M36" s="1138">
        <v>3.2</v>
      </c>
      <c r="N36" s="1137" t="s">
        <v>3679</v>
      </c>
      <c r="O36" s="1136"/>
      <c r="P36" s="1136"/>
      <c r="Q36" s="1133"/>
    </row>
    <row r="37" spans="1:18" s="1139" customFormat="1">
      <c r="A37" s="1134"/>
      <c r="B37" s="2509"/>
      <c r="C37" s="2510"/>
      <c r="D37" s="2510"/>
      <c r="E37" s="1143" t="s">
        <v>3684</v>
      </c>
      <c r="F37" s="2511"/>
      <c r="G37" s="2512"/>
      <c r="H37" s="1161"/>
      <c r="I37" s="2479"/>
      <c r="J37" s="2479"/>
      <c r="K37" s="1136"/>
      <c r="L37" s="1142" t="s">
        <v>3685</v>
      </c>
      <c r="M37" s="1138" t="s">
        <v>3686</v>
      </c>
      <c r="N37" s="1137" t="s">
        <v>3679</v>
      </c>
      <c r="O37" s="1136"/>
      <c r="P37" s="1136"/>
      <c r="Q37" s="1133"/>
    </row>
    <row r="38" spans="1:18" s="1139" customFormat="1">
      <c r="A38" s="1134"/>
      <c r="B38" s="1219"/>
      <c r="C38" s="1220"/>
      <c r="D38" s="1143"/>
      <c r="E38" s="1144" t="s">
        <v>3687</v>
      </c>
      <c r="F38" s="2511"/>
      <c r="G38" s="2512"/>
      <c r="H38" s="1164"/>
      <c r="I38" s="2479"/>
      <c r="J38" s="2479"/>
      <c r="K38" s="1136"/>
      <c r="L38" s="1142" t="s">
        <v>3688</v>
      </c>
      <c r="M38" s="1138">
        <v>3.2</v>
      </c>
      <c r="N38" s="1137" t="s">
        <v>3679</v>
      </c>
      <c r="O38" s="1136"/>
      <c r="P38" s="1136"/>
      <c r="Q38" s="1133"/>
    </row>
    <row r="39" spans="1:18" s="1139" customFormat="1">
      <c r="A39" s="1134"/>
      <c r="B39" s="1145"/>
      <c r="C39" s="1145"/>
      <c r="D39" s="1145"/>
      <c r="E39" s="1145"/>
      <c r="F39" s="1145"/>
      <c r="G39" s="1145"/>
      <c r="H39" s="1146"/>
      <c r="I39" s="1145"/>
      <c r="J39" s="1136"/>
      <c r="K39" s="1136"/>
      <c r="L39" s="1137" t="s">
        <v>3689</v>
      </c>
      <c r="M39" s="1141">
        <v>6.5</v>
      </c>
      <c r="N39" s="1137" t="s">
        <v>3690</v>
      </c>
      <c r="O39" s="1136"/>
      <c r="P39" s="1136"/>
      <c r="Q39" s="1133"/>
    </row>
    <row r="40" spans="1:18" s="1139" customFormat="1">
      <c r="A40" s="1134"/>
      <c r="B40" s="2506" t="s">
        <v>3710</v>
      </c>
      <c r="C40" s="2507"/>
      <c r="D40" s="2508"/>
      <c r="E40" s="1135" t="s">
        <v>3671</v>
      </c>
      <c r="F40" s="2511"/>
      <c r="G40" s="2512"/>
      <c r="H40" s="1161"/>
      <c r="I40" s="2479"/>
      <c r="J40" s="2479"/>
      <c r="K40" s="1136"/>
      <c r="L40" s="1137" t="s">
        <v>3691</v>
      </c>
      <c r="M40" s="1138">
        <v>4</v>
      </c>
      <c r="N40" s="1137" t="s">
        <v>3692</v>
      </c>
      <c r="O40" s="1136"/>
      <c r="P40" s="1136"/>
      <c r="Q40" s="1133"/>
    </row>
    <row r="41" spans="1:18" s="1139" customFormat="1">
      <c r="A41" s="1134"/>
      <c r="B41" s="2509"/>
      <c r="C41" s="2510"/>
      <c r="D41" s="2510"/>
      <c r="E41" s="1140" t="s">
        <v>3674</v>
      </c>
      <c r="F41" s="2511"/>
      <c r="G41" s="2512"/>
      <c r="H41" s="1161"/>
      <c r="I41" s="2479"/>
      <c r="J41" s="2479"/>
      <c r="K41" s="1136"/>
      <c r="O41" s="1136"/>
      <c r="P41" s="1136"/>
      <c r="Q41" s="1133"/>
    </row>
    <row r="42" spans="1:18" s="1139" customFormat="1">
      <c r="A42" s="1134"/>
      <c r="B42" s="2509"/>
      <c r="C42" s="2510"/>
      <c r="D42" s="2510"/>
      <c r="E42" s="1140" t="s">
        <v>3677</v>
      </c>
      <c r="F42" s="2511"/>
      <c r="G42" s="2512"/>
      <c r="H42" s="1161"/>
      <c r="I42" s="2479"/>
      <c r="J42" s="2479"/>
      <c r="K42" s="1136"/>
      <c r="O42" s="1136"/>
      <c r="P42" s="1136"/>
      <c r="Q42" s="1133"/>
    </row>
    <row r="43" spans="1:18" s="1136" customFormat="1">
      <c r="B43" s="2509"/>
      <c r="C43" s="2510"/>
      <c r="D43" s="2510"/>
      <c r="E43" s="1140" t="s">
        <v>3680</v>
      </c>
      <c r="F43" s="2511"/>
      <c r="G43" s="2512"/>
      <c r="H43" s="1161"/>
      <c r="I43" s="2479"/>
      <c r="J43" s="2479"/>
    </row>
    <row r="44" spans="1:18" s="1139" customFormat="1">
      <c r="A44" s="1134"/>
      <c r="B44" s="2509"/>
      <c r="C44" s="2510"/>
      <c r="D44" s="2510"/>
      <c r="E44" s="1140" t="s">
        <v>3682</v>
      </c>
      <c r="F44" s="2511"/>
      <c r="G44" s="2512"/>
      <c r="H44" s="1161"/>
      <c r="I44" s="2479"/>
      <c r="J44" s="2479"/>
      <c r="K44" s="1136"/>
      <c r="O44" s="1136"/>
      <c r="P44" s="1136"/>
      <c r="Q44" s="1133"/>
    </row>
    <row r="45" spans="1:18" s="1139" customFormat="1">
      <c r="A45" s="1134"/>
      <c r="B45" s="2509"/>
      <c r="C45" s="2510"/>
      <c r="D45" s="2510"/>
      <c r="E45" s="1143" t="s">
        <v>3684</v>
      </c>
      <c r="F45" s="2511"/>
      <c r="G45" s="2512"/>
      <c r="H45" s="1161"/>
      <c r="I45" s="2479"/>
      <c r="J45" s="2479"/>
      <c r="K45" s="1136"/>
      <c r="O45" s="1136"/>
      <c r="P45" s="1136"/>
      <c r="Q45" s="1133"/>
    </row>
    <row r="46" spans="1:18" s="1139" customFormat="1">
      <c r="A46" s="1134"/>
      <c r="B46" s="1219"/>
      <c r="C46" s="1220"/>
      <c r="D46" s="1143"/>
      <c r="E46" s="1144" t="s">
        <v>3687</v>
      </c>
      <c r="F46" s="2511"/>
      <c r="G46" s="2512"/>
      <c r="H46" s="1164"/>
      <c r="I46" s="2479"/>
      <c r="J46" s="2479"/>
      <c r="K46" s="1136"/>
      <c r="O46" s="1136"/>
      <c r="P46" s="1136"/>
      <c r="Q46" s="1133"/>
    </row>
    <row r="47" spans="1:18" s="1139" customFormat="1" ht="30.75" customHeight="1">
      <c r="A47" s="1134"/>
      <c r="B47" s="1185"/>
      <c r="C47" s="1185"/>
      <c r="D47" s="1185"/>
      <c r="E47" s="923"/>
      <c r="F47" s="923"/>
      <c r="G47" s="1185"/>
      <c r="H47" s="1152"/>
      <c r="I47" s="1152"/>
      <c r="J47" s="1130"/>
      <c r="K47" s="1130"/>
      <c r="L47" s="1136"/>
      <c r="M47" s="1133"/>
      <c r="N47" s="1133"/>
      <c r="O47" s="1133"/>
      <c r="P47" s="1136"/>
      <c r="Q47" s="1136"/>
      <c r="R47" s="1133"/>
    </row>
    <row r="48" spans="1:18" s="1139" customFormat="1" ht="61.5" customHeight="1">
      <c r="A48" s="1134"/>
      <c r="B48" s="2388"/>
      <c r="C48" s="2389"/>
      <c r="D48" s="2390"/>
      <c r="E48" s="1085" t="s">
        <v>3968</v>
      </c>
      <c r="F48" s="1085" t="s">
        <v>3619</v>
      </c>
      <c r="G48" s="1085" t="s">
        <v>3620</v>
      </c>
      <c r="H48" s="1089" t="s">
        <v>3627</v>
      </c>
      <c r="I48" s="2513" t="s">
        <v>3975</v>
      </c>
      <c r="J48" s="2513"/>
      <c r="K48" s="1136"/>
      <c r="L48" s="1124"/>
      <c r="M48" s="1124"/>
      <c r="N48" s="1124"/>
      <c r="O48" s="1136"/>
      <c r="P48" s="1136"/>
      <c r="Q48" s="1133"/>
    </row>
    <row r="49" spans="1:18" s="1139" customFormat="1" ht="99" customHeight="1">
      <c r="A49" s="1134"/>
      <c r="B49" s="2520" t="s">
        <v>3976</v>
      </c>
      <c r="C49" s="2521"/>
      <c r="D49" s="2521"/>
      <c r="E49" s="1771" t="s">
        <v>4507</v>
      </c>
      <c r="F49" s="2515" t="s">
        <v>3652</v>
      </c>
      <c r="G49" s="2517" t="s">
        <v>3652</v>
      </c>
      <c r="H49" s="1188"/>
      <c r="I49" s="2446"/>
      <c r="J49" s="2471"/>
      <c r="K49" s="1136"/>
      <c r="L49" s="1149"/>
      <c r="M49" s="1149"/>
      <c r="N49" s="1149"/>
      <c r="O49" s="1136"/>
      <c r="P49" s="1136"/>
      <c r="Q49" s="1133"/>
    </row>
    <row r="50" spans="1:18" s="1139" customFormat="1" ht="99" customHeight="1">
      <c r="A50" s="1134"/>
      <c r="B50" s="2522"/>
      <c r="C50" s="2523"/>
      <c r="D50" s="2523"/>
      <c r="E50" s="1826" t="s">
        <v>4569</v>
      </c>
      <c r="F50" s="2516"/>
      <c r="G50" s="2518"/>
      <c r="H50" s="1188"/>
      <c r="I50" s="2446"/>
      <c r="J50" s="2471"/>
      <c r="K50" s="1136"/>
      <c r="L50" s="1149"/>
      <c r="M50" s="1149"/>
      <c r="N50" s="1149"/>
      <c r="O50" s="1136"/>
      <c r="P50" s="1136"/>
      <c r="Q50" s="1827"/>
    </row>
    <row r="51" spans="1:18" s="1139" customFormat="1" ht="121.5" customHeight="1">
      <c r="A51" s="1134"/>
      <c r="B51" s="2391" t="s">
        <v>4000</v>
      </c>
      <c r="C51" s="2400"/>
      <c r="D51" s="2400"/>
      <c r="E51" s="2417"/>
      <c r="F51" s="1009" t="str">
        <f>ERMs!C27</f>
        <v>, U-</v>
      </c>
      <c r="G51" s="1619" t="str">
        <f>ERMs!D27</f>
        <v>Baseline: U- (res) &amp; U- (non-res)
Proposed: U-</v>
      </c>
      <c r="H51" s="1019"/>
      <c r="I51" s="2446"/>
      <c r="J51" s="2471"/>
      <c r="K51" s="1136"/>
      <c r="L51" s="1124"/>
      <c r="M51" s="1124"/>
      <c r="N51" s="1124"/>
      <c r="O51" s="1136"/>
      <c r="P51" s="1136"/>
      <c r="Q51" s="1133"/>
    </row>
    <row r="52" spans="1:18" s="1123" customFormat="1" ht="87.75" customHeight="1">
      <c r="B52" s="2391" t="s">
        <v>4001</v>
      </c>
      <c r="C52" s="2400"/>
      <c r="D52" s="2400"/>
      <c r="E52" s="2417"/>
      <c r="F52" s="1009" t="str">
        <f>ERMs!C28</f>
        <v>, C-</v>
      </c>
      <c r="G52" s="1619" t="str">
        <f>ERMs!D28</f>
        <v>Baseline: C-
Proposed: C-</v>
      </c>
      <c r="H52" s="1019"/>
      <c r="I52" s="2446"/>
      <c r="J52" s="2471"/>
      <c r="K52" s="1221"/>
      <c r="L52" s="1124"/>
      <c r="M52" s="1124"/>
      <c r="N52" s="1124"/>
      <c r="O52" s="1221"/>
      <c r="P52" s="1221"/>
    </row>
    <row r="53" spans="1:18" s="1175" customFormat="1" ht="88.5" customHeight="1">
      <c r="A53" s="1148"/>
      <c r="B53" s="2391" t="s">
        <v>4002</v>
      </c>
      <c r="C53" s="2400"/>
      <c r="D53" s="2400"/>
      <c r="E53" s="2417"/>
      <c r="F53" s="1009" t="str">
        <f>ERMs!C29</f>
        <v>, F-</v>
      </c>
      <c r="G53" s="1619" t="str">
        <f>ERMs!D29</f>
        <v>Baseline: F- (res) &amp; F- (non-res)
Proposed: F-</v>
      </c>
      <c r="H53" s="1019"/>
      <c r="I53" s="2446"/>
      <c r="J53" s="2471"/>
      <c r="K53" s="1174"/>
      <c r="L53" s="1124"/>
      <c r="M53" s="1124"/>
      <c r="N53" s="1124"/>
      <c r="O53" s="1174"/>
      <c r="P53" s="1174"/>
    </row>
    <row r="54" spans="1:18" ht="88.5" customHeight="1">
      <c r="B54" s="2391" t="s">
        <v>4003</v>
      </c>
      <c r="C54" s="2400"/>
      <c r="D54" s="2400"/>
      <c r="E54" s="2417"/>
      <c r="F54" s="1009" t="str">
        <f>ERMs!C30</f>
        <v>, F-</v>
      </c>
      <c r="G54" s="1619" t="str">
        <f>ERMs!D30</f>
        <v>Baseline: F- (res) &amp; F- (non-res)
Proposed: F-</v>
      </c>
      <c r="H54" s="1019"/>
      <c r="I54" s="2446"/>
      <c r="J54" s="2471"/>
      <c r="K54" s="1206"/>
      <c r="L54" s="1121"/>
      <c r="O54" s="1206"/>
      <c r="P54" s="1206"/>
      <c r="Q54" s="1121"/>
    </row>
    <row r="55" spans="1:18" ht="36.75" customHeight="1">
      <c r="A55" s="1120"/>
      <c r="B55" s="2519" t="s">
        <v>3977</v>
      </c>
      <c r="C55" s="2519"/>
      <c r="D55" s="2519"/>
      <c r="E55" s="2519"/>
      <c r="F55" s="2519"/>
      <c r="G55" s="2448"/>
      <c r="H55" s="1019"/>
      <c r="I55" s="2446"/>
      <c r="J55" s="2471"/>
      <c r="K55" s="1123"/>
      <c r="L55" s="1121"/>
      <c r="O55" s="1124"/>
      <c r="P55" s="1124"/>
      <c r="Q55" s="1124"/>
    </row>
    <row r="56" spans="1:18" ht="24" customHeight="1">
      <c r="A56" s="1148"/>
      <c r="B56" s="2519" t="s">
        <v>3978</v>
      </c>
      <c r="C56" s="2519"/>
      <c r="D56" s="2519"/>
      <c r="E56" s="2519"/>
      <c r="F56" s="2519"/>
      <c r="G56" s="2448"/>
      <c r="H56" s="1019"/>
      <c r="I56" s="2444"/>
      <c r="J56" s="2445"/>
      <c r="K56" s="1123"/>
      <c r="L56" s="1121"/>
      <c r="O56" s="1124"/>
      <c r="P56" s="1124"/>
      <c r="Q56" s="1124"/>
    </row>
    <row r="57" spans="1:18" ht="24" customHeight="1">
      <c r="A57" s="1120"/>
      <c r="B57" s="2395" t="s">
        <v>3979</v>
      </c>
      <c r="C57" s="2395"/>
      <c r="D57" s="2395"/>
      <c r="E57" s="2395"/>
      <c r="F57" s="2395"/>
      <c r="G57" s="2395"/>
      <c r="H57" s="2395"/>
      <c r="I57" s="2395"/>
      <c r="J57" s="2395"/>
      <c r="K57" s="978"/>
      <c r="P57" s="1124"/>
      <c r="Q57" s="1124"/>
      <c r="R57" s="1124"/>
    </row>
    <row r="58" spans="1:18" ht="199.5" customHeight="1">
      <c r="A58" s="1120"/>
      <c r="P58" s="1124"/>
      <c r="Q58" s="1124"/>
      <c r="R58" s="1124"/>
    </row>
    <row r="59" spans="1:18" ht="41.25" customHeight="1">
      <c r="A59" s="1120"/>
      <c r="L59" s="1150"/>
      <c r="P59" s="1124"/>
      <c r="Q59" s="1124"/>
      <c r="R59" s="1124"/>
    </row>
    <row r="60" spans="1:18" ht="30" customHeight="1">
      <c r="A60" s="1120"/>
      <c r="P60" s="1124"/>
      <c r="Q60" s="1124"/>
      <c r="R60" s="1124"/>
    </row>
    <row r="61" spans="1:18" ht="30" customHeight="1">
      <c r="A61" s="1148"/>
      <c r="P61" s="1124"/>
      <c r="Q61" s="1124"/>
      <c r="R61" s="1124"/>
    </row>
    <row r="62" spans="1:18">
      <c r="L62" s="1222"/>
    </row>
    <row r="63" spans="1:18">
      <c r="L63" s="1222"/>
    </row>
    <row r="64" spans="1:18">
      <c r="L64" s="1223"/>
      <c r="P64" s="1121"/>
      <c r="Q64" s="1121"/>
    </row>
    <row r="65" spans="12:18">
      <c r="L65" s="1121"/>
      <c r="P65" s="1121"/>
      <c r="Q65" s="1121"/>
      <c r="R65" s="1119"/>
    </row>
    <row r="66" spans="12:18">
      <c r="L66" s="1121"/>
      <c r="P66" s="1121"/>
      <c r="Q66" s="1121"/>
      <c r="R66" s="1119" t="s">
        <v>1493</v>
      </c>
    </row>
    <row r="67" spans="12:18">
      <c r="L67" s="1121"/>
      <c r="P67" s="1121"/>
      <c r="Q67" s="1121"/>
      <c r="R67" s="1119" t="s">
        <v>1494</v>
      </c>
    </row>
    <row r="68" spans="12:18">
      <c r="R68" s="1119" t="s">
        <v>2677</v>
      </c>
    </row>
  </sheetData>
  <sheetProtection formatCells="0" formatColumns="0" formatRows="0" insertColumns="0" insertRows="0"/>
  <mergeCells count="74">
    <mergeCell ref="B48:D48"/>
    <mergeCell ref="B51:E51"/>
    <mergeCell ref="B52:E52"/>
    <mergeCell ref="B53:E53"/>
    <mergeCell ref="B49:D50"/>
    <mergeCell ref="I53:J53"/>
    <mergeCell ref="I54:J54"/>
    <mergeCell ref="B55:G55"/>
    <mergeCell ref="B56:G56"/>
    <mergeCell ref="I55:J55"/>
    <mergeCell ref="I56:J56"/>
    <mergeCell ref="B54:E54"/>
    <mergeCell ref="F49:F50"/>
    <mergeCell ref="G49:G50"/>
    <mergeCell ref="I50:J50"/>
    <mergeCell ref="I52:J52"/>
    <mergeCell ref="I42:J42"/>
    <mergeCell ref="I43:J43"/>
    <mergeCell ref="I44:J44"/>
    <mergeCell ref="I45:J45"/>
    <mergeCell ref="I46:J46"/>
    <mergeCell ref="I51:J51"/>
    <mergeCell ref="I36:J36"/>
    <mergeCell ref="I37:J37"/>
    <mergeCell ref="I38:J38"/>
    <mergeCell ref="I40:J40"/>
    <mergeCell ref="I41:J41"/>
    <mergeCell ref="B19:J19"/>
    <mergeCell ref="B20:J20"/>
    <mergeCell ref="B21:J21"/>
    <mergeCell ref="B22:J22"/>
    <mergeCell ref="B18:J18"/>
    <mergeCell ref="H1:I1"/>
    <mergeCell ref="H2:I2"/>
    <mergeCell ref="B3:G3"/>
    <mergeCell ref="H3:I3"/>
    <mergeCell ref="H4:I4"/>
    <mergeCell ref="B6:J6"/>
    <mergeCell ref="B14:J14"/>
    <mergeCell ref="B15:J15"/>
    <mergeCell ref="B16:J16"/>
    <mergeCell ref="B17:G17"/>
    <mergeCell ref="B29:J29"/>
    <mergeCell ref="F32:G32"/>
    <mergeCell ref="F33:G33"/>
    <mergeCell ref="F34:G34"/>
    <mergeCell ref="F35:G35"/>
    <mergeCell ref="I32:J32"/>
    <mergeCell ref="I33:J33"/>
    <mergeCell ref="I34:J34"/>
    <mergeCell ref="I35:J35"/>
    <mergeCell ref="F31:G31"/>
    <mergeCell ref="I31:J31"/>
    <mergeCell ref="B24:J24"/>
    <mergeCell ref="B25:J25"/>
    <mergeCell ref="B26:J26"/>
    <mergeCell ref="B27:J27"/>
    <mergeCell ref="B28:J28"/>
    <mergeCell ref="B57:J57"/>
    <mergeCell ref="B31:E31"/>
    <mergeCell ref="B32:D37"/>
    <mergeCell ref="B40:D45"/>
    <mergeCell ref="F43:G43"/>
    <mergeCell ref="F44:G44"/>
    <mergeCell ref="F45:G45"/>
    <mergeCell ref="F46:G46"/>
    <mergeCell ref="F36:G36"/>
    <mergeCell ref="F37:G37"/>
    <mergeCell ref="F38:G38"/>
    <mergeCell ref="F40:G40"/>
    <mergeCell ref="F41:G41"/>
    <mergeCell ref="F42:G42"/>
    <mergeCell ref="I48:J48"/>
    <mergeCell ref="I49:J49"/>
  </mergeCells>
  <dataValidations count="1">
    <dataValidation type="list" allowBlank="1" showInputMessage="1" showErrorMessage="1" sqref="WLT36:WLU42 WVP36:WVQ42 H65567 H131103 H196639 H262175 H327711 H393247 H458783 H524319 H589855 H655391 H720927 H786463 H851999 H917535 H983071 I65591:I65592 I131127:I131128 I196663:I196664 I262199:I262200 I327735:I327736 I393271:I393272 I458807:I458808 I524343:I524344 I589879:I589880 I655415:I655416 I720951:I720952 I786487:I786488 I852023:I852024 I917559:I917560 I983095:I983096 WBX36:WBY42 H65586:I65590 H131122:I131126 H196658:I196662 H262194:I262198 H327730:I327734 H393266:I393270 H458802:I458806 H524338:I524342 H589874:I589878 H655410:I655414 H720946:I720950 H786482:I786486 H852018:I852022 H917554:I917558 H983090:I983094 H40:H46 H65577:I65583 H131113:I131119 H196649:I196655 H262185:I262191 H327721:I327727 H393257:I393263 H458793:I458799 H524329:I524335 H589865:I589871 H655401:I655407 H720937:I720943 H786473:I786479 H852009:I852015 H917545:I917551 H983081:I983087 H32:H38 H65569:I65575 H131105:I131111 H196641:I196647 H262177:I262183 H327713:I327719 H393249:I393255 H458785:I458791 H524321:I524327 H589857:I589863 H655393:I655399 H720929:I720935 H786465:I786471 H852001:I852007 H917537:I917543 H983073:I983079 WVQ983077:WVR983083 WLU983077:WLV983083 WBY983077:WBZ983083 VSC983077:VSD983083 VIG983077:VIH983083 UYK983077:UYL983083 UOO983077:UOP983083 UES983077:UET983083 TUW983077:TUX983083 TLA983077:TLB983083 TBE983077:TBF983083 SRI983077:SRJ983083 SHM983077:SHN983083 RXQ983077:RXR983083 RNU983077:RNV983083 RDY983077:RDZ983083 QUC983077:QUD983083 QKG983077:QKH983083 QAK983077:QAL983083 PQO983077:PQP983083 PGS983077:PGT983083 OWW983077:OWX983083 ONA983077:ONB983083 ODE983077:ODF983083 NTI983077:NTJ983083 NJM983077:NJN983083 MZQ983077:MZR983083 MPU983077:MPV983083 MFY983077:MFZ983083 LWC983077:LWD983083 LMG983077:LMH983083 LCK983077:LCL983083 KSO983077:KSP983083 KIS983077:KIT983083 JYW983077:JYX983083 JPA983077:JPB983083 JFE983077:JFF983083 IVI983077:IVJ983083 ILM983077:ILN983083 IBQ983077:IBR983083 HRU983077:HRV983083 HHY983077:HHZ983083 GYC983077:GYD983083 GOG983077:GOH983083 GEK983077:GEL983083 FUO983077:FUP983083 FKS983077:FKT983083 FAW983077:FAX983083 ERA983077:ERB983083 EHE983077:EHF983083 DXI983077:DXJ983083 DNM983077:DNN983083 DDQ983077:DDR983083 CTU983077:CTV983083 CJY983077:CJZ983083 CAC983077:CAD983083 BQG983077:BQH983083 BGK983077:BGL983083 AWO983077:AWP983083 AMS983077:AMT983083 ACW983077:ACX983083 TA983077:TB983083 JE983077:JF983083 WVQ917541:WVR917547 WLU917541:WLV917547 WBY917541:WBZ917547 VSC917541:VSD917547 VIG917541:VIH917547 UYK917541:UYL917547 UOO917541:UOP917547 UES917541:UET917547 TUW917541:TUX917547 TLA917541:TLB917547 TBE917541:TBF917547 SRI917541:SRJ917547 SHM917541:SHN917547 RXQ917541:RXR917547 RNU917541:RNV917547 RDY917541:RDZ917547 QUC917541:QUD917547 QKG917541:QKH917547 QAK917541:QAL917547 PQO917541:PQP917547 PGS917541:PGT917547 OWW917541:OWX917547 ONA917541:ONB917547 ODE917541:ODF917547 NTI917541:NTJ917547 NJM917541:NJN917547 MZQ917541:MZR917547 MPU917541:MPV917547 MFY917541:MFZ917547 LWC917541:LWD917547 LMG917541:LMH917547 LCK917541:LCL917547 KSO917541:KSP917547 KIS917541:KIT917547 JYW917541:JYX917547 JPA917541:JPB917547 JFE917541:JFF917547 IVI917541:IVJ917547 ILM917541:ILN917547 IBQ917541:IBR917547 HRU917541:HRV917547 HHY917541:HHZ917547 GYC917541:GYD917547 GOG917541:GOH917547 GEK917541:GEL917547 FUO917541:FUP917547 FKS917541:FKT917547 FAW917541:FAX917547 ERA917541:ERB917547 EHE917541:EHF917547 DXI917541:DXJ917547 DNM917541:DNN917547 DDQ917541:DDR917547 CTU917541:CTV917547 CJY917541:CJZ917547 CAC917541:CAD917547 BQG917541:BQH917547 BGK917541:BGL917547 AWO917541:AWP917547 AMS917541:AMT917547 ACW917541:ACX917547 TA917541:TB917547 JE917541:JF917547 WVQ852005:WVR852011 WLU852005:WLV852011 WBY852005:WBZ852011 VSC852005:VSD852011 VIG852005:VIH852011 UYK852005:UYL852011 UOO852005:UOP852011 UES852005:UET852011 TUW852005:TUX852011 TLA852005:TLB852011 TBE852005:TBF852011 SRI852005:SRJ852011 SHM852005:SHN852011 RXQ852005:RXR852011 RNU852005:RNV852011 RDY852005:RDZ852011 QUC852005:QUD852011 QKG852005:QKH852011 QAK852005:QAL852011 PQO852005:PQP852011 PGS852005:PGT852011 OWW852005:OWX852011 ONA852005:ONB852011 ODE852005:ODF852011 NTI852005:NTJ852011 NJM852005:NJN852011 MZQ852005:MZR852011 MPU852005:MPV852011 MFY852005:MFZ852011 LWC852005:LWD852011 LMG852005:LMH852011 LCK852005:LCL852011 KSO852005:KSP852011 KIS852005:KIT852011 JYW852005:JYX852011 JPA852005:JPB852011 JFE852005:JFF852011 IVI852005:IVJ852011 ILM852005:ILN852011 IBQ852005:IBR852011 HRU852005:HRV852011 HHY852005:HHZ852011 GYC852005:GYD852011 GOG852005:GOH852011 GEK852005:GEL852011 FUO852005:FUP852011 FKS852005:FKT852011 FAW852005:FAX852011 ERA852005:ERB852011 EHE852005:EHF852011 DXI852005:DXJ852011 DNM852005:DNN852011 DDQ852005:DDR852011 CTU852005:CTV852011 CJY852005:CJZ852011 CAC852005:CAD852011 BQG852005:BQH852011 BGK852005:BGL852011 AWO852005:AWP852011 AMS852005:AMT852011 ACW852005:ACX852011 TA852005:TB852011 JE852005:JF852011 WVQ786469:WVR786475 WLU786469:WLV786475 WBY786469:WBZ786475 VSC786469:VSD786475 VIG786469:VIH786475 UYK786469:UYL786475 UOO786469:UOP786475 UES786469:UET786475 TUW786469:TUX786475 TLA786469:TLB786475 TBE786469:TBF786475 SRI786469:SRJ786475 SHM786469:SHN786475 RXQ786469:RXR786475 RNU786469:RNV786475 RDY786469:RDZ786475 QUC786469:QUD786475 QKG786469:QKH786475 QAK786469:QAL786475 PQO786469:PQP786475 PGS786469:PGT786475 OWW786469:OWX786475 ONA786469:ONB786475 ODE786469:ODF786475 NTI786469:NTJ786475 NJM786469:NJN786475 MZQ786469:MZR786475 MPU786469:MPV786475 MFY786469:MFZ786475 LWC786469:LWD786475 LMG786469:LMH786475 LCK786469:LCL786475 KSO786469:KSP786475 KIS786469:KIT786475 JYW786469:JYX786475 JPA786469:JPB786475 JFE786469:JFF786475 IVI786469:IVJ786475 ILM786469:ILN786475 IBQ786469:IBR786475 HRU786469:HRV786475 HHY786469:HHZ786475 GYC786469:GYD786475 GOG786469:GOH786475 GEK786469:GEL786475 FUO786469:FUP786475 FKS786469:FKT786475 FAW786469:FAX786475 ERA786469:ERB786475 EHE786469:EHF786475 DXI786469:DXJ786475 DNM786469:DNN786475 DDQ786469:DDR786475 CTU786469:CTV786475 CJY786469:CJZ786475 CAC786469:CAD786475 BQG786469:BQH786475 BGK786469:BGL786475 AWO786469:AWP786475 AMS786469:AMT786475 ACW786469:ACX786475 TA786469:TB786475 JE786469:JF786475 WVQ720933:WVR720939 WLU720933:WLV720939 WBY720933:WBZ720939 VSC720933:VSD720939 VIG720933:VIH720939 UYK720933:UYL720939 UOO720933:UOP720939 UES720933:UET720939 TUW720933:TUX720939 TLA720933:TLB720939 TBE720933:TBF720939 SRI720933:SRJ720939 SHM720933:SHN720939 RXQ720933:RXR720939 RNU720933:RNV720939 RDY720933:RDZ720939 QUC720933:QUD720939 QKG720933:QKH720939 QAK720933:QAL720939 PQO720933:PQP720939 PGS720933:PGT720939 OWW720933:OWX720939 ONA720933:ONB720939 ODE720933:ODF720939 NTI720933:NTJ720939 NJM720933:NJN720939 MZQ720933:MZR720939 MPU720933:MPV720939 MFY720933:MFZ720939 LWC720933:LWD720939 LMG720933:LMH720939 LCK720933:LCL720939 KSO720933:KSP720939 KIS720933:KIT720939 JYW720933:JYX720939 JPA720933:JPB720939 JFE720933:JFF720939 IVI720933:IVJ720939 ILM720933:ILN720939 IBQ720933:IBR720939 HRU720933:HRV720939 HHY720933:HHZ720939 GYC720933:GYD720939 GOG720933:GOH720939 GEK720933:GEL720939 FUO720933:FUP720939 FKS720933:FKT720939 FAW720933:FAX720939 ERA720933:ERB720939 EHE720933:EHF720939 DXI720933:DXJ720939 DNM720933:DNN720939 DDQ720933:DDR720939 CTU720933:CTV720939 CJY720933:CJZ720939 CAC720933:CAD720939 BQG720933:BQH720939 BGK720933:BGL720939 AWO720933:AWP720939 AMS720933:AMT720939 ACW720933:ACX720939 TA720933:TB720939 JE720933:JF720939 WVQ655397:WVR655403 WLU655397:WLV655403 WBY655397:WBZ655403 VSC655397:VSD655403 VIG655397:VIH655403 UYK655397:UYL655403 UOO655397:UOP655403 UES655397:UET655403 TUW655397:TUX655403 TLA655397:TLB655403 TBE655397:TBF655403 SRI655397:SRJ655403 SHM655397:SHN655403 RXQ655397:RXR655403 RNU655397:RNV655403 RDY655397:RDZ655403 QUC655397:QUD655403 QKG655397:QKH655403 QAK655397:QAL655403 PQO655397:PQP655403 PGS655397:PGT655403 OWW655397:OWX655403 ONA655397:ONB655403 ODE655397:ODF655403 NTI655397:NTJ655403 NJM655397:NJN655403 MZQ655397:MZR655403 MPU655397:MPV655403 MFY655397:MFZ655403 LWC655397:LWD655403 LMG655397:LMH655403 LCK655397:LCL655403 KSO655397:KSP655403 KIS655397:KIT655403 JYW655397:JYX655403 JPA655397:JPB655403 JFE655397:JFF655403 IVI655397:IVJ655403 ILM655397:ILN655403 IBQ655397:IBR655403 HRU655397:HRV655403 HHY655397:HHZ655403 GYC655397:GYD655403 GOG655397:GOH655403 GEK655397:GEL655403 FUO655397:FUP655403 FKS655397:FKT655403 FAW655397:FAX655403 ERA655397:ERB655403 EHE655397:EHF655403 DXI655397:DXJ655403 DNM655397:DNN655403 DDQ655397:DDR655403 CTU655397:CTV655403 CJY655397:CJZ655403 CAC655397:CAD655403 BQG655397:BQH655403 BGK655397:BGL655403 AWO655397:AWP655403 AMS655397:AMT655403 ACW655397:ACX655403 TA655397:TB655403 JE655397:JF655403 WVQ589861:WVR589867 WLU589861:WLV589867 WBY589861:WBZ589867 VSC589861:VSD589867 VIG589861:VIH589867 UYK589861:UYL589867 UOO589861:UOP589867 UES589861:UET589867 TUW589861:TUX589867 TLA589861:TLB589867 TBE589861:TBF589867 SRI589861:SRJ589867 SHM589861:SHN589867 RXQ589861:RXR589867 RNU589861:RNV589867 RDY589861:RDZ589867 QUC589861:QUD589867 QKG589861:QKH589867 QAK589861:QAL589867 PQO589861:PQP589867 PGS589861:PGT589867 OWW589861:OWX589867 ONA589861:ONB589867 ODE589861:ODF589867 NTI589861:NTJ589867 NJM589861:NJN589867 MZQ589861:MZR589867 MPU589861:MPV589867 MFY589861:MFZ589867 LWC589861:LWD589867 LMG589861:LMH589867 LCK589861:LCL589867 KSO589861:KSP589867 KIS589861:KIT589867 JYW589861:JYX589867 JPA589861:JPB589867 JFE589861:JFF589867 IVI589861:IVJ589867 ILM589861:ILN589867 IBQ589861:IBR589867 HRU589861:HRV589867 HHY589861:HHZ589867 GYC589861:GYD589867 GOG589861:GOH589867 GEK589861:GEL589867 FUO589861:FUP589867 FKS589861:FKT589867 FAW589861:FAX589867 ERA589861:ERB589867 EHE589861:EHF589867 DXI589861:DXJ589867 DNM589861:DNN589867 DDQ589861:DDR589867 CTU589861:CTV589867 CJY589861:CJZ589867 CAC589861:CAD589867 BQG589861:BQH589867 BGK589861:BGL589867 AWO589861:AWP589867 AMS589861:AMT589867 ACW589861:ACX589867 TA589861:TB589867 JE589861:JF589867 WVQ524325:WVR524331 WLU524325:WLV524331 WBY524325:WBZ524331 VSC524325:VSD524331 VIG524325:VIH524331 UYK524325:UYL524331 UOO524325:UOP524331 UES524325:UET524331 TUW524325:TUX524331 TLA524325:TLB524331 TBE524325:TBF524331 SRI524325:SRJ524331 SHM524325:SHN524331 RXQ524325:RXR524331 RNU524325:RNV524331 RDY524325:RDZ524331 QUC524325:QUD524331 QKG524325:QKH524331 QAK524325:QAL524331 PQO524325:PQP524331 PGS524325:PGT524331 OWW524325:OWX524331 ONA524325:ONB524331 ODE524325:ODF524331 NTI524325:NTJ524331 NJM524325:NJN524331 MZQ524325:MZR524331 MPU524325:MPV524331 MFY524325:MFZ524331 LWC524325:LWD524331 LMG524325:LMH524331 LCK524325:LCL524331 KSO524325:KSP524331 KIS524325:KIT524331 JYW524325:JYX524331 JPA524325:JPB524331 JFE524325:JFF524331 IVI524325:IVJ524331 ILM524325:ILN524331 IBQ524325:IBR524331 HRU524325:HRV524331 HHY524325:HHZ524331 GYC524325:GYD524331 GOG524325:GOH524331 GEK524325:GEL524331 FUO524325:FUP524331 FKS524325:FKT524331 FAW524325:FAX524331 ERA524325:ERB524331 EHE524325:EHF524331 DXI524325:DXJ524331 DNM524325:DNN524331 DDQ524325:DDR524331 CTU524325:CTV524331 CJY524325:CJZ524331 CAC524325:CAD524331 BQG524325:BQH524331 BGK524325:BGL524331 AWO524325:AWP524331 AMS524325:AMT524331 ACW524325:ACX524331 TA524325:TB524331 JE524325:JF524331 WVQ458789:WVR458795 WLU458789:WLV458795 WBY458789:WBZ458795 VSC458789:VSD458795 VIG458789:VIH458795 UYK458789:UYL458795 UOO458789:UOP458795 UES458789:UET458795 TUW458789:TUX458795 TLA458789:TLB458795 TBE458789:TBF458795 SRI458789:SRJ458795 SHM458789:SHN458795 RXQ458789:RXR458795 RNU458789:RNV458795 RDY458789:RDZ458795 QUC458789:QUD458795 QKG458789:QKH458795 QAK458789:QAL458795 PQO458789:PQP458795 PGS458789:PGT458795 OWW458789:OWX458795 ONA458789:ONB458795 ODE458789:ODF458795 NTI458789:NTJ458795 NJM458789:NJN458795 MZQ458789:MZR458795 MPU458789:MPV458795 MFY458789:MFZ458795 LWC458789:LWD458795 LMG458789:LMH458795 LCK458789:LCL458795 KSO458789:KSP458795 KIS458789:KIT458795 JYW458789:JYX458795 JPA458789:JPB458795 JFE458789:JFF458795 IVI458789:IVJ458795 ILM458789:ILN458795 IBQ458789:IBR458795 HRU458789:HRV458795 HHY458789:HHZ458795 GYC458789:GYD458795 GOG458789:GOH458795 GEK458789:GEL458795 FUO458789:FUP458795 FKS458789:FKT458795 FAW458789:FAX458795 ERA458789:ERB458795 EHE458789:EHF458795 DXI458789:DXJ458795 DNM458789:DNN458795 DDQ458789:DDR458795 CTU458789:CTV458795 CJY458789:CJZ458795 CAC458789:CAD458795 BQG458789:BQH458795 BGK458789:BGL458795 AWO458789:AWP458795 AMS458789:AMT458795 ACW458789:ACX458795 TA458789:TB458795 JE458789:JF458795 WVQ393253:WVR393259 WLU393253:WLV393259 WBY393253:WBZ393259 VSC393253:VSD393259 VIG393253:VIH393259 UYK393253:UYL393259 UOO393253:UOP393259 UES393253:UET393259 TUW393253:TUX393259 TLA393253:TLB393259 TBE393253:TBF393259 SRI393253:SRJ393259 SHM393253:SHN393259 RXQ393253:RXR393259 RNU393253:RNV393259 RDY393253:RDZ393259 QUC393253:QUD393259 QKG393253:QKH393259 QAK393253:QAL393259 PQO393253:PQP393259 PGS393253:PGT393259 OWW393253:OWX393259 ONA393253:ONB393259 ODE393253:ODF393259 NTI393253:NTJ393259 NJM393253:NJN393259 MZQ393253:MZR393259 MPU393253:MPV393259 MFY393253:MFZ393259 LWC393253:LWD393259 LMG393253:LMH393259 LCK393253:LCL393259 KSO393253:KSP393259 KIS393253:KIT393259 JYW393253:JYX393259 JPA393253:JPB393259 JFE393253:JFF393259 IVI393253:IVJ393259 ILM393253:ILN393259 IBQ393253:IBR393259 HRU393253:HRV393259 HHY393253:HHZ393259 GYC393253:GYD393259 GOG393253:GOH393259 GEK393253:GEL393259 FUO393253:FUP393259 FKS393253:FKT393259 FAW393253:FAX393259 ERA393253:ERB393259 EHE393253:EHF393259 DXI393253:DXJ393259 DNM393253:DNN393259 DDQ393253:DDR393259 CTU393253:CTV393259 CJY393253:CJZ393259 CAC393253:CAD393259 BQG393253:BQH393259 BGK393253:BGL393259 AWO393253:AWP393259 AMS393253:AMT393259 ACW393253:ACX393259 TA393253:TB393259 JE393253:JF393259 WVQ327717:WVR327723 WLU327717:WLV327723 WBY327717:WBZ327723 VSC327717:VSD327723 VIG327717:VIH327723 UYK327717:UYL327723 UOO327717:UOP327723 UES327717:UET327723 TUW327717:TUX327723 TLA327717:TLB327723 TBE327717:TBF327723 SRI327717:SRJ327723 SHM327717:SHN327723 RXQ327717:RXR327723 RNU327717:RNV327723 RDY327717:RDZ327723 QUC327717:QUD327723 QKG327717:QKH327723 QAK327717:QAL327723 PQO327717:PQP327723 PGS327717:PGT327723 OWW327717:OWX327723 ONA327717:ONB327723 ODE327717:ODF327723 NTI327717:NTJ327723 NJM327717:NJN327723 MZQ327717:MZR327723 MPU327717:MPV327723 MFY327717:MFZ327723 LWC327717:LWD327723 LMG327717:LMH327723 LCK327717:LCL327723 KSO327717:KSP327723 KIS327717:KIT327723 JYW327717:JYX327723 JPA327717:JPB327723 JFE327717:JFF327723 IVI327717:IVJ327723 ILM327717:ILN327723 IBQ327717:IBR327723 HRU327717:HRV327723 HHY327717:HHZ327723 GYC327717:GYD327723 GOG327717:GOH327723 GEK327717:GEL327723 FUO327717:FUP327723 FKS327717:FKT327723 FAW327717:FAX327723 ERA327717:ERB327723 EHE327717:EHF327723 DXI327717:DXJ327723 DNM327717:DNN327723 DDQ327717:DDR327723 CTU327717:CTV327723 CJY327717:CJZ327723 CAC327717:CAD327723 BQG327717:BQH327723 BGK327717:BGL327723 AWO327717:AWP327723 AMS327717:AMT327723 ACW327717:ACX327723 TA327717:TB327723 JE327717:JF327723 WVQ262181:WVR262187 WLU262181:WLV262187 WBY262181:WBZ262187 VSC262181:VSD262187 VIG262181:VIH262187 UYK262181:UYL262187 UOO262181:UOP262187 UES262181:UET262187 TUW262181:TUX262187 TLA262181:TLB262187 TBE262181:TBF262187 SRI262181:SRJ262187 SHM262181:SHN262187 RXQ262181:RXR262187 RNU262181:RNV262187 RDY262181:RDZ262187 QUC262181:QUD262187 QKG262181:QKH262187 QAK262181:QAL262187 PQO262181:PQP262187 PGS262181:PGT262187 OWW262181:OWX262187 ONA262181:ONB262187 ODE262181:ODF262187 NTI262181:NTJ262187 NJM262181:NJN262187 MZQ262181:MZR262187 MPU262181:MPV262187 MFY262181:MFZ262187 LWC262181:LWD262187 LMG262181:LMH262187 LCK262181:LCL262187 KSO262181:KSP262187 KIS262181:KIT262187 JYW262181:JYX262187 JPA262181:JPB262187 JFE262181:JFF262187 IVI262181:IVJ262187 ILM262181:ILN262187 IBQ262181:IBR262187 HRU262181:HRV262187 HHY262181:HHZ262187 GYC262181:GYD262187 GOG262181:GOH262187 GEK262181:GEL262187 FUO262181:FUP262187 FKS262181:FKT262187 FAW262181:FAX262187 ERA262181:ERB262187 EHE262181:EHF262187 DXI262181:DXJ262187 DNM262181:DNN262187 DDQ262181:DDR262187 CTU262181:CTV262187 CJY262181:CJZ262187 CAC262181:CAD262187 BQG262181:BQH262187 BGK262181:BGL262187 AWO262181:AWP262187 AMS262181:AMT262187 ACW262181:ACX262187 TA262181:TB262187 JE262181:JF262187 WVQ196645:WVR196651 WLU196645:WLV196651 WBY196645:WBZ196651 VSC196645:VSD196651 VIG196645:VIH196651 UYK196645:UYL196651 UOO196645:UOP196651 UES196645:UET196651 TUW196645:TUX196651 TLA196645:TLB196651 TBE196645:TBF196651 SRI196645:SRJ196651 SHM196645:SHN196651 RXQ196645:RXR196651 RNU196645:RNV196651 RDY196645:RDZ196651 QUC196645:QUD196651 QKG196645:QKH196651 QAK196645:QAL196651 PQO196645:PQP196651 PGS196645:PGT196651 OWW196645:OWX196651 ONA196645:ONB196651 ODE196645:ODF196651 NTI196645:NTJ196651 NJM196645:NJN196651 MZQ196645:MZR196651 MPU196645:MPV196651 MFY196645:MFZ196651 LWC196645:LWD196651 LMG196645:LMH196651 LCK196645:LCL196651 KSO196645:KSP196651 KIS196645:KIT196651 JYW196645:JYX196651 JPA196645:JPB196651 JFE196645:JFF196651 IVI196645:IVJ196651 ILM196645:ILN196651 IBQ196645:IBR196651 HRU196645:HRV196651 HHY196645:HHZ196651 GYC196645:GYD196651 GOG196645:GOH196651 GEK196645:GEL196651 FUO196645:FUP196651 FKS196645:FKT196651 FAW196645:FAX196651 ERA196645:ERB196651 EHE196645:EHF196651 DXI196645:DXJ196651 DNM196645:DNN196651 DDQ196645:DDR196651 CTU196645:CTV196651 CJY196645:CJZ196651 CAC196645:CAD196651 BQG196645:BQH196651 BGK196645:BGL196651 AWO196645:AWP196651 AMS196645:AMT196651 ACW196645:ACX196651 TA196645:TB196651 JE196645:JF196651 WVQ131109:WVR131115 WLU131109:WLV131115 WBY131109:WBZ131115 VSC131109:VSD131115 VIG131109:VIH131115 UYK131109:UYL131115 UOO131109:UOP131115 UES131109:UET131115 TUW131109:TUX131115 TLA131109:TLB131115 TBE131109:TBF131115 SRI131109:SRJ131115 SHM131109:SHN131115 RXQ131109:RXR131115 RNU131109:RNV131115 RDY131109:RDZ131115 QUC131109:QUD131115 QKG131109:QKH131115 QAK131109:QAL131115 PQO131109:PQP131115 PGS131109:PGT131115 OWW131109:OWX131115 ONA131109:ONB131115 ODE131109:ODF131115 NTI131109:NTJ131115 NJM131109:NJN131115 MZQ131109:MZR131115 MPU131109:MPV131115 MFY131109:MFZ131115 LWC131109:LWD131115 LMG131109:LMH131115 LCK131109:LCL131115 KSO131109:KSP131115 KIS131109:KIT131115 JYW131109:JYX131115 JPA131109:JPB131115 JFE131109:JFF131115 IVI131109:IVJ131115 ILM131109:ILN131115 IBQ131109:IBR131115 HRU131109:HRV131115 HHY131109:HHZ131115 GYC131109:GYD131115 GOG131109:GOH131115 GEK131109:GEL131115 FUO131109:FUP131115 FKS131109:FKT131115 FAW131109:FAX131115 ERA131109:ERB131115 EHE131109:EHF131115 DXI131109:DXJ131115 DNM131109:DNN131115 DDQ131109:DDR131115 CTU131109:CTV131115 CJY131109:CJZ131115 CAC131109:CAD131115 BQG131109:BQH131115 BGK131109:BGL131115 AWO131109:AWP131115 AMS131109:AMT131115 ACW131109:ACX131115 TA131109:TB131115 JE131109:JF131115 WVQ65573:WVR65579 WLU65573:WLV65579 WBY65573:WBZ65579 VSC65573:VSD65579 VIG65573:VIH65579 UYK65573:UYL65579 UOO65573:UOP65579 UES65573:UET65579 TUW65573:TUX65579 TLA65573:TLB65579 TBE65573:TBF65579 SRI65573:SRJ65579 SHM65573:SHN65579 RXQ65573:RXR65579 RNU65573:RNV65579 RDY65573:RDZ65579 QUC65573:QUD65579 QKG65573:QKH65579 QAK65573:QAL65579 PQO65573:PQP65579 PGS65573:PGT65579 OWW65573:OWX65579 ONA65573:ONB65579 ODE65573:ODF65579 NTI65573:NTJ65579 NJM65573:NJN65579 MZQ65573:MZR65579 MPU65573:MPV65579 MFY65573:MFZ65579 LWC65573:LWD65579 LMG65573:LMH65579 LCK65573:LCL65579 KSO65573:KSP65579 KIS65573:KIT65579 JYW65573:JYX65579 JPA65573:JPB65579 JFE65573:JFF65579 IVI65573:IVJ65579 ILM65573:ILN65579 IBQ65573:IBR65579 HRU65573:HRV65579 HHY65573:HHZ65579 GYC65573:GYD65579 GOG65573:GOH65579 GEK65573:GEL65579 FUO65573:FUP65579 FKS65573:FKT65579 FAW65573:FAX65579 ERA65573:ERB65579 EHE65573:EHF65579 DXI65573:DXJ65579 DNM65573:DNN65579 DDQ65573:DDR65579 CTU65573:CTV65579 CJY65573:CJZ65579 CAC65573:CAD65579 BQG65573:BQH65579 BGK65573:BGL65579 AWO65573:AWP65579 AMS65573:AMT65579 ACW65573:ACX65579 TA65573:TB65579 JE65573:JF65579 WVQ983085:WVR983091 WLU983085:WLV983091 WBY983085:WBZ983091 VSC983085:VSD983091 VIG983085:VIH983091 UYK983085:UYL983091 UOO983085:UOP983091 UES983085:UET983091 TUW983085:TUX983091 TLA983085:TLB983091 TBE983085:TBF983091 SRI983085:SRJ983091 SHM983085:SHN983091 RXQ983085:RXR983091 RNU983085:RNV983091 RDY983085:RDZ983091 QUC983085:QUD983091 QKG983085:QKH983091 QAK983085:QAL983091 PQO983085:PQP983091 PGS983085:PGT983091 OWW983085:OWX983091 ONA983085:ONB983091 ODE983085:ODF983091 NTI983085:NTJ983091 NJM983085:NJN983091 MZQ983085:MZR983091 MPU983085:MPV983091 MFY983085:MFZ983091 LWC983085:LWD983091 LMG983085:LMH983091 LCK983085:LCL983091 KSO983085:KSP983091 KIS983085:KIT983091 JYW983085:JYX983091 JPA983085:JPB983091 JFE983085:JFF983091 IVI983085:IVJ983091 ILM983085:ILN983091 IBQ983085:IBR983091 HRU983085:HRV983091 HHY983085:HHZ983091 GYC983085:GYD983091 GOG983085:GOH983091 GEK983085:GEL983091 FUO983085:FUP983091 FKS983085:FKT983091 FAW983085:FAX983091 ERA983085:ERB983091 EHE983085:EHF983091 DXI983085:DXJ983091 DNM983085:DNN983091 DDQ983085:DDR983091 CTU983085:CTV983091 CJY983085:CJZ983091 CAC983085:CAD983091 BQG983085:BQH983091 BGK983085:BGL983091 AWO983085:AWP983091 AMS983085:AMT983091 ACW983085:ACX983091 TA983085:TB983091 JE983085:JF983091 WVQ917549:WVR917555 WLU917549:WLV917555 WBY917549:WBZ917555 VSC917549:VSD917555 VIG917549:VIH917555 UYK917549:UYL917555 UOO917549:UOP917555 UES917549:UET917555 TUW917549:TUX917555 TLA917549:TLB917555 TBE917549:TBF917555 SRI917549:SRJ917555 SHM917549:SHN917555 RXQ917549:RXR917555 RNU917549:RNV917555 RDY917549:RDZ917555 QUC917549:QUD917555 QKG917549:QKH917555 QAK917549:QAL917555 PQO917549:PQP917555 PGS917549:PGT917555 OWW917549:OWX917555 ONA917549:ONB917555 ODE917549:ODF917555 NTI917549:NTJ917555 NJM917549:NJN917555 MZQ917549:MZR917555 MPU917549:MPV917555 MFY917549:MFZ917555 LWC917549:LWD917555 LMG917549:LMH917555 LCK917549:LCL917555 KSO917549:KSP917555 KIS917549:KIT917555 JYW917549:JYX917555 JPA917549:JPB917555 JFE917549:JFF917555 IVI917549:IVJ917555 ILM917549:ILN917555 IBQ917549:IBR917555 HRU917549:HRV917555 HHY917549:HHZ917555 GYC917549:GYD917555 GOG917549:GOH917555 GEK917549:GEL917555 FUO917549:FUP917555 FKS917549:FKT917555 FAW917549:FAX917555 ERA917549:ERB917555 EHE917549:EHF917555 DXI917549:DXJ917555 DNM917549:DNN917555 DDQ917549:DDR917555 CTU917549:CTV917555 CJY917549:CJZ917555 CAC917549:CAD917555 BQG917549:BQH917555 BGK917549:BGL917555 AWO917549:AWP917555 AMS917549:AMT917555 ACW917549:ACX917555 TA917549:TB917555 JE917549:JF917555 WVQ852013:WVR852019 WLU852013:WLV852019 WBY852013:WBZ852019 VSC852013:VSD852019 VIG852013:VIH852019 UYK852013:UYL852019 UOO852013:UOP852019 UES852013:UET852019 TUW852013:TUX852019 TLA852013:TLB852019 TBE852013:TBF852019 SRI852013:SRJ852019 SHM852013:SHN852019 RXQ852013:RXR852019 RNU852013:RNV852019 RDY852013:RDZ852019 QUC852013:QUD852019 QKG852013:QKH852019 QAK852013:QAL852019 PQO852013:PQP852019 PGS852013:PGT852019 OWW852013:OWX852019 ONA852013:ONB852019 ODE852013:ODF852019 NTI852013:NTJ852019 NJM852013:NJN852019 MZQ852013:MZR852019 MPU852013:MPV852019 MFY852013:MFZ852019 LWC852013:LWD852019 LMG852013:LMH852019 LCK852013:LCL852019 KSO852013:KSP852019 KIS852013:KIT852019 JYW852013:JYX852019 JPA852013:JPB852019 JFE852013:JFF852019 IVI852013:IVJ852019 ILM852013:ILN852019 IBQ852013:IBR852019 HRU852013:HRV852019 HHY852013:HHZ852019 GYC852013:GYD852019 GOG852013:GOH852019 GEK852013:GEL852019 FUO852013:FUP852019 FKS852013:FKT852019 FAW852013:FAX852019 ERA852013:ERB852019 EHE852013:EHF852019 DXI852013:DXJ852019 DNM852013:DNN852019 DDQ852013:DDR852019 CTU852013:CTV852019 CJY852013:CJZ852019 CAC852013:CAD852019 BQG852013:BQH852019 BGK852013:BGL852019 AWO852013:AWP852019 AMS852013:AMT852019 ACW852013:ACX852019 TA852013:TB852019 JE852013:JF852019 WVQ786477:WVR786483 WLU786477:WLV786483 WBY786477:WBZ786483 VSC786477:VSD786483 VIG786477:VIH786483 UYK786477:UYL786483 UOO786477:UOP786483 UES786477:UET786483 TUW786477:TUX786483 TLA786477:TLB786483 TBE786477:TBF786483 SRI786477:SRJ786483 SHM786477:SHN786483 RXQ786477:RXR786483 RNU786477:RNV786483 RDY786477:RDZ786483 QUC786477:QUD786483 QKG786477:QKH786483 QAK786477:QAL786483 PQO786477:PQP786483 PGS786477:PGT786483 OWW786477:OWX786483 ONA786477:ONB786483 ODE786477:ODF786483 NTI786477:NTJ786483 NJM786477:NJN786483 MZQ786477:MZR786483 MPU786477:MPV786483 MFY786477:MFZ786483 LWC786477:LWD786483 LMG786477:LMH786483 LCK786477:LCL786483 KSO786477:KSP786483 KIS786477:KIT786483 JYW786477:JYX786483 JPA786477:JPB786483 JFE786477:JFF786483 IVI786477:IVJ786483 ILM786477:ILN786483 IBQ786477:IBR786483 HRU786477:HRV786483 HHY786477:HHZ786483 GYC786477:GYD786483 GOG786477:GOH786483 GEK786477:GEL786483 FUO786477:FUP786483 FKS786477:FKT786483 FAW786477:FAX786483 ERA786477:ERB786483 EHE786477:EHF786483 DXI786477:DXJ786483 DNM786477:DNN786483 DDQ786477:DDR786483 CTU786477:CTV786483 CJY786477:CJZ786483 CAC786477:CAD786483 BQG786477:BQH786483 BGK786477:BGL786483 AWO786477:AWP786483 AMS786477:AMT786483 ACW786477:ACX786483 TA786477:TB786483 JE786477:JF786483 WVQ720941:WVR720947 WLU720941:WLV720947 WBY720941:WBZ720947 VSC720941:VSD720947 VIG720941:VIH720947 UYK720941:UYL720947 UOO720941:UOP720947 UES720941:UET720947 TUW720941:TUX720947 TLA720941:TLB720947 TBE720941:TBF720947 SRI720941:SRJ720947 SHM720941:SHN720947 RXQ720941:RXR720947 RNU720941:RNV720947 RDY720941:RDZ720947 QUC720941:QUD720947 QKG720941:QKH720947 QAK720941:QAL720947 PQO720941:PQP720947 PGS720941:PGT720947 OWW720941:OWX720947 ONA720941:ONB720947 ODE720941:ODF720947 NTI720941:NTJ720947 NJM720941:NJN720947 MZQ720941:MZR720947 MPU720941:MPV720947 MFY720941:MFZ720947 LWC720941:LWD720947 LMG720941:LMH720947 LCK720941:LCL720947 KSO720941:KSP720947 KIS720941:KIT720947 JYW720941:JYX720947 JPA720941:JPB720947 JFE720941:JFF720947 IVI720941:IVJ720947 ILM720941:ILN720947 IBQ720941:IBR720947 HRU720941:HRV720947 HHY720941:HHZ720947 GYC720941:GYD720947 GOG720941:GOH720947 GEK720941:GEL720947 FUO720941:FUP720947 FKS720941:FKT720947 FAW720941:FAX720947 ERA720941:ERB720947 EHE720941:EHF720947 DXI720941:DXJ720947 DNM720941:DNN720947 DDQ720941:DDR720947 CTU720941:CTV720947 CJY720941:CJZ720947 CAC720941:CAD720947 BQG720941:BQH720947 BGK720941:BGL720947 AWO720941:AWP720947 AMS720941:AMT720947 ACW720941:ACX720947 TA720941:TB720947 JE720941:JF720947 WVQ655405:WVR655411 WLU655405:WLV655411 WBY655405:WBZ655411 VSC655405:VSD655411 VIG655405:VIH655411 UYK655405:UYL655411 UOO655405:UOP655411 UES655405:UET655411 TUW655405:TUX655411 TLA655405:TLB655411 TBE655405:TBF655411 SRI655405:SRJ655411 SHM655405:SHN655411 RXQ655405:RXR655411 RNU655405:RNV655411 RDY655405:RDZ655411 QUC655405:QUD655411 QKG655405:QKH655411 QAK655405:QAL655411 PQO655405:PQP655411 PGS655405:PGT655411 OWW655405:OWX655411 ONA655405:ONB655411 ODE655405:ODF655411 NTI655405:NTJ655411 NJM655405:NJN655411 MZQ655405:MZR655411 MPU655405:MPV655411 MFY655405:MFZ655411 LWC655405:LWD655411 LMG655405:LMH655411 LCK655405:LCL655411 KSO655405:KSP655411 KIS655405:KIT655411 JYW655405:JYX655411 JPA655405:JPB655411 JFE655405:JFF655411 IVI655405:IVJ655411 ILM655405:ILN655411 IBQ655405:IBR655411 HRU655405:HRV655411 HHY655405:HHZ655411 GYC655405:GYD655411 GOG655405:GOH655411 GEK655405:GEL655411 FUO655405:FUP655411 FKS655405:FKT655411 FAW655405:FAX655411 ERA655405:ERB655411 EHE655405:EHF655411 DXI655405:DXJ655411 DNM655405:DNN655411 DDQ655405:DDR655411 CTU655405:CTV655411 CJY655405:CJZ655411 CAC655405:CAD655411 BQG655405:BQH655411 BGK655405:BGL655411 AWO655405:AWP655411 AMS655405:AMT655411 ACW655405:ACX655411 TA655405:TB655411 JE655405:JF655411 WVQ589869:WVR589875 WLU589869:WLV589875 WBY589869:WBZ589875 VSC589869:VSD589875 VIG589869:VIH589875 UYK589869:UYL589875 UOO589869:UOP589875 UES589869:UET589875 TUW589869:TUX589875 TLA589869:TLB589875 TBE589869:TBF589875 SRI589869:SRJ589875 SHM589869:SHN589875 RXQ589869:RXR589875 RNU589869:RNV589875 RDY589869:RDZ589875 QUC589869:QUD589875 QKG589869:QKH589875 QAK589869:QAL589875 PQO589869:PQP589875 PGS589869:PGT589875 OWW589869:OWX589875 ONA589869:ONB589875 ODE589869:ODF589875 NTI589869:NTJ589875 NJM589869:NJN589875 MZQ589869:MZR589875 MPU589869:MPV589875 MFY589869:MFZ589875 LWC589869:LWD589875 LMG589869:LMH589875 LCK589869:LCL589875 KSO589869:KSP589875 KIS589869:KIT589875 JYW589869:JYX589875 JPA589869:JPB589875 JFE589869:JFF589875 IVI589869:IVJ589875 ILM589869:ILN589875 IBQ589869:IBR589875 HRU589869:HRV589875 HHY589869:HHZ589875 GYC589869:GYD589875 GOG589869:GOH589875 GEK589869:GEL589875 FUO589869:FUP589875 FKS589869:FKT589875 FAW589869:FAX589875 ERA589869:ERB589875 EHE589869:EHF589875 DXI589869:DXJ589875 DNM589869:DNN589875 DDQ589869:DDR589875 CTU589869:CTV589875 CJY589869:CJZ589875 CAC589869:CAD589875 BQG589869:BQH589875 BGK589869:BGL589875 AWO589869:AWP589875 AMS589869:AMT589875 ACW589869:ACX589875 TA589869:TB589875 JE589869:JF589875 WVQ524333:WVR524339 WLU524333:WLV524339 WBY524333:WBZ524339 VSC524333:VSD524339 VIG524333:VIH524339 UYK524333:UYL524339 UOO524333:UOP524339 UES524333:UET524339 TUW524333:TUX524339 TLA524333:TLB524339 TBE524333:TBF524339 SRI524333:SRJ524339 SHM524333:SHN524339 RXQ524333:RXR524339 RNU524333:RNV524339 RDY524333:RDZ524339 QUC524333:QUD524339 QKG524333:QKH524339 QAK524333:QAL524339 PQO524333:PQP524339 PGS524333:PGT524339 OWW524333:OWX524339 ONA524333:ONB524339 ODE524333:ODF524339 NTI524333:NTJ524339 NJM524333:NJN524339 MZQ524333:MZR524339 MPU524333:MPV524339 MFY524333:MFZ524339 LWC524333:LWD524339 LMG524333:LMH524339 LCK524333:LCL524339 KSO524333:KSP524339 KIS524333:KIT524339 JYW524333:JYX524339 JPA524333:JPB524339 JFE524333:JFF524339 IVI524333:IVJ524339 ILM524333:ILN524339 IBQ524333:IBR524339 HRU524333:HRV524339 HHY524333:HHZ524339 GYC524333:GYD524339 GOG524333:GOH524339 GEK524333:GEL524339 FUO524333:FUP524339 FKS524333:FKT524339 FAW524333:FAX524339 ERA524333:ERB524339 EHE524333:EHF524339 DXI524333:DXJ524339 DNM524333:DNN524339 DDQ524333:DDR524339 CTU524333:CTV524339 CJY524333:CJZ524339 CAC524333:CAD524339 BQG524333:BQH524339 BGK524333:BGL524339 AWO524333:AWP524339 AMS524333:AMT524339 ACW524333:ACX524339 TA524333:TB524339 JE524333:JF524339 WVQ458797:WVR458803 WLU458797:WLV458803 WBY458797:WBZ458803 VSC458797:VSD458803 VIG458797:VIH458803 UYK458797:UYL458803 UOO458797:UOP458803 UES458797:UET458803 TUW458797:TUX458803 TLA458797:TLB458803 TBE458797:TBF458803 SRI458797:SRJ458803 SHM458797:SHN458803 RXQ458797:RXR458803 RNU458797:RNV458803 RDY458797:RDZ458803 QUC458797:QUD458803 QKG458797:QKH458803 QAK458797:QAL458803 PQO458797:PQP458803 PGS458797:PGT458803 OWW458797:OWX458803 ONA458797:ONB458803 ODE458797:ODF458803 NTI458797:NTJ458803 NJM458797:NJN458803 MZQ458797:MZR458803 MPU458797:MPV458803 MFY458797:MFZ458803 LWC458797:LWD458803 LMG458797:LMH458803 LCK458797:LCL458803 KSO458797:KSP458803 KIS458797:KIT458803 JYW458797:JYX458803 JPA458797:JPB458803 JFE458797:JFF458803 IVI458797:IVJ458803 ILM458797:ILN458803 IBQ458797:IBR458803 HRU458797:HRV458803 HHY458797:HHZ458803 GYC458797:GYD458803 GOG458797:GOH458803 GEK458797:GEL458803 FUO458797:FUP458803 FKS458797:FKT458803 FAW458797:FAX458803 ERA458797:ERB458803 EHE458797:EHF458803 DXI458797:DXJ458803 DNM458797:DNN458803 DDQ458797:DDR458803 CTU458797:CTV458803 CJY458797:CJZ458803 CAC458797:CAD458803 BQG458797:BQH458803 BGK458797:BGL458803 AWO458797:AWP458803 AMS458797:AMT458803 ACW458797:ACX458803 TA458797:TB458803 JE458797:JF458803 WVQ393261:WVR393267 WLU393261:WLV393267 WBY393261:WBZ393267 VSC393261:VSD393267 VIG393261:VIH393267 UYK393261:UYL393267 UOO393261:UOP393267 UES393261:UET393267 TUW393261:TUX393267 TLA393261:TLB393267 TBE393261:TBF393267 SRI393261:SRJ393267 SHM393261:SHN393267 RXQ393261:RXR393267 RNU393261:RNV393267 RDY393261:RDZ393267 QUC393261:QUD393267 QKG393261:QKH393267 QAK393261:QAL393267 PQO393261:PQP393267 PGS393261:PGT393267 OWW393261:OWX393267 ONA393261:ONB393267 ODE393261:ODF393267 NTI393261:NTJ393267 NJM393261:NJN393267 MZQ393261:MZR393267 MPU393261:MPV393267 MFY393261:MFZ393267 LWC393261:LWD393267 LMG393261:LMH393267 LCK393261:LCL393267 KSO393261:KSP393267 KIS393261:KIT393267 JYW393261:JYX393267 JPA393261:JPB393267 JFE393261:JFF393267 IVI393261:IVJ393267 ILM393261:ILN393267 IBQ393261:IBR393267 HRU393261:HRV393267 HHY393261:HHZ393267 GYC393261:GYD393267 GOG393261:GOH393267 GEK393261:GEL393267 FUO393261:FUP393267 FKS393261:FKT393267 FAW393261:FAX393267 ERA393261:ERB393267 EHE393261:EHF393267 DXI393261:DXJ393267 DNM393261:DNN393267 DDQ393261:DDR393267 CTU393261:CTV393267 CJY393261:CJZ393267 CAC393261:CAD393267 BQG393261:BQH393267 BGK393261:BGL393267 AWO393261:AWP393267 AMS393261:AMT393267 ACW393261:ACX393267 TA393261:TB393267 JE393261:JF393267 WVQ327725:WVR327731 WLU327725:WLV327731 WBY327725:WBZ327731 VSC327725:VSD327731 VIG327725:VIH327731 UYK327725:UYL327731 UOO327725:UOP327731 UES327725:UET327731 TUW327725:TUX327731 TLA327725:TLB327731 TBE327725:TBF327731 SRI327725:SRJ327731 SHM327725:SHN327731 RXQ327725:RXR327731 RNU327725:RNV327731 RDY327725:RDZ327731 QUC327725:QUD327731 QKG327725:QKH327731 QAK327725:QAL327731 PQO327725:PQP327731 PGS327725:PGT327731 OWW327725:OWX327731 ONA327725:ONB327731 ODE327725:ODF327731 NTI327725:NTJ327731 NJM327725:NJN327731 MZQ327725:MZR327731 MPU327725:MPV327731 MFY327725:MFZ327731 LWC327725:LWD327731 LMG327725:LMH327731 LCK327725:LCL327731 KSO327725:KSP327731 KIS327725:KIT327731 JYW327725:JYX327731 JPA327725:JPB327731 JFE327725:JFF327731 IVI327725:IVJ327731 ILM327725:ILN327731 IBQ327725:IBR327731 HRU327725:HRV327731 HHY327725:HHZ327731 GYC327725:GYD327731 GOG327725:GOH327731 GEK327725:GEL327731 FUO327725:FUP327731 FKS327725:FKT327731 FAW327725:FAX327731 ERA327725:ERB327731 EHE327725:EHF327731 DXI327725:DXJ327731 DNM327725:DNN327731 DDQ327725:DDR327731 CTU327725:CTV327731 CJY327725:CJZ327731 CAC327725:CAD327731 BQG327725:BQH327731 BGK327725:BGL327731 AWO327725:AWP327731 AMS327725:AMT327731 ACW327725:ACX327731 TA327725:TB327731 JE327725:JF327731 WVQ262189:WVR262195 WLU262189:WLV262195 WBY262189:WBZ262195 VSC262189:VSD262195 VIG262189:VIH262195 UYK262189:UYL262195 UOO262189:UOP262195 UES262189:UET262195 TUW262189:TUX262195 TLA262189:TLB262195 TBE262189:TBF262195 SRI262189:SRJ262195 SHM262189:SHN262195 RXQ262189:RXR262195 RNU262189:RNV262195 RDY262189:RDZ262195 QUC262189:QUD262195 QKG262189:QKH262195 QAK262189:QAL262195 PQO262189:PQP262195 PGS262189:PGT262195 OWW262189:OWX262195 ONA262189:ONB262195 ODE262189:ODF262195 NTI262189:NTJ262195 NJM262189:NJN262195 MZQ262189:MZR262195 MPU262189:MPV262195 MFY262189:MFZ262195 LWC262189:LWD262195 LMG262189:LMH262195 LCK262189:LCL262195 KSO262189:KSP262195 KIS262189:KIT262195 JYW262189:JYX262195 JPA262189:JPB262195 JFE262189:JFF262195 IVI262189:IVJ262195 ILM262189:ILN262195 IBQ262189:IBR262195 HRU262189:HRV262195 HHY262189:HHZ262195 GYC262189:GYD262195 GOG262189:GOH262195 GEK262189:GEL262195 FUO262189:FUP262195 FKS262189:FKT262195 FAW262189:FAX262195 ERA262189:ERB262195 EHE262189:EHF262195 DXI262189:DXJ262195 DNM262189:DNN262195 DDQ262189:DDR262195 CTU262189:CTV262195 CJY262189:CJZ262195 CAC262189:CAD262195 BQG262189:BQH262195 BGK262189:BGL262195 AWO262189:AWP262195 AMS262189:AMT262195 ACW262189:ACX262195 TA262189:TB262195 JE262189:JF262195 WVQ196653:WVR196659 WLU196653:WLV196659 WBY196653:WBZ196659 VSC196653:VSD196659 VIG196653:VIH196659 UYK196653:UYL196659 UOO196653:UOP196659 UES196653:UET196659 TUW196653:TUX196659 TLA196653:TLB196659 TBE196653:TBF196659 SRI196653:SRJ196659 SHM196653:SHN196659 RXQ196653:RXR196659 RNU196653:RNV196659 RDY196653:RDZ196659 QUC196653:QUD196659 QKG196653:QKH196659 QAK196653:QAL196659 PQO196653:PQP196659 PGS196653:PGT196659 OWW196653:OWX196659 ONA196653:ONB196659 ODE196653:ODF196659 NTI196653:NTJ196659 NJM196653:NJN196659 MZQ196653:MZR196659 MPU196653:MPV196659 MFY196653:MFZ196659 LWC196653:LWD196659 LMG196653:LMH196659 LCK196653:LCL196659 KSO196653:KSP196659 KIS196653:KIT196659 JYW196653:JYX196659 JPA196653:JPB196659 JFE196653:JFF196659 IVI196653:IVJ196659 ILM196653:ILN196659 IBQ196653:IBR196659 HRU196653:HRV196659 HHY196653:HHZ196659 GYC196653:GYD196659 GOG196653:GOH196659 GEK196653:GEL196659 FUO196653:FUP196659 FKS196653:FKT196659 FAW196653:FAX196659 ERA196653:ERB196659 EHE196653:EHF196659 DXI196653:DXJ196659 DNM196653:DNN196659 DDQ196653:DDR196659 CTU196653:CTV196659 CJY196653:CJZ196659 CAC196653:CAD196659 BQG196653:BQH196659 BGK196653:BGL196659 AWO196653:AWP196659 AMS196653:AMT196659 ACW196653:ACX196659 TA196653:TB196659 JE196653:JF196659 WVQ131117:WVR131123 WLU131117:WLV131123 WBY131117:WBZ131123 VSC131117:VSD131123 VIG131117:VIH131123 UYK131117:UYL131123 UOO131117:UOP131123 UES131117:UET131123 TUW131117:TUX131123 TLA131117:TLB131123 TBE131117:TBF131123 SRI131117:SRJ131123 SHM131117:SHN131123 RXQ131117:RXR131123 RNU131117:RNV131123 RDY131117:RDZ131123 QUC131117:QUD131123 QKG131117:QKH131123 QAK131117:QAL131123 PQO131117:PQP131123 PGS131117:PGT131123 OWW131117:OWX131123 ONA131117:ONB131123 ODE131117:ODF131123 NTI131117:NTJ131123 NJM131117:NJN131123 MZQ131117:MZR131123 MPU131117:MPV131123 MFY131117:MFZ131123 LWC131117:LWD131123 LMG131117:LMH131123 LCK131117:LCL131123 KSO131117:KSP131123 KIS131117:KIT131123 JYW131117:JYX131123 JPA131117:JPB131123 JFE131117:JFF131123 IVI131117:IVJ131123 ILM131117:ILN131123 IBQ131117:IBR131123 HRU131117:HRV131123 HHY131117:HHZ131123 GYC131117:GYD131123 GOG131117:GOH131123 GEK131117:GEL131123 FUO131117:FUP131123 FKS131117:FKT131123 FAW131117:FAX131123 ERA131117:ERB131123 EHE131117:EHF131123 DXI131117:DXJ131123 DNM131117:DNN131123 DDQ131117:DDR131123 CTU131117:CTV131123 CJY131117:CJZ131123 CAC131117:CAD131123 BQG131117:BQH131123 BGK131117:BGL131123 AWO131117:AWP131123 AMS131117:AMT131123 ACW131117:ACX131123 TA131117:TB131123 JE131117:JF131123 WVQ65581:WVR65587 WLU65581:WLV65587 WBY65581:WBZ65587 VSC65581:VSD65587 VIG65581:VIH65587 UYK65581:UYL65587 UOO65581:UOP65587 UES65581:UET65587 TUW65581:TUX65587 TLA65581:TLB65587 TBE65581:TBF65587 SRI65581:SRJ65587 SHM65581:SHN65587 RXQ65581:RXR65587 RNU65581:RNV65587 RDY65581:RDZ65587 QUC65581:QUD65587 QKG65581:QKH65587 QAK65581:QAL65587 PQO65581:PQP65587 PGS65581:PGT65587 OWW65581:OWX65587 ONA65581:ONB65587 ODE65581:ODF65587 NTI65581:NTJ65587 NJM65581:NJN65587 MZQ65581:MZR65587 MPU65581:MPV65587 MFY65581:MFZ65587 LWC65581:LWD65587 LMG65581:LMH65587 LCK65581:LCL65587 KSO65581:KSP65587 KIS65581:KIT65587 JYW65581:JYX65587 JPA65581:JPB65587 JFE65581:JFF65587 IVI65581:IVJ65587 ILM65581:ILN65587 IBQ65581:IBR65587 HRU65581:HRV65587 HHY65581:HHZ65587 GYC65581:GYD65587 GOG65581:GOH65587 GEK65581:GEL65587 FUO65581:FUP65587 FKS65581:FKT65587 FAW65581:FAX65587 ERA65581:ERB65587 EHE65581:EHF65587 DXI65581:DXJ65587 DNM65581:DNN65587 DDQ65581:DDR65587 CTU65581:CTV65587 CJY65581:CJZ65587 CAC65581:CAD65587 BQG65581:BQH65587 BGK65581:BGL65587 AWO65581:AWP65587 AMS65581:AMT65587 ACW65581:ACX65587 TA65581:TB65587 JE65581:JF65587 WVP48:WVQ51 WVQ47:WVR47 WVP44:WVQ46 WLT48:WLU51 WLU47:WLV47 WLT44:WLU46 WBX48:WBY51 WBY47:WBZ47 WBX44:WBY46 VSB48:VSC51 VSC47:VSD47 VSB44:VSC46 VIF48:VIG51 VIG47:VIH47 VIF44:VIG46 UYJ48:UYK51 UYK47:UYL47 UYJ44:UYK46 UON48:UOO51 UOO47:UOP47 UON44:UOO46 UER48:UES51 UES47:UET47 UER44:UES46 TUV48:TUW51 TUW47:TUX47 TUV44:TUW46 TKZ48:TLA51 TLA47:TLB47 TKZ44:TLA46 TBD48:TBE51 TBE47:TBF47 TBD44:TBE46 SRH48:SRI51 SRI47:SRJ47 SRH44:SRI46 SHL48:SHM51 SHM47:SHN47 SHL44:SHM46 RXP48:RXQ51 RXQ47:RXR47 RXP44:RXQ46 RNT48:RNU51 RNU47:RNV47 RNT44:RNU46 RDX48:RDY51 RDY47:RDZ47 RDX44:RDY46 QUB48:QUC51 QUC47:QUD47 QUB44:QUC46 QKF48:QKG51 QKG47:QKH47 QKF44:QKG46 QAJ48:QAK51 QAK47:QAL47 QAJ44:QAK46 PQN48:PQO51 PQO47:PQP47 PQN44:PQO46 PGR48:PGS51 PGS47:PGT47 PGR44:PGS46 OWV48:OWW51 OWW47:OWX47 OWV44:OWW46 OMZ48:ONA51 ONA47:ONB47 OMZ44:ONA46 ODD48:ODE51 ODE47:ODF47 ODD44:ODE46 NTH48:NTI51 NTI47:NTJ47 NTH44:NTI46 NJL48:NJM51 NJM47:NJN47 NJL44:NJM46 MZP48:MZQ51 MZQ47:MZR47 MZP44:MZQ46 MPT48:MPU51 MPU47:MPV47 MPT44:MPU46 MFX48:MFY51 MFY47:MFZ47 MFX44:MFY46 LWB48:LWC51 LWC47:LWD47 LWB44:LWC46 LMF48:LMG51 LMG47:LMH47 LMF44:LMG46 LCJ48:LCK51 LCK47:LCL47 LCJ44:LCK46 KSN48:KSO51 KSO47:KSP47 KSN44:KSO46 KIR48:KIS51 KIS47:KIT47 KIR44:KIS46 JYV48:JYW51 JYW47:JYX47 JYV44:JYW46 JOZ48:JPA51 JPA47:JPB47 JOZ44:JPA46 JFD48:JFE51 JFE47:JFF47 JFD44:JFE46 IVH48:IVI51 IVI47:IVJ47 IVH44:IVI46 ILL48:ILM51 ILM47:ILN47 ILL44:ILM46 IBP48:IBQ51 IBQ47:IBR47 IBP44:IBQ46 HRT48:HRU51 HRU47:HRV47 HRT44:HRU46 HHX48:HHY51 HHY47:HHZ47 HHX44:HHY46 GYB48:GYC51 GYC47:GYD47 GYB44:GYC46 GOF48:GOG51 GOG47:GOH47 GOF44:GOG46 GEJ48:GEK51 GEK47:GEL47 GEJ44:GEK46 FUN48:FUO51 FUO47:FUP47 FUN44:FUO46 FKR48:FKS51 FKS47:FKT47 FKR44:FKS46 FAV48:FAW51 FAW47:FAX47 FAV44:FAW46 EQZ48:ERA51 ERA47:ERB47 EQZ44:ERA46 EHD48:EHE51 EHE47:EHF47 EHD44:EHE46 DXH48:DXI51 DXI47:DXJ47 DXH44:DXI46 DNL48:DNM51 DNM47:DNN47 DNL44:DNM46 DDP48:DDQ51 DDQ47:DDR47 DDP44:DDQ46 CTT48:CTU51 CTU47:CTV47 CTT44:CTU46 CJX48:CJY51 CJY47:CJZ47 CJX44:CJY46 CAB48:CAC51 CAC47:CAD47 CAB44:CAC46 BQF48:BQG51 BQG47:BQH47 BQF44:BQG46 BGJ48:BGK51 BGK47:BGL47 BGJ44:BGK46 AWN48:AWO51 AWO47:AWP47 AWN44:AWO46 AMR48:AMS51 AMS47:AMT47 AMR44:AMS46 ACV48:ACW51 ACW47:ACX47 ACV44:ACW46 SZ48:TA51 TA47:TB47 SZ44:TA46 JD48:JE51 JE47:JF47 JD44:JE46 WVQ983094:WVR983098 WLU983094:WLV983098 WBY983094:WBZ983098 VSC983094:VSD983098 VIG983094:VIH983098 UYK983094:UYL983098 UOO983094:UOP983098 UES983094:UET983098 TUW983094:TUX983098 TLA983094:TLB983098 TBE983094:TBF983098 SRI983094:SRJ983098 SHM983094:SHN983098 RXQ983094:RXR983098 RNU983094:RNV983098 RDY983094:RDZ983098 QUC983094:QUD983098 QKG983094:QKH983098 QAK983094:QAL983098 PQO983094:PQP983098 PGS983094:PGT983098 OWW983094:OWX983098 ONA983094:ONB983098 ODE983094:ODF983098 NTI983094:NTJ983098 NJM983094:NJN983098 MZQ983094:MZR983098 MPU983094:MPV983098 MFY983094:MFZ983098 LWC983094:LWD983098 LMG983094:LMH983098 LCK983094:LCL983098 KSO983094:KSP983098 KIS983094:KIT983098 JYW983094:JYX983098 JPA983094:JPB983098 JFE983094:JFF983098 IVI983094:IVJ983098 ILM983094:ILN983098 IBQ983094:IBR983098 HRU983094:HRV983098 HHY983094:HHZ983098 GYC983094:GYD983098 GOG983094:GOH983098 GEK983094:GEL983098 FUO983094:FUP983098 FKS983094:FKT983098 FAW983094:FAX983098 ERA983094:ERB983098 EHE983094:EHF983098 DXI983094:DXJ983098 DNM983094:DNN983098 DDQ983094:DDR983098 CTU983094:CTV983098 CJY983094:CJZ983098 CAC983094:CAD983098 BQG983094:BQH983098 BGK983094:BGL983098 AWO983094:AWP983098 AMS983094:AMT983098 ACW983094:ACX983098 TA983094:TB983098 JE983094:JF983098 WVQ917558:WVR917562 WLU917558:WLV917562 WBY917558:WBZ917562 VSC917558:VSD917562 VIG917558:VIH917562 UYK917558:UYL917562 UOO917558:UOP917562 UES917558:UET917562 TUW917558:TUX917562 TLA917558:TLB917562 TBE917558:TBF917562 SRI917558:SRJ917562 SHM917558:SHN917562 RXQ917558:RXR917562 RNU917558:RNV917562 RDY917558:RDZ917562 QUC917558:QUD917562 QKG917558:QKH917562 QAK917558:QAL917562 PQO917558:PQP917562 PGS917558:PGT917562 OWW917558:OWX917562 ONA917558:ONB917562 ODE917558:ODF917562 NTI917558:NTJ917562 NJM917558:NJN917562 MZQ917558:MZR917562 MPU917558:MPV917562 MFY917558:MFZ917562 LWC917558:LWD917562 LMG917558:LMH917562 LCK917558:LCL917562 KSO917558:KSP917562 KIS917558:KIT917562 JYW917558:JYX917562 JPA917558:JPB917562 JFE917558:JFF917562 IVI917558:IVJ917562 ILM917558:ILN917562 IBQ917558:IBR917562 HRU917558:HRV917562 HHY917558:HHZ917562 GYC917558:GYD917562 GOG917558:GOH917562 GEK917558:GEL917562 FUO917558:FUP917562 FKS917558:FKT917562 FAW917558:FAX917562 ERA917558:ERB917562 EHE917558:EHF917562 DXI917558:DXJ917562 DNM917558:DNN917562 DDQ917558:DDR917562 CTU917558:CTV917562 CJY917558:CJZ917562 CAC917558:CAD917562 BQG917558:BQH917562 BGK917558:BGL917562 AWO917558:AWP917562 AMS917558:AMT917562 ACW917558:ACX917562 TA917558:TB917562 JE917558:JF917562 WVQ852022:WVR852026 WLU852022:WLV852026 WBY852022:WBZ852026 VSC852022:VSD852026 VIG852022:VIH852026 UYK852022:UYL852026 UOO852022:UOP852026 UES852022:UET852026 TUW852022:TUX852026 TLA852022:TLB852026 TBE852022:TBF852026 SRI852022:SRJ852026 SHM852022:SHN852026 RXQ852022:RXR852026 RNU852022:RNV852026 RDY852022:RDZ852026 QUC852022:QUD852026 QKG852022:QKH852026 QAK852022:QAL852026 PQO852022:PQP852026 PGS852022:PGT852026 OWW852022:OWX852026 ONA852022:ONB852026 ODE852022:ODF852026 NTI852022:NTJ852026 NJM852022:NJN852026 MZQ852022:MZR852026 MPU852022:MPV852026 MFY852022:MFZ852026 LWC852022:LWD852026 LMG852022:LMH852026 LCK852022:LCL852026 KSO852022:KSP852026 KIS852022:KIT852026 JYW852022:JYX852026 JPA852022:JPB852026 JFE852022:JFF852026 IVI852022:IVJ852026 ILM852022:ILN852026 IBQ852022:IBR852026 HRU852022:HRV852026 HHY852022:HHZ852026 GYC852022:GYD852026 GOG852022:GOH852026 GEK852022:GEL852026 FUO852022:FUP852026 FKS852022:FKT852026 FAW852022:FAX852026 ERA852022:ERB852026 EHE852022:EHF852026 DXI852022:DXJ852026 DNM852022:DNN852026 DDQ852022:DDR852026 CTU852022:CTV852026 CJY852022:CJZ852026 CAC852022:CAD852026 BQG852022:BQH852026 BGK852022:BGL852026 AWO852022:AWP852026 AMS852022:AMT852026 ACW852022:ACX852026 TA852022:TB852026 JE852022:JF852026 WVQ786486:WVR786490 WLU786486:WLV786490 WBY786486:WBZ786490 VSC786486:VSD786490 VIG786486:VIH786490 UYK786486:UYL786490 UOO786486:UOP786490 UES786486:UET786490 TUW786486:TUX786490 TLA786486:TLB786490 TBE786486:TBF786490 SRI786486:SRJ786490 SHM786486:SHN786490 RXQ786486:RXR786490 RNU786486:RNV786490 RDY786486:RDZ786490 QUC786486:QUD786490 QKG786486:QKH786490 QAK786486:QAL786490 PQO786486:PQP786490 PGS786486:PGT786490 OWW786486:OWX786490 ONA786486:ONB786490 ODE786486:ODF786490 NTI786486:NTJ786490 NJM786486:NJN786490 MZQ786486:MZR786490 MPU786486:MPV786490 MFY786486:MFZ786490 LWC786486:LWD786490 LMG786486:LMH786490 LCK786486:LCL786490 KSO786486:KSP786490 KIS786486:KIT786490 JYW786486:JYX786490 JPA786486:JPB786490 JFE786486:JFF786490 IVI786486:IVJ786490 ILM786486:ILN786490 IBQ786486:IBR786490 HRU786486:HRV786490 HHY786486:HHZ786490 GYC786486:GYD786490 GOG786486:GOH786490 GEK786486:GEL786490 FUO786486:FUP786490 FKS786486:FKT786490 FAW786486:FAX786490 ERA786486:ERB786490 EHE786486:EHF786490 DXI786486:DXJ786490 DNM786486:DNN786490 DDQ786486:DDR786490 CTU786486:CTV786490 CJY786486:CJZ786490 CAC786486:CAD786490 BQG786486:BQH786490 BGK786486:BGL786490 AWO786486:AWP786490 AMS786486:AMT786490 ACW786486:ACX786490 TA786486:TB786490 JE786486:JF786490 WVQ720950:WVR720954 WLU720950:WLV720954 WBY720950:WBZ720954 VSC720950:VSD720954 VIG720950:VIH720954 UYK720950:UYL720954 UOO720950:UOP720954 UES720950:UET720954 TUW720950:TUX720954 TLA720950:TLB720954 TBE720950:TBF720954 SRI720950:SRJ720954 SHM720950:SHN720954 RXQ720950:RXR720954 RNU720950:RNV720954 RDY720950:RDZ720954 QUC720950:QUD720954 QKG720950:QKH720954 QAK720950:QAL720954 PQO720950:PQP720954 PGS720950:PGT720954 OWW720950:OWX720954 ONA720950:ONB720954 ODE720950:ODF720954 NTI720950:NTJ720954 NJM720950:NJN720954 MZQ720950:MZR720954 MPU720950:MPV720954 MFY720950:MFZ720954 LWC720950:LWD720954 LMG720950:LMH720954 LCK720950:LCL720954 KSO720950:KSP720954 KIS720950:KIT720954 JYW720950:JYX720954 JPA720950:JPB720954 JFE720950:JFF720954 IVI720950:IVJ720954 ILM720950:ILN720954 IBQ720950:IBR720954 HRU720950:HRV720954 HHY720950:HHZ720954 GYC720950:GYD720954 GOG720950:GOH720954 GEK720950:GEL720954 FUO720950:FUP720954 FKS720950:FKT720954 FAW720950:FAX720954 ERA720950:ERB720954 EHE720950:EHF720954 DXI720950:DXJ720954 DNM720950:DNN720954 DDQ720950:DDR720954 CTU720950:CTV720954 CJY720950:CJZ720954 CAC720950:CAD720954 BQG720950:BQH720954 BGK720950:BGL720954 AWO720950:AWP720954 AMS720950:AMT720954 ACW720950:ACX720954 TA720950:TB720954 JE720950:JF720954 WVQ655414:WVR655418 WLU655414:WLV655418 WBY655414:WBZ655418 VSC655414:VSD655418 VIG655414:VIH655418 UYK655414:UYL655418 UOO655414:UOP655418 UES655414:UET655418 TUW655414:TUX655418 TLA655414:TLB655418 TBE655414:TBF655418 SRI655414:SRJ655418 SHM655414:SHN655418 RXQ655414:RXR655418 RNU655414:RNV655418 RDY655414:RDZ655418 QUC655414:QUD655418 QKG655414:QKH655418 QAK655414:QAL655418 PQO655414:PQP655418 PGS655414:PGT655418 OWW655414:OWX655418 ONA655414:ONB655418 ODE655414:ODF655418 NTI655414:NTJ655418 NJM655414:NJN655418 MZQ655414:MZR655418 MPU655414:MPV655418 MFY655414:MFZ655418 LWC655414:LWD655418 LMG655414:LMH655418 LCK655414:LCL655418 KSO655414:KSP655418 KIS655414:KIT655418 JYW655414:JYX655418 JPA655414:JPB655418 JFE655414:JFF655418 IVI655414:IVJ655418 ILM655414:ILN655418 IBQ655414:IBR655418 HRU655414:HRV655418 HHY655414:HHZ655418 GYC655414:GYD655418 GOG655414:GOH655418 GEK655414:GEL655418 FUO655414:FUP655418 FKS655414:FKT655418 FAW655414:FAX655418 ERA655414:ERB655418 EHE655414:EHF655418 DXI655414:DXJ655418 DNM655414:DNN655418 DDQ655414:DDR655418 CTU655414:CTV655418 CJY655414:CJZ655418 CAC655414:CAD655418 BQG655414:BQH655418 BGK655414:BGL655418 AWO655414:AWP655418 AMS655414:AMT655418 ACW655414:ACX655418 TA655414:TB655418 JE655414:JF655418 WVQ589878:WVR589882 WLU589878:WLV589882 WBY589878:WBZ589882 VSC589878:VSD589882 VIG589878:VIH589882 UYK589878:UYL589882 UOO589878:UOP589882 UES589878:UET589882 TUW589878:TUX589882 TLA589878:TLB589882 TBE589878:TBF589882 SRI589878:SRJ589882 SHM589878:SHN589882 RXQ589878:RXR589882 RNU589878:RNV589882 RDY589878:RDZ589882 QUC589878:QUD589882 QKG589878:QKH589882 QAK589878:QAL589882 PQO589878:PQP589882 PGS589878:PGT589882 OWW589878:OWX589882 ONA589878:ONB589882 ODE589878:ODF589882 NTI589878:NTJ589882 NJM589878:NJN589882 MZQ589878:MZR589882 MPU589878:MPV589882 MFY589878:MFZ589882 LWC589878:LWD589882 LMG589878:LMH589882 LCK589878:LCL589882 KSO589878:KSP589882 KIS589878:KIT589882 JYW589878:JYX589882 JPA589878:JPB589882 JFE589878:JFF589882 IVI589878:IVJ589882 ILM589878:ILN589882 IBQ589878:IBR589882 HRU589878:HRV589882 HHY589878:HHZ589882 GYC589878:GYD589882 GOG589878:GOH589882 GEK589878:GEL589882 FUO589878:FUP589882 FKS589878:FKT589882 FAW589878:FAX589882 ERA589878:ERB589882 EHE589878:EHF589882 DXI589878:DXJ589882 DNM589878:DNN589882 DDQ589878:DDR589882 CTU589878:CTV589882 CJY589878:CJZ589882 CAC589878:CAD589882 BQG589878:BQH589882 BGK589878:BGL589882 AWO589878:AWP589882 AMS589878:AMT589882 ACW589878:ACX589882 TA589878:TB589882 JE589878:JF589882 WVQ524342:WVR524346 WLU524342:WLV524346 WBY524342:WBZ524346 VSC524342:VSD524346 VIG524342:VIH524346 UYK524342:UYL524346 UOO524342:UOP524346 UES524342:UET524346 TUW524342:TUX524346 TLA524342:TLB524346 TBE524342:TBF524346 SRI524342:SRJ524346 SHM524342:SHN524346 RXQ524342:RXR524346 RNU524342:RNV524346 RDY524342:RDZ524346 QUC524342:QUD524346 QKG524342:QKH524346 QAK524342:QAL524346 PQO524342:PQP524346 PGS524342:PGT524346 OWW524342:OWX524346 ONA524342:ONB524346 ODE524342:ODF524346 NTI524342:NTJ524346 NJM524342:NJN524346 MZQ524342:MZR524346 MPU524342:MPV524346 MFY524342:MFZ524346 LWC524342:LWD524346 LMG524342:LMH524346 LCK524342:LCL524346 KSO524342:KSP524346 KIS524342:KIT524346 JYW524342:JYX524346 JPA524342:JPB524346 JFE524342:JFF524346 IVI524342:IVJ524346 ILM524342:ILN524346 IBQ524342:IBR524346 HRU524342:HRV524346 HHY524342:HHZ524346 GYC524342:GYD524346 GOG524342:GOH524346 GEK524342:GEL524346 FUO524342:FUP524346 FKS524342:FKT524346 FAW524342:FAX524346 ERA524342:ERB524346 EHE524342:EHF524346 DXI524342:DXJ524346 DNM524342:DNN524346 DDQ524342:DDR524346 CTU524342:CTV524346 CJY524342:CJZ524346 CAC524342:CAD524346 BQG524342:BQH524346 BGK524342:BGL524346 AWO524342:AWP524346 AMS524342:AMT524346 ACW524342:ACX524346 TA524342:TB524346 JE524342:JF524346 WVQ458806:WVR458810 WLU458806:WLV458810 WBY458806:WBZ458810 VSC458806:VSD458810 VIG458806:VIH458810 UYK458806:UYL458810 UOO458806:UOP458810 UES458806:UET458810 TUW458806:TUX458810 TLA458806:TLB458810 TBE458806:TBF458810 SRI458806:SRJ458810 SHM458806:SHN458810 RXQ458806:RXR458810 RNU458806:RNV458810 RDY458806:RDZ458810 QUC458806:QUD458810 QKG458806:QKH458810 QAK458806:QAL458810 PQO458806:PQP458810 PGS458806:PGT458810 OWW458806:OWX458810 ONA458806:ONB458810 ODE458806:ODF458810 NTI458806:NTJ458810 NJM458806:NJN458810 MZQ458806:MZR458810 MPU458806:MPV458810 MFY458806:MFZ458810 LWC458806:LWD458810 LMG458806:LMH458810 LCK458806:LCL458810 KSO458806:KSP458810 KIS458806:KIT458810 JYW458806:JYX458810 JPA458806:JPB458810 JFE458806:JFF458810 IVI458806:IVJ458810 ILM458806:ILN458810 IBQ458806:IBR458810 HRU458806:HRV458810 HHY458806:HHZ458810 GYC458806:GYD458810 GOG458806:GOH458810 GEK458806:GEL458810 FUO458806:FUP458810 FKS458806:FKT458810 FAW458806:FAX458810 ERA458806:ERB458810 EHE458806:EHF458810 DXI458806:DXJ458810 DNM458806:DNN458810 DDQ458806:DDR458810 CTU458806:CTV458810 CJY458806:CJZ458810 CAC458806:CAD458810 BQG458806:BQH458810 BGK458806:BGL458810 AWO458806:AWP458810 AMS458806:AMT458810 ACW458806:ACX458810 TA458806:TB458810 JE458806:JF458810 WVQ393270:WVR393274 WLU393270:WLV393274 WBY393270:WBZ393274 VSC393270:VSD393274 VIG393270:VIH393274 UYK393270:UYL393274 UOO393270:UOP393274 UES393270:UET393274 TUW393270:TUX393274 TLA393270:TLB393274 TBE393270:TBF393274 SRI393270:SRJ393274 SHM393270:SHN393274 RXQ393270:RXR393274 RNU393270:RNV393274 RDY393270:RDZ393274 QUC393270:QUD393274 QKG393270:QKH393274 QAK393270:QAL393274 PQO393270:PQP393274 PGS393270:PGT393274 OWW393270:OWX393274 ONA393270:ONB393274 ODE393270:ODF393274 NTI393270:NTJ393274 NJM393270:NJN393274 MZQ393270:MZR393274 MPU393270:MPV393274 MFY393270:MFZ393274 LWC393270:LWD393274 LMG393270:LMH393274 LCK393270:LCL393274 KSO393270:KSP393274 KIS393270:KIT393274 JYW393270:JYX393274 JPA393270:JPB393274 JFE393270:JFF393274 IVI393270:IVJ393274 ILM393270:ILN393274 IBQ393270:IBR393274 HRU393270:HRV393274 HHY393270:HHZ393274 GYC393270:GYD393274 GOG393270:GOH393274 GEK393270:GEL393274 FUO393270:FUP393274 FKS393270:FKT393274 FAW393270:FAX393274 ERA393270:ERB393274 EHE393270:EHF393274 DXI393270:DXJ393274 DNM393270:DNN393274 DDQ393270:DDR393274 CTU393270:CTV393274 CJY393270:CJZ393274 CAC393270:CAD393274 BQG393270:BQH393274 BGK393270:BGL393274 AWO393270:AWP393274 AMS393270:AMT393274 ACW393270:ACX393274 TA393270:TB393274 JE393270:JF393274 WVQ327734:WVR327738 WLU327734:WLV327738 WBY327734:WBZ327738 VSC327734:VSD327738 VIG327734:VIH327738 UYK327734:UYL327738 UOO327734:UOP327738 UES327734:UET327738 TUW327734:TUX327738 TLA327734:TLB327738 TBE327734:TBF327738 SRI327734:SRJ327738 SHM327734:SHN327738 RXQ327734:RXR327738 RNU327734:RNV327738 RDY327734:RDZ327738 QUC327734:QUD327738 QKG327734:QKH327738 QAK327734:QAL327738 PQO327734:PQP327738 PGS327734:PGT327738 OWW327734:OWX327738 ONA327734:ONB327738 ODE327734:ODF327738 NTI327734:NTJ327738 NJM327734:NJN327738 MZQ327734:MZR327738 MPU327734:MPV327738 MFY327734:MFZ327738 LWC327734:LWD327738 LMG327734:LMH327738 LCK327734:LCL327738 KSO327734:KSP327738 KIS327734:KIT327738 JYW327734:JYX327738 JPA327734:JPB327738 JFE327734:JFF327738 IVI327734:IVJ327738 ILM327734:ILN327738 IBQ327734:IBR327738 HRU327734:HRV327738 HHY327734:HHZ327738 GYC327734:GYD327738 GOG327734:GOH327738 GEK327734:GEL327738 FUO327734:FUP327738 FKS327734:FKT327738 FAW327734:FAX327738 ERA327734:ERB327738 EHE327734:EHF327738 DXI327734:DXJ327738 DNM327734:DNN327738 DDQ327734:DDR327738 CTU327734:CTV327738 CJY327734:CJZ327738 CAC327734:CAD327738 BQG327734:BQH327738 BGK327734:BGL327738 AWO327734:AWP327738 AMS327734:AMT327738 ACW327734:ACX327738 TA327734:TB327738 JE327734:JF327738 WVQ262198:WVR262202 WLU262198:WLV262202 WBY262198:WBZ262202 VSC262198:VSD262202 VIG262198:VIH262202 UYK262198:UYL262202 UOO262198:UOP262202 UES262198:UET262202 TUW262198:TUX262202 TLA262198:TLB262202 TBE262198:TBF262202 SRI262198:SRJ262202 SHM262198:SHN262202 RXQ262198:RXR262202 RNU262198:RNV262202 RDY262198:RDZ262202 QUC262198:QUD262202 QKG262198:QKH262202 QAK262198:QAL262202 PQO262198:PQP262202 PGS262198:PGT262202 OWW262198:OWX262202 ONA262198:ONB262202 ODE262198:ODF262202 NTI262198:NTJ262202 NJM262198:NJN262202 MZQ262198:MZR262202 MPU262198:MPV262202 MFY262198:MFZ262202 LWC262198:LWD262202 LMG262198:LMH262202 LCK262198:LCL262202 KSO262198:KSP262202 KIS262198:KIT262202 JYW262198:JYX262202 JPA262198:JPB262202 JFE262198:JFF262202 IVI262198:IVJ262202 ILM262198:ILN262202 IBQ262198:IBR262202 HRU262198:HRV262202 HHY262198:HHZ262202 GYC262198:GYD262202 GOG262198:GOH262202 GEK262198:GEL262202 FUO262198:FUP262202 FKS262198:FKT262202 FAW262198:FAX262202 ERA262198:ERB262202 EHE262198:EHF262202 DXI262198:DXJ262202 DNM262198:DNN262202 DDQ262198:DDR262202 CTU262198:CTV262202 CJY262198:CJZ262202 CAC262198:CAD262202 BQG262198:BQH262202 BGK262198:BGL262202 AWO262198:AWP262202 AMS262198:AMT262202 ACW262198:ACX262202 TA262198:TB262202 JE262198:JF262202 WVQ196662:WVR196666 WLU196662:WLV196666 WBY196662:WBZ196666 VSC196662:VSD196666 VIG196662:VIH196666 UYK196662:UYL196666 UOO196662:UOP196666 UES196662:UET196666 TUW196662:TUX196666 TLA196662:TLB196666 TBE196662:TBF196666 SRI196662:SRJ196666 SHM196662:SHN196666 RXQ196662:RXR196666 RNU196662:RNV196666 RDY196662:RDZ196666 QUC196662:QUD196666 QKG196662:QKH196666 QAK196662:QAL196666 PQO196662:PQP196666 PGS196662:PGT196666 OWW196662:OWX196666 ONA196662:ONB196666 ODE196662:ODF196666 NTI196662:NTJ196666 NJM196662:NJN196666 MZQ196662:MZR196666 MPU196662:MPV196666 MFY196662:MFZ196666 LWC196662:LWD196666 LMG196662:LMH196666 LCK196662:LCL196666 KSO196662:KSP196666 KIS196662:KIT196666 JYW196662:JYX196666 JPA196662:JPB196666 JFE196662:JFF196666 IVI196662:IVJ196666 ILM196662:ILN196666 IBQ196662:IBR196666 HRU196662:HRV196666 HHY196662:HHZ196666 GYC196662:GYD196666 GOG196662:GOH196666 GEK196662:GEL196666 FUO196662:FUP196666 FKS196662:FKT196666 FAW196662:FAX196666 ERA196662:ERB196666 EHE196662:EHF196666 DXI196662:DXJ196666 DNM196662:DNN196666 DDQ196662:DDR196666 CTU196662:CTV196666 CJY196662:CJZ196666 CAC196662:CAD196666 BQG196662:BQH196666 BGK196662:BGL196666 AWO196662:AWP196666 AMS196662:AMT196666 ACW196662:ACX196666 TA196662:TB196666 JE196662:JF196666 WVQ131126:WVR131130 WLU131126:WLV131130 WBY131126:WBZ131130 VSC131126:VSD131130 VIG131126:VIH131130 UYK131126:UYL131130 UOO131126:UOP131130 UES131126:UET131130 TUW131126:TUX131130 TLA131126:TLB131130 TBE131126:TBF131130 SRI131126:SRJ131130 SHM131126:SHN131130 RXQ131126:RXR131130 RNU131126:RNV131130 RDY131126:RDZ131130 QUC131126:QUD131130 QKG131126:QKH131130 QAK131126:QAL131130 PQO131126:PQP131130 PGS131126:PGT131130 OWW131126:OWX131130 ONA131126:ONB131130 ODE131126:ODF131130 NTI131126:NTJ131130 NJM131126:NJN131130 MZQ131126:MZR131130 MPU131126:MPV131130 MFY131126:MFZ131130 LWC131126:LWD131130 LMG131126:LMH131130 LCK131126:LCL131130 KSO131126:KSP131130 KIS131126:KIT131130 JYW131126:JYX131130 JPA131126:JPB131130 JFE131126:JFF131130 IVI131126:IVJ131130 ILM131126:ILN131130 IBQ131126:IBR131130 HRU131126:HRV131130 HHY131126:HHZ131130 GYC131126:GYD131130 GOG131126:GOH131130 GEK131126:GEL131130 FUO131126:FUP131130 FKS131126:FKT131130 FAW131126:FAX131130 ERA131126:ERB131130 EHE131126:EHF131130 DXI131126:DXJ131130 DNM131126:DNN131130 DDQ131126:DDR131130 CTU131126:CTV131130 CJY131126:CJZ131130 CAC131126:CAD131130 BQG131126:BQH131130 BGK131126:BGL131130 AWO131126:AWP131130 AMS131126:AMT131130 ACW131126:ACX131130 TA131126:TB131130 JE131126:JF131130 WVQ65590:WVR65594 WLU65590:WLV65594 WBY65590:WBZ65594 VSC65590:VSD65594 VIG65590:VIH65594 UYK65590:UYL65594 UOO65590:UOP65594 UES65590:UET65594 TUW65590:TUX65594 TLA65590:TLB65594 TBE65590:TBF65594 SRI65590:SRJ65594 SHM65590:SHN65594 RXQ65590:RXR65594 RNU65590:RNV65594 RDY65590:RDZ65594 QUC65590:QUD65594 QKG65590:QKH65594 QAK65590:QAL65594 PQO65590:PQP65594 PGS65590:PGT65594 OWW65590:OWX65594 ONA65590:ONB65594 ODE65590:ODF65594 NTI65590:NTJ65594 NJM65590:NJN65594 MZQ65590:MZR65594 MPU65590:MPV65594 MFY65590:MFZ65594 LWC65590:LWD65594 LMG65590:LMH65594 LCK65590:LCL65594 KSO65590:KSP65594 KIS65590:KIT65594 JYW65590:JYX65594 JPA65590:JPB65594 JFE65590:JFF65594 IVI65590:IVJ65594 ILM65590:ILN65594 IBQ65590:IBR65594 HRU65590:HRV65594 HHY65590:HHZ65594 GYC65590:GYD65594 GOG65590:GOH65594 GEK65590:GEL65594 FUO65590:FUP65594 FKS65590:FKT65594 FAW65590:FAX65594 ERA65590:ERB65594 EHE65590:EHF65594 DXI65590:DXJ65594 DNM65590:DNN65594 DDQ65590:DDR65594 CTU65590:CTV65594 CJY65590:CJZ65594 CAC65590:CAD65594 BQG65590:BQH65594 BGK65590:BGL65594 AWO65590:AWP65594 AMS65590:AMT65594 ACW65590:ACX65594 TA65590:TB65594 JE65590:JF65594 WVP54:WVQ56 WVQ57:WVR58 WLT54:WLU56 WLU57:WLV58 WBX54:WBY56 WBY57:WBZ58 VSB54:VSC56 VSC57:VSD58 VIF54:VIG56 VIG57:VIH58 UYJ54:UYK56 UYK57:UYL58 UON54:UOO56 UOO57:UOP58 UER54:UES56 UES57:UET58 TUV54:TUW56 TUW57:TUX58 TKZ54:TLA56 TLA57:TLB58 TBD54:TBE56 TBE57:TBF58 SRH54:SRI56 SRI57:SRJ58 SHL54:SHM56 SHM57:SHN58 RXP54:RXQ56 RXQ57:RXR58 RNT54:RNU56 RNU57:RNV58 RDX54:RDY56 RDY57:RDZ58 QUB54:QUC56 QUC57:QUD58 QKF54:QKG56 QKG57:QKH58 QAJ54:QAK56 QAK57:QAL58 PQN54:PQO56 PQO57:PQP58 PGR54:PGS56 PGS57:PGT58 OWV54:OWW56 OWW57:OWX58 OMZ54:ONA56 ONA57:ONB58 ODD54:ODE56 ODE57:ODF58 NTH54:NTI56 NTI57:NTJ58 NJL54:NJM56 NJM57:NJN58 MZP54:MZQ56 MZQ57:MZR58 MPT54:MPU56 MPU57:MPV58 MFX54:MFY56 MFY57:MFZ58 LWB54:LWC56 LWC57:LWD58 LMF54:LMG56 LMG57:LMH58 LCJ54:LCK56 LCK57:LCL58 KSN54:KSO56 KSO57:KSP58 KIR54:KIS56 KIS57:KIT58 JYV54:JYW56 JYW57:JYX58 JOZ54:JPA56 JPA57:JPB58 JFD54:JFE56 JFE57:JFF58 IVH54:IVI56 IVI57:IVJ58 ILL54:ILM56 ILM57:ILN58 IBP54:IBQ56 IBQ57:IBR58 HRT54:HRU56 HRU57:HRV58 HHX54:HHY56 HHY57:HHZ58 GYB54:GYC56 GYC57:GYD58 GOF54:GOG56 GOG57:GOH58 GEJ54:GEK56 GEK57:GEL58 FUN54:FUO56 FUO57:FUP58 FKR54:FKS56 FKS57:FKT58 FAV54:FAW56 FAW57:FAX58 EQZ54:ERA56 ERA57:ERB58 EHD54:EHE56 EHE57:EHF58 DXH54:DXI56 DXI57:DXJ58 DNL54:DNM56 DNM57:DNN58 DDP54:DDQ56 DDQ57:DDR58 CTT54:CTU56 CTU57:CTV58 CJX54:CJY56 CJY57:CJZ58 CAB54:CAC56 CAC57:CAD58 BQF54:BQG56 BQG57:BQH58 BGJ54:BGK56 BGK57:BGL58 AWN54:AWO56 AWO57:AWP58 AMR54:AMS56 AMS57:AMT58 ACV54:ACW56 ACW57:ACX58 SZ54:TA56 TA57:TB58 JD54:JE56 JE57:JF58 WVR983099:WVR983100 WLV983099:WLV983100 WBZ983099:WBZ983100 VSD983099:VSD983100 VIH983099:VIH983100 UYL983099:UYL983100 UOP983099:UOP983100 UET983099:UET983100 TUX983099:TUX983100 TLB983099:TLB983100 TBF983099:TBF983100 SRJ983099:SRJ983100 SHN983099:SHN983100 RXR983099:RXR983100 RNV983099:RNV983100 RDZ983099:RDZ983100 QUD983099:QUD983100 QKH983099:QKH983100 QAL983099:QAL983100 PQP983099:PQP983100 PGT983099:PGT983100 OWX983099:OWX983100 ONB983099:ONB983100 ODF983099:ODF983100 NTJ983099:NTJ983100 NJN983099:NJN983100 MZR983099:MZR983100 MPV983099:MPV983100 MFZ983099:MFZ983100 LWD983099:LWD983100 LMH983099:LMH983100 LCL983099:LCL983100 KSP983099:KSP983100 KIT983099:KIT983100 JYX983099:JYX983100 JPB983099:JPB983100 JFF983099:JFF983100 IVJ983099:IVJ983100 ILN983099:ILN983100 IBR983099:IBR983100 HRV983099:HRV983100 HHZ983099:HHZ983100 GYD983099:GYD983100 GOH983099:GOH983100 GEL983099:GEL983100 FUP983099:FUP983100 FKT983099:FKT983100 FAX983099:FAX983100 ERB983099:ERB983100 EHF983099:EHF983100 DXJ983099:DXJ983100 DNN983099:DNN983100 DDR983099:DDR983100 CTV983099:CTV983100 CJZ983099:CJZ983100 CAD983099:CAD983100 BQH983099:BQH983100 BGL983099:BGL983100 AWP983099:AWP983100 AMT983099:AMT983100 ACX983099:ACX983100 TB983099:TB983100 JF983099:JF983100 WVR917563:WVR917564 WLV917563:WLV917564 WBZ917563:WBZ917564 VSD917563:VSD917564 VIH917563:VIH917564 UYL917563:UYL917564 UOP917563:UOP917564 UET917563:UET917564 TUX917563:TUX917564 TLB917563:TLB917564 TBF917563:TBF917564 SRJ917563:SRJ917564 SHN917563:SHN917564 RXR917563:RXR917564 RNV917563:RNV917564 RDZ917563:RDZ917564 QUD917563:QUD917564 QKH917563:QKH917564 QAL917563:QAL917564 PQP917563:PQP917564 PGT917563:PGT917564 OWX917563:OWX917564 ONB917563:ONB917564 ODF917563:ODF917564 NTJ917563:NTJ917564 NJN917563:NJN917564 MZR917563:MZR917564 MPV917563:MPV917564 MFZ917563:MFZ917564 LWD917563:LWD917564 LMH917563:LMH917564 LCL917563:LCL917564 KSP917563:KSP917564 KIT917563:KIT917564 JYX917563:JYX917564 JPB917563:JPB917564 JFF917563:JFF917564 IVJ917563:IVJ917564 ILN917563:ILN917564 IBR917563:IBR917564 HRV917563:HRV917564 HHZ917563:HHZ917564 GYD917563:GYD917564 GOH917563:GOH917564 GEL917563:GEL917564 FUP917563:FUP917564 FKT917563:FKT917564 FAX917563:FAX917564 ERB917563:ERB917564 EHF917563:EHF917564 DXJ917563:DXJ917564 DNN917563:DNN917564 DDR917563:DDR917564 CTV917563:CTV917564 CJZ917563:CJZ917564 CAD917563:CAD917564 BQH917563:BQH917564 BGL917563:BGL917564 AWP917563:AWP917564 AMT917563:AMT917564 ACX917563:ACX917564 TB917563:TB917564 JF917563:JF917564 WVR852027:WVR852028 WLV852027:WLV852028 WBZ852027:WBZ852028 VSD852027:VSD852028 VIH852027:VIH852028 UYL852027:UYL852028 UOP852027:UOP852028 UET852027:UET852028 TUX852027:TUX852028 TLB852027:TLB852028 TBF852027:TBF852028 SRJ852027:SRJ852028 SHN852027:SHN852028 RXR852027:RXR852028 RNV852027:RNV852028 RDZ852027:RDZ852028 QUD852027:QUD852028 QKH852027:QKH852028 QAL852027:QAL852028 PQP852027:PQP852028 PGT852027:PGT852028 OWX852027:OWX852028 ONB852027:ONB852028 ODF852027:ODF852028 NTJ852027:NTJ852028 NJN852027:NJN852028 MZR852027:MZR852028 MPV852027:MPV852028 MFZ852027:MFZ852028 LWD852027:LWD852028 LMH852027:LMH852028 LCL852027:LCL852028 KSP852027:KSP852028 KIT852027:KIT852028 JYX852027:JYX852028 JPB852027:JPB852028 JFF852027:JFF852028 IVJ852027:IVJ852028 ILN852027:ILN852028 IBR852027:IBR852028 HRV852027:HRV852028 HHZ852027:HHZ852028 GYD852027:GYD852028 GOH852027:GOH852028 GEL852027:GEL852028 FUP852027:FUP852028 FKT852027:FKT852028 FAX852027:FAX852028 ERB852027:ERB852028 EHF852027:EHF852028 DXJ852027:DXJ852028 DNN852027:DNN852028 DDR852027:DDR852028 CTV852027:CTV852028 CJZ852027:CJZ852028 CAD852027:CAD852028 BQH852027:BQH852028 BGL852027:BGL852028 AWP852027:AWP852028 AMT852027:AMT852028 ACX852027:ACX852028 TB852027:TB852028 JF852027:JF852028 WVR786491:WVR786492 WLV786491:WLV786492 WBZ786491:WBZ786492 VSD786491:VSD786492 VIH786491:VIH786492 UYL786491:UYL786492 UOP786491:UOP786492 UET786491:UET786492 TUX786491:TUX786492 TLB786491:TLB786492 TBF786491:TBF786492 SRJ786491:SRJ786492 SHN786491:SHN786492 RXR786491:RXR786492 RNV786491:RNV786492 RDZ786491:RDZ786492 QUD786491:QUD786492 QKH786491:QKH786492 QAL786491:QAL786492 PQP786491:PQP786492 PGT786491:PGT786492 OWX786491:OWX786492 ONB786491:ONB786492 ODF786491:ODF786492 NTJ786491:NTJ786492 NJN786491:NJN786492 MZR786491:MZR786492 MPV786491:MPV786492 MFZ786491:MFZ786492 LWD786491:LWD786492 LMH786491:LMH786492 LCL786491:LCL786492 KSP786491:KSP786492 KIT786491:KIT786492 JYX786491:JYX786492 JPB786491:JPB786492 JFF786491:JFF786492 IVJ786491:IVJ786492 ILN786491:ILN786492 IBR786491:IBR786492 HRV786491:HRV786492 HHZ786491:HHZ786492 GYD786491:GYD786492 GOH786491:GOH786492 GEL786491:GEL786492 FUP786491:FUP786492 FKT786491:FKT786492 FAX786491:FAX786492 ERB786491:ERB786492 EHF786491:EHF786492 DXJ786491:DXJ786492 DNN786491:DNN786492 DDR786491:DDR786492 CTV786491:CTV786492 CJZ786491:CJZ786492 CAD786491:CAD786492 BQH786491:BQH786492 BGL786491:BGL786492 AWP786491:AWP786492 AMT786491:AMT786492 ACX786491:ACX786492 TB786491:TB786492 JF786491:JF786492 WVR720955:WVR720956 WLV720955:WLV720956 WBZ720955:WBZ720956 VSD720955:VSD720956 VIH720955:VIH720956 UYL720955:UYL720956 UOP720955:UOP720956 UET720955:UET720956 TUX720955:TUX720956 TLB720955:TLB720956 TBF720955:TBF720956 SRJ720955:SRJ720956 SHN720955:SHN720956 RXR720955:RXR720956 RNV720955:RNV720956 RDZ720955:RDZ720956 QUD720955:QUD720956 QKH720955:QKH720956 QAL720955:QAL720956 PQP720955:PQP720956 PGT720955:PGT720956 OWX720955:OWX720956 ONB720955:ONB720956 ODF720955:ODF720956 NTJ720955:NTJ720956 NJN720955:NJN720956 MZR720955:MZR720956 MPV720955:MPV720956 MFZ720955:MFZ720956 LWD720955:LWD720956 LMH720955:LMH720956 LCL720955:LCL720956 KSP720955:KSP720956 KIT720955:KIT720956 JYX720955:JYX720956 JPB720955:JPB720956 JFF720955:JFF720956 IVJ720955:IVJ720956 ILN720955:ILN720956 IBR720955:IBR720956 HRV720955:HRV720956 HHZ720955:HHZ720956 GYD720955:GYD720956 GOH720955:GOH720956 GEL720955:GEL720956 FUP720955:FUP720956 FKT720955:FKT720956 FAX720955:FAX720956 ERB720955:ERB720956 EHF720955:EHF720956 DXJ720955:DXJ720956 DNN720955:DNN720956 DDR720955:DDR720956 CTV720955:CTV720956 CJZ720955:CJZ720956 CAD720955:CAD720956 BQH720955:BQH720956 BGL720955:BGL720956 AWP720955:AWP720956 AMT720955:AMT720956 ACX720955:ACX720956 TB720955:TB720956 JF720955:JF720956 WVR655419:WVR655420 WLV655419:WLV655420 WBZ655419:WBZ655420 VSD655419:VSD655420 VIH655419:VIH655420 UYL655419:UYL655420 UOP655419:UOP655420 UET655419:UET655420 TUX655419:TUX655420 TLB655419:TLB655420 TBF655419:TBF655420 SRJ655419:SRJ655420 SHN655419:SHN655420 RXR655419:RXR655420 RNV655419:RNV655420 RDZ655419:RDZ655420 QUD655419:QUD655420 QKH655419:QKH655420 QAL655419:QAL655420 PQP655419:PQP655420 PGT655419:PGT655420 OWX655419:OWX655420 ONB655419:ONB655420 ODF655419:ODF655420 NTJ655419:NTJ655420 NJN655419:NJN655420 MZR655419:MZR655420 MPV655419:MPV655420 MFZ655419:MFZ655420 LWD655419:LWD655420 LMH655419:LMH655420 LCL655419:LCL655420 KSP655419:KSP655420 KIT655419:KIT655420 JYX655419:JYX655420 JPB655419:JPB655420 JFF655419:JFF655420 IVJ655419:IVJ655420 ILN655419:ILN655420 IBR655419:IBR655420 HRV655419:HRV655420 HHZ655419:HHZ655420 GYD655419:GYD655420 GOH655419:GOH655420 GEL655419:GEL655420 FUP655419:FUP655420 FKT655419:FKT655420 FAX655419:FAX655420 ERB655419:ERB655420 EHF655419:EHF655420 DXJ655419:DXJ655420 DNN655419:DNN655420 DDR655419:DDR655420 CTV655419:CTV655420 CJZ655419:CJZ655420 CAD655419:CAD655420 BQH655419:BQH655420 BGL655419:BGL655420 AWP655419:AWP655420 AMT655419:AMT655420 ACX655419:ACX655420 TB655419:TB655420 JF655419:JF655420 WVR589883:WVR589884 WLV589883:WLV589884 WBZ589883:WBZ589884 VSD589883:VSD589884 VIH589883:VIH589884 UYL589883:UYL589884 UOP589883:UOP589884 UET589883:UET589884 TUX589883:TUX589884 TLB589883:TLB589884 TBF589883:TBF589884 SRJ589883:SRJ589884 SHN589883:SHN589884 RXR589883:RXR589884 RNV589883:RNV589884 RDZ589883:RDZ589884 QUD589883:QUD589884 QKH589883:QKH589884 QAL589883:QAL589884 PQP589883:PQP589884 PGT589883:PGT589884 OWX589883:OWX589884 ONB589883:ONB589884 ODF589883:ODF589884 NTJ589883:NTJ589884 NJN589883:NJN589884 MZR589883:MZR589884 MPV589883:MPV589884 MFZ589883:MFZ589884 LWD589883:LWD589884 LMH589883:LMH589884 LCL589883:LCL589884 KSP589883:KSP589884 KIT589883:KIT589884 JYX589883:JYX589884 JPB589883:JPB589884 JFF589883:JFF589884 IVJ589883:IVJ589884 ILN589883:ILN589884 IBR589883:IBR589884 HRV589883:HRV589884 HHZ589883:HHZ589884 GYD589883:GYD589884 GOH589883:GOH589884 GEL589883:GEL589884 FUP589883:FUP589884 FKT589883:FKT589884 FAX589883:FAX589884 ERB589883:ERB589884 EHF589883:EHF589884 DXJ589883:DXJ589884 DNN589883:DNN589884 DDR589883:DDR589884 CTV589883:CTV589884 CJZ589883:CJZ589884 CAD589883:CAD589884 BQH589883:BQH589884 BGL589883:BGL589884 AWP589883:AWP589884 AMT589883:AMT589884 ACX589883:ACX589884 TB589883:TB589884 JF589883:JF589884 WVR524347:WVR524348 WLV524347:WLV524348 WBZ524347:WBZ524348 VSD524347:VSD524348 VIH524347:VIH524348 UYL524347:UYL524348 UOP524347:UOP524348 UET524347:UET524348 TUX524347:TUX524348 TLB524347:TLB524348 TBF524347:TBF524348 SRJ524347:SRJ524348 SHN524347:SHN524348 RXR524347:RXR524348 RNV524347:RNV524348 RDZ524347:RDZ524348 QUD524347:QUD524348 QKH524347:QKH524348 QAL524347:QAL524348 PQP524347:PQP524348 PGT524347:PGT524348 OWX524347:OWX524348 ONB524347:ONB524348 ODF524347:ODF524348 NTJ524347:NTJ524348 NJN524347:NJN524348 MZR524347:MZR524348 MPV524347:MPV524348 MFZ524347:MFZ524348 LWD524347:LWD524348 LMH524347:LMH524348 LCL524347:LCL524348 KSP524347:KSP524348 KIT524347:KIT524348 JYX524347:JYX524348 JPB524347:JPB524348 JFF524347:JFF524348 IVJ524347:IVJ524348 ILN524347:ILN524348 IBR524347:IBR524348 HRV524347:HRV524348 HHZ524347:HHZ524348 GYD524347:GYD524348 GOH524347:GOH524348 GEL524347:GEL524348 FUP524347:FUP524348 FKT524347:FKT524348 FAX524347:FAX524348 ERB524347:ERB524348 EHF524347:EHF524348 DXJ524347:DXJ524348 DNN524347:DNN524348 DDR524347:DDR524348 CTV524347:CTV524348 CJZ524347:CJZ524348 CAD524347:CAD524348 BQH524347:BQH524348 BGL524347:BGL524348 AWP524347:AWP524348 AMT524347:AMT524348 ACX524347:ACX524348 TB524347:TB524348 JF524347:JF524348 WVR458811:WVR458812 WLV458811:WLV458812 WBZ458811:WBZ458812 VSD458811:VSD458812 VIH458811:VIH458812 UYL458811:UYL458812 UOP458811:UOP458812 UET458811:UET458812 TUX458811:TUX458812 TLB458811:TLB458812 TBF458811:TBF458812 SRJ458811:SRJ458812 SHN458811:SHN458812 RXR458811:RXR458812 RNV458811:RNV458812 RDZ458811:RDZ458812 QUD458811:QUD458812 QKH458811:QKH458812 QAL458811:QAL458812 PQP458811:PQP458812 PGT458811:PGT458812 OWX458811:OWX458812 ONB458811:ONB458812 ODF458811:ODF458812 NTJ458811:NTJ458812 NJN458811:NJN458812 MZR458811:MZR458812 MPV458811:MPV458812 MFZ458811:MFZ458812 LWD458811:LWD458812 LMH458811:LMH458812 LCL458811:LCL458812 KSP458811:KSP458812 KIT458811:KIT458812 JYX458811:JYX458812 JPB458811:JPB458812 JFF458811:JFF458812 IVJ458811:IVJ458812 ILN458811:ILN458812 IBR458811:IBR458812 HRV458811:HRV458812 HHZ458811:HHZ458812 GYD458811:GYD458812 GOH458811:GOH458812 GEL458811:GEL458812 FUP458811:FUP458812 FKT458811:FKT458812 FAX458811:FAX458812 ERB458811:ERB458812 EHF458811:EHF458812 DXJ458811:DXJ458812 DNN458811:DNN458812 DDR458811:DDR458812 CTV458811:CTV458812 CJZ458811:CJZ458812 CAD458811:CAD458812 BQH458811:BQH458812 BGL458811:BGL458812 AWP458811:AWP458812 AMT458811:AMT458812 ACX458811:ACX458812 TB458811:TB458812 JF458811:JF458812 WVR393275:WVR393276 WLV393275:WLV393276 WBZ393275:WBZ393276 VSD393275:VSD393276 VIH393275:VIH393276 UYL393275:UYL393276 UOP393275:UOP393276 UET393275:UET393276 TUX393275:TUX393276 TLB393275:TLB393276 TBF393275:TBF393276 SRJ393275:SRJ393276 SHN393275:SHN393276 RXR393275:RXR393276 RNV393275:RNV393276 RDZ393275:RDZ393276 QUD393275:QUD393276 QKH393275:QKH393276 QAL393275:QAL393276 PQP393275:PQP393276 PGT393275:PGT393276 OWX393275:OWX393276 ONB393275:ONB393276 ODF393275:ODF393276 NTJ393275:NTJ393276 NJN393275:NJN393276 MZR393275:MZR393276 MPV393275:MPV393276 MFZ393275:MFZ393276 LWD393275:LWD393276 LMH393275:LMH393276 LCL393275:LCL393276 KSP393275:KSP393276 KIT393275:KIT393276 JYX393275:JYX393276 JPB393275:JPB393276 JFF393275:JFF393276 IVJ393275:IVJ393276 ILN393275:ILN393276 IBR393275:IBR393276 HRV393275:HRV393276 HHZ393275:HHZ393276 GYD393275:GYD393276 GOH393275:GOH393276 GEL393275:GEL393276 FUP393275:FUP393276 FKT393275:FKT393276 FAX393275:FAX393276 ERB393275:ERB393276 EHF393275:EHF393276 DXJ393275:DXJ393276 DNN393275:DNN393276 DDR393275:DDR393276 CTV393275:CTV393276 CJZ393275:CJZ393276 CAD393275:CAD393276 BQH393275:BQH393276 BGL393275:BGL393276 AWP393275:AWP393276 AMT393275:AMT393276 ACX393275:ACX393276 TB393275:TB393276 JF393275:JF393276 WVR327739:WVR327740 WLV327739:WLV327740 WBZ327739:WBZ327740 VSD327739:VSD327740 VIH327739:VIH327740 UYL327739:UYL327740 UOP327739:UOP327740 UET327739:UET327740 TUX327739:TUX327740 TLB327739:TLB327740 TBF327739:TBF327740 SRJ327739:SRJ327740 SHN327739:SHN327740 RXR327739:RXR327740 RNV327739:RNV327740 RDZ327739:RDZ327740 QUD327739:QUD327740 QKH327739:QKH327740 QAL327739:QAL327740 PQP327739:PQP327740 PGT327739:PGT327740 OWX327739:OWX327740 ONB327739:ONB327740 ODF327739:ODF327740 NTJ327739:NTJ327740 NJN327739:NJN327740 MZR327739:MZR327740 MPV327739:MPV327740 MFZ327739:MFZ327740 LWD327739:LWD327740 LMH327739:LMH327740 LCL327739:LCL327740 KSP327739:KSP327740 KIT327739:KIT327740 JYX327739:JYX327740 JPB327739:JPB327740 JFF327739:JFF327740 IVJ327739:IVJ327740 ILN327739:ILN327740 IBR327739:IBR327740 HRV327739:HRV327740 HHZ327739:HHZ327740 GYD327739:GYD327740 GOH327739:GOH327740 GEL327739:GEL327740 FUP327739:FUP327740 FKT327739:FKT327740 FAX327739:FAX327740 ERB327739:ERB327740 EHF327739:EHF327740 DXJ327739:DXJ327740 DNN327739:DNN327740 DDR327739:DDR327740 CTV327739:CTV327740 CJZ327739:CJZ327740 CAD327739:CAD327740 BQH327739:BQH327740 BGL327739:BGL327740 AWP327739:AWP327740 AMT327739:AMT327740 ACX327739:ACX327740 TB327739:TB327740 JF327739:JF327740 WVR262203:WVR262204 WLV262203:WLV262204 WBZ262203:WBZ262204 VSD262203:VSD262204 VIH262203:VIH262204 UYL262203:UYL262204 UOP262203:UOP262204 UET262203:UET262204 TUX262203:TUX262204 TLB262203:TLB262204 TBF262203:TBF262204 SRJ262203:SRJ262204 SHN262203:SHN262204 RXR262203:RXR262204 RNV262203:RNV262204 RDZ262203:RDZ262204 QUD262203:QUD262204 QKH262203:QKH262204 QAL262203:QAL262204 PQP262203:PQP262204 PGT262203:PGT262204 OWX262203:OWX262204 ONB262203:ONB262204 ODF262203:ODF262204 NTJ262203:NTJ262204 NJN262203:NJN262204 MZR262203:MZR262204 MPV262203:MPV262204 MFZ262203:MFZ262204 LWD262203:LWD262204 LMH262203:LMH262204 LCL262203:LCL262204 KSP262203:KSP262204 KIT262203:KIT262204 JYX262203:JYX262204 JPB262203:JPB262204 JFF262203:JFF262204 IVJ262203:IVJ262204 ILN262203:ILN262204 IBR262203:IBR262204 HRV262203:HRV262204 HHZ262203:HHZ262204 GYD262203:GYD262204 GOH262203:GOH262204 GEL262203:GEL262204 FUP262203:FUP262204 FKT262203:FKT262204 FAX262203:FAX262204 ERB262203:ERB262204 EHF262203:EHF262204 DXJ262203:DXJ262204 DNN262203:DNN262204 DDR262203:DDR262204 CTV262203:CTV262204 CJZ262203:CJZ262204 CAD262203:CAD262204 BQH262203:BQH262204 BGL262203:BGL262204 AWP262203:AWP262204 AMT262203:AMT262204 ACX262203:ACX262204 TB262203:TB262204 JF262203:JF262204 WVR196667:WVR196668 WLV196667:WLV196668 WBZ196667:WBZ196668 VSD196667:VSD196668 VIH196667:VIH196668 UYL196667:UYL196668 UOP196667:UOP196668 UET196667:UET196668 TUX196667:TUX196668 TLB196667:TLB196668 TBF196667:TBF196668 SRJ196667:SRJ196668 SHN196667:SHN196668 RXR196667:RXR196668 RNV196667:RNV196668 RDZ196667:RDZ196668 QUD196667:QUD196668 QKH196667:QKH196668 QAL196667:QAL196668 PQP196667:PQP196668 PGT196667:PGT196668 OWX196667:OWX196668 ONB196667:ONB196668 ODF196667:ODF196668 NTJ196667:NTJ196668 NJN196667:NJN196668 MZR196667:MZR196668 MPV196667:MPV196668 MFZ196667:MFZ196668 LWD196667:LWD196668 LMH196667:LMH196668 LCL196667:LCL196668 KSP196667:KSP196668 KIT196667:KIT196668 JYX196667:JYX196668 JPB196667:JPB196668 JFF196667:JFF196668 IVJ196667:IVJ196668 ILN196667:ILN196668 IBR196667:IBR196668 HRV196667:HRV196668 HHZ196667:HHZ196668 GYD196667:GYD196668 GOH196667:GOH196668 GEL196667:GEL196668 FUP196667:FUP196668 FKT196667:FKT196668 FAX196667:FAX196668 ERB196667:ERB196668 EHF196667:EHF196668 DXJ196667:DXJ196668 DNN196667:DNN196668 DDR196667:DDR196668 CTV196667:CTV196668 CJZ196667:CJZ196668 CAD196667:CAD196668 BQH196667:BQH196668 BGL196667:BGL196668 AWP196667:AWP196668 AMT196667:AMT196668 ACX196667:ACX196668 TB196667:TB196668 JF196667:JF196668 WVR131131:WVR131132 WLV131131:WLV131132 WBZ131131:WBZ131132 VSD131131:VSD131132 VIH131131:VIH131132 UYL131131:UYL131132 UOP131131:UOP131132 UET131131:UET131132 TUX131131:TUX131132 TLB131131:TLB131132 TBF131131:TBF131132 SRJ131131:SRJ131132 SHN131131:SHN131132 RXR131131:RXR131132 RNV131131:RNV131132 RDZ131131:RDZ131132 QUD131131:QUD131132 QKH131131:QKH131132 QAL131131:QAL131132 PQP131131:PQP131132 PGT131131:PGT131132 OWX131131:OWX131132 ONB131131:ONB131132 ODF131131:ODF131132 NTJ131131:NTJ131132 NJN131131:NJN131132 MZR131131:MZR131132 MPV131131:MPV131132 MFZ131131:MFZ131132 LWD131131:LWD131132 LMH131131:LMH131132 LCL131131:LCL131132 KSP131131:KSP131132 KIT131131:KIT131132 JYX131131:JYX131132 JPB131131:JPB131132 JFF131131:JFF131132 IVJ131131:IVJ131132 ILN131131:ILN131132 IBR131131:IBR131132 HRV131131:HRV131132 HHZ131131:HHZ131132 GYD131131:GYD131132 GOH131131:GOH131132 GEL131131:GEL131132 FUP131131:FUP131132 FKT131131:FKT131132 FAX131131:FAX131132 ERB131131:ERB131132 EHF131131:EHF131132 DXJ131131:DXJ131132 DNN131131:DNN131132 DDR131131:DDR131132 CTV131131:CTV131132 CJZ131131:CJZ131132 CAD131131:CAD131132 BQH131131:BQH131132 BGL131131:BGL131132 AWP131131:AWP131132 AMT131131:AMT131132 ACX131131:ACX131132 TB131131:TB131132 JF131131:JF131132 WVR65595:WVR65596 WLV65595:WLV65596 WBZ65595:WBZ65596 VSD65595:VSD65596 VIH65595:VIH65596 UYL65595:UYL65596 UOP65595:UOP65596 UET65595:UET65596 TUX65595:TUX65596 TLB65595:TLB65596 TBF65595:TBF65596 SRJ65595:SRJ65596 SHN65595:SHN65596 RXR65595:RXR65596 RNV65595:RNV65596 RDZ65595:RDZ65596 QUD65595:QUD65596 QKH65595:QKH65596 QAL65595:QAL65596 PQP65595:PQP65596 PGT65595:PGT65596 OWX65595:OWX65596 ONB65595:ONB65596 ODF65595:ODF65596 NTJ65595:NTJ65596 NJN65595:NJN65596 MZR65595:MZR65596 MPV65595:MPV65596 MFZ65595:MFZ65596 LWD65595:LWD65596 LMH65595:LMH65596 LCL65595:LCL65596 KSP65595:KSP65596 KIT65595:KIT65596 JYX65595:JYX65596 JPB65595:JPB65596 JFF65595:JFF65596 IVJ65595:IVJ65596 ILN65595:ILN65596 IBR65595:IBR65596 HRV65595:HRV65596 HHZ65595:HHZ65596 GYD65595:GYD65596 GOH65595:GOH65596 GEL65595:GEL65596 FUP65595:FUP65596 FKT65595:FKT65596 FAX65595:FAX65596 ERB65595:ERB65596 EHF65595:EHF65596 DXJ65595:DXJ65596 DNN65595:DNN65596 DDR65595:DDR65596 CTV65595:CTV65596 CJZ65595:CJZ65596 CAD65595:CAD65596 BQH65595:BQH65596 BGL65595:BGL65596 AWP65595:AWP65596 AMT65595:AMT65596 ACX65595:ACX65596 TB65595:TB65596 JF65595:JF65596 WVR59:WVR60 WLV59:WLV60 WBZ59:WBZ60 VSD59:VSD60 VIH59:VIH60 UYL59:UYL60 UOP59:UOP60 UET59:UET60 TUX59:TUX60 TLB59:TLB60 TBF59:TBF60 SRJ59:SRJ60 SHN59:SHN60 RXR59:RXR60 RNV59:RNV60 RDZ59:RDZ60 QUD59:QUD60 QKH59:QKH60 QAL59:QAL60 PQP59:PQP60 PGT59:PGT60 OWX59:OWX60 ONB59:ONB60 ODF59:ODF60 NTJ59:NTJ60 NJN59:NJN60 MZR59:MZR60 MPV59:MPV60 MFZ59:MFZ60 LWD59:LWD60 LMH59:LMH60 LCL59:LCL60 KSP59:KSP60 KIT59:KIT60 JYX59:JYX60 JPB59:JPB60 JFF59:JFF60 IVJ59:IVJ60 ILN59:ILN60 IBR59:IBR60 HRV59:HRV60 HHZ59:HHZ60 GYD59:GYD60 GOH59:GOH60 GEL59:GEL60 FUP59:FUP60 FKT59:FKT60 FAX59:FAX60 ERB59:ERB60 EHF59:EHF60 DXJ59:DXJ60 DNN59:DNN60 DDR59:DDR60 CTV59:CTV60 CJZ59:CJZ60 CAD59:CAD60 BQH59:BQH60 BGL59:BGL60 AWP59:AWP60 AMT59:AMT60 ACX59:ACX60 TB59:TB60 JF59:JF60 WVQ983075 WLU983075 WBY983075 VSC983075 VIG983075 UYK983075 UOO983075 UES983075 TUW983075 TLA983075 TBE983075 SRI983075 SHM983075 RXQ983075 RNU983075 RDY983075 QUC983075 QKG983075 QAK983075 PQO983075 PGS983075 OWW983075 ONA983075 ODE983075 NTI983075 NJM983075 MZQ983075 MPU983075 MFY983075 LWC983075 LMG983075 LCK983075 KSO983075 KIS983075 JYW983075 JPA983075 JFE983075 IVI983075 ILM983075 IBQ983075 HRU983075 HHY983075 GYC983075 GOG983075 GEK983075 FUO983075 FKS983075 FAW983075 ERA983075 EHE983075 DXI983075 DNM983075 DDQ983075 CTU983075 CJY983075 CAC983075 BQG983075 BGK983075 AWO983075 AMS983075 ACW983075 TA983075 JE983075 WVQ917539 WLU917539 WBY917539 VSC917539 VIG917539 UYK917539 UOO917539 UES917539 TUW917539 TLA917539 TBE917539 SRI917539 SHM917539 RXQ917539 RNU917539 RDY917539 QUC917539 QKG917539 QAK917539 PQO917539 PGS917539 OWW917539 ONA917539 ODE917539 NTI917539 NJM917539 MZQ917539 MPU917539 MFY917539 LWC917539 LMG917539 LCK917539 KSO917539 KIS917539 JYW917539 JPA917539 JFE917539 IVI917539 ILM917539 IBQ917539 HRU917539 HHY917539 GYC917539 GOG917539 GEK917539 FUO917539 FKS917539 FAW917539 ERA917539 EHE917539 DXI917539 DNM917539 DDQ917539 CTU917539 CJY917539 CAC917539 BQG917539 BGK917539 AWO917539 AMS917539 ACW917539 TA917539 JE917539 WVQ852003 WLU852003 WBY852003 VSC852003 VIG852003 UYK852003 UOO852003 UES852003 TUW852003 TLA852003 TBE852003 SRI852003 SHM852003 RXQ852003 RNU852003 RDY852003 QUC852003 QKG852003 QAK852003 PQO852003 PGS852003 OWW852003 ONA852003 ODE852003 NTI852003 NJM852003 MZQ852003 MPU852003 MFY852003 LWC852003 LMG852003 LCK852003 KSO852003 KIS852003 JYW852003 JPA852003 JFE852003 IVI852003 ILM852003 IBQ852003 HRU852003 HHY852003 GYC852003 GOG852003 GEK852003 FUO852003 FKS852003 FAW852003 ERA852003 EHE852003 DXI852003 DNM852003 DDQ852003 CTU852003 CJY852003 CAC852003 BQG852003 BGK852003 AWO852003 AMS852003 ACW852003 TA852003 JE852003 WVQ786467 WLU786467 WBY786467 VSC786467 VIG786467 UYK786467 UOO786467 UES786467 TUW786467 TLA786467 TBE786467 SRI786467 SHM786467 RXQ786467 RNU786467 RDY786467 QUC786467 QKG786467 QAK786467 PQO786467 PGS786467 OWW786467 ONA786467 ODE786467 NTI786467 NJM786467 MZQ786467 MPU786467 MFY786467 LWC786467 LMG786467 LCK786467 KSO786467 KIS786467 JYW786467 JPA786467 JFE786467 IVI786467 ILM786467 IBQ786467 HRU786467 HHY786467 GYC786467 GOG786467 GEK786467 FUO786467 FKS786467 FAW786467 ERA786467 EHE786467 DXI786467 DNM786467 DDQ786467 CTU786467 CJY786467 CAC786467 BQG786467 BGK786467 AWO786467 AMS786467 ACW786467 TA786467 JE786467 WVQ720931 WLU720931 WBY720931 VSC720931 VIG720931 UYK720931 UOO720931 UES720931 TUW720931 TLA720931 TBE720931 SRI720931 SHM720931 RXQ720931 RNU720931 RDY720931 QUC720931 QKG720931 QAK720931 PQO720931 PGS720931 OWW720931 ONA720931 ODE720931 NTI720931 NJM720931 MZQ720931 MPU720931 MFY720931 LWC720931 LMG720931 LCK720931 KSO720931 KIS720931 JYW720931 JPA720931 JFE720931 IVI720931 ILM720931 IBQ720931 HRU720931 HHY720931 GYC720931 GOG720931 GEK720931 FUO720931 FKS720931 FAW720931 ERA720931 EHE720931 DXI720931 DNM720931 DDQ720931 CTU720931 CJY720931 CAC720931 BQG720931 BGK720931 AWO720931 AMS720931 ACW720931 TA720931 JE720931 WVQ655395 WLU655395 WBY655395 VSC655395 VIG655395 UYK655395 UOO655395 UES655395 TUW655395 TLA655395 TBE655395 SRI655395 SHM655395 RXQ655395 RNU655395 RDY655395 QUC655395 QKG655395 QAK655395 PQO655395 PGS655395 OWW655395 ONA655395 ODE655395 NTI655395 NJM655395 MZQ655395 MPU655395 MFY655395 LWC655395 LMG655395 LCK655395 KSO655395 KIS655395 JYW655395 JPA655395 JFE655395 IVI655395 ILM655395 IBQ655395 HRU655395 HHY655395 GYC655395 GOG655395 GEK655395 FUO655395 FKS655395 FAW655395 ERA655395 EHE655395 DXI655395 DNM655395 DDQ655395 CTU655395 CJY655395 CAC655395 BQG655395 BGK655395 AWO655395 AMS655395 ACW655395 TA655395 JE655395 WVQ589859 WLU589859 WBY589859 VSC589859 VIG589859 UYK589859 UOO589859 UES589859 TUW589859 TLA589859 TBE589859 SRI589859 SHM589859 RXQ589859 RNU589859 RDY589859 QUC589859 QKG589859 QAK589859 PQO589859 PGS589859 OWW589859 ONA589859 ODE589859 NTI589859 NJM589859 MZQ589859 MPU589859 MFY589859 LWC589859 LMG589859 LCK589859 KSO589859 KIS589859 JYW589859 JPA589859 JFE589859 IVI589859 ILM589859 IBQ589859 HRU589859 HHY589859 GYC589859 GOG589859 GEK589859 FUO589859 FKS589859 FAW589859 ERA589859 EHE589859 DXI589859 DNM589859 DDQ589859 CTU589859 CJY589859 CAC589859 BQG589859 BGK589859 AWO589859 AMS589859 ACW589859 TA589859 JE589859 WVQ524323 WLU524323 WBY524323 VSC524323 VIG524323 UYK524323 UOO524323 UES524323 TUW524323 TLA524323 TBE524323 SRI524323 SHM524323 RXQ524323 RNU524323 RDY524323 QUC524323 QKG524323 QAK524323 PQO524323 PGS524323 OWW524323 ONA524323 ODE524323 NTI524323 NJM524323 MZQ524323 MPU524323 MFY524323 LWC524323 LMG524323 LCK524323 KSO524323 KIS524323 JYW524323 JPA524323 JFE524323 IVI524323 ILM524323 IBQ524323 HRU524323 HHY524323 GYC524323 GOG524323 GEK524323 FUO524323 FKS524323 FAW524323 ERA524323 EHE524323 DXI524323 DNM524323 DDQ524323 CTU524323 CJY524323 CAC524323 BQG524323 BGK524323 AWO524323 AMS524323 ACW524323 TA524323 JE524323 WVQ458787 WLU458787 WBY458787 VSC458787 VIG458787 UYK458787 UOO458787 UES458787 TUW458787 TLA458787 TBE458787 SRI458787 SHM458787 RXQ458787 RNU458787 RDY458787 QUC458787 QKG458787 QAK458787 PQO458787 PGS458787 OWW458787 ONA458787 ODE458787 NTI458787 NJM458787 MZQ458787 MPU458787 MFY458787 LWC458787 LMG458787 LCK458787 KSO458787 KIS458787 JYW458787 JPA458787 JFE458787 IVI458787 ILM458787 IBQ458787 HRU458787 HHY458787 GYC458787 GOG458787 GEK458787 FUO458787 FKS458787 FAW458787 ERA458787 EHE458787 DXI458787 DNM458787 DDQ458787 CTU458787 CJY458787 CAC458787 BQG458787 BGK458787 AWO458787 AMS458787 ACW458787 TA458787 JE458787 WVQ393251 WLU393251 WBY393251 VSC393251 VIG393251 UYK393251 UOO393251 UES393251 TUW393251 TLA393251 TBE393251 SRI393251 SHM393251 RXQ393251 RNU393251 RDY393251 QUC393251 QKG393251 QAK393251 PQO393251 PGS393251 OWW393251 ONA393251 ODE393251 NTI393251 NJM393251 MZQ393251 MPU393251 MFY393251 LWC393251 LMG393251 LCK393251 KSO393251 KIS393251 JYW393251 JPA393251 JFE393251 IVI393251 ILM393251 IBQ393251 HRU393251 HHY393251 GYC393251 GOG393251 GEK393251 FUO393251 FKS393251 FAW393251 ERA393251 EHE393251 DXI393251 DNM393251 DDQ393251 CTU393251 CJY393251 CAC393251 BQG393251 BGK393251 AWO393251 AMS393251 ACW393251 TA393251 JE393251 WVQ327715 WLU327715 WBY327715 VSC327715 VIG327715 UYK327715 UOO327715 UES327715 TUW327715 TLA327715 TBE327715 SRI327715 SHM327715 RXQ327715 RNU327715 RDY327715 QUC327715 QKG327715 QAK327715 PQO327715 PGS327715 OWW327715 ONA327715 ODE327715 NTI327715 NJM327715 MZQ327715 MPU327715 MFY327715 LWC327715 LMG327715 LCK327715 KSO327715 KIS327715 JYW327715 JPA327715 JFE327715 IVI327715 ILM327715 IBQ327715 HRU327715 HHY327715 GYC327715 GOG327715 GEK327715 FUO327715 FKS327715 FAW327715 ERA327715 EHE327715 DXI327715 DNM327715 DDQ327715 CTU327715 CJY327715 CAC327715 BQG327715 BGK327715 AWO327715 AMS327715 ACW327715 TA327715 JE327715 WVQ262179 WLU262179 WBY262179 VSC262179 VIG262179 UYK262179 UOO262179 UES262179 TUW262179 TLA262179 TBE262179 SRI262179 SHM262179 RXQ262179 RNU262179 RDY262179 QUC262179 QKG262179 QAK262179 PQO262179 PGS262179 OWW262179 ONA262179 ODE262179 NTI262179 NJM262179 MZQ262179 MPU262179 MFY262179 LWC262179 LMG262179 LCK262179 KSO262179 KIS262179 JYW262179 JPA262179 JFE262179 IVI262179 ILM262179 IBQ262179 HRU262179 HHY262179 GYC262179 GOG262179 GEK262179 FUO262179 FKS262179 FAW262179 ERA262179 EHE262179 DXI262179 DNM262179 DDQ262179 CTU262179 CJY262179 CAC262179 BQG262179 BGK262179 AWO262179 AMS262179 ACW262179 TA262179 JE262179 WVQ196643 WLU196643 WBY196643 VSC196643 VIG196643 UYK196643 UOO196643 UES196643 TUW196643 TLA196643 TBE196643 SRI196643 SHM196643 RXQ196643 RNU196643 RDY196643 QUC196643 QKG196643 QAK196643 PQO196643 PGS196643 OWW196643 ONA196643 ODE196643 NTI196643 NJM196643 MZQ196643 MPU196643 MFY196643 LWC196643 LMG196643 LCK196643 KSO196643 KIS196643 JYW196643 JPA196643 JFE196643 IVI196643 ILM196643 IBQ196643 HRU196643 HHY196643 GYC196643 GOG196643 GEK196643 FUO196643 FKS196643 FAW196643 ERA196643 EHE196643 DXI196643 DNM196643 DDQ196643 CTU196643 CJY196643 CAC196643 BQG196643 BGK196643 AWO196643 AMS196643 ACW196643 TA196643 JE196643 WVQ131107 WLU131107 WBY131107 VSC131107 VIG131107 UYK131107 UOO131107 UES131107 TUW131107 TLA131107 TBE131107 SRI131107 SHM131107 RXQ131107 RNU131107 RDY131107 QUC131107 QKG131107 QAK131107 PQO131107 PGS131107 OWW131107 ONA131107 ODE131107 NTI131107 NJM131107 MZQ131107 MPU131107 MFY131107 LWC131107 LMG131107 LCK131107 KSO131107 KIS131107 JYW131107 JPA131107 JFE131107 IVI131107 ILM131107 IBQ131107 HRU131107 HHY131107 GYC131107 GOG131107 GEK131107 FUO131107 FKS131107 FAW131107 ERA131107 EHE131107 DXI131107 DNM131107 DDQ131107 CTU131107 CJY131107 CAC131107 BQG131107 BGK131107 AWO131107 AMS131107 ACW131107 TA131107 JE131107 WVQ65571 WLU65571 WBY65571 VSC65571 VIG65571 UYK65571 UOO65571 UES65571 TUW65571 TLA65571 TBE65571 SRI65571 SHM65571 RXQ65571 RNU65571 RDY65571 QUC65571 QKG65571 QAK65571 PQO65571 PGS65571 OWW65571 ONA65571 ODE65571 NTI65571 NJM65571 MZQ65571 MPU65571 MFY65571 LWC65571 LMG65571 LCK65571 KSO65571 KIS65571 JYW65571 JPA65571 JFE65571 IVI65571 ILM65571 IBQ65571 HRU65571 HHY65571 GYC65571 GOG65571 GEK65571 FUO65571 FKS65571 FAW65571 ERA65571 EHE65571 DXI65571 DNM65571 DDQ65571 CTU65571 CJY65571 CAC65571 BQG65571 BGK65571 AWO65571 AMS65571 ACW65571 TA65571 JE65571 JD34 SZ34 ACV34 AMR34 AWN34 BGJ34 BQF34 CAB34 CJX34 CTT34 DDP34 DNL34 DXH34 EHD34 EQZ34 FAV34 FKR34 FUN34 GEJ34 GOF34 GYB34 HHX34 HRT34 IBP34 ILL34 IVH34 JFD34 JOZ34 JYV34 KIR34 KSN34 LCJ34 LMF34 LWB34 MFX34 MPT34 MZP34 NJL34 NTH34 ODD34 OMZ34 OWV34 PGR34 PQN34 QAJ34 QKF34 QUB34 RDX34 RNT34 RXP34 SHL34 SRH34 TBD34 TKZ34 TUV34 UER34 UON34 UYJ34 VIF34 VSB34 WBX34 WLT34 WVP34 JD36:JE42 SZ36:TA42 ACV36:ACW42 AMR36:AMS42 AWN36:AWO42 BGJ36:BGK42 BQF36:BQG42 CAB36:CAC42 CJX36:CJY42 CTT36:CTU42 DDP36:DDQ42 DNL36:DNM42 DXH36:DXI42 EHD36:EHE42 EQZ36:ERA42 FAV36:FAW42 FKR36:FKS42 FUN36:FUO42 GEJ36:GEK42 GOF36:GOG42 GYB36:GYC42 HHX36:HHY42 HRT36:HRU42 IBP36:IBQ42 ILL36:ILM42 IVH36:IVI42 JFD36:JFE42 JOZ36:JPA42 JYV36:JYW42 KIR36:KIS42 KSN36:KSO42 LCJ36:LCK42 LMF36:LMG42 LWB36:LWC42 MFX36:MFY42 MPT36:MPU42 MZP36:MZQ42 NJL36:NJM42 NTH36:NTI42 ODD36:ODE42 OMZ36:ONA42 OWV36:OWW42 PGR36:PGS42 PQN36:PQO42 QAJ36:QAK42 QKF36:QKG42 QUB36:QUC42 RDX36:RDY42 RNT36:RNU42 RXP36:RXQ42 SHL36:SHM42 SRH36:SRI42 TBD36:TBE42 TKZ36:TLA42 TUV36:TUW42 UER36:UES42 UON36:UOO42 UYJ36:UYK42 VIF36:VIG42 VSB36:VSC42 H49:H56">
      <formula1>$R$65:$R$68</formula1>
    </dataValidation>
  </dataValidations>
  <hyperlinks>
    <hyperlink ref="A1" location="'T&amp;V TOC'!A1" display="TOC"/>
  </hyperlinks>
  <pageMargins left="0.25" right="0.25" top="0.75" bottom="0.75" header="0.3" footer="0.3"/>
  <pageSetup scale="47" orientation="portrait" r:id="rId1"/>
  <headerFooter alignWithMargins="0"/>
  <legacyDrawingHF r:id="rId2"/>
</worksheet>
</file>

<file path=xl/worksheets/sheet26.xml><?xml version="1.0" encoding="utf-8"?>
<worksheet xmlns="http://schemas.openxmlformats.org/spreadsheetml/2006/main" xmlns:r="http://schemas.openxmlformats.org/officeDocument/2006/relationships">
  <sheetPr>
    <tabColor theme="3" tint="0.79998168889431442"/>
  </sheetPr>
  <dimension ref="A1:BO59"/>
  <sheetViews>
    <sheetView showGridLines="0" view="pageBreakPreview" zoomScaleNormal="100" zoomScaleSheetLayoutView="100" workbookViewId="0"/>
  </sheetViews>
  <sheetFormatPr defaultRowHeight="12"/>
  <cols>
    <col min="1" max="1" width="4.42578125" style="1119" customWidth="1"/>
    <col min="2" max="2" width="20" style="1119" customWidth="1"/>
    <col min="3" max="3" width="25.140625" style="1119" customWidth="1"/>
    <col min="4" max="4" width="9.85546875" style="1119" customWidth="1"/>
    <col min="5" max="5" width="13.140625" style="1119" customWidth="1"/>
    <col min="6" max="6" width="11.140625" style="1119" customWidth="1"/>
    <col min="7" max="7" width="8.5703125" style="1119" customWidth="1"/>
    <col min="8" max="8" width="8.7109375" style="1119" customWidth="1"/>
    <col min="9" max="9" width="10.85546875" style="1119" customWidth="1"/>
    <col min="10" max="10" width="8.5703125" style="1119" customWidth="1"/>
    <col min="11" max="11" width="9" style="1119" customWidth="1"/>
    <col min="12" max="12" width="7.85546875" style="1119" customWidth="1"/>
    <col min="13" max="13" width="4.7109375" style="1119" customWidth="1"/>
    <col min="14" max="14" width="38" style="1119" customWidth="1"/>
    <col min="15" max="17" width="9.140625" style="1119"/>
    <col min="18" max="18" width="9.140625" style="1119" hidden="1" customWidth="1"/>
    <col min="19" max="255" width="9.140625" style="1119"/>
    <col min="256" max="256" width="20" style="1119" customWidth="1"/>
    <col min="257" max="257" width="19.85546875" style="1119" customWidth="1"/>
    <col min="258" max="258" width="22.140625" style="1119" customWidth="1"/>
    <col min="259" max="259" width="13.140625" style="1119" customWidth="1"/>
    <col min="260" max="260" width="11.140625" style="1119" customWidth="1"/>
    <col min="261" max="261" width="7.7109375" style="1119" customWidth="1"/>
    <col min="262" max="262" width="8.7109375" style="1119" customWidth="1"/>
    <col min="263" max="263" width="12.140625" style="1119" customWidth="1"/>
    <col min="264" max="264" width="14.5703125" style="1119" customWidth="1"/>
    <col min="265" max="265" width="9" style="1119" customWidth="1"/>
    <col min="266" max="266" width="8.85546875" style="1119" customWidth="1"/>
    <col min="267" max="267" width="11.42578125" style="1119" customWidth="1"/>
    <col min="268" max="268" width="7.5703125" style="1119" customWidth="1"/>
    <col min="269" max="269" width="6.85546875" style="1119" customWidth="1"/>
    <col min="270" max="270" width="35.7109375" style="1119" customWidth="1"/>
    <col min="271" max="273" width="9.140625" style="1119"/>
    <col min="274" max="274" width="0" style="1119" hidden="1" customWidth="1"/>
    <col min="275" max="511" width="9.140625" style="1119"/>
    <col min="512" max="512" width="20" style="1119" customWidth="1"/>
    <col min="513" max="513" width="19.85546875" style="1119" customWidth="1"/>
    <col min="514" max="514" width="22.140625" style="1119" customWidth="1"/>
    <col min="515" max="515" width="13.140625" style="1119" customWidth="1"/>
    <col min="516" max="516" width="11.140625" style="1119" customWidth="1"/>
    <col min="517" max="517" width="7.7109375" style="1119" customWidth="1"/>
    <col min="518" max="518" width="8.7109375" style="1119" customWidth="1"/>
    <col min="519" max="519" width="12.140625" style="1119" customWidth="1"/>
    <col min="520" max="520" width="14.5703125" style="1119" customWidth="1"/>
    <col min="521" max="521" width="9" style="1119" customWidth="1"/>
    <col min="522" max="522" width="8.85546875" style="1119" customWidth="1"/>
    <col min="523" max="523" width="11.42578125" style="1119" customWidth="1"/>
    <col min="524" max="524" width="7.5703125" style="1119" customWidth="1"/>
    <col min="525" max="525" width="6.85546875" style="1119" customWidth="1"/>
    <col min="526" max="526" width="35.7109375" style="1119" customWidth="1"/>
    <col min="527" max="529" width="9.140625" style="1119"/>
    <col min="530" max="530" width="0" style="1119" hidden="1" customWidth="1"/>
    <col min="531" max="767" width="9.140625" style="1119"/>
    <col min="768" max="768" width="20" style="1119" customWidth="1"/>
    <col min="769" max="769" width="19.85546875" style="1119" customWidth="1"/>
    <col min="770" max="770" width="22.140625" style="1119" customWidth="1"/>
    <col min="771" max="771" width="13.140625" style="1119" customWidth="1"/>
    <col min="772" max="772" width="11.140625" style="1119" customWidth="1"/>
    <col min="773" max="773" width="7.7109375" style="1119" customWidth="1"/>
    <col min="774" max="774" width="8.7109375" style="1119" customWidth="1"/>
    <col min="775" max="775" width="12.140625" style="1119" customWidth="1"/>
    <col min="776" max="776" width="14.5703125" style="1119" customWidth="1"/>
    <col min="777" max="777" width="9" style="1119" customWidth="1"/>
    <col min="778" max="778" width="8.85546875" style="1119" customWidth="1"/>
    <col min="779" max="779" width="11.42578125" style="1119" customWidth="1"/>
    <col min="780" max="780" width="7.5703125" style="1119" customWidth="1"/>
    <col min="781" max="781" width="6.85546875" style="1119" customWidth="1"/>
    <col min="782" max="782" width="35.7109375" style="1119" customWidth="1"/>
    <col min="783" max="785" width="9.140625" style="1119"/>
    <col min="786" max="786" width="0" style="1119" hidden="1" customWidth="1"/>
    <col min="787" max="1023" width="9.140625" style="1119"/>
    <col min="1024" max="1024" width="20" style="1119" customWidth="1"/>
    <col min="1025" max="1025" width="19.85546875" style="1119" customWidth="1"/>
    <col min="1026" max="1026" width="22.140625" style="1119" customWidth="1"/>
    <col min="1027" max="1027" width="13.140625" style="1119" customWidth="1"/>
    <col min="1028" max="1028" width="11.140625" style="1119" customWidth="1"/>
    <col min="1029" max="1029" width="7.7109375" style="1119" customWidth="1"/>
    <col min="1030" max="1030" width="8.7109375" style="1119" customWidth="1"/>
    <col min="1031" max="1031" width="12.140625" style="1119" customWidth="1"/>
    <col min="1032" max="1032" width="14.5703125" style="1119" customWidth="1"/>
    <col min="1033" max="1033" width="9" style="1119" customWidth="1"/>
    <col min="1034" max="1034" width="8.85546875" style="1119" customWidth="1"/>
    <col min="1035" max="1035" width="11.42578125" style="1119" customWidth="1"/>
    <col min="1036" max="1036" width="7.5703125" style="1119" customWidth="1"/>
    <col min="1037" max="1037" width="6.85546875" style="1119" customWidth="1"/>
    <col min="1038" max="1038" width="35.7109375" style="1119" customWidth="1"/>
    <col min="1039" max="1041" width="9.140625" style="1119"/>
    <col min="1042" max="1042" width="0" style="1119" hidden="1" customWidth="1"/>
    <col min="1043" max="1279" width="9.140625" style="1119"/>
    <col min="1280" max="1280" width="20" style="1119" customWidth="1"/>
    <col min="1281" max="1281" width="19.85546875" style="1119" customWidth="1"/>
    <col min="1282" max="1282" width="22.140625" style="1119" customWidth="1"/>
    <col min="1283" max="1283" width="13.140625" style="1119" customWidth="1"/>
    <col min="1284" max="1284" width="11.140625" style="1119" customWidth="1"/>
    <col min="1285" max="1285" width="7.7109375" style="1119" customWidth="1"/>
    <col min="1286" max="1286" width="8.7109375" style="1119" customWidth="1"/>
    <col min="1287" max="1287" width="12.140625" style="1119" customWidth="1"/>
    <col min="1288" max="1288" width="14.5703125" style="1119" customWidth="1"/>
    <col min="1289" max="1289" width="9" style="1119" customWidth="1"/>
    <col min="1290" max="1290" width="8.85546875" style="1119" customWidth="1"/>
    <col min="1291" max="1291" width="11.42578125" style="1119" customWidth="1"/>
    <col min="1292" max="1292" width="7.5703125" style="1119" customWidth="1"/>
    <col min="1293" max="1293" width="6.85546875" style="1119" customWidth="1"/>
    <col min="1294" max="1294" width="35.7109375" style="1119" customWidth="1"/>
    <col min="1295" max="1297" width="9.140625" style="1119"/>
    <col min="1298" max="1298" width="0" style="1119" hidden="1" customWidth="1"/>
    <col min="1299" max="1535" width="9.140625" style="1119"/>
    <col min="1536" max="1536" width="20" style="1119" customWidth="1"/>
    <col min="1537" max="1537" width="19.85546875" style="1119" customWidth="1"/>
    <col min="1538" max="1538" width="22.140625" style="1119" customWidth="1"/>
    <col min="1539" max="1539" width="13.140625" style="1119" customWidth="1"/>
    <col min="1540" max="1540" width="11.140625" style="1119" customWidth="1"/>
    <col min="1541" max="1541" width="7.7109375" style="1119" customWidth="1"/>
    <col min="1542" max="1542" width="8.7109375" style="1119" customWidth="1"/>
    <col min="1543" max="1543" width="12.140625" style="1119" customWidth="1"/>
    <col min="1544" max="1544" width="14.5703125" style="1119" customWidth="1"/>
    <col min="1545" max="1545" width="9" style="1119" customWidth="1"/>
    <col min="1546" max="1546" width="8.85546875" style="1119" customWidth="1"/>
    <col min="1547" max="1547" width="11.42578125" style="1119" customWidth="1"/>
    <col min="1548" max="1548" width="7.5703125" style="1119" customWidth="1"/>
    <col min="1549" max="1549" width="6.85546875" style="1119" customWidth="1"/>
    <col min="1550" max="1550" width="35.7109375" style="1119" customWidth="1"/>
    <col min="1551" max="1553" width="9.140625" style="1119"/>
    <col min="1554" max="1554" width="0" style="1119" hidden="1" customWidth="1"/>
    <col min="1555" max="1791" width="9.140625" style="1119"/>
    <col min="1792" max="1792" width="20" style="1119" customWidth="1"/>
    <col min="1793" max="1793" width="19.85546875" style="1119" customWidth="1"/>
    <col min="1794" max="1794" width="22.140625" style="1119" customWidth="1"/>
    <col min="1795" max="1795" width="13.140625" style="1119" customWidth="1"/>
    <col min="1796" max="1796" width="11.140625" style="1119" customWidth="1"/>
    <col min="1797" max="1797" width="7.7109375" style="1119" customWidth="1"/>
    <col min="1798" max="1798" width="8.7109375" style="1119" customWidth="1"/>
    <col min="1799" max="1799" width="12.140625" style="1119" customWidth="1"/>
    <col min="1800" max="1800" width="14.5703125" style="1119" customWidth="1"/>
    <col min="1801" max="1801" width="9" style="1119" customWidth="1"/>
    <col min="1802" max="1802" width="8.85546875" style="1119" customWidth="1"/>
    <col min="1803" max="1803" width="11.42578125" style="1119" customWidth="1"/>
    <col min="1804" max="1804" width="7.5703125" style="1119" customWidth="1"/>
    <col min="1805" max="1805" width="6.85546875" style="1119" customWidth="1"/>
    <col min="1806" max="1806" width="35.7109375" style="1119" customWidth="1"/>
    <col min="1807" max="1809" width="9.140625" style="1119"/>
    <col min="1810" max="1810" width="0" style="1119" hidden="1" customWidth="1"/>
    <col min="1811" max="2047" width="9.140625" style="1119"/>
    <col min="2048" max="2048" width="20" style="1119" customWidth="1"/>
    <col min="2049" max="2049" width="19.85546875" style="1119" customWidth="1"/>
    <col min="2050" max="2050" width="22.140625" style="1119" customWidth="1"/>
    <col min="2051" max="2051" width="13.140625" style="1119" customWidth="1"/>
    <col min="2052" max="2052" width="11.140625" style="1119" customWidth="1"/>
    <col min="2053" max="2053" width="7.7109375" style="1119" customWidth="1"/>
    <col min="2054" max="2054" width="8.7109375" style="1119" customWidth="1"/>
    <col min="2055" max="2055" width="12.140625" style="1119" customWidth="1"/>
    <col min="2056" max="2056" width="14.5703125" style="1119" customWidth="1"/>
    <col min="2057" max="2057" width="9" style="1119" customWidth="1"/>
    <col min="2058" max="2058" width="8.85546875" style="1119" customWidth="1"/>
    <col min="2059" max="2059" width="11.42578125" style="1119" customWidth="1"/>
    <col min="2060" max="2060" width="7.5703125" style="1119" customWidth="1"/>
    <col min="2061" max="2061" width="6.85546875" style="1119" customWidth="1"/>
    <col min="2062" max="2062" width="35.7109375" style="1119" customWidth="1"/>
    <col min="2063" max="2065" width="9.140625" style="1119"/>
    <col min="2066" max="2066" width="0" style="1119" hidden="1" customWidth="1"/>
    <col min="2067" max="2303" width="9.140625" style="1119"/>
    <col min="2304" max="2304" width="20" style="1119" customWidth="1"/>
    <col min="2305" max="2305" width="19.85546875" style="1119" customWidth="1"/>
    <col min="2306" max="2306" width="22.140625" style="1119" customWidth="1"/>
    <col min="2307" max="2307" width="13.140625" style="1119" customWidth="1"/>
    <col min="2308" max="2308" width="11.140625" style="1119" customWidth="1"/>
    <col min="2309" max="2309" width="7.7109375" style="1119" customWidth="1"/>
    <col min="2310" max="2310" width="8.7109375" style="1119" customWidth="1"/>
    <col min="2311" max="2311" width="12.140625" style="1119" customWidth="1"/>
    <col min="2312" max="2312" width="14.5703125" style="1119" customWidth="1"/>
    <col min="2313" max="2313" width="9" style="1119" customWidth="1"/>
    <col min="2314" max="2314" width="8.85546875" style="1119" customWidth="1"/>
    <col min="2315" max="2315" width="11.42578125" style="1119" customWidth="1"/>
    <col min="2316" max="2316" width="7.5703125" style="1119" customWidth="1"/>
    <col min="2317" max="2317" width="6.85546875" style="1119" customWidth="1"/>
    <col min="2318" max="2318" width="35.7109375" style="1119" customWidth="1"/>
    <col min="2319" max="2321" width="9.140625" style="1119"/>
    <col min="2322" max="2322" width="0" style="1119" hidden="1" customWidth="1"/>
    <col min="2323" max="2559" width="9.140625" style="1119"/>
    <col min="2560" max="2560" width="20" style="1119" customWidth="1"/>
    <col min="2561" max="2561" width="19.85546875" style="1119" customWidth="1"/>
    <col min="2562" max="2562" width="22.140625" style="1119" customWidth="1"/>
    <col min="2563" max="2563" width="13.140625" style="1119" customWidth="1"/>
    <col min="2564" max="2564" width="11.140625" style="1119" customWidth="1"/>
    <col min="2565" max="2565" width="7.7109375" style="1119" customWidth="1"/>
    <col min="2566" max="2566" width="8.7109375" style="1119" customWidth="1"/>
    <col min="2567" max="2567" width="12.140625" style="1119" customWidth="1"/>
    <col min="2568" max="2568" width="14.5703125" style="1119" customWidth="1"/>
    <col min="2569" max="2569" width="9" style="1119" customWidth="1"/>
    <col min="2570" max="2570" width="8.85546875" style="1119" customWidth="1"/>
    <col min="2571" max="2571" width="11.42578125" style="1119" customWidth="1"/>
    <col min="2572" max="2572" width="7.5703125" style="1119" customWidth="1"/>
    <col min="2573" max="2573" width="6.85546875" style="1119" customWidth="1"/>
    <col min="2574" max="2574" width="35.7109375" style="1119" customWidth="1"/>
    <col min="2575" max="2577" width="9.140625" style="1119"/>
    <col min="2578" max="2578" width="0" style="1119" hidden="1" customWidth="1"/>
    <col min="2579" max="2815" width="9.140625" style="1119"/>
    <col min="2816" max="2816" width="20" style="1119" customWidth="1"/>
    <col min="2817" max="2817" width="19.85546875" style="1119" customWidth="1"/>
    <col min="2818" max="2818" width="22.140625" style="1119" customWidth="1"/>
    <col min="2819" max="2819" width="13.140625" style="1119" customWidth="1"/>
    <col min="2820" max="2820" width="11.140625" style="1119" customWidth="1"/>
    <col min="2821" max="2821" width="7.7109375" style="1119" customWidth="1"/>
    <col min="2822" max="2822" width="8.7109375" style="1119" customWidth="1"/>
    <col min="2823" max="2823" width="12.140625" style="1119" customWidth="1"/>
    <col min="2824" max="2824" width="14.5703125" style="1119" customWidth="1"/>
    <col min="2825" max="2825" width="9" style="1119" customWidth="1"/>
    <col min="2826" max="2826" width="8.85546875" style="1119" customWidth="1"/>
    <col min="2827" max="2827" width="11.42578125" style="1119" customWidth="1"/>
    <col min="2828" max="2828" width="7.5703125" style="1119" customWidth="1"/>
    <col min="2829" max="2829" width="6.85546875" style="1119" customWidth="1"/>
    <col min="2830" max="2830" width="35.7109375" style="1119" customWidth="1"/>
    <col min="2831" max="2833" width="9.140625" style="1119"/>
    <col min="2834" max="2834" width="0" style="1119" hidden="1" customWidth="1"/>
    <col min="2835" max="3071" width="9.140625" style="1119"/>
    <col min="3072" max="3072" width="20" style="1119" customWidth="1"/>
    <col min="3073" max="3073" width="19.85546875" style="1119" customWidth="1"/>
    <col min="3074" max="3074" width="22.140625" style="1119" customWidth="1"/>
    <col min="3075" max="3075" width="13.140625" style="1119" customWidth="1"/>
    <col min="3076" max="3076" width="11.140625" style="1119" customWidth="1"/>
    <col min="3077" max="3077" width="7.7109375" style="1119" customWidth="1"/>
    <col min="3078" max="3078" width="8.7109375" style="1119" customWidth="1"/>
    <col min="3079" max="3079" width="12.140625" style="1119" customWidth="1"/>
    <col min="3080" max="3080" width="14.5703125" style="1119" customWidth="1"/>
    <col min="3081" max="3081" width="9" style="1119" customWidth="1"/>
    <col min="3082" max="3082" width="8.85546875" style="1119" customWidth="1"/>
    <col min="3083" max="3083" width="11.42578125" style="1119" customWidth="1"/>
    <col min="3084" max="3084" width="7.5703125" style="1119" customWidth="1"/>
    <col min="3085" max="3085" width="6.85546875" style="1119" customWidth="1"/>
    <col min="3086" max="3086" width="35.7109375" style="1119" customWidth="1"/>
    <col min="3087" max="3089" width="9.140625" style="1119"/>
    <col min="3090" max="3090" width="0" style="1119" hidden="1" customWidth="1"/>
    <col min="3091" max="3327" width="9.140625" style="1119"/>
    <col min="3328" max="3328" width="20" style="1119" customWidth="1"/>
    <col min="3329" max="3329" width="19.85546875" style="1119" customWidth="1"/>
    <col min="3330" max="3330" width="22.140625" style="1119" customWidth="1"/>
    <col min="3331" max="3331" width="13.140625" style="1119" customWidth="1"/>
    <col min="3332" max="3332" width="11.140625" style="1119" customWidth="1"/>
    <col min="3333" max="3333" width="7.7109375" style="1119" customWidth="1"/>
    <col min="3334" max="3334" width="8.7109375" style="1119" customWidth="1"/>
    <col min="3335" max="3335" width="12.140625" style="1119" customWidth="1"/>
    <col min="3336" max="3336" width="14.5703125" style="1119" customWidth="1"/>
    <col min="3337" max="3337" width="9" style="1119" customWidth="1"/>
    <col min="3338" max="3338" width="8.85546875" style="1119" customWidth="1"/>
    <col min="3339" max="3339" width="11.42578125" style="1119" customWidth="1"/>
    <col min="3340" max="3340" width="7.5703125" style="1119" customWidth="1"/>
    <col min="3341" max="3341" width="6.85546875" style="1119" customWidth="1"/>
    <col min="3342" max="3342" width="35.7109375" style="1119" customWidth="1"/>
    <col min="3343" max="3345" width="9.140625" style="1119"/>
    <col min="3346" max="3346" width="0" style="1119" hidden="1" customWidth="1"/>
    <col min="3347" max="3583" width="9.140625" style="1119"/>
    <col min="3584" max="3584" width="20" style="1119" customWidth="1"/>
    <col min="3585" max="3585" width="19.85546875" style="1119" customWidth="1"/>
    <col min="3586" max="3586" width="22.140625" style="1119" customWidth="1"/>
    <col min="3587" max="3587" width="13.140625" style="1119" customWidth="1"/>
    <col min="3588" max="3588" width="11.140625" style="1119" customWidth="1"/>
    <col min="3589" max="3589" width="7.7109375" style="1119" customWidth="1"/>
    <col min="3590" max="3590" width="8.7109375" style="1119" customWidth="1"/>
    <col min="3591" max="3591" width="12.140625" style="1119" customWidth="1"/>
    <col min="3592" max="3592" width="14.5703125" style="1119" customWidth="1"/>
    <col min="3593" max="3593" width="9" style="1119" customWidth="1"/>
    <col min="3594" max="3594" width="8.85546875" style="1119" customWidth="1"/>
    <col min="3595" max="3595" width="11.42578125" style="1119" customWidth="1"/>
    <col min="3596" max="3596" width="7.5703125" style="1119" customWidth="1"/>
    <col min="3597" max="3597" width="6.85546875" style="1119" customWidth="1"/>
    <col min="3598" max="3598" width="35.7109375" style="1119" customWidth="1"/>
    <col min="3599" max="3601" width="9.140625" style="1119"/>
    <col min="3602" max="3602" width="0" style="1119" hidden="1" customWidth="1"/>
    <col min="3603" max="3839" width="9.140625" style="1119"/>
    <col min="3840" max="3840" width="20" style="1119" customWidth="1"/>
    <col min="3841" max="3841" width="19.85546875" style="1119" customWidth="1"/>
    <col min="3842" max="3842" width="22.140625" style="1119" customWidth="1"/>
    <col min="3843" max="3843" width="13.140625" style="1119" customWidth="1"/>
    <col min="3844" max="3844" width="11.140625" style="1119" customWidth="1"/>
    <col min="3845" max="3845" width="7.7109375" style="1119" customWidth="1"/>
    <col min="3846" max="3846" width="8.7109375" style="1119" customWidth="1"/>
    <col min="3847" max="3847" width="12.140625" style="1119" customWidth="1"/>
    <col min="3848" max="3848" width="14.5703125" style="1119" customWidth="1"/>
    <col min="3849" max="3849" width="9" style="1119" customWidth="1"/>
    <col min="3850" max="3850" width="8.85546875" style="1119" customWidth="1"/>
    <col min="3851" max="3851" width="11.42578125" style="1119" customWidth="1"/>
    <col min="3852" max="3852" width="7.5703125" style="1119" customWidth="1"/>
    <col min="3853" max="3853" width="6.85546875" style="1119" customWidth="1"/>
    <col min="3854" max="3854" width="35.7109375" style="1119" customWidth="1"/>
    <col min="3855" max="3857" width="9.140625" style="1119"/>
    <col min="3858" max="3858" width="0" style="1119" hidden="1" customWidth="1"/>
    <col min="3859" max="4095" width="9.140625" style="1119"/>
    <col min="4096" max="4096" width="20" style="1119" customWidth="1"/>
    <col min="4097" max="4097" width="19.85546875" style="1119" customWidth="1"/>
    <col min="4098" max="4098" width="22.140625" style="1119" customWidth="1"/>
    <col min="4099" max="4099" width="13.140625" style="1119" customWidth="1"/>
    <col min="4100" max="4100" width="11.140625" style="1119" customWidth="1"/>
    <col min="4101" max="4101" width="7.7109375" style="1119" customWidth="1"/>
    <col min="4102" max="4102" width="8.7109375" style="1119" customWidth="1"/>
    <col min="4103" max="4103" width="12.140625" style="1119" customWidth="1"/>
    <col min="4104" max="4104" width="14.5703125" style="1119" customWidth="1"/>
    <col min="4105" max="4105" width="9" style="1119" customWidth="1"/>
    <col min="4106" max="4106" width="8.85546875" style="1119" customWidth="1"/>
    <col min="4107" max="4107" width="11.42578125" style="1119" customWidth="1"/>
    <col min="4108" max="4108" width="7.5703125" style="1119" customWidth="1"/>
    <col min="4109" max="4109" width="6.85546875" style="1119" customWidth="1"/>
    <col min="4110" max="4110" width="35.7109375" style="1119" customWidth="1"/>
    <col min="4111" max="4113" width="9.140625" style="1119"/>
    <col min="4114" max="4114" width="0" style="1119" hidden="1" customWidth="1"/>
    <col min="4115" max="4351" width="9.140625" style="1119"/>
    <col min="4352" max="4352" width="20" style="1119" customWidth="1"/>
    <col min="4353" max="4353" width="19.85546875" style="1119" customWidth="1"/>
    <col min="4354" max="4354" width="22.140625" style="1119" customWidth="1"/>
    <col min="4355" max="4355" width="13.140625" style="1119" customWidth="1"/>
    <col min="4356" max="4356" width="11.140625" style="1119" customWidth="1"/>
    <col min="4357" max="4357" width="7.7109375" style="1119" customWidth="1"/>
    <col min="4358" max="4358" width="8.7109375" style="1119" customWidth="1"/>
    <col min="4359" max="4359" width="12.140625" style="1119" customWidth="1"/>
    <col min="4360" max="4360" width="14.5703125" style="1119" customWidth="1"/>
    <col min="4361" max="4361" width="9" style="1119" customWidth="1"/>
    <col min="4362" max="4362" width="8.85546875" style="1119" customWidth="1"/>
    <col min="4363" max="4363" width="11.42578125" style="1119" customWidth="1"/>
    <col min="4364" max="4364" width="7.5703125" style="1119" customWidth="1"/>
    <col min="4365" max="4365" width="6.85546875" style="1119" customWidth="1"/>
    <col min="4366" max="4366" width="35.7109375" style="1119" customWidth="1"/>
    <col min="4367" max="4369" width="9.140625" style="1119"/>
    <col min="4370" max="4370" width="0" style="1119" hidden="1" customWidth="1"/>
    <col min="4371" max="4607" width="9.140625" style="1119"/>
    <col min="4608" max="4608" width="20" style="1119" customWidth="1"/>
    <col min="4609" max="4609" width="19.85546875" style="1119" customWidth="1"/>
    <col min="4610" max="4610" width="22.140625" style="1119" customWidth="1"/>
    <col min="4611" max="4611" width="13.140625" style="1119" customWidth="1"/>
    <col min="4612" max="4612" width="11.140625" style="1119" customWidth="1"/>
    <col min="4613" max="4613" width="7.7109375" style="1119" customWidth="1"/>
    <col min="4614" max="4614" width="8.7109375" style="1119" customWidth="1"/>
    <col min="4615" max="4615" width="12.140625" style="1119" customWidth="1"/>
    <col min="4616" max="4616" width="14.5703125" style="1119" customWidth="1"/>
    <col min="4617" max="4617" width="9" style="1119" customWidth="1"/>
    <col min="4618" max="4618" width="8.85546875" style="1119" customWidth="1"/>
    <col min="4619" max="4619" width="11.42578125" style="1119" customWidth="1"/>
    <col min="4620" max="4620" width="7.5703125" style="1119" customWidth="1"/>
    <col min="4621" max="4621" width="6.85546875" style="1119" customWidth="1"/>
    <col min="4622" max="4622" width="35.7109375" style="1119" customWidth="1"/>
    <col min="4623" max="4625" width="9.140625" style="1119"/>
    <col min="4626" max="4626" width="0" style="1119" hidden="1" customWidth="1"/>
    <col min="4627" max="4863" width="9.140625" style="1119"/>
    <col min="4864" max="4864" width="20" style="1119" customWidth="1"/>
    <col min="4865" max="4865" width="19.85546875" style="1119" customWidth="1"/>
    <col min="4866" max="4866" width="22.140625" style="1119" customWidth="1"/>
    <col min="4867" max="4867" width="13.140625" style="1119" customWidth="1"/>
    <col min="4868" max="4868" width="11.140625" style="1119" customWidth="1"/>
    <col min="4869" max="4869" width="7.7109375" style="1119" customWidth="1"/>
    <col min="4870" max="4870" width="8.7109375" style="1119" customWidth="1"/>
    <col min="4871" max="4871" width="12.140625" style="1119" customWidth="1"/>
    <col min="4872" max="4872" width="14.5703125" style="1119" customWidth="1"/>
    <col min="4873" max="4873" width="9" style="1119" customWidth="1"/>
    <col min="4874" max="4874" width="8.85546875" style="1119" customWidth="1"/>
    <col min="4875" max="4875" width="11.42578125" style="1119" customWidth="1"/>
    <col min="4876" max="4876" width="7.5703125" style="1119" customWidth="1"/>
    <col min="4877" max="4877" width="6.85546875" style="1119" customWidth="1"/>
    <col min="4878" max="4878" width="35.7109375" style="1119" customWidth="1"/>
    <col min="4879" max="4881" width="9.140625" style="1119"/>
    <col min="4882" max="4882" width="0" style="1119" hidden="1" customWidth="1"/>
    <col min="4883" max="5119" width="9.140625" style="1119"/>
    <col min="5120" max="5120" width="20" style="1119" customWidth="1"/>
    <col min="5121" max="5121" width="19.85546875" style="1119" customWidth="1"/>
    <col min="5122" max="5122" width="22.140625" style="1119" customWidth="1"/>
    <col min="5123" max="5123" width="13.140625" style="1119" customWidth="1"/>
    <col min="5124" max="5124" width="11.140625" style="1119" customWidth="1"/>
    <col min="5125" max="5125" width="7.7109375" style="1119" customWidth="1"/>
    <col min="5126" max="5126" width="8.7109375" style="1119" customWidth="1"/>
    <col min="5127" max="5127" width="12.140625" style="1119" customWidth="1"/>
    <col min="5128" max="5128" width="14.5703125" style="1119" customWidth="1"/>
    <col min="5129" max="5129" width="9" style="1119" customWidth="1"/>
    <col min="5130" max="5130" width="8.85546875" style="1119" customWidth="1"/>
    <col min="5131" max="5131" width="11.42578125" style="1119" customWidth="1"/>
    <col min="5132" max="5132" width="7.5703125" style="1119" customWidth="1"/>
    <col min="5133" max="5133" width="6.85546875" style="1119" customWidth="1"/>
    <col min="5134" max="5134" width="35.7109375" style="1119" customWidth="1"/>
    <col min="5135" max="5137" width="9.140625" style="1119"/>
    <col min="5138" max="5138" width="0" style="1119" hidden="1" customWidth="1"/>
    <col min="5139" max="5375" width="9.140625" style="1119"/>
    <col min="5376" max="5376" width="20" style="1119" customWidth="1"/>
    <col min="5377" max="5377" width="19.85546875" style="1119" customWidth="1"/>
    <col min="5378" max="5378" width="22.140625" style="1119" customWidth="1"/>
    <col min="5379" max="5379" width="13.140625" style="1119" customWidth="1"/>
    <col min="5380" max="5380" width="11.140625" style="1119" customWidth="1"/>
    <col min="5381" max="5381" width="7.7109375" style="1119" customWidth="1"/>
    <col min="5382" max="5382" width="8.7109375" style="1119" customWidth="1"/>
    <col min="5383" max="5383" width="12.140625" style="1119" customWidth="1"/>
    <col min="5384" max="5384" width="14.5703125" style="1119" customWidth="1"/>
    <col min="5385" max="5385" width="9" style="1119" customWidth="1"/>
    <col min="5386" max="5386" width="8.85546875" style="1119" customWidth="1"/>
    <col min="5387" max="5387" width="11.42578125" style="1119" customWidth="1"/>
    <col min="5388" max="5388" width="7.5703125" style="1119" customWidth="1"/>
    <col min="5389" max="5389" width="6.85546875" style="1119" customWidth="1"/>
    <col min="5390" max="5390" width="35.7109375" style="1119" customWidth="1"/>
    <col min="5391" max="5393" width="9.140625" style="1119"/>
    <col min="5394" max="5394" width="0" style="1119" hidden="1" customWidth="1"/>
    <col min="5395" max="5631" width="9.140625" style="1119"/>
    <col min="5632" max="5632" width="20" style="1119" customWidth="1"/>
    <col min="5633" max="5633" width="19.85546875" style="1119" customWidth="1"/>
    <col min="5634" max="5634" width="22.140625" style="1119" customWidth="1"/>
    <col min="5635" max="5635" width="13.140625" style="1119" customWidth="1"/>
    <col min="5636" max="5636" width="11.140625" style="1119" customWidth="1"/>
    <col min="5637" max="5637" width="7.7109375" style="1119" customWidth="1"/>
    <col min="5638" max="5638" width="8.7109375" style="1119" customWidth="1"/>
    <col min="5639" max="5639" width="12.140625" style="1119" customWidth="1"/>
    <col min="5640" max="5640" width="14.5703125" style="1119" customWidth="1"/>
    <col min="5641" max="5641" width="9" style="1119" customWidth="1"/>
    <col min="5642" max="5642" width="8.85546875" style="1119" customWidth="1"/>
    <col min="5643" max="5643" width="11.42578125" style="1119" customWidth="1"/>
    <col min="5644" max="5644" width="7.5703125" style="1119" customWidth="1"/>
    <col min="5645" max="5645" width="6.85546875" style="1119" customWidth="1"/>
    <col min="5646" max="5646" width="35.7109375" style="1119" customWidth="1"/>
    <col min="5647" max="5649" width="9.140625" style="1119"/>
    <col min="5650" max="5650" width="0" style="1119" hidden="1" customWidth="1"/>
    <col min="5651" max="5887" width="9.140625" style="1119"/>
    <col min="5888" max="5888" width="20" style="1119" customWidth="1"/>
    <col min="5889" max="5889" width="19.85546875" style="1119" customWidth="1"/>
    <col min="5890" max="5890" width="22.140625" style="1119" customWidth="1"/>
    <col min="5891" max="5891" width="13.140625" style="1119" customWidth="1"/>
    <col min="5892" max="5892" width="11.140625" style="1119" customWidth="1"/>
    <col min="5893" max="5893" width="7.7109375" style="1119" customWidth="1"/>
    <col min="5894" max="5894" width="8.7109375" style="1119" customWidth="1"/>
    <col min="5895" max="5895" width="12.140625" style="1119" customWidth="1"/>
    <col min="5896" max="5896" width="14.5703125" style="1119" customWidth="1"/>
    <col min="5897" max="5897" width="9" style="1119" customWidth="1"/>
    <col min="5898" max="5898" width="8.85546875" style="1119" customWidth="1"/>
    <col min="5899" max="5899" width="11.42578125" style="1119" customWidth="1"/>
    <col min="5900" max="5900" width="7.5703125" style="1119" customWidth="1"/>
    <col min="5901" max="5901" width="6.85546875" style="1119" customWidth="1"/>
    <col min="5902" max="5902" width="35.7109375" style="1119" customWidth="1"/>
    <col min="5903" max="5905" width="9.140625" style="1119"/>
    <col min="5906" max="5906" width="0" style="1119" hidden="1" customWidth="1"/>
    <col min="5907" max="6143" width="9.140625" style="1119"/>
    <col min="6144" max="6144" width="20" style="1119" customWidth="1"/>
    <col min="6145" max="6145" width="19.85546875" style="1119" customWidth="1"/>
    <col min="6146" max="6146" width="22.140625" style="1119" customWidth="1"/>
    <col min="6147" max="6147" width="13.140625" style="1119" customWidth="1"/>
    <col min="6148" max="6148" width="11.140625" style="1119" customWidth="1"/>
    <col min="6149" max="6149" width="7.7109375" style="1119" customWidth="1"/>
    <col min="6150" max="6150" width="8.7109375" style="1119" customWidth="1"/>
    <col min="6151" max="6151" width="12.140625" style="1119" customWidth="1"/>
    <col min="6152" max="6152" width="14.5703125" style="1119" customWidth="1"/>
    <col min="6153" max="6153" width="9" style="1119" customWidth="1"/>
    <col min="6154" max="6154" width="8.85546875" style="1119" customWidth="1"/>
    <col min="6155" max="6155" width="11.42578125" style="1119" customWidth="1"/>
    <col min="6156" max="6156" width="7.5703125" style="1119" customWidth="1"/>
    <col min="6157" max="6157" width="6.85546875" style="1119" customWidth="1"/>
    <col min="6158" max="6158" width="35.7109375" style="1119" customWidth="1"/>
    <col min="6159" max="6161" width="9.140625" style="1119"/>
    <col min="6162" max="6162" width="0" style="1119" hidden="1" customWidth="1"/>
    <col min="6163" max="6399" width="9.140625" style="1119"/>
    <col min="6400" max="6400" width="20" style="1119" customWidth="1"/>
    <col min="6401" max="6401" width="19.85546875" style="1119" customWidth="1"/>
    <col min="6402" max="6402" width="22.140625" style="1119" customWidth="1"/>
    <col min="6403" max="6403" width="13.140625" style="1119" customWidth="1"/>
    <col min="6404" max="6404" width="11.140625" style="1119" customWidth="1"/>
    <col min="6405" max="6405" width="7.7109375" style="1119" customWidth="1"/>
    <col min="6406" max="6406" width="8.7109375" style="1119" customWidth="1"/>
    <col min="6407" max="6407" width="12.140625" style="1119" customWidth="1"/>
    <col min="6408" max="6408" width="14.5703125" style="1119" customWidth="1"/>
    <col min="6409" max="6409" width="9" style="1119" customWidth="1"/>
    <col min="6410" max="6410" width="8.85546875" style="1119" customWidth="1"/>
    <col min="6411" max="6411" width="11.42578125" style="1119" customWidth="1"/>
    <col min="6412" max="6412" width="7.5703125" style="1119" customWidth="1"/>
    <col min="6413" max="6413" width="6.85546875" style="1119" customWidth="1"/>
    <col min="6414" max="6414" width="35.7109375" style="1119" customWidth="1"/>
    <col min="6415" max="6417" width="9.140625" style="1119"/>
    <col min="6418" max="6418" width="0" style="1119" hidden="1" customWidth="1"/>
    <col min="6419" max="6655" width="9.140625" style="1119"/>
    <col min="6656" max="6656" width="20" style="1119" customWidth="1"/>
    <col min="6657" max="6657" width="19.85546875" style="1119" customWidth="1"/>
    <col min="6658" max="6658" width="22.140625" style="1119" customWidth="1"/>
    <col min="6659" max="6659" width="13.140625" style="1119" customWidth="1"/>
    <col min="6660" max="6660" width="11.140625" style="1119" customWidth="1"/>
    <col min="6661" max="6661" width="7.7109375" style="1119" customWidth="1"/>
    <col min="6662" max="6662" width="8.7109375" style="1119" customWidth="1"/>
    <col min="6663" max="6663" width="12.140625" style="1119" customWidth="1"/>
    <col min="6664" max="6664" width="14.5703125" style="1119" customWidth="1"/>
    <col min="6665" max="6665" width="9" style="1119" customWidth="1"/>
    <col min="6666" max="6666" width="8.85546875" style="1119" customWidth="1"/>
    <col min="6667" max="6667" width="11.42578125" style="1119" customWidth="1"/>
    <col min="6668" max="6668" width="7.5703125" style="1119" customWidth="1"/>
    <col min="6669" max="6669" width="6.85546875" style="1119" customWidth="1"/>
    <col min="6670" max="6670" width="35.7109375" style="1119" customWidth="1"/>
    <col min="6671" max="6673" width="9.140625" style="1119"/>
    <col min="6674" max="6674" width="0" style="1119" hidden="1" customWidth="1"/>
    <col min="6675" max="6911" width="9.140625" style="1119"/>
    <col min="6912" max="6912" width="20" style="1119" customWidth="1"/>
    <col min="6913" max="6913" width="19.85546875" style="1119" customWidth="1"/>
    <col min="6914" max="6914" width="22.140625" style="1119" customWidth="1"/>
    <col min="6915" max="6915" width="13.140625" style="1119" customWidth="1"/>
    <col min="6916" max="6916" width="11.140625" style="1119" customWidth="1"/>
    <col min="6917" max="6917" width="7.7109375" style="1119" customWidth="1"/>
    <col min="6918" max="6918" width="8.7109375" style="1119" customWidth="1"/>
    <col min="6919" max="6919" width="12.140625" style="1119" customWidth="1"/>
    <col min="6920" max="6920" width="14.5703125" style="1119" customWidth="1"/>
    <col min="6921" max="6921" width="9" style="1119" customWidth="1"/>
    <col min="6922" max="6922" width="8.85546875" style="1119" customWidth="1"/>
    <col min="6923" max="6923" width="11.42578125" style="1119" customWidth="1"/>
    <col min="6924" max="6924" width="7.5703125" style="1119" customWidth="1"/>
    <col min="6925" max="6925" width="6.85546875" style="1119" customWidth="1"/>
    <col min="6926" max="6926" width="35.7109375" style="1119" customWidth="1"/>
    <col min="6927" max="6929" width="9.140625" style="1119"/>
    <col min="6930" max="6930" width="0" style="1119" hidden="1" customWidth="1"/>
    <col min="6931" max="7167" width="9.140625" style="1119"/>
    <col min="7168" max="7168" width="20" style="1119" customWidth="1"/>
    <col min="7169" max="7169" width="19.85546875" style="1119" customWidth="1"/>
    <col min="7170" max="7170" width="22.140625" style="1119" customWidth="1"/>
    <col min="7171" max="7171" width="13.140625" style="1119" customWidth="1"/>
    <col min="7172" max="7172" width="11.140625" style="1119" customWidth="1"/>
    <col min="7173" max="7173" width="7.7109375" style="1119" customWidth="1"/>
    <col min="7174" max="7174" width="8.7109375" style="1119" customWidth="1"/>
    <col min="7175" max="7175" width="12.140625" style="1119" customWidth="1"/>
    <col min="7176" max="7176" width="14.5703125" style="1119" customWidth="1"/>
    <col min="7177" max="7177" width="9" style="1119" customWidth="1"/>
    <col min="7178" max="7178" width="8.85546875" style="1119" customWidth="1"/>
    <col min="7179" max="7179" width="11.42578125" style="1119" customWidth="1"/>
    <col min="7180" max="7180" width="7.5703125" style="1119" customWidth="1"/>
    <col min="7181" max="7181" width="6.85546875" style="1119" customWidth="1"/>
    <col min="7182" max="7182" width="35.7109375" style="1119" customWidth="1"/>
    <col min="7183" max="7185" width="9.140625" style="1119"/>
    <col min="7186" max="7186" width="0" style="1119" hidden="1" customWidth="1"/>
    <col min="7187" max="7423" width="9.140625" style="1119"/>
    <col min="7424" max="7424" width="20" style="1119" customWidth="1"/>
    <col min="7425" max="7425" width="19.85546875" style="1119" customWidth="1"/>
    <col min="7426" max="7426" width="22.140625" style="1119" customWidth="1"/>
    <col min="7427" max="7427" width="13.140625" style="1119" customWidth="1"/>
    <col min="7428" max="7428" width="11.140625" style="1119" customWidth="1"/>
    <col min="7429" max="7429" width="7.7109375" style="1119" customWidth="1"/>
    <col min="7430" max="7430" width="8.7109375" style="1119" customWidth="1"/>
    <col min="7431" max="7431" width="12.140625" style="1119" customWidth="1"/>
    <col min="7432" max="7432" width="14.5703125" style="1119" customWidth="1"/>
    <col min="7433" max="7433" width="9" style="1119" customWidth="1"/>
    <col min="7434" max="7434" width="8.85546875" style="1119" customWidth="1"/>
    <col min="7435" max="7435" width="11.42578125" style="1119" customWidth="1"/>
    <col min="7436" max="7436" width="7.5703125" style="1119" customWidth="1"/>
    <col min="7437" max="7437" width="6.85546875" style="1119" customWidth="1"/>
    <col min="7438" max="7438" width="35.7109375" style="1119" customWidth="1"/>
    <col min="7439" max="7441" width="9.140625" style="1119"/>
    <col min="7442" max="7442" width="0" style="1119" hidden="1" customWidth="1"/>
    <col min="7443" max="7679" width="9.140625" style="1119"/>
    <col min="7680" max="7680" width="20" style="1119" customWidth="1"/>
    <col min="7681" max="7681" width="19.85546875" style="1119" customWidth="1"/>
    <col min="7682" max="7682" width="22.140625" style="1119" customWidth="1"/>
    <col min="7683" max="7683" width="13.140625" style="1119" customWidth="1"/>
    <col min="7684" max="7684" width="11.140625" style="1119" customWidth="1"/>
    <col min="7685" max="7685" width="7.7109375" style="1119" customWidth="1"/>
    <col min="7686" max="7686" width="8.7109375" style="1119" customWidth="1"/>
    <col min="7687" max="7687" width="12.140625" style="1119" customWidth="1"/>
    <col min="7688" max="7688" width="14.5703125" style="1119" customWidth="1"/>
    <col min="7689" max="7689" width="9" style="1119" customWidth="1"/>
    <col min="7690" max="7690" width="8.85546875" style="1119" customWidth="1"/>
    <col min="7691" max="7691" width="11.42578125" style="1119" customWidth="1"/>
    <col min="7692" max="7692" width="7.5703125" style="1119" customWidth="1"/>
    <col min="7693" max="7693" width="6.85546875" style="1119" customWidth="1"/>
    <col min="7694" max="7694" width="35.7109375" style="1119" customWidth="1"/>
    <col min="7695" max="7697" width="9.140625" style="1119"/>
    <col min="7698" max="7698" width="0" style="1119" hidden="1" customWidth="1"/>
    <col min="7699" max="7935" width="9.140625" style="1119"/>
    <col min="7936" max="7936" width="20" style="1119" customWidth="1"/>
    <col min="7937" max="7937" width="19.85546875" style="1119" customWidth="1"/>
    <col min="7938" max="7938" width="22.140625" style="1119" customWidth="1"/>
    <col min="7939" max="7939" width="13.140625" style="1119" customWidth="1"/>
    <col min="7940" max="7940" width="11.140625" style="1119" customWidth="1"/>
    <col min="7941" max="7941" width="7.7109375" style="1119" customWidth="1"/>
    <col min="7942" max="7942" width="8.7109375" style="1119" customWidth="1"/>
    <col min="7943" max="7943" width="12.140625" style="1119" customWidth="1"/>
    <col min="7944" max="7944" width="14.5703125" style="1119" customWidth="1"/>
    <col min="7945" max="7945" width="9" style="1119" customWidth="1"/>
    <col min="7946" max="7946" width="8.85546875" style="1119" customWidth="1"/>
    <col min="7947" max="7947" width="11.42578125" style="1119" customWidth="1"/>
    <col min="7948" max="7948" width="7.5703125" style="1119" customWidth="1"/>
    <col min="7949" max="7949" width="6.85546875" style="1119" customWidth="1"/>
    <col min="7950" max="7950" width="35.7109375" style="1119" customWidth="1"/>
    <col min="7951" max="7953" width="9.140625" style="1119"/>
    <col min="7954" max="7954" width="0" style="1119" hidden="1" customWidth="1"/>
    <col min="7955" max="8191" width="9.140625" style="1119"/>
    <col min="8192" max="8192" width="20" style="1119" customWidth="1"/>
    <col min="8193" max="8193" width="19.85546875" style="1119" customWidth="1"/>
    <col min="8194" max="8194" width="22.140625" style="1119" customWidth="1"/>
    <col min="8195" max="8195" width="13.140625" style="1119" customWidth="1"/>
    <col min="8196" max="8196" width="11.140625" style="1119" customWidth="1"/>
    <col min="8197" max="8197" width="7.7109375" style="1119" customWidth="1"/>
    <col min="8198" max="8198" width="8.7109375" style="1119" customWidth="1"/>
    <col min="8199" max="8199" width="12.140625" style="1119" customWidth="1"/>
    <col min="8200" max="8200" width="14.5703125" style="1119" customWidth="1"/>
    <col min="8201" max="8201" width="9" style="1119" customWidth="1"/>
    <col min="8202" max="8202" width="8.85546875" style="1119" customWidth="1"/>
    <col min="8203" max="8203" width="11.42578125" style="1119" customWidth="1"/>
    <col min="8204" max="8204" width="7.5703125" style="1119" customWidth="1"/>
    <col min="8205" max="8205" width="6.85546875" style="1119" customWidth="1"/>
    <col min="8206" max="8206" width="35.7109375" style="1119" customWidth="1"/>
    <col min="8207" max="8209" width="9.140625" style="1119"/>
    <col min="8210" max="8210" width="0" style="1119" hidden="1" customWidth="1"/>
    <col min="8211" max="8447" width="9.140625" style="1119"/>
    <col min="8448" max="8448" width="20" style="1119" customWidth="1"/>
    <col min="8449" max="8449" width="19.85546875" style="1119" customWidth="1"/>
    <col min="8450" max="8450" width="22.140625" style="1119" customWidth="1"/>
    <col min="8451" max="8451" width="13.140625" style="1119" customWidth="1"/>
    <col min="8452" max="8452" width="11.140625" style="1119" customWidth="1"/>
    <col min="8453" max="8453" width="7.7109375" style="1119" customWidth="1"/>
    <col min="8454" max="8454" width="8.7109375" style="1119" customWidth="1"/>
    <col min="8455" max="8455" width="12.140625" style="1119" customWidth="1"/>
    <col min="8456" max="8456" width="14.5703125" style="1119" customWidth="1"/>
    <col min="8457" max="8457" width="9" style="1119" customWidth="1"/>
    <col min="8458" max="8458" width="8.85546875" style="1119" customWidth="1"/>
    <col min="8459" max="8459" width="11.42578125" style="1119" customWidth="1"/>
    <col min="8460" max="8460" width="7.5703125" style="1119" customWidth="1"/>
    <col min="8461" max="8461" width="6.85546875" style="1119" customWidth="1"/>
    <col min="8462" max="8462" width="35.7109375" style="1119" customWidth="1"/>
    <col min="8463" max="8465" width="9.140625" style="1119"/>
    <col min="8466" max="8466" width="0" style="1119" hidden="1" customWidth="1"/>
    <col min="8467" max="8703" width="9.140625" style="1119"/>
    <col min="8704" max="8704" width="20" style="1119" customWidth="1"/>
    <col min="8705" max="8705" width="19.85546875" style="1119" customWidth="1"/>
    <col min="8706" max="8706" width="22.140625" style="1119" customWidth="1"/>
    <col min="8707" max="8707" width="13.140625" style="1119" customWidth="1"/>
    <col min="8708" max="8708" width="11.140625" style="1119" customWidth="1"/>
    <col min="8709" max="8709" width="7.7109375" style="1119" customWidth="1"/>
    <col min="8710" max="8710" width="8.7109375" style="1119" customWidth="1"/>
    <col min="8711" max="8711" width="12.140625" style="1119" customWidth="1"/>
    <col min="8712" max="8712" width="14.5703125" style="1119" customWidth="1"/>
    <col min="8713" max="8713" width="9" style="1119" customWidth="1"/>
    <col min="8714" max="8714" width="8.85546875" style="1119" customWidth="1"/>
    <col min="8715" max="8715" width="11.42578125" style="1119" customWidth="1"/>
    <col min="8716" max="8716" width="7.5703125" style="1119" customWidth="1"/>
    <col min="8717" max="8717" width="6.85546875" style="1119" customWidth="1"/>
    <col min="8718" max="8718" width="35.7109375" style="1119" customWidth="1"/>
    <col min="8719" max="8721" width="9.140625" style="1119"/>
    <col min="8722" max="8722" width="0" style="1119" hidden="1" customWidth="1"/>
    <col min="8723" max="8959" width="9.140625" style="1119"/>
    <col min="8960" max="8960" width="20" style="1119" customWidth="1"/>
    <col min="8961" max="8961" width="19.85546875" style="1119" customWidth="1"/>
    <col min="8962" max="8962" width="22.140625" style="1119" customWidth="1"/>
    <col min="8963" max="8963" width="13.140625" style="1119" customWidth="1"/>
    <col min="8964" max="8964" width="11.140625" style="1119" customWidth="1"/>
    <col min="8965" max="8965" width="7.7109375" style="1119" customWidth="1"/>
    <col min="8966" max="8966" width="8.7109375" style="1119" customWidth="1"/>
    <col min="8967" max="8967" width="12.140625" style="1119" customWidth="1"/>
    <col min="8968" max="8968" width="14.5703125" style="1119" customWidth="1"/>
    <col min="8969" max="8969" width="9" style="1119" customWidth="1"/>
    <col min="8970" max="8970" width="8.85546875" style="1119" customWidth="1"/>
    <col min="8971" max="8971" width="11.42578125" style="1119" customWidth="1"/>
    <col min="8972" max="8972" width="7.5703125" style="1119" customWidth="1"/>
    <col min="8973" max="8973" width="6.85546875" style="1119" customWidth="1"/>
    <col min="8974" max="8974" width="35.7109375" style="1119" customWidth="1"/>
    <col min="8975" max="8977" width="9.140625" style="1119"/>
    <col min="8978" max="8978" width="0" style="1119" hidden="1" customWidth="1"/>
    <col min="8979" max="9215" width="9.140625" style="1119"/>
    <col min="9216" max="9216" width="20" style="1119" customWidth="1"/>
    <col min="9217" max="9217" width="19.85546875" style="1119" customWidth="1"/>
    <col min="9218" max="9218" width="22.140625" style="1119" customWidth="1"/>
    <col min="9219" max="9219" width="13.140625" style="1119" customWidth="1"/>
    <col min="9220" max="9220" width="11.140625" style="1119" customWidth="1"/>
    <col min="9221" max="9221" width="7.7109375" style="1119" customWidth="1"/>
    <col min="9222" max="9222" width="8.7109375" style="1119" customWidth="1"/>
    <col min="9223" max="9223" width="12.140625" style="1119" customWidth="1"/>
    <col min="9224" max="9224" width="14.5703125" style="1119" customWidth="1"/>
    <col min="9225" max="9225" width="9" style="1119" customWidth="1"/>
    <col min="9226" max="9226" width="8.85546875" style="1119" customWidth="1"/>
    <col min="9227" max="9227" width="11.42578125" style="1119" customWidth="1"/>
    <col min="9228" max="9228" width="7.5703125" style="1119" customWidth="1"/>
    <col min="9229" max="9229" width="6.85546875" style="1119" customWidth="1"/>
    <col min="9230" max="9230" width="35.7109375" style="1119" customWidth="1"/>
    <col min="9231" max="9233" width="9.140625" style="1119"/>
    <col min="9234" max="9234" width="0" style="1119" hidden="1" customWidth="1"/>
    <col min="9235" max="9471" width="9.140625" style="1119"/>
    <col min="9472" max="9472" width="20" style="1119" customWidth="1"/>
    <col min="9473" max="9473" width="19.85546875" style="1119" customWidth="1"/>
    <col min="9474" max="9474" width="22.140625" style="1119" customWidth="1"/>
    <col min="9475" max="9475" width="13.140625" style="1119" customWidth="1"/>
    <col min="9476" max="9476" width="11.140625" style="1119" customWidth="1"/>
    <col min="9477" max="9477" width="7.7109375" style="1119" customWidth="1"/>
    <col min="9478" max="9478" width="8.7109375" style="1119" customWidth="1"/>
    <col min="9479" max="9479" width="12.140625" style="1119" customWidth="1"/>
    <col min="9480" max="9480" width="14.5703125" style="1119" customWidth="1"/>
    <col min="9481" max="9481" width="9" style="1119" customWidth="1"/>
    <col min="9482" max="9482" width="8.85546875" style="1119" customWidth="1"/>
    <col min="9483" max="9483" width="11.42578125" style="1119" customWidth="1"/>
    <col min="9484" max="9484" width="7.5703125" style="1119" customWidth="1"/>
    <col min="9485" max="9485" width="6.85546875" style="1119" customWidth="1"/>
    <col min="9486" max="9486" width="35.7109375" style="1119" customWidth="1"/>
    <col min="9487" max="9489" width="9.140625" style="1119"/>
    <col min="9490" max="9490" width="0" style="1119" hidden="1" customWidth="1"/>
    <col min="9491" max="9727" width="9.140625" style="1119"/>
    <col min="9728" max="9728" width="20" style="1119" customWidth="1"/>
    <col min="9729" max="9729" width="19.85546875" style="1119" customWidth="1"/>
    <col min="9730" max="9730" width="22.140625" style="1119" customWidth="1"/>
    <col min="9731" max="9731" width="13.140625" style="1119" customWidth="1"/>
    <col min="9732" max="9732" width="11.140625" style="1119" customWidth="1"/>
    <col min="9733" max="9733" width="7.7109375" style="1119" customWidth="1"/>
    <col min="9734" max="9734" width="8.7109375" style="1119" customWidth="1"/>
    <col min="9735" max="9735" width="12.140625" style="1119" customWidth="1"/>
    <col min="9736" max="9736" width="14.5703125" style="1119" customWidth="1"/>
    <col min="9737" max="9737" width="9" style="1119" customWidth="1"/>
    <col min="9738" max="9738" width="8.85546875" style="1119" customWidth="1"/>
    <col min="9739" max="9739" width="11.42578125" style="1119" customWidth="1"/>
    <col min="9740" max="9740" width="7.5703125" style="1119" customWidth="1"/>
    <col min="9741" max="9741" width="6.85546875" style="1119" customWidth="1"/>
    <col min="9742" max="9742" width="35.7109375" style="1119" customWidth="1"/>
    <col min="9743" max="9745" width="9.140625" style="1119"/>
    <col min="9746" max="9746" width="0" style="1119" hidden="1" customWidth="1"/>
    <col min="9747" max="9983" width="9.140625" style="1119"/>
    <col min="9984" max="9984" width="20" style="1119" customWidth="1"/>
    <col min="9985" max="9985" width="19.85546875" style="1119" customWidth="1"/>
    <col min="9986" max="9986" width="22.140625" style="1119" customWidth="1"/>
    <col min="9987" max="9987" width="13.140625" style="1119" customWidth="1"/>
    <col min="9988" max="9988" width="11.140625" style="1119" customWidth="1"/>
    <col min="9989" max="9989" width="7.7109375" style="1119" customWidth="1"/>
    <col min="9990" max="9990" width="8.7109375" style="1119" customWidth="1"/>
    <col min="9991" max="9991" width="12.140625" style="1119" customWidth="1"/>
    <col min="9992" max="9992" width="14.5703125" style="1119" customWidth="1"/>
    <col min="9993" max="9993" width="9" style="1119" customWidth="1"/>
    <col min="9994" max="9994" width="8.85546875" style="1119" customWidth="1"/>
    <col min="9995" max="9995" width="11.42578125" style="1119" customWidth="1"/>
    <col min="9996" max="9996" width="7.5703125" style="1119" customWidth="1"/>
    <col min="9997" max="9997" width="6.85546875" style="1119" customWidth="1"/>
    <col min="9998" max="9998" width="35.7109375" style="1119" customWidth="1"/>
    <col min="9999" max="10001" width="9.140625" style="1119"/>
    <col min="10002" max="10002" width="0" style="1119" hidden="1" customWidth="1"/>
    <col min="10003" max="10239" width="9.140625" style="1119"/>
    <col min="10240" max="10240" width="20" style="1119" customWidth="1"/>
    <col min="10241" max="10241" width="19.85546875" style="1119" customWidth="1"/>
    <col min="10242" max="10242" width="22.140625" style="1119" customWidth="1"/>
    <col min="10243" max="10243" width="13.140625" style="1119" customWidth="1"/>
    <col min="10244" max="10244" width="11.140625" style="1119" customWidth="1"/>
    <col min="10245" max="10245" width="7.7109375" style="1119" customWidth="1"/>
    <col min="10246" max="10246" width="8.7109375" style="1119" customWidth="1"/>
    <col min="10247" max="10247" width="12.140625" style="1119" customWidth="1"/>
    <col min="10248" max="10248" width="14.5703125" style="1119" customWidth="1"/>
    <col min="10249" max="10249" width="9" style="1119" customWidth="1"/>
    <col min="10250" max="10250" width="8.85546875" style="1119" customWidth="1"/>
    <col min="10251" max="10251" width="11.42578125" style="1119" customWidth="1"/>
    <col min="10252" max="10252" width="7.5703125" style="1119" customWidth="1"/>
    <col min="10253" max="10253" width="6.85546875" style="1119" customWidth="1"/>
    <col min="10254" max="10254" width="35.7109375" style="1119" customWidth="1"/>
    <col min="10255" max="10257" width="9.140625" style="1119"/>
    <col min="10258" max="10258" width="0" style="1119" hidden="1" customWidth="1"/>
    <col min="10259" max="10495" width="9.140625" style="1119"/>
    <col min="10496" max="10496" width="20" style="1119" customWidth="1"/>
    <col min="10497" max="10497" width="19.85546875" style="1119" customWidth="1"/>
    <col min="10498" max="10498" width="22.140625" style="1119" customWidth="1"/>
    <col min="10499" max="10499" width="13.140625" style="1119" customWidth="1"/>
    <col min="10500" max="10500" width="11.140625" style="1119" customWidth="1"/>
    <col min="10501" max="10501" width="7.7109375" style="1119" customWidth="1"/>
    <col min="10502" max="10502" width="8.7109375" style="1119" customWidth="1"/>
    <col min="10503" max="10503" width="12.140625" style="1119" customWidth="1"/>
    <col min="10504" max="10504" width="14.5703125" style="1119" customWidth="1"/>
    <col min="10505" max="10505" width="9" style="1119" customWidth="1"/>
    <col min="10506" max="10506" width="8.85546875" style="1119" customWidth="1"/>
    <col min="10507" max="10507" width="11.42578125" style="1119" customWidth="1"/>
    <col min="10508" max="10508" width="7.5703125" style="1119" customWidth="1"/>
    <col min="10509" max="10509" width="6.85546875" style="1119" customWidth="1"/>
    <col min="10510" max="10510" width="35.7109375" style="1119" customWidth="1"/>
    <col min="10511" max="10513" width="9.140625" style="1119"/>
    <col min="10514" max="10514" width="0" style="1119" hidden="1" customWidth="1"/>
    <col min="10515" max="10751" width="9.140625" style="1119"/>
    <col min="10752" max="10752" width="20" style="1119" customWidth="1"/>
    <col min="10753" max="10753" width="19.85546875" style="1119" customWidth="1"/>
    <col min="10754" max="10754" width="22.140625" style="1119" customWidth="1"/>
    <col min="10755" max="10755" width="13.140625" style="1119" customWidth="1"/>
    <col min="10756" max="10756" width="11.140625" style="1119" customWidth="1"/>
    <col min="10757" max="10757" width="7.7109375" style="1119" customWidth="1"/>
    <col min="10758" max="10758" width="8.7109375" style="1119" customWidth="1"/>
    <col min="10759" max="10759" width="12.140625" style="1119" customWidth="1"/>
    <col min="10760" max="10760" width="14.5703125" style="1119" customWidth="1"/>
    <col min="10761" max="10761" width="9" style="1119" customWidth="1"/>
    <col min="10762" max="10762" width="8.85546875" style="1119" customWidth="1"/>
    <col min="10763" max="10763" width="11.42578125" style="1119" customWidth="1"/>
    <col min="10764" max="10764" width="7.5703125" style="1119" customWidth="1"/>
    <col min="10765" max="10765" width="6.85546875" style="1119" customWidth="1"/>
    <col min="10766" max="10766" width="35.7109375" style="1119" customWidth="1"/>
    <col min="10767" max="10769" width="9.140625" style="1119"/>
    <col min="10770" max="10770" width="0" style="1119" hidden="1" customWidth="1"/>
    <col min="10771" max="11007" width="9.140625" style="1119"/>
    <col min="11008" max="11008" width="20" style="1119" customWidth="1"/>
    <col min="11009" max="11009" width="19.85546875" style="1119" customWidth="1"/>
    <col min="11010" max="11010" width="22.140625" style="1119" customWidth="1"/>
    <col min="11011" max="11011" width="13.140625" style="1119" customWidth="1"/>
    <col min="11012" max="11012" width="11.140625" style="1119" customWidth="1"/>
    <col min="11013" max="11013" width="7.7109375" style="1119" customWidth="1"/>
    <col min="11014" max="11014" width="8.7109375" style="1119" customWidth="1"/>
    <col min="11015" max="11015" width="12.140625" style="1119" customWidth="1"/>
    <col min="11016" max="11016" width="14.5703125" style="1119" customWidth="1"/>
    <col min="11017" max="11017" width="9" style="1119" customWidth="1"/>
    <col min="11018" max="11018" width="8.85546875" style="1119" customWidth="1"/>
    <col min="11019" max="11019" width="11.42578125" style="1119" customWidth="1"/>
    <col min="11020" max="11020" width="7.5703125" style="1119" customWidth="1"/>
    <col min="11021" max="11021" width="6.85546875" style="1119" customWidth="1"/>
    <col min="11022" max="11022" width="35.7109375" style="1119" customWidth="1"/>
    <col min="11023" max="11025" width="9.140625" style="1119"/>
    <col min="11026" max="11026" width="0" style="1119" hidden="1" customWidth="1"/>
    <col min="11027" max="11263" width="9.140625" style="1119"/>
    <col min="11264" max="11264" width="20" style="1119" customWidth="1"/>
    <col min="11265" max="11265" width="19.85546875" style="1119" customWidth="1"/>
    <col min="11266" max="11266" width="22.140625" style="1119" customWidth="1"/>
    <col min="11267" max="11267" width="13.140625" style="1119" customWidth="1"/>
    <col min="11268" max="11268" width="11.140625" style="1119" customWidth="1"/>
    <col min="11269" max="11269" width="7.7109375" style="1119" customWidth="1"/>
    <col min="11270" max="11270" width="8.7109375" style="1119" customWidth="1"/>
    <col min="11271" max="11271" width="12.140625" style="1119" customWidth="1"/>
    <col min="11272" max="11272" width="14.5703125" style="1119" customWidth="1"/>
    <col min="11273" max="11273" width="9" style="1119" customWidth="1"/>
    <col min="11274" max="11274" width="8.85546875" style="1119" customWidth="1"/>
    <col min="11275" max="11275" width="11.42578125" style="1119" customWidth="1"/>
    <col min="11276" max="11276" width="7.5703125" style="1119" customWidth="1"/>
    <col min="11277" max="11277" width="6.85546875" style="1119" customWidth="1"/>
    <col min="11278" max="11278" width="35.7109375" style="1119" customWidth="1"/>
    <col min="11279" max="11281" width="9.140625" style="1119"/>
    <col min="11282" max="11282" width="0" style="1119" hidden="1" customWidth="1"/>
    <col min="11283" max="11519" width="9.140625" style="1119"/>
    <col min="11520" max="11520" width="20" style="1119" customWidth="1"/>
    <col min="11521" max="11521" width="19.85546875" style="1119" customWidth="1"/>
    <col min="11522" max="11522" width="22.140625" style="1119" customWidth="1"/>
    <col min="11523" max="11523" width="13.140625" style="1119" customWidth="1"/>
    <col min="11524" max="11524" width="11.140625" style="1119" customWidth="1"/>
    <col min="11525" max="11525" width="7.7109375" style="1119" customWidth="1"/>
    <col min="11526" max="11526" width="8.7109375" style="1119" customWidth="1"/>
    <col min="11527" max="11527" width="12.140625" style="1119" customWidth="1"/>
    <col min="11528" max="11528" width="14.5703125" style="1119" customWidth="1"/>
    <col min="11529" max="11529" width="9" style="1119" customWidth="1"/>
    <col min="11530" max="11530" width="8.85546875" style="1119" customWidth="1"/>
    <col min="11531" max="11531" width="11.42578125" style="1119" customWidth="1"/>
    <col min="11532" max="11532" width="7.5703125" style="1119" customWidth="1"/>
    <col min="11533" max="11533" width="6.85546875" style="1119" customWidth="1"/>
    <col min="11534" max="11534" width="35.7109375" style="1119" customWidth="1"/>
    <col min="11535" max="11537" width="9.140625" style="1119"/>
    <col min="11538" max="11538" width="0" style="1119" hidden="1" customWidth="1"/>
    <col min="11539" max="11775" width="9.140625" style="1119"/>
    <col min="11776" max="11776" width="20" style="1119" customWidth="1"/>
    <col min="11777" max="11777" width="19.85546875" style="1119" customWidth="1"/>
    <col min="11778" max="11778" width="22.140625" style="1119" customWidth="1"/>
    <col min="11779" max="11779" width="13.140625" style="1119" customWidth="1"/>
    <col min="11780" max="11780" width="11.140625" style="1119" customWidth="1"/>
    <col min="11781" max="11781" width="7.7109375" style="1119" customWidth="1"/>
    <col min="11782" max="11782" width="8.7109375" style="1119" customWidth="1"/>
    <col min="11783" max="11783" width="12.140625" style="1119" customWidth="1"/>
    <col min="11784" max="11784" width="14.5703125" style="1119" customWidth="1"/>
    <col min="11785" max="11785" width="9" style="1119" customWidth="1"/>
    <col min="11786" max="11786" width="8.85546875" style="1119" customWidth="1"/>
    <col min="11787" max="11787" width="11.42578125" style="1119" customWidth="1"/>
    <col min="11788" max="11788" width="7.5703125" style="1119" customWidth="1"/>
    <col min="11789" max="11789" width="6.85546875" style="1119" customWidth="1"/>
    <col min="11790" max="11790" width="35.7109375" style="1119" customWidth="1"/>
    <col min="11791" max="11793" width="9.140625" style="1119"/>
    <col min="11794" max="11794" width="0" style="1119" hidden="1" customWidth="1"/>
    <col min="11795" max="12031" width="9.140625" style="1119"/>
    <col min="12032" max="12032" width="20" style="1119" customWidth="1"/>
    <col min="12033" max="12033" width="19.85546875" style="1119" customWidth="1"/>
    <col min="12034" max="12034" width="22.140625" style="1119" customWidth="1"/>
    <col min="12035" max="12035" width="13.140625" style="1119" customWidth="1"/>
    <col min="12036" max="12036" width="11.140625" style="1119" customWidth="1"/>
    <col min="12037" max="12037" width="7.7109375" style="1119" customWidth="1"/>
    <col min="12038" max="12038" width="8.7109375" style="1119" customWidth="1"/>
    <col min="12039" max="12039" width="12.140625" style="1119" customWidth="1"/>
    <col min="12040" max="12040" width="14.5703125" style="1119" customWidth="1"/>
    <col min="12041" max="12041" width="9" style="1119" customWidth="1"/>
    <col min="12042" max="12042" width="8.85546875" style="1119" customWidth="1"/>
    <col min="12043" max="12043" width="11.42578125" style="1119" customWidth="1"/>
    <col min="12044" max="12044" width="7.5703125" style="1119" customWidth="1"/>
    <col min="12045" max="12045" width="6.85546875" style="1119" customWidth="1"/>
    <col min="12046" max="12046" width="35.7109375" style="1119" customWidth="1"/>
    <col min="12047" max="12049" width="9.140625" style="1119"/>
    <col min="12050" max="12050" width="0" style="1119" hidden="1" customWidth="1"/>
    <col min="12051" max="12287" width="9.140625" style="1119"/>
    <col min="12288" max="12288" width="20" style="1119" customWidth="1"/>
    <col min="12289" max="12289" width="19.85546875" style="1119" customWidth="1"/>
    <col min="12290" max="12290" width="22.140625" style="1119" customWidth="1"/>
    <col min="12291" max="12291" width="13.140625" style="1119" customWidth="1"/>
    <col min="12292" max="12292" width="11.140625" style="1119" customWidth="1"/>
    <col min="12293" max="12293" width="7.7109375" style="1119" customWidth="1"/>
    <col min="12294" max="12294" width="8.7109375" style="1119" customWidth="1"/>
    <col min="12295" max="12295" width="12.140625" style="1119" customWidth="1"/>
    <col min="12296" max="12296" width="14.5703125" style="1119" customWidth="1"/>
    <col min="12297" max="12297" width="9" style="1119" customWidth="1"/>
    <col min="12298" max="12298" width="8.85546875" style="1119" customWidth="1"/>
    <col min="12299" max="12299" width="11.42578125" style="1119" customWidth="1"/>
    <col min="12300" max="12300" width="7.5703125" style="1119" customWidth="1"/>
    <col min="12301" max="12301" width="6.85546875" style="1119" customWidth="1"/>
    <col min="12302" max="12302" width="35.7109375" style="1119" customWidth="1"/>
    <col min="12303" max="12305" width="9.140625" style="1119"/>
    <col min="12306" max="12306" width="0" style="1119" hidden="1" customWidth="1"/>
    <col min="12307" max="12543" width="9.140625" style="1119"/>
    <col min="12544" max="12544" width="20" style="1119" customWidth="1"/>
    <col min="12545" max="12545" width="19.85546875" style="1119" customWidth="1"/>
    <col min="12546" max="12546" width="22.140625" style="1119" customWidth="1"/>
    <col min="12547" max="12547" width="13.140625" style="1119" customWidth="1"/>
    <col min="12548" max="12548" width="11.140625" style="1119" customWidth="1"/>
    <col min="12549" max="12549" width="7.7109375" style="1119" customWidth="1"/>
    <col min="12550" max="12550" width="8.7109375" style="1119" customWidth="1"/>
    <col min="12551" max="12551" width="12.140625" style="1119" customWidth="1"/>
    <col min="12552" max="12552" width="14.5703125" style="1119" customWidth="1"/>
    <col min="12553" max="12553" width="9" style="1119" customWidth="1"/>
    <col min="12554" max="12554" width="8.85546875" style="1119" customWidth="1"/>
    <col min="12555" max="12555" width="11.42578125" style="1119" customWidth="1"/>
    <col min="12556" max="12556" width="7.5703125" style="1119" customWidth="1"/>
    <col min="12557" max="12557" width="6.85546875" style="1119" customWidth="1"/>
    <col min="12558" max="12558" width="35.7109375" style="1119" customWidth="1"/>
    <col min="12559" max="12561" width="9.140625" style="1119"/>
    <col min="12562" max="12562" width="0" style="1119" hidden="1" customWidth="1"/>
    <col min="12563" max="12799" width="9.140625" style="1119"/>
    <col min="12800" max="12800" width="20" style="1119" customWidth="1"/>
    <col min="12801" max="12801" width="19.85546875" style="1119" customWidth="1"/>
    <col min="12802" max="12802" width="22.140625" style="1119" customWidth="1"/>
    <col min="12803" max="12803" width="13.140625" style="1119" customWidth="1"/>
    <col min="12804" max="12804" width="11.140625" style="1119" customWidth="1"/>
    <col min="12805" max="12805" width="7.7109375" style="1119" customWidth="1"/>
    <col min="12806" max="12806" width="8.7109375" style="1119" customWidth="1"/>
    <col min="12807" max="12807" width="12.140625" style="1119" customWidth="1"/>
    <col min="12808" max="12808" width="14.5703125" style="1119" customWidth="1"/>
    <col min="12809" max="12809" width="9" style="1119" customWidth="1"/>
    <col min="12810" max="12810" width="8.85546875" style="1119" customWidth="1"/>
    <col min="12811" max="12811" width="11.42578125" style="1119" customWidth="1"/>
    <col min="12812" max="12812" width="7.5703125" style="1119" customWidth="1"/>
    <col min="12813" max="12813" width="6.85546875" style="1119" customWidth="1"/>
    <col min="12814" max="12814" width="35.7109375" style="1119" customWidth="1"/>
    <col min="12815" max="12817" width="9.140625" style="1119"/>
    <col min="12818" max="12818" width="0" style="1119" hidden="1" customWidth="1"/>
    <col min="12819" max="13055" width="9.140625" style="1119"/>
    <col min="13056" max="13056" width="20" style="1119" customWidth="1"/>
    <col min="13057" max="13057" width="19.85546875" style="1119" customWidth="1"/>
    <col min="13058" max="13058" width="22.140625" style="1119" customWidth="1"/>
    <col min="13059" max="13059" width="13.140625" style="1119" customWidth="1"/>
    <col min="13060" max="13060" width="11.140625" style="1119" customWidth="1"/>
    <col min="13061" max="13061" width="7.7109375" style="1119" customWidth="1"/>
    <col min="13062" max="13062" width="8.7109375" style="1119" customWidth="1"/>
    <col min="13063" max="13063" width="12.140625" style="1119" customWidth="1"/>
    <col min="13064" max="13064" width="14.5703125" style="1119" customWidth="1"/>
    <col min="13065" max="13065" width="9" style="1119" customWidth="1"/>
    <col min="13066" max="13066" width="8.85546875" style="1119" customWidth="1"/>
    <col min="13067" max="13067" width="11.42578125" style="1119" customWidth="1"/>
    <col min="13068" max="13068" width="7.5703125" style="1119" customWidth="1"/>
    <col min="13069" max="13069" width="6.85546875" style="1119" customWidth="1"/>
    <col min="13070" max="13070" width="35.7109375" style="1119" customWidth="1"/>
    <col min="13071" max="13073" width="9.140625" style="1119"/>
    <col min="13074" max="13074" width="0" style="1119" hidden="1" customWidth="1"/>
    <col min="13075" max="13311" width="9.140625" style="1119"/>
    <col min="13312" max="13312" width="20" style="1119" customWidth="1"/>
    <col min="13313" max="13313" width="19.85546875" style="1119" customWidth="1"/>
    <col min="13314" max="13314" width="22.140625" style="1119" customWidth="1"/>
    <col min="13315" max="13315" width="13.140625" style="1119" customWidth="1"/>
    <col min="13316" max="13316" width="11.140625" style="1119" customWidth="1"/>
    <col min="13317" max="13317" width="7.7109375" style="1119" customWidth="1"/>
    <col min="13318" max="13318" width="8.7109375" style="1119" customWidth="1"/>
    <col min="13319" max="13319" width="12.140625" style="1119" customWidth="1"/>
    <col min="13320" max="13320" width="14.5703125" style="1119" customWidth="1"/>
    <col min="13321" max="13321" width="9" style="1119" customWidth="1"/>
    <col min="13322" max="13322" width="8.85546875" style="1119" customWidth="1"/>
    <col min="13323" max="13323" width="11.42578125" style="1119" customWidth="1"/>
    <col min="13324" max="13324" width="7.5703125" style="1119" customWidth="1"/>
    <col min="13325" max="13325" width="6.85546875" style="1119" customWidth="1"/>
    <col min="13326" max="13326" width="35.7109375" style="1119" customWidth="1"/>
    <col min="13327" max="13329" width="9.140625" style="1119"/>
    <col min="13330" max="13330" width="0" style="1119" hidden="1" customWidth="1"/>
    <col min="13331" max="13567" width="9.140625" style="1119"/>
    <col min="13568" max="13568" width="20" style="1119" customWidth="1"/>
    <col min="13569" max="13569" width="19.85546875" style="1119" customWidth="1"/>
    <col min="13570" max="13570" width="22.140625" style="1119" customWidth="1"/>
    <col min="13571" max="13571" width="13.140625" style="1119" customWidth="1"/>
    <col min="13572" max="13572" width="11.140625" style="1119" customWidth="1"/>
    <col min="13573" max="13573" width="7.7109375" style="1119" customWidth="1"/>
    <col min="13574" max="13574" width="8.7109375" style="1119" customWidth="1"/>
    <col min="13575" max="13575" width="12.140625" style="1119" customWidth="1"/>
    <col min="13576" max="13576" width="14.5703125" style="1119" customWidth="1"/>
    <col min="13577" max="13577" width="9" style="1119" customWidth="1"/>
    <col min="13578" max="13578" width="8.85546875" style="1119" customWidth="1"/>
    <col min="13579" max="13579" width="11.42578125" style="1119" customWidth="1"/>
    <col min="13580" max="13580" width="7.5703125" style="1119" customWidth="1"/>
    <col min="13581" max="13581" width="6.85546875" style="1119" customWidth="1"/>
    <col min="13582" max="13582" width="35.7109375" style="1119" customWidth="1"/>
    <col min="13583" max="13585" width="9.140625" style="1119"/>
    <col min="13586" max="13586" width="0" style="1119" hidden="1" customWidth="1"/>
    <col min="13587" max="13823" width="9.140625" style="1119"/>
    <col min="13824" max="13824" width="20" style="1119" customWidth="1"/>
    <col min="13825" max="13825" width="19.85546875" style="1119" customWidth="1"/>
    <col min="13826" max="13826" width="22.140625" style="1119" customWidth="1"/>
    <col min="13827" max="13827" width="13.140625" style="1119" customWidth="1"/>
    <col min="13828" max="13828" width="11.140625" style="1119" customWidth="1"/>
    <col min="13829" max="13829" width="7.7109375" style="1119" customWidth="1"/>
    <col min="13830" max="13830" width="8.7109375" style="1119" customWidth="1"/>
    <col min="13831" max="13831" width="12.140625" style="1119" customWidth="1"/>
    <col min="13832" max="13832" width="14.5703125" style="1119" customWidth="1"/>
    <col min="13833" max="13833" width="9" style="1119" customWidth="1"/>
    <col min="13834" max="13834" width="8.85546875" style="1119" customWidth="1"/>
    <col min="13835" max="13835" width="11.42578125" style="1119" customWidth="1"/>
    <col min="13836" max="13836" width="7.5703125" style="1119" customWidth="1"/>
    <col min="13837" max="13837" width="6.85546875" style="1119" customWidth="1"/>
    <col min="13838" max="13838" width="35.7109375" style="1119" customWidth="1"/>
    <col min="13839" max="13841" width="9.140625" style="1119"/>
    <col min="13842" max="13842" width="0" style="1119" hidden="1" customWidth="1"/>
    <col min="13843" max="14079" width="9.140625" style="1119"/>
    <col min="14080" max="14080" width="20" style="1119" customWidth="1"/>
    <col min="14081" max="14081" width="19.85546875" style="1119" customWidth="1"/>
    <col min="14082" max="14082" width="22.140625" style="1119" customWidth="1"/>
    <col min="14083" max="14083" width="13.140625" style="1119" customWidth="1"/>
    <col min="14084" max="14084" width="11.140625" style="1119" customWidth="1"/>
    <col min="14085" max="14085" width="7.7109375" style="1119" customWidth="1"/>
    <col min="14086" max="14086" width="8.7109375" style="1119" customWidth="1"/>
    <col min="14087" max="14087" width="12.140625" style="1119" customWidth="1"/>
    <col min="14088" max="14088" width="14.5703125" style="1119" customWidth="1"/>
    <col min="14089" max="14089" width="9" style="1119" customWidth="1"/>
    <col min="14090" max="14090" width="8.85546875" style="1119" customWidth="1"/>
    <col min="14091" max="14091" width="11.42578125" style="1119" customWidth="1"/>
    <col min="14092" max="14092" width="7.5703125" style="1119" customWidth="1"/>
    <col min="14093" max="14093" width="6.85546875" style="1119" customWidth="1"/>
    <col min="14094" max="14094" width="35.7109375" style="1119" customWidth="1"/>
    <col min="14095" max="14097" width="9.140625" style="1119"/>
    <col min="14098" max="14098" width="0" style="1119" hidden="1" customWidth="1"/>
    <col min="14099" max="14335" width="9.140625" style="1119"/>
    <col min="14336" max="14336" width="20" style="1119" customWidth="1"/>
    <col min="14337" max="14337" width="19.85546875" style="1119" customWidth="1"/>
    <col min="14338" max="14338" width="22.140625" style="1119" customWidth="1"/>
    <col min="14339" max="14339" width="13.140625" style="1119" customWidth="1"/>
    <col min="14340" max="14340" width="11.140625" style="1119" customWidth="1"/>
    <col min="14341" max="14341" width="7.7109375" style="1119" customWidth="1"/>
    <col min="14342" max="14342" width="8.7109375" style="1119" customWidth="1"/>
    <col min="14343" max="14343" width="12.140625" style="1119" customWidth="1"/>
    <col min="14344" max="14344" width="14.5703125" style="1119" customWidth="1"/>
    <col min="14345" max="14345" width="9" style="1119" customWidth="1"/>
    <col min="14346" max="14346" width="8.85546875" style="1119" customWidth="1"/>
    <col min="14347" max="14347" width="11.42578125" style="1119" customWidth="1"/>
    <col min="14348" max="14348" width="7.5703125" style="1119" customWidth="1"/>
    <col min="14349" max="14349" width="6.85546875" style="1119" customWidth="1"/>
    <col min="14350" max="14350" width="35.7109375" style="1119" customWidth="1"/>
    <col min="14351" max="14353" width="9.140625" style="1119"/>
    <col min="14354" max="14354" width="0" style="1119" hidden="1" customWidth="1"/>
    <col min="14355" max="14591" width="9.140625" style="1119"/>
    <col min="14592" max="14592" width="20" style="1119" customWidth="1"/>
    <col min="14593" max="14593" width="19.85546875" style="1119" customWidth="1"/>
    <col min="14594" max="14594" width="22.140625" style="1119" customWidth="1"/>
    <col min="14595" max="14595" width="13.140625" style="1119" customWidth="1"/>
    <col min="14596" max="14596" width="11.140625" style="1119" customWidth="1"/>
    <col min="14597" max="14597" width="7.7109375" style="1119" customWidth="1"/>
    <col min="14598" max="14598" width="8.7109375" style="1119" customWidth="1"/>
    <col min="14599" max="14599" width="12.140625" style="1119" customWidth="1"/>
    <col min="14600" max="14600" width="14.5703125" style="1119" customWidth="1"/>
    <col min="14601" max="14601" width="9" style="1119" customWidth="1"/>
    <col min="14602" max="14602" width="8.85546875" style="1119" customWidth="1"/>
    <col min="14603" max="14603" width="11.42578125" style="1119" customWidth="1"/>
    <col min="14604" max="14604" width="7.5703125" style="1119" customWidth="1"/>
    <col min="14605" max="14605" width="6.85546875" style="1119" customWidth="1"/>
    <col min="14606" max="14606" width="35.7109375" style="1119" customWidth="1"/>
    <col min="14607" max="14609" width="9.140625" style="1119"/>
    <col min="14610" max="14610" width="0" style="1119" hidden="1" customWidth="1"/>
    <col min="14611" max="14847" width="9.140625" style="1119"/>
    <col min="14848" max="14848" width="20" style="1119" customWidth="1"/>
    <col min="14849" max="14849" width="19.85546875" style="1119" customWidth="1"/>
    <col min="14850" max="14850" width="22.140625" style="1119" customWidth="1"/>
    <col min="14851" max="14851" width="13.140625" style="1119" customWidth="1"/>
    <col min="14852" max="14852" width="11.140625" style="1119" customWidth="1"/>
    <col min="14853" max="14853" width="7.7109375" style="1119" customWidth="1"/>
    <col min="14854" max="14854" width="8.7109375" style="1119" customWidth="1"/>
    <col min="14855" max="14855" width="12.140625" style="1119" customWidth="1"/>
    <col min="14856" max="14856" width="14.5703125" style="1119" customWidth="1"/>
    <col min="14857" max="14857" width="9" style="1119" customWidth="1"/>
    <col min="14858" max="14858" width="8.85546875" style="1119" customWidth="1"/>
    <col min="14859" max="14859" width="11.42578125" style="1119" customWidth="1"/>
    <col min="14860" max="14860" width="7.5703125" style="1119" customWidth="1"/>
    <col min="14861" max="14861" width="6.85546875" style="1119" customWidth="1"/>
    <col min="14862" max="14862" width="35.7109375" style="1119" customWidth="1"/>
    <col min="14863" max="14865" width="9.140625" style="1119"/>
    <col min="14866" max="14866" width="0" style="1119" hidden="1" customWidth="1"/>
    <col min="14867" max="15103" width="9.140625" style="1119"/>
    <col min="15104" max="15104" width="20" style="1119" customWidth="1"/>
    <col min="15105" max="15105" width="19.85546875" style="1119" customWidth="1"/>
    <col min="15106" max="15106" width="22.140625" style="1119" customWidth="1"/>
    <col min="15107" max="15107" width="13.140625" style="1119" customWidth="1"/>
    <col min="15108" max="15108" width="11.140625" style="1119" customWidth="1"/>
    <col min="15109" max="15109" width="7.7109375" style="1119" customWidth="1"/>
    <col min="15110" max="15110" width="8.7109375" style="1119" customWidth="1"/>
    <col min="15111" max="15111" width="12.140625" style="1119" customWidth="1"/>
    <col min="15112" max="15112" width="14.5703125" style="1119" customWidth="1"/>
    <col min="15113" max="15113" width="9" style="1119" customWidth="1"/>
    <col min="15114" max="15114" width="8.85546875" style="1119" customWidth="1"/>
    <col min="15115" max="15115" width="11.42578125" style="1119" customWidth="1"/>
    <col min="15116" max="15116" width="7.5703125" style="1119" customWidth="1"/>
    <col min="15117" max="15117" width="6.85546875" style="1119" customWidth="1"/>
    <col min="15118" max="15118" width="35.7109375" style="1119" customWidth="1"/>
    <col min="15119" max="15121" width="9.140625" style="1119"/>
    <col min="15122" max="15122" width="0" style="1119" hidden="1" customWidth="1"/>
    <col min="15123" max="15359" width="9.140625" style="1119"/>
    <col min="15360" max="15360" width="20" style="1119" customWidth="1"/>
    <col min="15361" max="15361" width="19.85546875" style="1119" customWidth="1"/>
    <col min="15362" max="15362" width="22.140625" style="1119" customWidth="1"/>
    <col min="15363" max="15363" width="13.140625" style="1119" customWidth="1"/>
    <col min="15364" max="15364" width="11.140625" style="1119" customWidth="1"/>
    <col min="15365" max="15365" width="7.7109375" style="1119" customWidth="1"/>
    <col min="15366" max="15366" width="8.7109375" style="1119" customWidth="1"/>
    <col min="15367" max="15367" width="12.140625" style="1119" customWidth="1"/>
    <col min="15368" max="15368" width="14.5703125" style="1119" customWidth="1"/>
    <col min="15369" max="15369" width="9" style="1119" customWidth="1"/>
    <col min="15370" max="15370" width="8.85546875" style="1119" customWidth="1"/>
    <col min="15371" max="15371" width="11.42578125" style="1119" customWidth="1"/>
    <col min="15372" max="15372" width="7.5703125" style="1119" customWidth="1"/>
    <col min="15373" max="15373" width="6.85546875" style="1119" customWidth="1"/>
    <col min="15374" max="15374" width="35.7109375" style="1119" customWidth="1"/>
    <col min="15375" max="15377" width="9.140625" style="1119"/>
    <col min="15378" max="15378" width="0" style="1119" hidden="1" customWidth="1"/>
    <col min="15379" max="15615" width="9.140625" style="1119"/>
    <col min="15616" max="15616" width="20" style="1119" customWidth="1"/>
    <col min="15617" max="15617" width="19.85546875" style="1119" customWidth="1"/>
    <col min="15618" max="15618" width="22.140625" style="1119" customWidth="1"/>
    <col min="15619" max="15619" width="13.140625" style="1119" customWidth="1"/>
    <col min="15620" max="15620" width="11.140625" style="1119" customWidth="1"/>
    <col min="15621" max="15621" width="7.7109375" style="1119" customWidth="1"/>
    <col min="15622" max="15622" width="8.7109375" style="1119" customWidth="1"/>
    <col min="15623" max="15623" width="12.140625" style="1119" customWidth="1"/>
    <col min="15624" max="15624" width="14.5703125" style="1119" customWidth="1"/>
    <col min="15625" max="15625" width="9" style="1119" customWidth="1"/>
    <col min="15626" max="15626" width="8.85546875" style="1119" customWidth="1"/>
    <col min="15627" max="15627" width="11.42578125" style="1119" customWidth="1"/>
    <col min="15628" max="15628" width="7.5703125" style="1119" customWidth="1"/>
    <col min="15629" max="15629" width="6.85546875" style="1119" customWidth="1"/>
    <col min="15630" max="15630" width="35.7109375" style="1119" customWidth="1"/>
    <col min="15631" max="15633" width="9.140625" style="1119"/>
    <col min="15634" max="15634" width="0" style="1119" hidden="1" customWidth="1"/>
    <col min="15635" max="15871" width="9.140625" style="1119"/>
    <col min="15872" max="15872" width="20" style="1119" customWidth="1"/>
    <col min="15873" max="15873" width="19.85546875" style="1119" customWidth="1"/>
    <col min="15874" max="15874" width="22.140625" style="1119" customWidth="1"/>
    <col min="15875" max="15875" width="13.140625" style="1119" customWidth="1"/>
    <col min="15876" max="15876" width="11.140625" style="1119" customWidth="1"/>
    <col min="15877" max="15877" width="7.7109375" style="1119" customWidth="1"/>
    <col min="15878" max="15878" width="8.7109375" style="1119" customWidth="1"/>
    <col min="15879" max="15879" width="12.140625" style="1119" customWidth="1"/>
    <col min="15880" max="15880" width="14.5703125" style="1119" customWidth="1"/>
    <col min="15881" max="15881" width="9" style="1119" customWidth="1"/>
    <col min="15882" max="15882" width="8.85546875" style="1119" customWidth="1"/>
    <col min="15883" max="15883" width="11.42578125" style="1119" customWidth="1"/>
    <col min="15884" max="15884" width="7.5703125" style="1119" customWidth="1"/>
    <col min="15885" max="15885" width="6.85546875" style="1119" customWidth="1"/>
    <col min="15886" max="15886" width="35.7109375" style="1119" customWidth="1"/>
    <col min="15887" max="15889" width="9.140625" style="1119"/>
    <col min="15890" max="15890" width="0" style="1119" hidden="1" customWidth="1"/>
    <col min="15891" max="16127" width="9.140625" style="1119"/>
    <col min="16128" max="16128" width="20" style="1119" customWidth="1"/>
    <col min="16129" max="16129" width="19.85546875" style="1119" customWidth="1"/>
    <col min="16130" max="16130" width="22.140625" style="1119" customWidth="1"/>
    <col min="16131" max="16131" width="13.140625" style="1119" customWidth="1"/>
    <col min="16132" max="16132" width="11.140625" style="1119" customWidth="1"/>
    <col min="16133" max="16133" width="7.7109375" style="1119" customWidth="1"/>
    <col min="16134" max="16134" width="8.7109375" style="1119" customWidth="1"/>
    <col min="16135" max="16135" width="12.140625" style="1119" customWidth="1"/>
    <col min="16136" max="16136" width="14.5703125" style="1119" customWidth="1"/>
    <col min="16137" max="16137" width="9" style="1119" customWidth="1"/>
    <col min="16138" max="16138" width="8.85546875" style="1119" customWidth="1"/>
    <col min="16139" max="16139" width="11.42578125" style="1119" customWidth="1"/>
    <col min="16140" max="16140" width="7.5703125" style="1119" customWidth="1"/>
    <col min="16141" max="16141" width="6.85546875" style="1119" customWidth="1"/>
    <col min="16142" max="16142" width="35.7109375" style="1119" customWidth="1"/>
    <col min="16143" max="16145" width="9.140625" style="1119"/>
    <col min="16146" max="16146" width="0" style="1119" hidden="1" customWidth="1"/>
    <col min="16147" max="16384" width="9.140625" style="1119"/>
  </cols>
  <sheetData>
    <row r="1" spans="1:67" ht="18.75">
      <c r="A1" s="1881" t="s">
        <v>3609</v>
      </c>
      <c r="B1" s="1092" t="s">
        <v>4045</v>
      </c>
      <c r="C1" s="1058"/>
      <c r="D1" s="1231"/>
      <c r="E1" s="1058"/>
      <c r="F1" s="1058"/>
      <c r="G1" s="1058"/>
      <c r="H1" s="1058"/>
      <c r="I1" s="1058"/>
      <c r="J1" s="1058"/>
      <c r="K1" s="1058"/>
      <c r="L1" s="2530" t="s">
        <v>2595</v>
      </c>
      <c r="M1" s="2437"/>
      <c r="N1" s="1158" t="s">
        <v>3610</v>
      </c>
    </row>
    <row r="2" spans="1:67">
      <c r="B2" s="1034" t="s">
        <v>3198</v>
      </c>
      <c r="C2" s="1035">
        <f>'Basic Info'!C29:D29</f>
        <v>0</v>
      </c>
      <c r="D2" s="1034"/>
      <c r="E2" s="1035"/>
      <c r="F2" s="923"/>
      <c r="G2" s="923"/>
      <c r="H2" s="923"/>
      <c r="I2" s="923"/>
      <c r="J2" s="923"/>
      <c r="K2" s="913"/>
      <c r="L2" s="2438"/>
      <c r="M2" s="2439"/>
      <c r="N2" s="1232"/>
    </row>
    <row r="3" spans="1:67">
      <c r="F3" s="923"/>
      <c r="G3" s="923"/>
      <c r="H3" s="923"/>
      <c r="I3" s="923"/>
      <c r="J3" s="923"/>
      <c r="K3" s="913"/>
      <c r="L3" s="2438"/>
      <c r="M3" s="2439"/>
      <c r="N3" s="1232"/>
    </row>
    <row r="4" spans="1:67">
      <c r="K4" s="913"/>
      <c r="L4" s="2502"/>
      <c r="M4" s="2502"/>
      <c r="N4" s="1006"/>
    </row>
    <row r="5" spans="1:67" s="1235" customFormat="1">
      <c r="A5" s="1234"/>
      <c r="B5" s="2532" t="s">
        <v>3981</v>
      </c>
      <c r="C5" s="2533"/>
      <c r="D5" s="2534"/>
      <c r="E5" s="2534"/>
      <c r="F5" s="1234"/>
      <c r="G5" s="1234"/>
      <c r="H5" s="1234"/>
      <c r="I5" s="1234"/>
      <c r="J5" s="1234"/>
      <c r="K5" s="2531"/>
      <c r="L5" s="2531"/>
      <c r="M5" s="1057"/>
      <c r="N5" s="1240"/>
      <c r="O5" s="1234"/>
      <c r="P5" s="1234"/>
      <c r="Q5" s="1234"/>
      <c r="R5" s="1234"/>
      <c r="S5" s="1234"/>
      <c r="T5" s="1234"/>
      <c r="U5" s="1234"/>
      <c r="V5" s="1234"/>
      <c r="W5" s="1234"/>
      <c r="X5" s="1234"/>
      <c r="Y5" s="1234"/>
      <c r="Z5" s="1234"/>
      <c r="AA5" s="1234"/>
      <c r="AB5" s="1234"/>
      <c r="AC5" s="1234"/>
      <c r="AD5" s="1234"/>
      <c r="AE5" s="1234"/>
      <c r="AF5" s="1234"/>
      <c r="AG5" s="1234"/>
      <c r="AH5" s="1234"/>
      <c r="AI5" s="1234"/>
      <c r="AJ5" s="1234"/>
      <c r="AK5" s="1234"/>
      <c r="AL5" s="1234"/>
      <c r="AM5" s="1234"/>
      <c r="AN5" s="1234"/>
      <c r="AO5" s="1234"/>
      <c r="AP5" s="1234"/>
      <c r="AQ5" s="1234"/>
      <c r="AR5" s="1234"/>
      <c r="AS5" s="1234"/>
      <c r="AT5" s="1234"/>
      <c r="AU5" s="1234"/>
      <c r="AV5" s="1234"/>
      <c r="AW5" s="1234"/>
      <c r="AX5" s="1234"/>
      <c r="AY5" s="1234"/>
      <c r="AZ5" s="1234"/>
      <c r="BA5" s="1234"/>
      <c r="BB5" s="1234"/>
      <c r="BC5" s="1234"/>
      <c r="BD5" s="1234"/>
      <c r="BE5" s="1234"/>
      <c r="BF5" s="1234"/>
      <c r="BG5" s="1234"/>
      <c r="BH5" s="1234"/>
      <c r="BI5" s="1234"/>
      <c r="BJ5" s="1234"/>
      <c r="BK5" s="1234"/>
      <c r="BL5" s="1234"/>
      <c r="BM5" s="1234"/>
      <c r="BN5" s="1234"/>
      <c r="BO5" s="1234"/>
    </row>
    <row r="6" spans="1:67" ht="26.25" customHeight="1">
      <c r="B6" s="2535" t="s">
        <v>3711</v>
      </c>
      <c r="C6" s="2536"/>
      <c r="D6" s="2536"/>
      <c r="E6" s="2536"/>
      <c r="F6" s="2536"/>
      <c r="G6" s="2536"/>
      <c r="H6" s="2536"/>
      <c r="I6" s="2536"/>
      <c r="J6" s="2536"/>
      <c r="K6" s="2536"/>
      <c r="L6" s="2536"/>
      <c r="M6" s="2536"/>
      <c r="N6" s="2536"/>
      <c r="O6" s="1236"/>
    </row>
    <row r="7" spans="1:67" ht="26.25" customHeight="1">
      <c r="B7" s="2535" t="s">
        <v>3712</v>
      </c>
      <c r="C7" s="2536"/>
      <c r="D7" s="2536"/>
      <c r="E7" s="2536"/>
      <c r="F7" s="2536"/>
      <c r="G7" s="2536"/>
      <c r="H7" s="2536"/>
      <c r="I7" s="2536"/>
      <c r="J7" s="2536"/>
      <c r="K7" s="2536"/>
      <c r="L7" s="2536"/>
      <c r="M7" s="2536"/>
      <c r="N7" s="2536"/>
      <c r="O7" s="1236"/>
    </row>
    <row r="8" spans="1:67">
      <c r="A8" s="1236"/>
      <c r="B8" s="1131"/>
      <c r="C8" s="1131"/>
      <c r="D8" s="1131"/>
      <c r="E8" s="1131"/>
      <c r="F8" s="1131"/>
      <c r="G8" s="1131"/>
      <c r="H8" s="1131"/>
      <c r="I8" s="1131"/>
      <c r="J8" s="1131"/>
      <c r="K8" s="923"/>
      <c r="L8" s="923"/>
      <c r="M8" s="923"/>
      <c r="N8" s="923"/>
      <c r="O8" s="1236"/>
    </row>
    <row r="9" spans="1:67" ht="12" customHeight="1">
      <c r="A9" s="1236"/>
      <c r="B9" s="1239" t="s">
        <v>3927</v>
      </c>
      <c r="C9" s="923"/>
      <c r="D9" s="923"/>
      <c r="E9" s="923"/>
      <c r="F9" s="923"/>
      <c r="G9" s="923"/>
      <c r="H9" s="923"/>
      <c r="I9" s="923"/>
      <c r="J9" s="923"/>
      <c r="K9" s="923"/>
      <c r="L9" s="923"/>
      <c r="M9" s="923"/>
      <c r="N9" s="923"/>
      <c r="O9" s="1236"/>
    </row>
    <row r="10" spans="1:67" ht="12" customHeight="1">
      <c r="A10" s="1236"/>
      <c r="B10" s="923" t="s">
        <v>3613</v>
      </c>
      <c r="C10" s="923"/>
      <c r="D10" s="923"/>
      <c r="E10" s="923"/>
      <c r="F10" s="923"/>
      <c r="G10" s="923"/>
      <c r="H10" s="923"/>
      <c r="I10" s="923"/>
      <c r="J10" s="923"/>
      <c r="K10" s="923"/>
      <c r="L10" s="923"/>
      <c r="M10" s="923"/>
      <c r="N10" s="923"/>
      <c r="O10" s="1236"/>
    </row>
    <row r="11" spans="1:67" ht="12" customHeight="1">
      <c r="A11" s="1236"/>
      <c r="B11" s="923" t="s">
        <v>3661</v>
      </c>
      <c r="C11" s="923"/>
      <c r="D11" s="923"/>
      <c r="E11" s="923"/>
      <c r="F11" s="923"/>
      <c r="G11" s="923"/>
      <c r="H11" s="923"/>
      <c r="I11" s="923"/>
      <c r="J11" s="923"/>
      <c r="K11" s="923"/>
      <c r="L11" s="923"/>
      <c r="M11" s="923"/>
      <c r="N11" s="923"/>
      <c r="O11" s="1236"/>
    </row>
    <row r="12" spans="1:67">
      <c r="A12" s="1236"/>
      <c r="B12" s="923" t="s">
        <v>3713</v>
      </c>
      <c r="C12" s="923"/>
      <c r="D12" s="923"/>
      <c r="E12" s="923"/>
      <c r="F12" s="923"/>
      <c r="G12" s="923"/>
      <c r="H12" s="923"/>
      <c r="I12" s="923"/>
      <c r="J12" s="923"/>
      <c r="K12" s="923"/>
      <c r="L12" s="923"/>
      <c r="M12" s="923"/>
      <c r="N12" s="923"/>
      <c r="O12" s="1236"/>
    </row>
    <row r="13" spans="1:67">
      <c r="A13" s="1236"/>
      <c r="B13" s="923"/>
      <c r="C13" s="923"/>
      <c r="D13" s="923"/>
      <c r="E13" s="923"/>
      <c r="F13" s="923"/>
      <c r="G13" s="923"/>
      <c r="H13" s="923"/>
      <c r="I13" s="923"/>
      <c r="J13" s="923"/>
      <c r="K13" s="923"/>
      <c r="L13" s="923"/>
      <c r="M13" s="923"/>
      <c r="N13" s="923"/>
      <c r="O13" s="1236"/>
    </row>
    <row r="14" spans="1:67">
      <c r="A14" s="1236"/>
      <c r="B14" s="1011" t="s">
        <v>3982</v>
      </c>
      <c r="C14" s="923"/>
      <c r="D14" s="923"/>
      <c r="E14" s="923"/>
      <c r="F14" s="923"/>
      <c r="G14" s="923"/>
      <c r="H14" s="923"/>
      <c r="I14" s="923"/>
      <c r="J14" s="923"/>
      <c r="K14" s="911"/>
      <c r="L14" s="911"/>
      <c r="M14" s="911"/>
      <c r="N14" s="923"/>
      <c r="O14" s="1236"/>
    </row>
    <row r="15" spans="1:67" ht="34.5" customHeight="1">
      <c r="A15" s="1236"/>
      <c r="B15" s="2394" t="s">
        <v>4031</v>
      </c>
      <c r="C15" s="2394"/>
      <c r="D15" s="2394"/>
      <c r="E15" s="2394"/>
      <c r="F15" s="2394"/>
      <c r="G15" s="2394"/>
      <c r="H15" s="2394"/>
      <c r="I15" s="2394"/>
      <c r="J15" s="2394"/>
      <c r="K15" s="2394"/>
      <c r="L15" s="2394"/>
      <c r="M15" s="2394"/>
      <c r="N15" s="2394"/>
      <c r="O15" s="1236"/>
    </row>
    <row r="16" spans="1:67">
      <c r="A16" s="1236"/>
      <c r="B16" s="2528" t="s">
        <v>3714</v>
      </c>
      <c r="C16" s="2528"/>
      <c r="D16" s="2528"/>
      <c r="E16" s="2528"/>
      <c r="F16" s="2528"/>
      <c r="G16" s="2528"/>
      <c r="H16" s="2528"/>
      <c r="I16" s="2528"/>
      <c r="J16" s="2528"/>
      <c r="K16" s="2528"/>
      <c r="L16" s="2528"/>
      <c r="M16" s="2528"/>
      <c r="N16" s="2528"/>
      <c r="O16" s="1236"/>
    </row>
    <row r="17" spans="1:15" ht="24" customHeight="1">
      <c r="A17" s="1236"/>
      <c r="B17" s="2528" t="s">
        <v>3715</v>
      </c>
      <c r="C17" s="2528"/>
      <c r="D17" s="2528"/>
      <c r="E17" s="2528"/>
      <c r="F17" s="2528"/>
      <c r="G17" s="2528"/>
      <c r="H17" s="2528"/>
      <c r="I17" s="2528"/>
      <c r="J17" s="2528"/>
      <c r="K17" s="2528"/>
      <c r="L17" s="2528"/>
      <c r="M17" s="2528"/>
      <c r="N17" s="2528"/>
      <c r="O17" s="1236"/>
    </row>
    <row r="18" spans="1:15">
      <c r="A18" s="1236"/>
      <c r="B18" s="2514" t="s">
        <v>3983</v>
      </c>
      <c r="C18" s="2514"/>
      <c r="D18" s="2514"/>
      <c r="E18" s="2514"/>
      <c r="F18" s="2514"/>
      <c r="G18" s="2514"/>
      <c r="H18" s="2514"/>
      <c r="I18" s="2514"/>
      <c r="J18" s="2514"/>
      <c r="K18" s="2514"/>
      <c r="L18" s="2514"/>
      <c r="M18" s="2514"/>
      <c r="N18" s="2514"/>
      <c r="O18" s="1236"/>
    </row>
    <row r="19" spans="1:15">
      <c r="A19" s="1236"/>
      <c r="B19" s="2529" t="s">
        <v>4047</v>
      </c>
      <c r="C19" s="2529"/>
      <c r="D19" s="2529"/>
      <c r="E19" s="2529"/>
      <c r="F19" s="2529"/>
      <c r="G19" s="2529"/>
      <c r="H19" s="2529"/>
      <c r="I19" s="2529"/>
      <c r="J19" s="2529"/>
      <c r="K19" s="2529"/>
      <c r="L19" s="2529"/>
      <c r="M19" s="2529"/>
      <c r="N19" s="2529"/>
      <c r="O19" s="1236"/>
    </row>
    <row r="20" spans="1:15">
      <c r="A20" s="1236"/>
      <c r="B20" s="2529" t="s">
        <v>4046</v>
      </c>
      <c r="C20" s="2529"/>
      <c r="D20" s="2529"/>
      <c r="E20" s="2529"/>
      <c r="F20" s="2529"/>
      <c r="G20" s="2529"/>
      <c r="H20" s="2529"/>
      <c r="I20" s="2529"/>
      <c r="J20" s="2529"/>
      <c r="K20" s="2529"/>
      <c r="L20" s="2529"/>
      <c r="M20" s="2529"/>
      <c r="N20" s="2529"/>
      <c r="O20" s="1236"/>
    </row>
    <row r="21" spans="1:15">
      <c r="A21" s="1236"/>
      <c r="B21" s="2529" t="s">
        <v>4048</v>
      </c>
      <c r="C21" s="2529"/>
      <c r="D21" s="2529"/>
      <c r="E21" s="2529"/>
      <c r="F21" s="2529"/>
      <c r="G21" s="2529"/>
      <c r="H21" s="2529"/>
      <c r="I21" s="2529"/>
      <c r="J21" s="2529"/>
      <c r="K21" s="2529"/>
      <c r="L21" s="2529"/>
      <c r="M21" s="2529"/>
      <c r="N21" s="2529"/>
      <c r="O21" s="1236"/>
    </row>
    <row r="22" spans="1:15">
      <c r="A22" s="1236"/>
      <c r="B22" s="923"/>
      <c r="C22" s="923"/>
      <c r="D22" s="923"/>
      <c r="E22" s="923"/>
      <c r="F22" s="923"/>
      <c r="G22" s="923"/>
      <c r="H22" s="923"/>
      <c r="I22" s="923"/>
      <c r="J22" s="923"/>
      <c r="K22" s="923"/>
      <c r="L22" s="923"/>
      <c r="M22" s="923"/>
      <c r="N22" s="923"/>
      <c r="O22" s="1236"/>
    </row>
    <row r="23" spans="1:15">
      <c r="A23" s="1236"/>
      <c r="B23" s="1165" t="s">
        <v>3928</v>
      </c>
      <c r="C23" s="1238"/>
      <c r="D23" s="1037"/>
      <c r="E23" s="1037"/>
      <c r="F23" s="1037"/>
      <c r="G23" s="931"/>
      <c r="H23" s="931"/>
      <c r="I23" s="1236"/>
    </row>
    <row r="24" spans="1:15" ht="23.25" customHeight="1">
      <c r="A24" s="1236"/>
      <c r="B24" s="2414" t="s">
        <v>4052</v>
      </c>
      <c r="C24" s="2395"/>
      <c r="D24" s="2395"/>
      <c r="E24" s="2395"/>
      <c r="F24" s="2395"/>
      <c r="G24" s="2395"/>
      <c r="H24" s="2395"/>
      <c r="I24" s="2395"/>
      <c r="J24" s="2395"/>
      <c r="K24" s="2395"/>
      <c r="L24" s="2395"/>
      <c r="M24" s="2395"/>
      <c r="N24" s="2395"/>
    </row>
    <row r="25" spans="1:15">
      <c r="A25" s="1236"/>
      <c r="B25" s="2395" t="s">
        <v>4049</v>
      </c>
      <c r="C25" s="2395"/>
      <c r="D25" s="2395"/>
      <c r="E25" s="2395"/>
      <c r="F25" s="2395"/>
      <c r="G25" s="2395"/>
      <c r="H25" s="2395"/>
      <c r="I25" s="2395"/>
      <c r="J25" s="2395"/>
      <c r="K25" s="2395"/>
      <c r="L25" s="2395"/>
      <c r="M25" s="2395"/>
      <c r="N25" s="2395"/>
    </row>
    <row r="26" spans="1:15">
      <c r="A26" s="1236"/>
      <c r="B26" s="2395" t="s">
        <v>4050</v>
      </c>
      <c r="C26" s="2395"/>
      <c r="D26" s="2395"/>
      <c r="E26" s="2395"/>
      <c r="F26" s="2395"/>
      <c r="G26" s="2395"/>
      <c r="H26" s="2395"/>
      <c r="I26" s="2395"/>
      <c r="J26" s="2395"/>
      <c r="K26" s="2395"/>
      <c r="L26" s="2395"/>
      <c r="M26" s="2395"/>
      <c r="N26" s="2395"/>
    </row>
    <row r="27" spans="1:15">
      <c r="A27" s="1236"/>
      <c r="B27" s="2395" t="s">
        <v>4051</v>
      </c>
      <c r="C27" s="2395"/>
      <c r="D27" s="2395"/>
      <c r="E27" s="2395"/>
      <c r="F27" s="2395"/>
      <c r="G27" s="2395"/>
      <c r="H27" s="2395"/>
      <c r="I27" s="2395"/>
      <c r="J27" s="2395"/>
      <c r="K27" s="2395"/>
      <c r="L27" s="2395"/>
      <c r="M27" s="2395"/>
      <c r="N27" s="2395"/>
    </row>
    <row r="28" spans="1:15">
      <c r="A28" s="1236"/>
      <c r="B28" s="2395" t="s">
        <v>4053</v>
      </c>
      <c r="C28" s="2395"/>
      <c r="D28" s="2395"/>
      <c r="E28" s="2395"/>
      <c r="F28" s="2395"/>
      <c r="G28" s="2395"/>
      <c r="H28" s="2395"/>
      <c r="I28" s="2395"/>
      <c r="J28" s="2395"/>
      <c r="K28" s="2395"/>
      <c r="L28" s="2395"/>
      <c r="M28" s="2395"/>
      <c r="N28" s="2395"/>
    </row>
    <row r="29" spans="1:15">
      <c r="A29" s="1236"/>
      <c r="B29" s="978"/>
      <c r="C29" s="978"/>
      <c r="D29" s="978"/>
      <c r="E29" s="978"/>
      <c r="F29" s="978"/>
      <c r="G29" s="978"/>
      <c r="H29" s="978"/>
      <c r="I29" s="978"/>
      <c r="J29" s="978"/>
      <c r="K29" s="978"/>
      <c r="L29" s="978"/>
      <c r="M29" s="978"/>
      <c r="N29" s="978"/>
    </row>
    <row r="30" spans="1:15" ht="51.75">
      <c r="B30" s="1241" t="s">
        <v>2292</v>
      </c>
      <c r="C30" s="1242" t="s">
        <v>4032</v>
      </c>
      <c r="D30" s="1162" t="s">
        <v>3623</v>
      </c>
      <c r="E30" s="1162" t="s">
        <v>3716</v>
      </c>
      <c r="F30" s="1241" t="s">
        <v>4033</v>
      </c>
      <c r="G30" s="1241" t="s">
        <v>4034</v>
      </c>
      <c r="H30" s="1241" t="s">
        <v>3717</v>
      </c>
      <c r="I30" s="1241" t="s">
        <v>3718</v>
      </c>
      <c r="J30" s="1241" t="s">
        <v>3719</v>
      </c>
      <c r="K30" s="1241" t="s">
        <v>4035</v>
      </c>
      <c r="L30" s="1162" t="s">
        <v>4036</v>
      </c>
      <c r="M30" s="1083" t="s">
        <v>3627</v>
      </c>
      <c r="N30" s="1168" t="s">
        <v>4037</v>
      </c>
    </row>
    <row r="31" spans="1:15">
      <c r="A31" s="1236"/>
      <c r="B31" s="1243"/>
      <c r="C31" s="1244"/>
      <c r="D31" s="1247"/>
      <c r="E31" s="1247"/>
      <c r="F31" s="1247"/>
      <c r="G31" s="1248"/>
      <c r="H31" s="1247"/>
      <c r="I31" s="1247"/>
      <c r="J31" s="1247"/>
      <c r="K31" s="1247"/>
      <c r="L31" s="1247"/>
      <c r="M31" s="1056"/>
      <c r="N31" s="1006"/>
    </row>
    <row r="32" spans="1:15" s="931" customFormat="1">
      <c r="B32" s="1243"/>
      <c r="C32" s="1244"/>
      <c r="D32" s="1247"/>
      <c r="E32" s="1247"/>
      <c r="F32" s="1247"/>
      <c r="G32" s="1248"/>
      <c r="H32" s="1247"/>
      <c r="I32" s="1247"/>
      <c r="J32" s="1247"/>
      <c r="K32" s="1247"/>
      <c r="L32" s="1247"/>
      <c r="M32" s="1056"/>
      <c r="N32" s="1006"/>
    </row>
    <row r="33" spans="1:14">
      <c r="B33" s="1243"/>
      <c r="C33" s="1244"/>
      <c r="D33" s="1247"/>
      <c r="E33" s="1247"/>
      <c r="F33" s="1247"/>
      <c r="G33" s="1248"/>
      <c r="H33" s="1247"/>
      <c r="I33" s="1247"/>
      <c r="J33" s="1247"/>
      <c r="K33" s="1247"/>
      <c r="L33" s="1247"/>
      <c r="M33" s="1056"/>
      <c r="N33" s="1006"/>
    </row>
    <row r="34" spans="1:14">
      <c r="B34" s="1243"/>
      <c r="C34" s="1244"/>
      <c r="D34" s="1244"/>
      <c r="E34" s="1244"/>
      <c r="F34" s="1244"/>
      <c r="G34" s="1245"/>
      <c r="H34" s="1243"/>
      <c r="I34" s="1243"/>
      <c r="J34" s="1243"/>
      <c r="K34" s="1243"/>
      <c r="L34" s="1243"/>
      <c r="M34" s="1056"/>
      <c r="N34" s="1006"/>
    </row>
    <row r="35" spans="1:14">
      <c r="B35" s="1243"/>
      <c r="C35" s="1244"/>
      <c r="D35" s="1244"/>
      <c r="E35" s="1244"/>
      <c r="F35" s="1244"/>
      <c r="G35" s="1245"/>
      <c r="H35" s="1243"/>
      <c r="I35" s="1243"/>
      <c r="J35" s="1243"/>
      <c r="K35" s="1243"/>
      <c r="L35" s="1243"/>
      <c r="M35" s="1056"/>
      <c r="N35" s="1006"/>
    </row>
    <row r="36" spans="1:14">
      <c r="B36" s="1243"/>
      <c r="C36" s="1244"/>
      <c r="D36" s="1244"/>
      <c r="E36" s="1244"/>
      <c r="F36" s="1244"/>
      <c r="G36" s="1245"/>
      <c r="H36" s="1243"/>
      <c r="I36" s="1243"/>
      <c r="J36" s="1243"/>
      <c r="K36" s="1243"/>
      <c r="L36" s="1243"/>
      <c r="M36" s="1056"/>
      <c r="N36" s="1006"/>
    </row>
    <row r="37" spans="1:14">
      <c r="B37" s="1243"/>
      <c r="C37" s="1245"/>
      <c r="D37" s="1245"/>
      <c r="E37" s="1244"/>
      <c r="F37" s="1244"/>
      <c r="G37" s="1245"/>
      <c r="H37" s="1243"/>
      <c r="I37" s="1243"/>
      <c r="J37" s="1243"/>
      <c r="K37" s="1243"/>
      <c r="L37" s="1243"/>
      <c r="M37" s="1056"/>
      <c r="N37" s="1006"/>
    </row>
    <row r="38" spans="1:14">
      <c r="B38" s="923"/>
      <c r="C38" s="923"/>
      <c r="D38" s="923"/>
      <c r="E38" s="923"/>
      <c r="F38" s="923"/>
      <c r="G38" s="923"/>
      <c r="H38" s="923"/>
      <c r="I38" s="923"/>
      <c r="J38" s="923"/>
      <c r="K38" s="923"/>
      <c r="L38" s="923"/>
      <c r="M38" s="923"/>
      <c r="N38" s="923"/>
    </row>
    <row r="39" spans="1:14">
      <c r="B39" s="1209"/>
      <c r="C39" s="1210"/>
      <c r="D39" s="1210"/>
      <c r="E39" s="1210"/>
      <c r="F39" s="1151"/>
      <c r="G39" s="906"/>
      <c r="H39" s="1130"/>
      <c r="I39" s="1130"/>
      <c r="J39" s="1130"/>
      <c r="K39" s="1130"/>
      <c r="L39" s="1131"/>
      <c r="M39" s="1131"/>
      <c r="N39" s="1131"/>
    </row>
    <row r="40" spans="1:14" ht="51.75">
      <c r="B40" s="2388"/>
      <c r="C40" s="2389"/>
      <c r="D40" s="2389"/>
      <c r="E40" s="2389"/>
      <c r="F40" s="2390"/>
      <c r="G40" s="2388" t="s">
        <v>3968</v>
      </c>
      <c r="H40" s="2390"/>
      <c r="I40" s="2388" t="s">
        <v>3619</v>
      </c>
      <c r="J40" s="2390"/>
      <c r="K40" s="2388" t="s">
        <v>3620</v>
      </c>
      <c r="L40" s="2390"/>
      <c r="M40" s="1089" t="s">
        <v>3627</v>
      </c>
      <c r="N40" s="1246" t="s">
        <v>4037</v>
      </c>
    </row>
    <row r="41" spans="1:14" ht="74.25" customHeight="1">
      <c r="B41" s="2440" t="s">
        <v>4038</v>
      </c>
      <c r="C41" s="2441"/>
      <c r="D41" s="2441"/>
      <c r="E41" s="2441"/>
      <c r="F41" s="2442"/>
      <c r="G41" s="2391" t="s">
        <v>4508</v>
      </c>
      <c r="H41" s="2417"/>
      <c r="I41" s="2391" t="str">
        <f>ERMs!C31</f>
        <v>, , U-, SHGC-</v>
      </c>
      <c r="J41" s="2417"/>
      <c r="K41" s="2391" t="str">
        <f>ERMs!D31</f>
        <v>Baseline: U-, SHGC-
Proposed: U-, SHGC-</v>
      </c>
      <c r="L41" s="2417"/>
      <c r="M41" s="1169"/>
      <c r="N41" s="1019"/>
    </row>
    <row r="42" spans="1:14" ht="25.5" customHeight="1">
      <c r="B42" s="2525" t="s">
        <v>4478</v>
      </c>
      <c r="C42" s="2526"/>
      <c r="D42" s="2526"/>
      <c r="E42" s="2526"/>
      <c r="F42" s="2526"/>
      <c r="G42" s="2526"/>
      <c r="H42" s="2526"/>
      <c r="I42" s="2526"/>
      <c r="J42" s="2526"/>
      <c r="K42" s="2526"/>
      <c r="L42" s="2527"/>
      <c r="M42" s="1169"/>
      <c r="N42" s="1766"/>
    </row>
    <row r="43" spans="1:14" ht="51" customHeight="1">
      <c r="A43" s="1236"/>
      <c r="B43" s="2525" t="s">
        <v>4039</v>
      </c>
      <c r="C43" s="2526"/>
      <c r="D43" s="2526"/>
      <c r="E43" s="2526"/>
      <c r="F43" s="2526"/>
      <c r="G43" s="2526"/>
      <c r="H43" s="2526"/>
      <c r="I43" s="2526"/>
      <c r="J43" s="2526"/>
      <c r="K43" s="2526"/>
      <c r="L43" s="2527"/>
      <c r="M43" s="1169"/>
      <c r="N43" s="1019"/>
    </row>
    <row r="44" spans="1:14" ht="64.5" customHeight="1">
      <c r="B44" s="2525" t="s">
        <v>4040</v>
      </c>
      <c r="C44" s="2526"/>
      <c r="D44" s="2526"/>
      <c r="E44" s="2526"/>
      <c r="F44" s="2526"/>
      <c r="G44" s="2526"/>
      <c r="H44" s="2526"/>
      <c r="I44" s="2526"/>
      <c r="J44" s="2526"/>
      <c r="K44" s="2526"/>
      <c r="L44" s="2527"/>
      <c r="M44" s="1169"/>
      <c r="N44" s="1019"/>
    </row>
    <row r="45" spans="1:14" s="931" customFormat="1" ht="39" customHeight="1">
      <c r="B45" s="2525" t="s">
        <v>4041</v>
      </c>
      <c r="C45" s="2526"/>
      <c r="D45" s="2526"/>
      <c r="E45" s="2526"/>
      <c r="F45" s="2526"/>
      <c r="G45" s="2526"/>
      <c r="H45" s="2526"/>
      <c r="I45" s="2526"/>
      <c r="J45" s="2526"/>
      <c r="K45" s="2526"/>
      <c r="L45" s="2527"/>
      <c r="M45" s="1169"/>
      <c r="N45" s="1019"/>
    </row>
    <row r="46" spans="1:14" ht="37.5" customHeight="1">
      <c r="B46" s="2440" t="s">
        <v>4042</v>
      </c>
      <c r="C46" s="2441"/>
      <c r="D46" s="2441"/>
      <c r="E46" s="2441"/>
      <c r="F46" s="2441"/>
      <c r="G46" s="2441"/>
      <c r="H46" s="2441"/>
      <c r="I46" s="2441"/>
      <c r="J46" s="2441"/>
      <c r="K46" s="2441"/>
      <c r="L46" s="2524"/>
      <c r="M46" s="1169"/>
      <c r="N46" s="1019"/>
    </row>
    <row r="47" spans="1:14" ht="25.5" customHeight="1">
      <c r="B47" s="2440" t="s">
        <v>4043</v>
      </c>
      <c r="C47" s="2441"/>
      <c r="D47" s="2441"/>
      <c r="E47" s="2441"/>
      <c r="F47" s="2441"/>
      <c r="G47" s="2441"/>
      <c r="H47" s="2441"/>
      <c r="I47" s="2441"/>
      <c r="J47" s="2441"/>
      <c r="K47" s="2441"/>
      <c r="L47" s="2524"/>
      <c r="M47" s="1169"/>
      <c r="N47" s="1019"/>
    </row>
    <row r="48" spans="1:14" ht="48.75" customHeight="1">
      <c r="B48" s="2440" t="s">
        <v>4044</v>
      </c>
      <c r="C48" s="2441"/>
      <c r="D48" s="2441"/>
      <c r="E48" s="2441"/>
      <c r="F48" s="2441"/>
      <c r="G48" s="2441"/>
      <c r="H48" s="2441"/>
      <c r="I48" s="2441"/>
      <c r="J48" s="2441"/>
      <c r="K48" s="2441"/>
      <c r="L48" s="2524"/>
      <c r="M48" s="1169"/>
      <c r="N48" s="1019"/>
    </row>
    <row r="49" spans="4:18" ht="42.75" customHeight="1">
      <c r="D49" s="931"/>
    </row>
    <row r="50" spans="4:18" ht="38.25" customHeight="1"/>
    <row r="51" spans="4:18" ht="30" customHeight="1"/>
    <row r="52" spans="4:18" ht="54" customHeight="1"/>
    <row r="57" spans="4:18">
      <c r="R57" s="1119" t="s">
        <v>1493</v>
      </c>
    </row>
    <row r="58" spans="4:18">
      <c r="R58" s="1119" t="s">
        <v>1494</v>
      </c>
    </row>
    <row r="59" spans="4:18">
      <c r="R59" s="1119" t="s">
        <v>2677</v>
      </c>
    </row>
  </sheetData>
  <sheetProtection formatCells="0" formatColumns="0" formatRows="0" insertColumns="0" insertRows="0"/>
  <mergeCells count="35">
    <mergeCell ref="L1:M1"/>
    <mergeCell ref="L2:M2"/>
    <mergeCell ref="L4:M4"/>
    <mergeCell ref="K5:L5"/>
    <mergeCell ref="B15:N15"/>
    <mergeCell ref="B5:E5"/>
    <mergeCell ref="L3:M3"/>
    <mergeCell ref="B6:N6"/>
    <mergeCell ref="B7:N7"/>
    <mergeCell ref="B16:N16"/>
    <mergeCell ref="B46:L46"/>
    <mergeCell ref="B47:L47"/>
    <mergeCell ref="B24:N24"/>
    <mergeCell ref="B25:N25"/>
    <mergeCell ref="B26:N26"/>
    <mergeCell ref="B42:L42"/>
    <mergeCell ref="B17:N17"/>
    <mergeCell ref="B18:N18"/>
    <mergeCell ref="B19:N19"/>
    <mergeCell ref="B20:N20"/>
    <mergeCell ref="B21:N21"/>
    <mergeCell ref="B48:L48"/>
    <mergeCell ref="B27:N27"/>
    <mergeCell ref="B28:N28"/>
    <mergeCell ref="K40:L40"/>
    <mergeCell ref="K41:L41"/>
    <mergeCell ref="I40:J40"/>
    <mergeCell ref="I41:J41"/>
    <mergeCell ref="G40:H40"/>
    <mergeCell ref="G41:H41"/>
    <mergeCell ref="B41:F41"/>
    <mergeCell ref="B40:F40"/>
    <mergeCell ref="B43:L43"/>
    <mergeCell ref="B44:L44"/>
    <mergeCell ref="B45:L45"/>
  </mergeCells>
  <dataValidations count="1">
    <dataValidation type="list" allowBlank="1" showInputMessage="1" showErrorMessage="1" sqref="WVR40:WVS42 JF46 TB46 ACX46 AMT46 AWP46 BGL46 BQH46 CAD46 CJZ46 CTV46 DDR46 DNN46 DXJ46 EHF46 ERB46 FAX46 FKT46 FUP46 GEL46 GOH46 GYD46 HHZ46 HRV46 IBR46 ILN46 IVJ46 JFF46 JPB46 JYX46 KIT46 KSP46 LCL46 LMH46 LWD46 MFZ46 MPV46 MZR46 NJN46 NTJ46 ODF46 ONB46 OWX46 PGT46 PQP46 QAL46 QKH46 QUD46 RDZ46 RNV46 RXR46 SHN46 SRJ46 TBF46 TLB46 TUX46 UET46 UOP46 UYL46 VIH46 VSD46 WBZ46 WLV46 WVR46 M41:M48 TB33 ACX33 AMT33 AWP33 BGL33 BQH33 CAD33 CJZ33 CTV33 DDR33 DNN33 DXJ33 EHF33 ERB33 FAX33 FKT33 FUP33 GEL33 GOH33 GYD33 HHZ33 HRV33 IBR33 ILN33 IVJ33 JFF33 JPB33 JYX33 KIT33 KSP33 LCL33 LMH33 LWD33 MFZ33 MPV33 MZR33 NJN33 NTJ33 ODF33 ONB33 OWX33 PGT33 PQP33 QAL33 QKH33 QUD33 RDZ33 RNV33 RXR33 SHN33 SRJ33 TBF33 TLB33 TUX33 UET33 UOP33 UYL33 VIH33 VSD33 WBZ33 WLV33 WVR33 N65580:N65584 N131116:N131120 N196652:N196656 N262188:N262192 N327724:N327728 N393260:N393264 N458796:N458800 N524332:N524336 N589868:N589872 N655404:N655408 N720940:N720944 N786476:N786480 N852012:N852016 N917548:N917552 N983084:N983088 N65578 N131114 N196650 N262186 N327722 N393258 N458794 N524330 N589866 N655402 N720938 N786474 N852010 N917546 N983082 M31:M37 N65568:N65574 N131104:N131110 N196640:N196646 N262176:N262182 N327712:N327718 N393248:N393254 N458784:N458790 N524320:N524326 N589856:N589862 N655392:N655398 N720928:N720934 N786464:N786470 N852000:N852006 N917536:N917542 N983072:N983078 N65566 N131102 N196638 N262174 N327710 N393246 N458782 N524318 N589854 N655390 N720926 N786462 N851998 N917534 N983070 WVT983074 WLX983074 WCB983074 VSF983074 VIJ983074 UYN983074 UOR983074 UEV983074 TUZ983074 TLD983074 TBH983074 SRL983074 SHP983074 RXT983074 RNX983074 REB983074 QUF983074 QKJ983074 QAN983074 PQR983074 PGV983074 OWZ983074 OND983074 ODH983074 NTL983074 NJP983074 MZT983074 MPX983074 MGB983074 LWF983074 LMJ983074 LCN983074 KSR983074 KIV983074 JYZ983074 JPD983074 JFH983074 IVL983074 ILP983074 IBT983074 HRX983074 HIB983074 GYF983074 GOJ983074 GEN983074 FUR983074 FKV983074 FAZ983074 ERD983074 EHH983074 DXL983074 DNP983074 DDT983074 CTX983074 CKB983074 CAF983074 BQJ983074 BGN983074 AWR983074 AMV983074 ACZ983074 TD983074 JH983074 WVT917538 WLX917538 WCB917538 VSF917538 VIJ917538 UYN917538 UOR917538 UEV917538 TUZ917538 TLD917538 TBH917538 SRL917538 SHP917538 RXT917538 RNX917538 REB917538 QUF917538 QKJ917538 QAN917538 PQR917538 PGV917538 OWZ917538 OND917538 ODH917538 NTL917538 NJP917538 MZT917538 MPX917538 MGB917538 LWF917538 LMJ917538 LCN917538 KSR917538 KIV917538 JYZ917538 JPD917538 JFH917538 IVL917538 ILP917538 IBT917538 HRX917538 HIB917538 GYF917538 GOJ917538 GEN917538 FUR917538 FKV917538 FAZ917538 ERD917538 EHH917538 DXL917538 DNP917538 DDT917538 CTX917538 CKB917538 CAF917538 BQJ917538 BGN917538 AWR917538 AMV917538 ACZ917538 TD917538 JH917538 WVT852002 WLX852002 WCB852002 VSF852002 VIJ852002 UYN852002 UOR852002 UEV852002 TUZ852002 TLD852002 TBH852002 SRL852002 SHP852002 RXT852002 RNX852002 REB852002 QUF852002 QKJ852002 QAN852002 PQR852002 PGV852002 OWZ852002 OND852002 ODH852002 NTL852002 NJP852002 MZT852002 MPX852002 MGB852002 LWF852002 LMJ852002 LCN852002 KSR852002 KIV852002 JYZ852002 JPD852002 JFH852002 IVL852002 ILP852002 IBT852002 HRX852002 HIB852002 GYF852002 GOJ852002 GEN852002 FUR852002 FKV852002 FAZ852002 ERD852002 EHH852002 DXL852002 DNP852002 DDT852002 CTX852002 CKB852002 CAF852002 BQJ852002 BGN852002 AWR852002 AMV852002 ACZ852002 TD852002 JH852002 WVT786466 WLX786466 WCB786466 VSF786466 VIJ786466 UYN786466 UOR786466 UEV786466 TUZ786466 TLD786466 TBH786466 SRL786466 SHP786466 RXT786466 RNX786466 REB786466 QUF786466 QKJ786466 QAN786466 PQR786466 PGV786466 OWZ786466 OND786466 ODH786466 NTL786466 NJP786466 MZT786466 MPX786466 MGB786466 LWF786466 LMJ786466 LCN786466 KSR786466 KIV786466 JYZ786466 JPD786466 JFH786466 IVL786466 ILP786466 IBT786466 HRX786466 HIB786466 GYF786466 GOJ786466 GEN786466 FUR786466 FKV786466 FAZ786466 ERD786466 EHH786466 DXL786466 DNP786466 DDT786466 CTX786466 CKB786466 CAF786466 BQJ786466 BGN786466 AWR786466 AMV786466 ACZ786466 TD786466 JH786466 WVT720930 WLX720930 WCB720930 VSF720930 VIJ720930 UYN720930 UOR720930 UEV720930 TUZ720930 TLD720930 TBH720930 SRL720930 SHP720930 RXT720930 RNX720930 REB720930 QUF720930 QKJ720930 QAN720930 PQR720930 PGV720930 OWZ720930 OND720930 ODH720930 NTL720930 NJP720930 MZT720930 MPX720930 MGB720930 LWF720930 LMJ720930 LCN720930 KSR720930 KIV720930 JYZ720930 JPD720930 JFH720930 IVL720930 ILP720930 IBT720930 HRX720930 HIB720930 GYF720930 GOJ720930 GEN720930 FUR720930 FKV720930 FAZ720930 ERD720930 EHH720930 DXL720930 DNP720930 DDT720930 CTX720930 CKB720930 CAF720930 BQJ720930 BGN720930 AWR720930 AMV720930 ACZ720930 TD720930 JH720930 WVT655394 WLX655394 WCB655394 VSF655394 VIJ655394 UYN655394 UOR655394 UEV655394 TUZ655394 TLD655394 TBH655394 SRL655394 SHP655394 RXT655394 RNX655394 REB655394 QUF655394 QKJ655394 QAN655394 PQR655394 PGV655394 OWZ655394 OND655394 ODH655394 NTL655394 NJP655394 MZT655394 MPX655394 MGB655394 LWF655394 LMJ655394 LCN655394 KSR655394 KIV655394 JYZ655394 JPD655394 JFH655394 IVL655394 ILP655394 IBT655394 HRX655394 HIB655394 GYF655394 GOJ655394 GEN655394 FUR655394 FKV655394 FAZ655394 ERD655394 EHH655394 DXL655394 DNP655394 DDT655394 CTX655394 CKB655394 CAF655394 BQJ655394 BGN655394 AWR655394 AMV655394 ACZ655394 TD655394 JH655394 WVT589858 WLX589858 WCB589858 VSF589858 VIJ589858 UYN589858 UOR589858 UEV589858 TUZ589858 TLD589858 TBH589858 SRL589858 SHP589858 RXT589858 RNX589858 REB589858 QUF589858 QKJ589858 QAN589858 PQR589858 PGV589858 OWZ589858 OND589858 ODH589858 NTL589858 NJP589858 MZT589858 MPX589858 MGB589858 LWF589858 LMJ589858 LCN589858 KSR589858 KIV589858 JYZ589858 JPD589858 JFH589858 IVL589858 ILP589858 IBT589858 HRX589858 HIB589858 GYF589858 GOJ589858 GEN589858 FUR589858 FKV589858 FAZ589858 ERD589858 EHH589858 DXL589858 DNP589858 DDT589858 CTX589858 CKB589858 CAF589858 BQJ589858 BGN589858 AWR589858 AMV589858 ACZ589858 TD589858 JH589858 WVT524322 WLX524322 WCB524322 VSF524322 VIJ524322 UYN524322 UOR524322 UEV524322 TUZ524322 TLD524322 TBH524322 SRL524322 SHP524322 RXT524322 RNX524322 REB524322 QUF524322 QKJ524322 QAN524322 PQR524322 PGV524322 OWZ524322 OND524322 ODH524322 NTL524322 NJP524322 MZT524322 MPX524322 MGB524322 LWF524322 LMJ524322 LCN524322 KSR524322 KIV524322 JYZ524322 JPD524322 JFH524322 IVL524322 ILP524322 IBT524322 HRX524322 HIB524322 GYF524322 GOJ524322 GEN524322 FUR524322 FKV524322 FAZ524322 ERD524322 EHH524322 DXL524322 DNP524322 DDT524322 CTX524322 CKB524322 CAF524322 BQJ524322 BGN524322 AWR524322 AMV524322 ACZ524322 TD524322 JH524322 WVT458786 WLX458786 WCB458786 VSF458786 VIJ458786 UYN458786 UOR458786 UEV458786 TUZ458786 TLD458786 TBH458786 SRL458786 SHP458786 RXT458786 RNX458786 REB458786 QUF458786 QKJ458786 QAN458786 PQR458786 PGV458786 OWZ458786 OND458786 ODH458786 NTL458786 NJP458786 MZT458786 MPX458786 MGB458786 LWF458786 LMJ458786 LCN458786 KSR458786 KIV458786 JYZ458786 JPD458786 JFH458786 IVL458786 ILP458786 IBT458786 HRX458786 HIB458786 GYF458786 GOJ458786 GEN458786 FUR458786 FKV458786 FAZ458786 ERD458786 EHH458786 DXL458786 DNP458786 DDT458786 CTX458786 CKB458786 CAF458786 BQJ458786 BGN458786 AWR458786 AMV458786 ACZ458786 TD458786 JH458786 WVT393250 WLX393250 WCB393250 VSF393250 VIJ393250 UYN393250 UOR393250 UEV393250 TUZ393250 TLD393250 TBH393250 SRL393250 SHP393250 RXT393250 RNX393250 REB393250 QUF393250 QKJ393250 QAN393250 PQR393250 PGV393250 OWZ393250 OND393250 ODH393250 NTL393250 NJP393250 MZT393250 MPX393250 MGB393250 LWF393250 LMJ393250 LCN393250 KSR393250 KIV393250 JYZ393250 JPD393250 JFH393250 IVL393250 ILP393250 IBT393250 HRX393250 HIB393250 GYF393250 GOJ393250 GEN393250 FUR393250 FKV393250 FAZ393250 ERD393250 EHH393250 DXL393250 DNP393250 DDT393250 CTX393250 CKB393250 CAF393250 BQJ393250 BGN393250 AWR393250 AMV393250 ACZ393250 TD393250 JH393250 WVT327714 WLX327714 WCB327714 VSF327714 VIJ327714 UYN327714 UOR327714 UEV327714 TUZ327714 TLD327714 TBH327714 SRL327714 SHP327714 RXT327714 RNX327714 REB327714 QUF327714 QKJ327714 QAN327714 PQR327714 PGV327714 OWZ327714 OND327714 ODH327714 NTL327714 NJP327714 MZT327714 MPX327714 MGB327714 LWF327714 LMJ327714 LCN327714 KSR327714 KIV327714 JYZ327714 JPD327714 JFH327714 IVL327714 ILP327714 IBT327714 HRX327714 HIB327714 GYF327714 GOJ327714 GEN327714 FUR327714 FKV327714 FAZ327714 ERD327714 EHH327714 DXL327714 DNP327714 DDT327714 CTX327714 CKB327714 CAF327714 BQJ327714 BGN327714 AWR327714 AMV327714 ACZ327714 TD327714 JH327714 WVT262178 WLX262178 WCB262178 VSF262178 VIJ262178 UYN262178 UOR262178 UEV262178 TUZ262178 TLD262178 TBH262178 SRL262178 SHP262178 RXT262178 RNX262178 REB262178 QUF262178 QKJ262178 QAN262178 PQR262178 PGV262178 OWZ262178 OND262178 ODH262178 NTL262178 NJP262178 MZT262178 MPX262178 MGB262178 LWF262178 LMJ262178 LCN262178 KSR262178 KIV262178 JYZ262178 JPD262178 JFH262178 IVL262178 ILP262178 IBT262178 HRX262178 HIB262178 GYF262178 GOJ262178 GEN262178 FUR262178 FKV262178 FAZ262178 ERD262178 EHH262178 DXL262178 DNP262178 DDT262178 CTX262178 CKB262178 CAF262178 BQJ262178 BGN262178 AWR262178 AMV262178 ACZ262178 TD262178 JH262178 WVT196642 WLX196642 WCB196642 VSF196642 VIJ196642 UYN196642 UOR196642 UEV196642 TUZ196642 TLD196642 TBH196642 SRL196642 SHP196642 RXT196642 RNX196642 REB196642 QUF196642 QKJ196642 QAN196642 PQR196642 PGV196642 OWZ196642 OND196642 ODH196642 NTL196642 NJP196642 MZT196642 MPX196642 MGB196642 LWF196642 LMJ196642 LCN196642 KSR196642 KIV196642 JYZ196642 JPD196642 JFH196642 IVL196642 ILP196642 IBT196642 HRX196642 HIB196642 GYF196642 GOJ196642 GEN196642 FUR196642 FKV196642 FAZ196642 ERD196642 EHH196642 DXL196642 DNP196642 DDT196642 CTX196642 CKB196642 CAF196642 BQJ196642 BGN196642 AWR196642 AMV196642 ACZ196642 TD196642 JH196642 WVT131106 WLX131106 WCB131106 VSF131106 VIJ131106 UYN131106 UOR131106 UEV131106 TUZ131106 TLD131106 TBH131106 SRL131106 SHP131106 RXT131106 RNX131106 REB131106 QUF131106 QKJ131106 QAN131106 PQR131106 PGV131106 OWZ131106 OND131106 ODH131106 NTL131106 NJP131106 MZT131106 MPX131106 MGB131106 LWF131106 LMJ131106 LCN131106 KSR131106 KIV131106 JYZ131106 JPD131106 JFH131106 IVL131106 ILP131106 IBT131106 HRX131106 HIB131106 GYF131106 GOJ131106 GEN131106 FUR131106 FKV131106 FAZ131106 ERD131106 EHH131106 DXL131106 DNP131106 DDT131106 CTX131106 CKB131106 CAF131106 BQJ131106 BGN131106 AWR131106 AMV131106 ACZ131106 TD131106 JH131106 WVT65570 WLX65570 WCB65570 VSF65570 VIJ65570 UYN65570 UOR65570 UEV65570 TUZ65570 TLD65570 TBH65570 SRL65570 SHP65570 RXT65570 RNX65570 REB65570 QUF65570 QKJ65570 QAN65570 PQR65570 PGV65570 OWZ65570 OND65570 ODH65570 NTL65570 NJP65570 MZT65570 MPX65570 MGB65570 LWF65570 LMJ65570 LCN65570 KSR65570 KIV65570 JYZ65570 JPD65570 JFH65570 IVL65570 ILP65570 IBT65570 HRX65570 HIB65570 GYF65570 GOJ65570 GEN65570 FUR65570 FKV65570 FAZ65570 ERD65570 EHH65570 DXL65570 DNP65570 DDT65570 CTX65570 CKB65570 CAF65570 BQJ65570 BGN65570 AWR65570 AMV65570 ACZ65570 TD65570 JH65570 WVT983076:WVU983082 WLX983076:WLY983082 WCB983076:WCC983082 VSF983076:VSG983082 VIJ983076:VIK983082 UYN983076:UYO983082 UOR983076:UOS983082 UEV983076:UEW983082 TUZ983076:TVA983082 TLD983076:TLE983082 TBH983076:TBI983082 SRL983076:SRM983082 SHP983076:SHQ983082 RXT983076:RXU983082 RNX983076:RNY983082 REB983076:REC983082 QUF983076:QUG983082 QKJ983076:QKK983082 QAN983076:QAO983082 PQR983076:PQS983082 PGV983076:PGW983082 OWZ983076:OXA983082 OND983076:ONE983082 ODH983076:ODI983082 NTL983076:NTM983082 NJP983076:NJQ983082 MZT983076:MZU983082 MPX983076:MPY983082 MGB983076:MGC983082 LWF983076:LWG983082 LMJ983076:LMK983082 LCN983076:LCO983082 KSR983076:KSS983082 KIV983076:KIW983082 JYZ983076:JZA983082 JPD983076:JPE983082 JFH983076:JFI983082 IVL983076:IVM983082 ILP983076:ILQ983082 IBT983076:IBU983082 HRX983076:HRY983082 HIB983076:HIC983082 GYF983076:GYG983082 GOJ983076:GOK983082 GEN983076:GEO983082 FUR983076:FUS983082 FKV983076:FKW983082 FAZ983076:FBA983082 ERD983076:ERE983082 EHH983076:EHI983082 DXL983076:DXM983082 DNP983076:DNQ983082 DDT983076:DDU983082 CTX983076:CTY983082 CKB983076:CKC983082 CAF983076:CAG983082 BQJ983076:BQK983082 BGN983076:BGO983082 AWR983076:AWS983082 AMV983076:AMW983082 ACZ983076:ADA983082 TD983076:TE983082 JH983076:JI983082 WVT917540:WVU917546 WLX917540:WLY917546 WCB917540:WCC917546 VSF917540:VSG917546 VIJ917540:VIK917546 UYN917540:UYO917546 UOR917540:UOS917546 UEV917540:UEW917546 TUZ917540:TVA917546 TLD917540:TLE917546 TBH917540:TBI917546 SRL917540:SRM917546 SHP917540:SHQ917546 RXT917540:RXU917546 RNX917540:RNY917546 REB917540:REC917546 QUF917540:QUG917546 QKJ917540:QKK917546 QAN917540:QAO917546 PQR917540:PQS917546 PGV917540:PGW917546 OWZ917540:OXA917546 OND917540:ONE917546 ODH917540:ODI917546 NTL917540:NTM917546 NJP917540:NJQ917546 MZT917540:MZU917546 MPX917540:MPY917546 MGB917540:MGC917546 LWF917540:LWG917546 LMJ917540:LMK917546 LCN917540:LCO917546 KSR917540:KSS917546 KIV917540:KIW917546 JYZ917540:JZA917546 JPD917540:JPE917546 JFH917540:JFI917546 IVL917540:IVM917546 ILP917540:ILQ917546 IBT917540:IBU917546 HRX917540:HRY917546 HIB917540:HIC917546 GYF917540:GYG917546 GOJ917540:GOK917546 GEN917540:GEO917546 FUR917540:FUS917546 FKV917540:FKW917546 FAZ917540:FBA917546 ERD917540:ERE917546 EHH917540:EHI917546 DXL917540:DXM917546 DNP917540:DNQ917546 DDT917540:DDU917546 CTX917540:CTY917546 CKB917540:CKC917546 CAF917540:CAG917546 BQJ917540:BQK917546 BGN917540:BGO917546 AWR917540:AWS917546 AMV917540:AMW917546 ACZ917540:ADA917546 TD917540:TE917546 JH917540:JI917546 WVT852004:WVU852010 WLX852004:WLY852010 WCB852004:WCC852010 VSF852004:VSG852010 VIJ852004:VIK852010 UYN852004:UYO852010 UOR852004:UOS852010 UEV852004:UEW852010 TUZ852004:TVA852010 TLD852004:TLE852010 TBH852004:TBI852010 SRL852004:SRM852010 SHP852004:SHQ852010 RXT852004:RXU852010 RNX852004:RNY852010 REB852004:REC852010 QUF852004:QUG852010 QKJ852004:QKK852010 QAN852004:QAO852010 PQR852004:PQS852010 PGV852004:PGW852010 OWZ852004:OXA852010 OND852004:ONE852010 ODH852004:ODI852010 NTL852004:NTM852010 NJP852004:NJQ852010 MZT852004:MZU852010 MPX852004:MPY852010 MGB852004:MGC852010 LWF852004:LWG852010 LMJ852004:LMK852010 LCN852004:LCO852010 KSR852004:KSS852010 KIV852004:KIW852010 JYZ852004:JZA852010 JPD852004:JPE852010 JFH852004:JFI852010 IVL852004:IVM852010 ILP852004:ILQ852010 IBT852004:IBU852010 HRX852004:HRY852010 HIB852004:HIC852010 GYF852004:GYG852010 GOJ852004:GOK852010 GEN852004:GEO852010 FUR852004:FUS852010 FKV852004:FKW852010 FAZ852004:FBA852010 ERD852004:ERE852010 EHH852004:EHI852010 DXL852004:DXM852010 DNP852004:DNQ852010 DDT852004:DDU852010 CTX852004:CTY852010 CKB852004:CKC852010 CAF852004:CAG852010 BQJ852004:BQK852010 BGN852004:BGO852010 AWR852004:AWS852010 AMV852004:AMW852010 ACZ852004:ADA852010 TD852004:TE852010 JH852004:JI852010 WVT786468:WVU786474 WLX786468:WLY786474 WCB786468:WCC786474 VSF786468:VSG786474 VIJ786468:VIK786474 UYN786468:UYO786474 UOR786468:UOS786474 UEV786468:UEW786474 TUZ786468:TVA786474 TLD786468:TLE786474 TBH786468:TBI786474 SRL786468:SRM786474 SHP786468:SHQ786474 RXT786468:RXU786474 RNX786468:RNY786474 REB786468:REC786474 QUF786468:QUG786474 QKJ786468:QKK786474 QAN786468:QAO786474 PQR786468:PQS786474 PGV786468:PGW786474 OWZ786468:OXA786474 OND786468:ONE786474 ODH786468:ODI786474 NTL786468:NTM786474 NJP786468:NJQ786474 MZT786468:MZU786474 MPX786468:MPY786474 MGB786468:MGC786474 LWF786468:LWG786474 LMJ786468:LMK786474 LCN786468:LCO786474 KSR786468:KSS786474 KIV786468:KIW786474 JYZ786468:JZA786474 JPD786468:JPE786474 JFH786468:JFI786474 IVL786468:IVM786474 ILP786468:ILQ786474 IBT786468:IBU786474 HRX786468:HRY786474 HIB786468:HIC786474 GYF786468:GYG786474 GOJ786468:GOK786474 GEN786468:GEO786474 FUR786468:FUS786474 FKV786468:FKW786474 FAZ786468:FBA786474 ERD786468:ERE786474 EHH786468:EHI786474 DXL786468:DXM786474 DNP786468:DNQ786474 DDT786468:DDU786474 CTX786468:CTY786474 CKB786468:CKC786474 CAF786468:CAG786474 BQJ786468:BQK786474 BGN786468:BGO786474 AWR786468:AWS786474 AMV786468:AMW786474 ACZ786468:ADA786474 TD786468:TE786474 JH786468:JI786474 WVT720932:WVU720938 WLX720932:WLY720938 WCB720932:WCC720938 VSF720932:VSG720938 VIJ720932:VIK720938 UYN720932:UYO720938 UOR720932:UOS720938 UEV720932:UEW720938 TUZ720932:TVA720938 TLD720932:TLE720938 TBH720932:TBI720938 SRL720932:SRM720938 SHP720932:SHQ720938 RXT720932:RXU720938 RNX720932:RNY720938 REB720932:REC720938 QUF720932:QUG720938 QKJ720932:QKK720938 QAN720932:QAO720938 PQR720932:PQS720938 PGV720932:PGW720938 OWZ720932:OXA720938 OND720932:ONE720938 ODH720932:ODI720938 NTL720932:NTM720938 NJP720932:NJQ720938 MZT720932:MZU720938 MPX720932:MPY720938 MGB720932:MGC720938 LWF720932:LWG720938 LMJ720932:LMK720938 LCN720932:LCO720938 KSR720932:KSS720938 KIV720932:KIW720938 JYZ720932:JZA720938 JPD720932:JPE720938 JFH720932:JFI720938 IVL720932:IVM720938 ILP720932:ILQ720938 IBT720932:IBU720938 HRX720932:HRY720938 HIB720932:HIC720938 GYF720932:GYG720938 GOJ720932:GOK720938 GEN720932:GEO720938 FUR720932:FUS720938 FKV720932:FKW720938 FAZ720932:FBA720938 ERD720932:ERE720938 EHH720932:EHI720938 DXL720932:DXM720938 DNP720932:DNQ720938 DDT720932:DDU720938 CTX720932:CTY720938 CKB720932:CKC720938 CAF720932:CAG720938 BQJ720932:BQK720938 BGN720932:BGO720938 AWR720932:AWS720938 AMV720932:AMW720938 ACZ720932:ADA720938 TD720932:TE720938 JH720932:JI720938 WVT655396:WVU655402 WLX655396:WLY655402 WCB655396:WCC655402 VSF655396:VSG655402 VIJ655396:VIK655402 UYN655396:UYO655402 UOR655396:UOS655402 UEV655396:UEW655402 TUZ655396:TVA655402 TLD655396:TLE655402 TBH655396:TBI655402 SRL655396:SRM655402 SHP655396:SHQ655402 RXT655396:RXU655402 RNX655396:RNY655402 REB655396:REC655402 QUF655396:QUG655402 QKJ655396:QKK655402 QAN655396:QAO655402 PQR655396:PQS655402 PGV655396:PGW655402 OWZ655396:OXA655402 OND655396:ONE655402 ODH655396:ODI655402 NTL655396:NTM655402 NJP655396:NJQ655402 MZT655396:MZU655402 MPX655396:MPY655402 MGB655396:MGC655402 LWF655396:LWG655402 LMJ655396:LMK655402 LCN655396:LCO655402 KSR655396:KSS655402 KIV655396:KIW655402 JYZ655396:JZA655402 JPD655396:JPE655402 JFH655396:JFI655402 IVL655396:IVM655402 ILP655396:ILQ655402 IBT655396:IBU655402 HRX655396:HRY655402 HIB655396:HIC655402 GYF655396:GYG655402 GOJ655396:GOK655402 GEN655396:GEO655402 FUR655396:FUS655402 FKV655396:FKW655402 FAZ655396:FBA655402 ERD655396:ERE655402 EHH655396:EHI655402 DXL655396:DXM655402 DNP655396:DNQ655402 DDT655396:DDU655402 CTX655396:CTY655402 CKB655396:CKC655402 CAF655396:CAG655402 BQJ655396:BQK655402 BGN655396:BGO655402 AWR655396:AWS655402 AMV655396:AMW655402 ACZ655396:ADA655402 TD655396:TE655402 JH655396:JI655402 WVT589860:WVU589866 WLX589860:WLY589866 WCB589860:WCC589866 VSF589860:VSG589866 VIJ589860:VIK589866 UYN589860:UYO589866 UOR589860:UOS589866 UEV589860:UEW589866 TUZ589860:TVA589866 TLD589860:TLE589866 TBH589860:TBI589866 SRL589860:SRM589866 SHP589860:SHQ589866 RXT589860:RXU589866 RNX589860:RNY589866 REB589860:REC589866 QUF589860:QUG589866 QKJ589860:QKK589866 QAN589860:QAO589866 PQR589860:PQS589866 PGV589860:PGW589866 OWZ589860:OXA589866 OND589860:ONE589866 ODH589860:ODI589866 NTL589860:NTM589866 NJP589860:NJQ589866 MZT589860:MZU589866 MPX589860:MPY589866 MGB589860:MGC589866 LWF589860:LWG589866 LMJ589860:LMK589866 LCN589860:LCO589866 KSR589860:KSS589866 KIV589860:KIW589866 JYZ589860:JZA589866 JPD589860:JPE589866 JFH589860:JFI589866 IVL589860:IVM589866 ILP589860:ILQ589866 IBT589860:IBU589866 HRX589860:HRY589866 HIB589860:HIC589866 GYF589860:GYG589866 GOJ589860:GOK589866 GEN589860:GEO589866 FUR589860:FUS589866 FKV589860:FKW589866 FAZ589860:FBA589866 ERD589860:ERE589866 EHH589860:EHI589866 DXL589860:DXM589866 DNP589860:DNQ589866 DDT589860:DDU589866 CTX589860:CTY589866 CKB589860:CKC589866 CAF589860:CAG589866 BQJ589860:BQK589866 BGN589860:BGO589866 AWR589860:AWS589866 AMV589860:AMW589866 ACZ589860:ADA589866 TD589860:TE589866 JH589860:JI589866 WVT524324:WVU524330 WLX524324:WLY524330 WCB524324:WCC524330 VSF524324:VSG524330 VIJ524324:VIK524330 UYN524324:UYO524330 UOR524324:UOS524330 UEV524324:UEW524330 TUZ524324:TVA524330 TLD524324:TLE524330 TBH524324:TBI524330 SRL524324:SRM524330 SHP524324:SHQ524330 RXT524324:RXU524330 RNX524324:RNY524330 REB524324:REC524330 QUF524324:QUG524330 QKJ524324:QKK524330 QAN524324:QAO524330 PQR524324:PQS524330 PGV524324:PGW524330 OWZ524324:OXA524330 OND524324:ONE524330 ODH524324:ODI524330 NTL524324:NTM524330 NJP524324:NJQ524330 MZT524324:MZU524330 MPX524324:MPY524330 MGB524324:MGC524330 LWF524324:LWG524330 LMJ524324:LMK524330 LCN524324:LCO524330 KSR524324:KSS524330 KIV524324:KIW524330 JYZ524324:JZA524330 JPD524324:JPE524330 JFH524324:JFI524330 IVL524324:IVM524330 ILP524324:ILQ524330 IBT524324:IBU524330 HRX524324:HRY524330 HIB524324:HIC524330 GYF524324:GYG524330 GOJ524324:GOK524330 GEN524324:GEO524330 FUR524324:FUS524330 FKV524324:FKW524330 FAZ524324:FBA524330 ERD524324:ERE524330 EHH524324:EHI524330 DXL524324:DXM524330 DNP524324:DNQ524330 DDT524324:DDU524330 CTX524324:CTY524330 CKB524324:CKC524330 CAF524324:CAG524330 BQJ524324:BQK524330 BGN524324:BGO524330 AWR524324:AWS524330 AMV524324:AMW524330 ACZ524324:ADA524330 TD524324:TE524330 JH524324:JI524330 WVT458788:WVU458794 WLX458788:WLY458794 WCB458788:WCC458794 VSF458788:VSG458794 VIJ458788:VIK458794 UYN458788:UYO458794 UOR458788:UOS458794 UEV458788:UEW458794 TUZ458788:TVA458794 TLD458788:TLE458794 TBH458788:TBI458794 SRL458788:SRM458794 SHP458788:SHQ458794 RXT458788:RXU458794 RNX458788:RNY458794 REB458788:REC458794 QUF458788:QUG458794 QKJ458788:QKK458794 QAN458788:QAO458794 PQR458788:PQS458794 PGV458788:PGW458794 OWZ458788:OXA458794 OND458788:ONE458794 ODH458788:ODI458794 NTL458788:NTM458794 NJP458788:NJQ458794 MZT458788:MZU458794 MPX458788:MPY458794 MGB458788:MGC458794 LWF458788:LWG458794 LMJ458788:LMK458794 LCN458788:LCO458794 KSR458788:KSS458794 KIV458788:KIW458794 JYZ458788:JZA458794 JPD458788:JPE458794 JFH458788:JFI458794 IVL458788:IVM458794 ILP458788:ILQ458794 IBT458788:IBU458794 HRX458788:HRY458794 HIB458788:HIC458794 GYF458788:GYG458794 GOJ458788:GOK458794 GEN458788:GEO458794 FUR458788:FUS458794 FKV458788:FKW458794 FAZ458788:FBA458794 ERD458788:ERE458794 EHH458788:EHI458794 DXL458788:DXM458794 DNP458788:DNQ458794 DDT458788:DDU458794 CTX458788:CTY458794 CKB458788:CKC458794 CAF458788:CAG458794 BQJ458788:BQK458794 BGN458788:BGO458794 AWR458788:AWS458794 AMV458788:AMW458794 ACZ458788:ADA458794 TD458788:TE458794 JH458788:JI458794 WVT393252:WVU393258 WLX393252:WLY393258 WCB393252:WCC393258 VSF393252:VSG393258 VIJ393252:VIK393258 UYN393252:UYO393258 UOR393252:UOS393258 UEV393252:UEW393258 TUZ393252:TVA393258 TLD393252:TLE393258 TBH393252:TBI393258 SRL393252:SRM393258 SHP393252:SHQ393258 RXT393252:RXU393258 RNX393252:RNY393258 REB393252:REC393258 QUF393252:QUG393258 QKJ393252:QKK393258 QAN393252:QAO393258 PQR393252:PQS393258 PGV393252:PGW393258 OWZ393252:OXA393258 OND393252:ONE393258 ODH393252:ODI393258 NTL393252:NTM393258 NJP393252:NJQ393258 MZT393252:MZU393258 MPX393252:MPY393258 MGB393252:MGC393258 LWF393252:LWG393258 LMJ393252:LMK393258 LCN393252:LCO393258 KSR393252:KSS393258 KIV393252:KIW393258 JYZ393252:JZA393258 JPD393252:JPE393258 JFH393252:JFI393258 IVL393252:IVM393258 ILP393252:ILQ393258 IBT393252:IBU393258 HRX393252:HRY393258 HIB393252:HIC393258 GYF393252:GYG393258 GOJ393252:GOK393258 GEN393252:GEO393258 FUR393252:FUS393258 FKV393252:FKW393258 FAZ393252:FBA393258 ERD393252:ERE393258 EHH393252:EHI393258 DXL393252:DXM393258 DNP393252:DNQ393258 DDT393252:DDU393258 CTX393252:CTY393258 CKB393252:CKC393258 CAF393252:CAG393258 BQJ393252:BQK393258 BGN393252:BGO393258 AWR393252:AWS393258 AMV393252:AMW393258 ACZ393252:ADA393258 TD393252:TE393258 JH393252:JI393258 WVT327716:WVU327722 WLX327716:WLY327722 WCB327716:WCC327722 VSF327716:VSG327722 VIJ327716:VIK327722 UYN327716:UYO327722 UOR327716:UOS327722 UEV327716:UEW327722 TUZ327716:TVA327722 TLD327716:TLE327722 TBH327716:TBI327722 SRL327716:SRM327722 SHP327716:SHQ327722 RXT327716:RXU327722 RNX327716:RNY327722 REB327716:REC327722 QUF327716:QUG327722 QKJ327716:QKK327722 QAN327716:QAO327722 PQR327716:PQS327722 PGV327716:PGW327722 OWZ327716:OXA327722 OND327716:ONE327722 ODH327716:ODI327722 NTL327716:NTM327722 NJP327716:NJQ327722 MZT327716:MZU327722 MPX327716:MPY327722 MGB327716:MGC327722 LWF327716:LWG327722 LMJ327716:LMK327722 LCN327716:LCO327722 KSR327716:KSS327722 KIV327716:KIW327722 JYZ327716:JZA327722 JPD327716:JPE327722 JFH327716:JFI327722 IVL327716:IVM327722 ILP327716:ILQ327722 IBT327716:IBU327722 HRX327716:HRY327722 HIB327716:HIC327722 GYF327716:GYG327722 GOJ327716:GOK327722 GEN327716:GEO327722 FUR327716:FUS327722 FKV327716:FKW327722 FAZ327716:FBA327722 ERD327716:ERE327722 EHH327716:EHI327722 DXL327716:DXM327722 DNP327716:DNQ327722 DDT327716:DDU327722 CTX327716:CTY327722 CKB327716:CKC327722 CAF327716:CAG327722 BQJ327716:BQK327722 BGN327716:BGO327722 AWR327716:AWS327722 AMV327716:AMW327722 ACZ327716:ADA327722 TD327716:TE327722 JH327716:JI327722 WVT262180:WVU262186 WLX262180:WLY262186 WCB262180:WCC262186 VSF262180:VSG262186 VIJ262180:VIK262186 UYN262180:UYO262186 UOR262180:UOS262186 UEV262180:UEW262186 TUZ262180:TVA262186 TLD262180:TLE262186 TBH262180:TBI262186 SRL262180:SRM262186 SHP262180:SHQ262186 RXT262180:RXU262186 RNX262180:RNY262186 REB262180:REC262186 QUF262180:QUG262186 QKJ262180:QKK262186 QAN262180:QAO262186 PQR262180:PQS262186 PGV262180:PGW262186 OWZ262180:OXA262186 OND262180:ONE262186 ODH262180:ODI262186 NTL262180:NTM262186 NJP262180:NJQ262186 MZT262180:MZU262186 MPX262180:MPY262186 MGB262180:MGC262186 LWF262180:LWG262186 LMJ262180:LMK262186 LCN262180:LCO262186 KSR262180:KSS262186 KIV262180:KIW262186 JYZ262180:JZA262186 JPD262180:JPE262186 JFH262180:JFI262186 IVL262180:IVM262186 ILP262180:ILQ262186 IBT262180:IBU262186 HRX262180:HRY262186 HIB262180:HIC262186 GYF262180:GYG262186 GOJ262180:GOK262186 GEN262180:GEO262186 FUR262180:FUS262186 FKV262180:FKW262186 FAZ262180:FBA262186 ERD262180:ERE262186 EHH262180:EHI262186 DXL262180:DXM262186 DNP262180:DNQ262186 DDT262180:DDU262186 CTX262180:CTY262186 CKB262180:CKC262186 CAF262180:CAG262186 BQJ262180:BQK262186 BGN262180:BGO262186 AWR262180:AWS262186 AMV262180:AMW262186 ACZ262180:ADA262186 TD262180:TE262186 JH262180:JI262186 WVT196644:WVU196650 WLX196644:WLY196650 WCB196644:WCC196650 VSF196644:VSG196650 VIJ196644:VIK196650 UYN196644:UYO196650 UOR196644:UOS196650 UEV196644:UEW196650 TUZ196644:TVA196650 TLD196644:TLE196650 TBH196644:TBI196650 SRL196644:SRM196650 SHP196644:SHQ196650 RXT196644:RXU196650 RNX196644:RNY196650 REB196644:REC196650 QUF196644:QUG196650 QKJ196644:QKK196650 QAN196644:QAO196650 PQR196644:PQS196650 PGV196644:PGW196650 OWZ196644:OXA196650 OND196644:ONE196650 ODH196644:ODI196650 NTL196644:NTM196650 NJP196644:NJQ196650 MZT196644:MZU196650 MPX196644:MPY196650 MGB196644:MGC196650 LWF196644:LWG196650 LMJ196644:LMK196650 LCN196644:LCO196650 KSR196644:KSS196650 KIV196644:KIW196650 JYZ196644:JZA196650 JPD196644:JPE196650 JFH196644:JFI196650 IVL196644:IVM196650 ILP196644:ILQ196650 IBT196644:IBU196650 HRX196644:HRY196650 HIB196644:HIC196650 GYF196644:GYG196650 GOJ196644:GOK196650 GEN196644:GEO196650 FUR196644:FUS196650 FKV196644:FKW196650 FAZ196644:FBA196650 ERD196644:ERE196650 EHH196644:EHI196650 DXL196644:DXM196650 DNP196644:DNQ196650 DDT196644:DDU196650 CTX196644:CTY196650 CKB196644:CKC196650 CAF196644:CAG196650 BQJ196644:BQK196650 BGN196644:BGO196650 AWR196644:AWS196650 AMV196644:AMW196650 ACZ196644:ADA196650 TD196644:TE196650 JH196644:JI196650 WVT131108:WVU131114 WLX131108:WLY131114 WCB131108:WCC131114 VSF131108:VSG131114 VIJ131108:VIK131114 UYN131108:UYO131114 UOR131108:UOS131114 UEV131108:UEW131114 TUZ131108:TVA131114 TLD131108:TLE131114 TBH131108:TBI131114 SRL131108:SRM131114 SHP131108:SHQ131114 RXT131108:RXU131114 RNX131108:RNY131114 REB131108:REC131114 QUF131108:QUG131114 QKJ131108:QKK131114 QAN131108:QAO131114 PQR131108:PQS131114 PGV131108:PGW131114 OWZ131108:OXA131114 OND131108:ONE131114 ODH131108:ODI131114 NTL131108:NTM131114 NJP131108:NJQ131114 MZT131108:MZU131114 MPX131108:MPY131114 MGB131108:MGC131114 LWF131108:LWG131114 LMJ131108:LMK131114 LCN131108:LCO131114 KSR131108:KSS131114 KIV131108:KIW131114 JYZ131108:JZA131114 JPD131108:JPE131114 JFH131108:JFI131114 IVL131108:IVM131114 ILP131108:ILQ131114 IBT131108:IBU131114 HRX131108:HRY131114 HIB131108:HIC131114 GYF131108:GYG131114 GOJ131108:GOK131114 GEN131108:GEO131114 FUR131108:FUS131114 FKV131108:FKW131114 FAZ131108:FBA131114 ERD131108:ERE131114 EHH131108:EHI131114 DXL131108:DXM131114 DNP131108:DNQ131114 DDT131108:DDU131114 CTX131108:CTY131114 CKB131108:CKC131114 CAF131108:CAG131114 BQJ131108:BQK131114 BGN131108:BGO131114 AWR131108:AWS131114 AMV131108:AMW131114 ACZ131108:ADA131114 TD131108:TE131114 JH131108:JI131114 WVT65572:WVU65578 WLX65572:WLY65578 WCB65572:WCC65578 VSF65572:VSG65578 VIJ65572:VIK65578 UYN65572:UYO65578 UOR65572:UOS65578 UEV65572:UEW65578 TUZ65572:TVA65578 TLD65572:TLE65578 TBH65572:TBI65578 SRL65572:SRM65578 SHP65572:SHQ65578 RXT65572:RXU65578 RNX65572:RNY65578 REB65572:REC65578 QUF65572:QUG65578 QKJ65572:QKK65578 QAN65572:QAO65578 PQR65572:PQS65578 PGV65572:PGW65578 OWZ65572:OXA65578 OND65572:ONE65578 ODH65572:ODI65578 NTL65572:NTM65578 NJP65572:NJQ65578 MZT65572:MZU65578 MPX65572:MPY65578 MGB65572:MGC65578 LWF65572:LWG65578 LMJ65572:LMK65578 LCN65572:LCO65578 KSR65572:KSS65578 KIV65572:KIW65578 JYZ65572:JZA65578 JPD65572:JPE65578 JFH65572:JFI65578 IVL65572:IVM65578 ILP65572:ILQ65578 IBT65572:IBU65578 HRX65572:HRY65578 HIB65572:HIC65578 GYF65572:GYG65578 GOJ65572:GOK65578 GEN65572:GEO65578 FUR65572:FUS65578 FKV65572:FKW65578 FAZ65572:FBA65578 ERD65572:ERE65578 EHH65572:EHI65578 DXL65572:DXM65578 DNP65572:DNQ65578 DDT65572:DDU65578 CTX65572:CTY65578 CKB65572:CKC65578 CAF65572:CAG65578 BQJ65572:BQK65578 BGN65572:BGO65578 AWR65572:AWS65578 AMV65572:AMW65578 ACZ65572:ADA65578 TD65572:TE65578 JH65572:JI65578 WVR35:WVS37 WVT38:WVU39 WLV35:WLW37 WLX38:WLY39 WBZ35:WCA37 WCB38:WCC39 VSD35:VSE37 VSF38:VSG39 VIH35:VII37 VIJ38:VIK39 UYL35:UYM37 UYN38:UYO39 UOP35:UOQ37 UOR38:UOS39 UET35:UEU37 UEV38:UEW39 TUX35:TUY37 TUZ38:TVA39 TLB35:TLC37 TLD38:TLE39 TBF35:TBG37 TBH38:TBI39 SRJ35:SRK37 SRL38:SRM39 SHN35:SHO37 SHP38:SHQ39 RXR35:RXS37 RXT38:RXU39 RNV35:RNW37 RNX38:RNY39 RDZ35:REA37 REB38:REC39 QUD35:QUE37 QUF38:QUG39 QKH35:QKI37 QKJ38:QKK39 QAL35:QAM37 QAN38:QAO39 PQP35:PQQ37 PQR38:PQS39 PGT35:PGU37 PGV38:PGW39 OWX35:OWY37 OWZ38:OXA39 ONB35:ONC37 OND38:ONE39 ODF35:ODG37 ODH38:ODI39 NTJ35:NTK37 NTL38:NTM39 NJN35:NJO37 NJP38:NJQ39 MZR35:MZS37 MZT38:MZU39 MPV35:MPW37 MPX38:MPY39 MFZ35:MGA37 MGB38:MGC39 LWD35:LWE37 LWF38:LWG39 LMH35:LMI37 LMJ38:LMK39 LCL35:LCM37 LCN38:LCO39 KSP35:KSQ37 KSR38:KSS39 KIT35:KIU37 KIV38:KIW39 JYX35:JYY37 JYZ38:JZA39 JPB35:JPC37 JPD38:JPE39 JFF35:JFG37 JFH38:JFI39 IVJ35:IVK37 IVL38:IVM39 ILN35:ILO37 ILP38:ILQ39 IBR35:IBS37 IBT38:IBU39 HRV35:HRW37 HRX38:HRY39 HHZ35:HIA37 HIB38:HIC39 GYD35:GYE37 GYF38:GYG39 GOH35:GOI37 GOJ38:GOK39 GEL35:GEM37 GEN38:GEO39 FUP35:FUQ37 FUR38:FUS39 FKT35:FKU37 FKV38:FKW39 FAX35:FAY37 FAZ38:FBA39 ERB35:ERC37 ERD38:ERE39 EHF35:EHG37 EHH38:EHI39 DXJ35:DXK37 DXL38:DXM39 DNN35:DNO37 DNP38:DNQ39 DDR35:DDS37 DDT38:DDU39 CTV35:CTW37 CTX38:CTY39 CJZ35:CKA37 CKB38:CKC39 CAD35:CAE37 CAF38:CAG39 BQH35:BQI37 BQJ38:BQK39 BGL35:BGM37 BGN38:BGO39 AWP35:AWQ37 AWR38:AWS39 AMT35:AMU37 AMV38:AMW39 ACX35:ACY37 ACZ38:ADA39 TB35:TC37 TD38:TE39 JF35:JG37 JH38:JI39 WVT983086 WLX983086 WCB983086 VSF983086 VIJ983086 UYN983086 UOR983086 UEV983086 TUZ983086 TLD983086 TBH983086 SRL983086 SHP983086 RXT983086 RNX983086 REB983086 QUF983086 QKJ983086 QAN983086 PQR983086 PGV983086 OWZ983086 OND983086 ODH983086 NTL983086 NJP983086 MZT983086 MPX983086 MGB983086 LWF983086 LMJ983086 LCN983086 KSR983086 KIV983086 JYZ983086 JPD983086 JFH983086 IVL983086 ILP983086 IBT983086 HRX983086 HIB983086 GYF983086 GOJ983086 GEN983086 FUR983086 FKV983086 FAZ983086 ERD983086 EHH983086 DXL983086 DNP983086 DDT983086 CTX983086 CKB983086 CAF983086 BQJ983086 BGN983086 AWR983086 AMV983086 ACZ983086 TD983086 JH983086 WVT917550 WLX917550 WCB917550 VSF917550 VIJ917550 UYN917550 UOR917550 UEV917550 TUZ917550 TLD917550 TBH917550 SRL917550 SHP917550 RXT917550 RNX917550 REB917550 QUF917550 QKJ917550 QAN917550 PQR917550 PGV917550 OWZ917550 OND917550 ODH917550 NTL917550 NJP917550 MZT917550 MPX917550 MGB917550 LWF917550 LMJ917550 LCN917550 KSR917550 KIV917550 JYZ917550 JPD917550 JFH917550 IVL917550 ILP917550 IBT917550 HRX917550 HIB917550 GYF917550 GOJ917550 GEN917550 FUR917550 FKV917550 FAZ917550 ERD917550 EHH917550 DXL917550 DNP917550 DDT917550 CTX917550 CKB917550 CAF917550 BQJ917550 BGN917550 AWR917550 AMV917550 ACZ917550 TD917550 JH917550 WVT852014 WLX852014 WCB852014 VSF852014 VIJ852014 UYN852014 UOR852014 UEV852014 TUZ852014 TLD852014 TBH852014 SRL852014 SHP852014 RXT852014 RNX852014 REB852014 QUF852014 QKJ852014 QAN852014 PQR852014 PGV852014 OWZ852014 OND852014 ODH852014 NTL852014 NJP852014 MZT852014 MPX852014 MGB852014 LWF852014 LMJ852014 LCN852014 KSR852014 KIV852014 JYZ852014 JPD852014 JFH852014 IVL852014 ILP852014 IBT852014 HRX852014 HIB852014 GYF852014 GOJ852014 GEN852014 FUR852014 FKV852014 FAZ852014 ERD852014 EHH852014 DXL852014 DNP852014 DDT852014 CTX852014 CKB852014 CAF852014 BQJ852014 BGN852014 AWR852014 AMV852014 ACZ852014 TD852014 JH852014 WVT786478 WLX786478 WCB786478 VSF786478 VIJ786478 UYN786478 UOR786478 UEV786478 TUZ786478 TLD786478 TBH786478 SRL786478 SHP786478 RXT786478 RNX786478 REB786478 QUF786478 QKJ786478 QAN786478 PQR786478 PGV786478 OWZ786478 OND786478 ODH786478 NTL786478 NJP786478 MZT786478 MPX786478 MGB786478 LWF786478 LMJ786478 LCN786478 KSR786478 KIV786478 JYZ786478 JPD786478 JFH786478 IVL786478 ILP786478 IBT786478 HRX786478 HIB786478 GYF786478 GOJ786478 GEN786478 FUR786478 FKV786478 FAZ786478 ERD786478 EHH786478 DXL786478 DNP786478 DDT786478 CTX786478 CKB786478 CAF786478 BQJ786478 BGN786478 AWR786478 AMV786478 ACZ786478 TD786478 JH786478 WVT720942 WLX720942 WCB720942 VSF720942 VIJ720942 UYN720942 UOR720942 UEV720942 TUZ720942 TLD720942 TBH720942 SRL720942 SHP720942 RXT720942 RNX720942 REB720942 QUF720942 QKJ720942 QAN720942 PQR720942 PGV720942 OWZ720942 OND720942 ODH720942 NTL720942 NJP720942 MZT720942 MPX720942 MGB720942 LWF720942 LMJ720942 LCN720942 KSR720942 KIV720942 JYZ720942 JPD720942 JFH720942 IVL720942 ILP720942 IBT720942 HRX720942 HIB720942 GYF720942 GOJ720942 GEN720942 FUR720942 FKV720942 FAZ720942 ERD720942 EHH720942 DXL720942 DNP720942 DDT720942 CTX720942 CKB720942 CAF720942 BQJ720942 BGN720942 AWR720942 AMV720942 ACZ720942 TD720942 JH720942 WVT655406 WLX655406 WCB655406 VSF655406 VIJ655406 UYN655406 UOR655406 UEV655406 TUZ655406 TLD655406 TBH655406 SRL655406 SHP655406 RXT655406 RNX655406 REB655406 QUF655406 QKJ655406 QAN655406 PQR655406 PGV655406 OWZ655406 OND655406 ODH655406 NTL655406 NJP655406 MZT655406 MPX655406 MGB655406 LWF655406 LMJ655406 LCN655406 KSR655406 KIV655406 JYZ655406 JPD655406 JFH655406 IVL655406 ILP655406 IBT655406 HRX655406 HIB655406 GYF655406 GOJ655406 GEN655406 FUR655406 FKV655406 FAZ655406 ERD655406 EHH655406 DXL655406 DNP655406 DDT655406 CTX655406 CKB655406 CAF655406 BQJ655406 BGN655406 AWR655406 AMV655406 ACZ655406 TD655406 JH655406 WVT589870 WLX589870 WCB589870 VSF589870 VIJ589870 UYN589870 UOR589870 UEV589870 TUZ589870 TLD589870 TBH589870 SRL589870 SHP589870 RXT589870 RNX589870 REB589870 QUF589870 QKJ589870 QAN589870 PQR589870 PGV589870 OWZ589870 OND589870 ODH589870 NTL589870 NJP589870 MZT589870 MPX589870 MGB589870 LWF589870 LMJ589870 LCN589870 KSR589870 KIV589870 JYZ589870 JPD589870 JFH589870 IVL589870 ILP589870 IBT589870 HRX589870 HIB589870 GYF589870 GOJ589870 GEN589870 FUR589870 FKV589870 FAZ589870 ERD589870 EHH589870 DXL589870 DNP589870 DDT589870 CTX589870 CKB589870 CAF589870 BQJ589870 BGN589870 AWR589870 AMV589870 ACZ589870 TD589870 JH589870 WVT524334 WLX524334 WCB524334 VSF524334 VIJ524334 UYN524334 UOR524334 UEV524334 TUZ524334 TLD524334 TBH524334 SRL524334 SHP524334 RXT524334 RNX524334 REB524334 QUF524334 QKJ524334 QAN524334 PQR524334 PGV524334 OWZ524334 OND524334 ODH524334 NTL524334 NJP524334 MZT524334 MPX524334 MGB524334 LWF524334 LMJ524334 LCN524334 KSR524334 KIV524334 JYZ524334 JPD524334 JFH524334 IVL524334 ILP524334 IBT524334 HRX524334 HIB524334 GYF524334 GOJ524334 GEN524334 FUR524334 FKV524334 FAZ524334 ERD524334 EHH524334 DXL524334 DNP524334 DDT524334 CTX524334 CKB524334 CAF524334 BQJ524334 BGN524334 AWR524334 AMV524334 ACZ524334 TD524334 JH524334 WVT458798 WLX458798 WCB458798 VSF458798 VIJ458798 UYN458798 UOR458798 UEV458798 TUZ458798 TLD458798 TBH458798 SRL458798 SHP458798 RXT458798 RNX458798 REB458798 QUF458798 QKJ458798 QAN458798 PQR458798 PGV458798 OWZ458798 OND458798 ODH458798 NTL458798 NJP458798 MZT458798 MPX458798 MGB458798 LWF458798 LMJ458798 LCN458798 KSR458798 KIV458798 JYZ458798 JPD458798 JFH458798 IVL458798 ILP458798 IBT458798 HRX458798 HIB458798 GYF458798 GOJ458798 GEN458798 FUR458798 FKV458798 FAZ458798 ERD458798 EHH458798 DXL458798 DNP458798 DDT458798 CTX458798 CKB458798 CAF458798 BQJ458798 BGN458798 AWR458798 AMV458798 ACZ458798 TD458798 JH458798 WVT393262 WLX393262 WCB393262 VSF393262 VIJ393262 UYN393262 UOR393262 UEV393262 TUZ393262 TLD393262 TBH393262 SRL393262 SHP393262 RXT393262 RNX393262 REB393262 QUF393262 QKJ393262 QAN393262 PQR393262 PGV393262 OWZ393262 OND393262 ODH393262 NTL393262 NJP393262 MZT393262 MPX393262 MGB393262 LWF393262 LMJ393262 LCN393262 KSR393262 KIV393262 JYZ393262 JPD393262 JFH393262 IVL393262 ILP393262 IBT393262 HRX393262 HIB393262 GYF393262 GOJ393262 GEN393262 FUR393262 FKV393262 FAZ393262 ERD393262 EHH393262 DXL393262 DNP393262 DDT393262 CTX393262 CKB393262 CAF393262 BQJ393262 BGN393262 AWR393262 AMV393262 ACZ393262 TD393262 JH393262 WVT327726 WLX327726 WCB327726 VSF327726 VIJ327726 UYN327726 UOR327726 UEV327726 TUZ327726 TLD327726 TBH327726 SRL327726 SHP327726 RXT327726 RNX327726 REB327726 QUF327726 QKJ327726 QAN327726 PQR327726 PGV327726 OWZ327726 OND327726 ODH327726 NTL327726 NJP327726 MZT327726 MPX327726 MGB327726 LWF327726 LMJ327726 LCN327726 KSR327726 KIV327726 JYZ327726 JPD327726 JFH327726 IVL327726 ILP327726 IBT327726 HRX327726 HIB327726 GYF327726 GOJ327726 GEN327726 FUR327726 FKV327726 FAZ327726 ERD327726 EHH327726 DXL327726 DNP327726 DDT327726 CTX327726 CKB327726 CAF327726 BQJ327726 BGN327726 AWR327726 AMV327726 ACZ327726 TD327726 JH327726 WVT262190 WLX262190 WCB262190 VSF262190 VIJ262190 UYN262190 UOR262190 UEV262190 TUZ262190 TLD262190 TBH262190 SRL262190 SHP262190 RXT262190 RNX262190 REB262190 QUF262190 QKJ262190 QAN262190 PQR262190 PGV262190 OWZ262190 OND262190 ODH262190 NTL262190 NJP262190 MZT262190 MPX262190 MGB262190 LWF262190 LMJ262190 LCN262190 KSR262190 KIV262190 JYZ262190 JPD262190 JFH262190 IVL262190 ILP262190 IBT262190 HRX262190 HIB262190 GYF262190 GOJ262190 GEN262190 FUR262190 FKV262190 FAZ262190 ERD262190 EHH262190 DXL262190 DNP262190 DDT262190 CTX262190 CKB262190 CAF262190 BQJ262190 BGN262190 AWR262190 AMV262190 ACZ262190 TD262190 JH262190 WVT196654 WLX196654 WCB196654 VSF196654 VIJ196654 UYN196654 UOR196654 UEV196654 TUZ196654 TLD196654 TBH196654 SRL196654 SHP196654 RXT196654 RNX196654 REB196654 QUF196654 QKJ196654 QAN196654 PQR196654 PGV196654 OWZ196654 OND196654 ODH196654 NTL196654 NJP196654 MZT196654 MPX196654 MGB196654 LWF196654 LMJ196654 LCN196654 KSR196654 KIV196654 JYZ196654 JPD196654 JFH196654 IVL196654 ILP196654 IBT196654 HRX196654 HIB196654 GYF196654 GOJ196654 GEN196654 FUR196654 FKV196654 FAZ196654 ERD196654 EHH196654 DXL196654 DNP196654 DDT196654 CTX196654 CKB196654 CAF196654 BQJ196654 BGN196654 AWR196654 AMV196654 ACZ196654 TD196654 JH196654 WVT131118 WLX131118 WCB131118 VSF131118 VIJ131118 UYN131118 UOR131118 UEV131118 TUZ131118 TLD131118 TBH131118 SRL131118 SHP131118 RXT131118 RNX131118 REB131118 QUF131118 QKJ131118 QAN131118 PQR131118 PGV131118 OWZ131118 OND131118 ODH131118 NTL131118 NJP131118 MZT131118 MPX131118 MGB131118 LWF131118 LMJ131118 LCN131118 KSR131118 KIV131118 JYZ131118 JPD131118 JFH131118 IVL131118 ILP131118 IBT131118 HRX131118 HIB131118 GYF131118 GOJ131118 GEN131118 FUR131118 FKV131118 FAZ131118 ERD131118 EHH131118 DXL131118 DNP131118 DDT131118 CTX131118 CKB131118 CAF131118 BQJ131118 BGN131118 AWR131118 AMV131118 ACZ131118 TD131118 JH131118 WVT65582 WLX65582 WCB65582 VSF65582 VIJ65582 UYN65582 UOR65582 UEV65582 TUZ65582 TLD65582 TBH65582 SRL65582 SHP65582 RXT65582 RNX65582 REB65582 QUF65582 QKJ65582 QAN65582 PQR65582 PGV65582 OWZ65582 OND65582 ODH65582 NTL65582 NJP65582 MZT65582 MPX65582 MGB65582 LWF65582 LMJ65582 LCN65582 KSR65582 KIV65582 JYZ65582 JPD65582 JFH65582 IVL65582 ILP65582 IBT65582 HRX65582 HIB65582 GYF65582 GOJ65582 GEN65582 FUR65582 FKV65582 FAZ65582 ERD65582 EHH65582 DXL65582 DNP65582 DDT65582 CTX65582 CKB65582 CAF65582 BQJ65582 BGN65582 AWR65582 AMV65582 ACZ65582 TD65582 JH65582 WVU983086:WVU983092 WLY983086:WLY983092 WCC983086:WCC983092 VSG983086:VSG983092 VIK983086:VIK983092 UYO983086:UYO983092 UOS983086:UOS983092 UEW983086:UEW983092 TVA983086:TVA983092 TLE983086:TLE983092 TBI983086:TBI983092 SRM983086:SRM983092 SHQ983086:SHQ983092 RXU983086:RXU983092 RNY983086:RNY983092 REC983086:REC983092 QUG983086:QUG983092 QKK983086:QKK983092 QAO983086:QAO983092 PQS983086:PQS983092 PGW983086:PGW983092 OXA983086:OXA983092 ONE983086:ONE983092 ODI983086:ODI983092 NTM983086:NTM983092 NJQ983086:NJQ983092 MZU983086:MZU983092 MPY983086:MPY983092 MGC983086:MGC983092 LWG983086:LWG983092 LMK983086:LMK983092 LCO983086:LCO983092 KSS983086:KSS983092 KIW983086:KIW983092 JZA983086:JZA983092 JPE983086:JPE983092 JFI983086:JFI983092 IVM983086:IVM983092 ILQ983086:ILQ983092 IBU983086:IBU983092 HRY983086:HRY983092 HIC983086:HIC983092 GYG983086:GYG983092 GOK983086:GOK983092 GEO983086:GEO983092 FUS983086:FUS983092 FKW983086:FKW983092 FBA983086:FBA983092 ERE983086:ERE983092 EHI983086:EHI983092 DXM983086:DXM983092 DNQ983086:DNQ983092 DDU983086:DDU983092 CTY983086:CTY983092 CKC983086:CKC983092 CAG983086:CAG983092 BQK983086:BQK983092 BGO983086:BGO983092 AWS983086:AWS983092 AMW983086:AMW983092 ADA983086:ADA983092 TE983086:TE983092 JI983086:JI983092 WVU917550:WVU917556 WLY917550:WLY917556 WCC917550:WCC917556 VSG917550:VSG917556 VIK917550:VIK917556 UYO917550:UYO917556 UOS917550:UOS917556 UEW917550:UEW917556 TVA917550:TVA917556 TLE917550:TLE917556 TBI917550:TBI917556 SRM917550:SRM917556 SHQ917550:SHQ917556 RXU917550:RXU917556 RNY917550:RNY917556 REC917550:REC917556 QUG917550:QUG917556 QKK917550:QKK917556 QAO917550:QAO917556 PQS917550:PQS917556 PGW917550:PGW917556 OXA917550:OXA917556 ONE917550:ONE917556 ODI917550:ODI917556 NTM917550:NTM917556 NJQ917550:NJQ917556 MZU917550:MZU917556 MPY917550:MPY917556 MGC917550:MGC917556 LWG917550:LWG917556 LMK917550:LMK917556 LCO917550:LCO917556 KSS917550:KSS917556 KIW917550:KIW917556 JZA917550:JZA917556 JPE917550:JPE917556 JFI917550:JFI917556 IVM917550:IVM917556 ILQ917550:ILQ917556 IBU917550:IBU917556 HRY917550:HRY917556 HIC917550:HIC917556 GYG917550:GYG917556 GOK917550:GOK917556 GEO917550:GEO917556 FUS917550:FUS917556 FKW917550:FKW917556 FBA917550:FBA917556 ERE917550:ERE917556 EHI917550:EHI917556 DXM917550:DXM917556 DNQ917550:DNQ917556 DDU917550:DDU917556 CTY917550:CTY917556 CKC917550:CKC917556 CAG917550:CAG917556 BQK917550:BQK917556 BGO917550:BGO917556 AWS917550:AWS917556 AMW917550:AMW917556 ADA917550:ADA917556 TE917550:TE917556 JI917550:JI917556 WVU852014:WVU852020 WLY852014:WLY852020 WCC852014:WCC852020 VSG852014:VSG852020 VIK852014:VIK852020 UYO852014:UYO852020 UOS852014:UOS852020 UEW852014:UEW852020 TVA852014:TVA852020 TLE852014:TLE852020 TBI852014:TBI852020 SRM852014:SRM852020 SHQ852014:SHQ852020 RXU852014:RXU852020 RNY852014:RNY852020 REC852014:REC852020 QUG852014:QUG852020 QKK852014:QKK852020 QAO852014:QAO852020 PQS852014:PQS852020 PGW852014:PGW852020 OXA852014:OXA852020 ONE852014:ONE852020 ODI852014:ODI852020 NTM852014:NTM852020 NJQ852014:NJQ852020 MZU852014:MZU852020 MPY852014:MPY852020 MGC852014:MGC852020 LWG852014:LWG852020 LMK852014:LMK852020 LCO852014:LCO852020 KSS852014:KSS852020 KIW852014:KIW852020 JZA852014:JZA852020 JPE852014:JPE852020 JFI852014:JFI852020 IVM852014:IVM852020 ILQ852014:ILQ852020 IBU852014:IBU852020 HRY852014:HRY852020 HIC852014:HIC852020 GYG852014:GYG852020 GOK852014:GOK852020 GEO852014:GEO852020 FUS852014:FUS852020 FKW852014:FKW852020 FBA852014:FBA852020 ERE852014:ERE852020 EHI852014:EHI852020 DXM852014:DXM852020 DNQ852014:DNQ852020 DDU852014:DDU852020 CTY852014:CTY852020 CKC852014:CKC852020 CAG852014:CAG852020 BQK852014:BQK852020 BGO852014:BGO852020 AWS852014:AWS852020 AMW852014:AMW852020 ADA852014:ADA852020 TE852014:TE852020 JI852014:JI852020 WVU786478:WVU786484 WLY786478:WLY786484 WCC786478:WCC786484 VSG786478:VSG786484 VIK786478:VIK786484 UYO786478:UYO786484 UOS786478:UOS786484 UEW786478:UEW786484 TVA786478:TVA786484 TLE786478:TLE786484 TBI786478:TBI786484 SRM786478:SRM786484 SHQ786478:SHQ786484 RXU786478:RXU786484 RNY786478:RNY786484 REC786478:REC786484 QUG786478:QUG786484 QKK786478:QKK786484 QAO786478:QAO786484 PQS786478:PQS786484 PGW786478:PGW786484 OXA786478:OXA786484 ONE786478:ONE786484 ODI786478:ODI786484 NTM786478:NTM786484 NJQ786478:NJQ786484 MZU786478:MZU786484 MPY786478:MPY786484 MGC786478:MGC786484 LWG786478:LWG786484 LMK786478:LMK786484 LCO786478:LCO786484 KSS786478:KSS786484 KIW786478:KIW786484 JZA786478:JZA786484 JPE786478:JPE786484 JFI786478:JFI786484 IVM786478:IVM786484 ILQ786478:ILQ786484 IBU786478:IBU786484 HRY786478:HRY786484 HIC786478:HIC786484 GYG786478:GYG786484 GOK786478:GOK786484 GEO786478:GEO786484 FUS786478:FUS786484 FKW786478:FKW786484 FBA786478:FBA786484 ERE786478:ERE786484 EHI786478:EHI786484 DXM786478:DXM786484 DNQ786478:DNQ786484 DDU786478:DDU786484 CTY786478:CTY786484 CKC786478:CKC786484 CAG786478:CAG786484 BQK786478:BQK786484 BGO786478:BGO786484 AWS786478:AWS786484 AMW786478:AMW786484 ADA786478:ADA786484 TE786478:TE786484 JI786478:JI786484 WVU720942:WVU720948 WLY720942:WLY720948 WCC720942:WCC720948 VSG720942:VSG720948 VIK720942:VIK720948 UYO720942:UYO720948 UOS720942:UOS720948 UEW720942:UEW720948 TVA720942:TVA720948 TLE720942:TLE720948 TBI720942:TBI720948 SRM720942:SRM720948 SHQ720942:SHQ720948 RXU720942:RXU720948 RNY720942:RNY720948 REC720942:REC720948 QUG720942:QUG720948 QKK720942:QKK720948 QAO720942:QAO720948 PQS720942:PQS720948 PGW720942:PGW720948 OXA720942:OXA720948 ONE720942:ONE720948 ODI720942:ODI720948 NTM720942:NTM720948 NJQ720942:NJQ720948 MZU720942:MZU720948 MPY720942:MPY720948 MGC720942:MGC720948 LWG720942:LWG720948 LMK720942:LMK720948 LCO720942:LCO720948 KSS720942:KSS720948 KIW720942:KIW720948 JZA720942:JZA720948 JPE720942:JPE720948 JFI720942:JFI720948 IVM720942:IVM720948 ILQ720942:ILQ720948 IBU720942:IBU720948 HRY720942:HRY720948 HIC720942:HIC720948 GYG720942:GYG720948 GOK720942:GOK720948 GEO720942:GEO720948 FUS720942:FUS720948 FKW720942:FKW720948 FBA720942:FBA720948 ERE720942:ERE720948 EHI720942:EHI720948 DXM720942:DXM720948 DNQ720942:DNQ720948 DDU720942:DDU720948 CTY720942:CTY720948 CKC720942:CKC720948 CAG720942:CAG720948 BQK720942:BQK720948 BGO720942:BGO720948 AWS720942:AWS720948 AMW720942:AMW720948 ADA720942:ADA720948 TE720942:TE720948 JI720942:JI720948 WVU655406:WVU655412 WLY655406:WLY655412 WCC655406:WCC655412 VSG655406:VSG655412 VIK655406:VIK655412 UYO655406:UYO655412 UOS655406:UOS655412 UEW655406:UEW655412 TVA655406:TVA655412 TLE655406:TLE655412 TBI655406:TBI655412 SRM655406:SRM655412 SHQ655406:SHQ655412 RXU655406:RXU655412 RNY655406:RNY655412 REC655406:REC655412 QUG655406:QUG655412 QKK655406:QKK655412 QAO655406:QAO655412 PQS655406:PQS655412 PGW655406:PGW655412 OXA655406:OXA655412 ONE655406:ONE655412 ODI655406:ODI655412 NTM655406:NTM655412 NJQ655406:NJQ655412 MZU655406:MZU655412 MPY655406:MPY655412 MGC655406:MGC655412 LWG655406:LWG655412 LMK655406:LMK655412 LCO655406:LCO655412 KSS655406:KSS655412 KIW655406:KIW655412 JZA655406:JZA655412 JPE655406:JPE655412 JFI655406:JFI655412 IVM655406:IVM655412 ILQ655406:ILQ655412 IBU655406:IBU655412 HRY655406:HRY655412 HIC655406:HIC655412 GYG655406:GYG655412 GOK655406:GOK655412 GEO655406:GEO655412 FUS655406:FUS655412 FKW655406:FKW655412 FBA655406:FBA655412 ERE655406:ERE655412 EHI655406:EHI655412 DXM655406:DXM655412 DNQ655406:DNQ655412 DDU655406:DDU655412 CTY655406:CTY655412 CKC655406:CKC655412 CAG655406:CAG655412 BQK655406:BQK655412 BGO655406:BGO655412 AWS655406:AWS655412 AMW655406:AMW655412 ADA655406:ADA655412 TE655406:TE655412 JI655406:JI655412 WVU589870:WVU589876 WLY589870:WLY589876 WCC589870:WCC589876 VSG589870:VSG589876 VIK589870:VIK589876 UYO589870:UYO589876 UOS589870:UOS589876 UEW589870:UEW589876 TVA589870:TVA589876 TLE589870:TLE589876 TBI589870:TBI589876 SRM589870:SRM589876 SHQ589870:SHQ589876 RXU589870:RXU589876 RNY589870:RNY589876 REC589870:REC589876 QUG589870:QUG589876 QKK589870:QKK589876 QAO589870:QAO589876 PQS589870:PQS589876 PGW589870:PGW589876 OXA589870:OXA589876 ONE589870:ONE589876 ODI589870:ODI589876 NTM589870:NTM589876 NJQ589870:NJQ589876 MZU589870:MZU589876 MPY589870:MPY589876 MGC589870:MGC589876 LWG589870:LWG589876 LMK589870:LMK589876 LCO589870:LCO589876 KSS589870:KSS589876 KIW589870:KIW589876 JZA589870:JZA589876 JPE589870:JPE589876 JFI589870:JFI589876 IVM589870:IVM589876 ILQ589870:ILQ589876 IBU589870:IBU589876 HRY589870:HRY589876 HIC589870:HIC589876 GYG589870:GYG589876 GOK589870:GOK589876 GEO589870:GEO589876 FUS589870:FUS589876 FKW589870:FKW589876 FBA589870:FBA589876 ERE589870:ERE589876 EHI589870:EHI589876 DXM589870:DXM589876 DNQ589870:DNQ589876 DDU589870:DDU589876 CTY589870:CTY589876 CKC589870:CKC589876 CAG589870:CAG589876 BQK589870:BQK589876 BGO589870:BGO589876 AWS589870:AWS589876 AMW589870:AMW589876 ADA589870:ADA589876 TE589870:TE589876 JI589870:JI589876 WVU524334:WVU524340 WLY524334:WLY524340 WCC524334:WCC524340 VSG524334:VSG524340 VIK524334:VIK524340 UYO524334:UYO524340 UOS524334:UOS524340 UEW524334:UEW524340 TVA524334:TVA524340 TLE524334:TLE524340 TBI524334:TBI524340 SRM524334:SRM524340 SHQ524334:SHQ524340 RXU524334:RXU524340 RNY524334:RNY524340 REC524334:REC524340 QUG524334:QUG524340 QKK524334:QKK524340 QAO524334:QAO524340 PQS524334:PQS524340 PGW524334:PGW524340 OXA524334:OXA524340 ONE524334:ONE524340 ODI524334:ODI524340 NTM524334:NTM524340 NJQ524334:NJQ524340 MZU524334:MZU524340 MPY524334:MPY524340 MGC524334:MGC524340 LWG524334:LWG524340 LMK524334:LMK524340 LCO524334:LCO524340 KSS524334:KSS524340 KIW524334:KIW524340 JZA524334:JZA524340 JPE524334:JPE524340 JFI524334:JFI524340 IVM524334:IVM524340 ILQ524334:ILQ524340 IBU524334:IBU524340 HRY524334:HRY524340 HIC524334:HIC524340 GYG524334:GYG524340 GOK524334:GOK524340 GEO524334:GEO524340 FUS524334:FUS524340 FKW524334:FKW524340 FBA524334:FBA524340 ERE524334:ERE524340 EHI524334:EHI524340 DXM524334:DXM524340 DNQ524334:DNQ524340 DDU524334:DDU524340 CTY524334:CTY524340 CKC524334:CKC524340 CAG524334:CAG524340 BQK524334:BQK524340 BGO524334:BGO524340 AWS524334:AWS524340 AMW524334:AMW524340 ADA524334:ADA524340 TE524334:TE524340 JI524334:JI524340 WVU458798:WVU458804 WLY458798:WLY458804 WCC458798:WCC458804 VSG458798:VSG458804 VIK458798:VIK458804 UYO458798:UYO458804 UOS458798:UOS458804 UEW458798:UEW458804 TVA458798:TVA458804 TLE458798:TLE458804 TBI458798:TBI458804 SRM458798:SRM458804 SHQ458798:SHQ458804 RXU458798:RXU458804 RNY458798:RNY458804 REC458798:REC458804 QUG458798:QUG458804 QKK458798:QKK458804 QAO458798:QAO458804 PQS458798:PQS458804 PGW458798:PGW458804 OXA458798:OXA458804 ONE458798:ONE458804 ODI458798:ODI458804 NTM458798:NTM458804 NJQ458798:NJQ458804 MZU458798:MZU458804 MPY458798:MPY458804 MGC458798:MGC458804 LWG458798:LWG458804 LMK458798:LMK458804 LCO458798:LCO458804 KSS458798:KSS458804 KIW458798:KIW458804 JZA458798:JZA458804 JPE458798:JPE458804 JFI458798:JFI458804 IVM458798:IVM458804 ILQ458798:ILQ458804 IBU458798:IBU458804 HRY458798:HRY458804 HIC458798:HIC458804 GYG458798:GYG458804 GOK458798:GOK458804 GEO458798:GEO458804 FUS458798:FUS458804 FKW458798:FKW458804 FBA458798:FBA458804 ERE458798:ERE458804 EHI458798:EHI458804 DXM458798:DXM458804 DNQ458798:DNQ458804 DDU458798:DDU458804 CTY458798:CTY458804 CKC458798:CKC458804 CAG458798:CAG458804 BQK458798:BQK458804 BGO458798:BGO458804 AWS458798:AWS458804 AMW458798:AMW458804 ADA458798:ADA458804 TE458798:TE458804 JI458798:JI458804 WVU393262:WVU393268 WLY393262:WLY393268 WCC393262:WCC393268 VSG393262:VSG393268 VIK393262:VIK393268 UYO393262:UYO393268 UOS393262:UOS393268 UEW393262:UEW393268 TVA393262:TVA393268 TLE393262:TLE393268 TBI393262:TBI393268 SRM393262:SRM393268 SHQ393262:SHQ393268 RXU393262:RXU393268 RNY393262:RNY393268 REC393262:REC393268 QUG393262:QUG393268 QKK393262:QKK393268 QAO393262:QAO393268 PQS393262:PQS393268 PGW393262:PGW393268 OXA393262:OXA393268 ONE393262:ONE393268 ODI393262:ODI393268 NTM393262:NTM393268 NJQ393262:NJQ393268 MZU393262:MZU393268 MPY393262:MPY393268 MGC393262:MGC393268 LWG393262:LWG393268 LMK393262:LMK393268 LCO393262:LCO393268 KSS393262:KSS393268 KIW393262:KIW393268 JZA393262:JZA393268 JPE393262:JPE393268 JFI393262:JFI393268 IVM393262:IVM393268 ILQ393262:ILQ393268 IBU393262:IBU393268 HRY393262:HRY393268 HIC393262:HIC393268 GYG393262:GYG393268 GOK393262:GOK393268 GEO393262:GEO393268 FUS393262:FUS393268 FKW393262:FKW393268 FBA393262:FBA393268 ERE393262:ERE393268 EHI393262:EHI393268 DXM393262:DXM393268 DNQ393262:DNQ393268 DDU393262:DDU393268 CTY393262:CTY393268 CKC393262:CKC393268 CAG393262:CAG393268 BQK393262:BQK393268 BGO393262:BGO393268 AWS393262:AWS393268 AMW393262:AMW393268 ADA393262:ADA393268 TE393262:TE393268 JI393262:JI393268 WVU327726:WVU327732 WLY327726:WLY327732 WCC327726:WCC327732 VSG327726:VSG327732 VIK327726:VIK327732 UYO327726:UYO327732 UOS327726:UOS327732 UEW327726:UEW327732 TVA327726:TVA327732 TLE327726:TLE327732 TBI327726:TBI327732 SRM327726:SRM327732 SHQ327726:SHQ327732 RXU327726:RXU327732 RNY327726:RNY327732 REC327726:REC327732 QUG327726:QUG327732 QKK327726:QKK327732 QAO327726:QAO327732 PQS327726:PQS327732 PGW327726:PGW327732 OXA327726:OXA327732 ONE327726:ONE327732 ODI327726:ODI327732 NTM327726:NTM327732 NJQ327726:NJQ327732 MZU327726:MZU327732 MPY327726:MPY327732 MGC327726:MGC327732 LWG327726:LWG327732 LMK327726:LMK327732 LCO327726:LCO327732 KSS327726:KSS327732 KIW327726:KIW327732 JZA327726:JZA327732 JPE327726:JPE327732 JFI327726:JFI327732 IVM327726:IVM327732 ILQ327726:ILQ327732 IBU327726:IBU327732 HRY327726:HRY327732 HIC327726:HIC327732 GYG327726:GYG327732 GOK327726:GOK327732 GEO327726:GEO327732 FUS327726:FUS327732 FKW327726:FKW327732 FBA327726:FBA327732 ERE327726:ERE327732 EHI327726:EHI327732 DXM327726:DXM327732 DNQ327726:DNQ327732 DDU327726:DDU327732 CTY327726:CTY327732 CKC327726:CKC327732 CAG327726:CAG327732 BQK327726:BQK327732 BGO327726:BGO327732 AWS327726:AWS327732 AMW327726:AMW327732 ADA327726:ADA327732 TE327726:TE327732 JI327726:JI327732 WVU262190:WVU262196 WLY262190:WLY262196 WCC262190:WCC262196 VSG262190:VSG262196 VIK262190:VIK262196 UYO262190:UYO262196 UOS262190:UOS262196 UEW262190:UEW262196 TVA262190:TVA262196 TLE262190:TLE262196 TBI262190:TBI262196 SRM262190:SRM262196 SHQ262190:SHQ262196 RXU262190:RXU262196 RNY262190:RNY262196 REC262190:REC262196 QUG262190:QUG262196 QKK262190:QKK262196 QAO262190:QAO262196 PQS262190:PQS262196 PGW262190:PGW262196 OXA262190:OXA262196 ONE262190:ONE262196 ODI262190:ODI262196 NTM262190:NTM262196 NJQ262190:NJQ262196 MZU262190:MZU262196 MPY262190:MPY262196 MGC262190:MGC262196 LWG262190:LWG262196 LMK262190:LMK262196 LCO262190:LCO262196 KSS262190:KSS262196 KIW262190:KIW262196 JZA262190:JZA262196 JPE262190:JPE262196 JFI262190:JFI262196 IVM262190:IVM262196 ILQ262190:ILQ262196 IBU262190:IBU262196 HRY262190:HRY262196 HIC262190:HIC262196 GYG262190:GYG262196 GOK262190:GOK262196 GEO262190:GEO262196 FUS262190:FUS262196 FKW262190:FKW262196 FBA262190:FBA262196 ERE262190:ERE262196 EHI262190:EHI262196 DXM262190:DXM262196 DNQ262190:DNQ262196 DDU262190:DDU262196 CTY262190:CTY262196 CKC262190:CKC262196 CAG262190:CAG262196 BQK262190:BQK262196 BGO262190:BGO262196 AWS262190:AWS262196 AMW262190:AMW262196 ADA262190:ADA262196 TE262190:TE262196 JI262190:JI262196 WVU196654:WVU196660 WLY196654:WLY196660 WCC196654:WCC196660 VSG196654:VSG196660 VIK196654:VIK196660 UYO196654:UYO196660 UOS196654:UOS196660 UEW196654:UEW196660 TVA196654:TVA196660 TLE196654:TLE196660 TBI196654:TBI196660 SRM196654:SRM196660 SHQ196654:SHQ196660 RXU196654:RXU196660 RNY196654:RNY196660 REC196654:REC196660 QUG196654:QUG196660 QKK196654:QKK196660 QAO196654:QAO196660 PQS196654:PQS196660 PGW196654:PGW196660 OXA196654:OXA196660 ONE196654:ONE196660 ODI196654:ODI196660 NTM196654:NTM196660 NJQ196654:NJQ196660 MZU196654:MZU196660 MPY196654:MPY196660 MGC196654:MGC196660 LWG196654:LWG196660 LMK196654:LMK196660 LCO196654:LCO196660 KSS196654:KSS196660 KIW196654:KIW196660 JZA196654:JZA196660 JPE196654:JPE196660 JFI196654:JFI196660 IVM196654:IVM196660 ILQ196654:ILQ196660 IBU196654:IBU196660 HRY196654:HRY196660 HIC196654:HIC196660 GYG196654:GYG196660 GOK196654:GOK196660 GEO196654:GEO196660 FUS196654:FUS196660 FKW196654:FKW196660 FBA196654:FBA196660 ERE196654:ERE196660 EHI196654:EHI196660 DXM196654:DXM196660 DNQ196654:DNQ196660 DDU196654:DDU196660 CTY196654:CTY196660 CKC196654:CKC196660 CAG196654:CAG196660 BQK196654:BQK196660 BGO196654:BGO196660 AWS196654:AWS196660 AMW196654:AMW196660 ADA196654:ADA196660 TE196654:TE196660 JI196654:JI196660 WVU131118:WVU131124 WLY131118:WLY131124 WCC131118:WCC131124 VSG131118:VSG131124 VIK131118:VIK131124 UYO131118:UYO131124 UOS131118:UOS131124 UEW131118:UEW131124 TVA131118:TVA131124 TLE131118:TLE131124 TBI131118:TBI131124 SRM131118:SRM131124 SHQ131118:SHQ131124 RXU131118:RXU131124 RNY131118:RNY131124 REC131118:REC131124 QUG131118:QUG131124 QKK131118:QKK131124 QAO131118:QAO131124 PQS131118:PQS131124 PGW131118:PGW131124 OXA131118:OXA131124 ONE131118:ONE131124 ODI131118:ODI131124 NTM131118:NTM131124 NJQ131118:NJQ131124 MZU131118:MZU131124 MPY131118:MPY131124 MGC131118:MGC131124 LWG131118:LWG131124 LMK131118:LMK131124 LCO131118:LCO131124 KSS131118:KSS131124 KIW131118:KIW131124 JZA131118:JZA131124 JPE131118:JPE131124 JFI131118:JFI131124 IVM131118:IVM131124 ILQ131118:ILQ131124 IBU131118:IBU131124 HRY131118:HRY131124 HIC131118:HIC131124 GYG131118:GYG131124 GOK131118:GOK131124 GEO131118:GEO131124 FUS131118:FUS131124 FKW131118:FKW131124 FBA131118:FBA131124 ERE131118:ERE131124 EHI131118:EHI131124 DXM131118:DXM131124 DNQ131118:DNQ131124 DDU131118:DDU131124 CTY131118:CTY131124 CKC131118:CKC131124 CAG131118:CAG131124 BQK131118:BQK131124 BGO131118:BGO131124 AWS131118:AWS131124 AMW131118:AMW131124 ADA131118:ADA131124 TE131118:TE131124 JI131118:JI131124 WVU65582:WVU65588 WLY65582:WLY65588 WCC65582:WCC65588 VSG65582:VSG65588 VIK65582:VIK65588 UYO65582:UYO65588 UOS65582:UOS65588 UEW65582:UEW65588 TVA65582:TVA65588 TLE65582:TLE65588 TBI65582:TBI65588 SRM65582:SRM65588 SHQ65582:SHQ65588 RXU65582:RXU65588 RNY65582:RNY65588 REC65582:REC65588 QUG65582:QUG65588 QKK65582:QKK65588 QAO65582:QAO65588 PQS65582:PQS65588 PGW65582:PGW65588 OXA65582:OXA65588 ONE65582:ONE65588 ODI65582:ODI65588 NTM65582:NTM65588 NJQ65582:NJQ65588 MZU65582:MZU65588 MPY65582:MPY65588 MGC65582:MGC65588 LWG65582:LWG65588 LMK65582:LMK65588 LCO65582:LCO65588 KSS65582:KSS65588 KIW65582:KIW65588 JZA65582:JZA65588 JPE65582:JPE65588 JFI65582:JFI65588 IVM65582:IVM65588 ILQ65582:ILQ65588 IBU65582:IBU65588 HRY65582:HRY65588 HIC65582:HIC65588 GYG65582:GYG65588 GOK65582:GOK65588 GEO65582:GEO65588 FUS65582:FUS65588 FKW65582:FKW65588 FBA65582:FBA65588 ERE65582:ERE65588 EHI65582:EHI65588 DXM65582:DXM65588 DNQ65582:DNQ65588 DDU65582:DDU65588 CTY65582:CTY65588 CKC65582:CKC65588 CAG65582:CAG65588 BQK65582:BQK65588 BGO65582:BGO65588 AWS65582:AWS65588 AMW65582:AMW65588 ADA65582:ADA65588 TE65582:TE65588 JI65582:JI65588 WVS46:WVS48 WLW46:WLW48 WCA46:WCA48 VSE46:VSE48 VII46:VII48 UYM46:UYM48 UOQ46:UOQ48 UEU46:UEU48 TUY46:TUY48 TLC46:TLC48 TBG46:TBG48 SRK46:SRK48 SHO46:SHO48 RXS46:RXS48 RNW46:RNW48 REA46:REA48 QUE46:QUE48 QKI46:QKI48 QAM46:QAM48 PQQ46:PQQ48 PGU46:PGU48 OWY46:OWY48 ONC46:ONC48 ODG46:ODG48 NTK46:NTK48 NJO46:NJO48 MZS46:MZS48 MPW46:MPW48 MGA46:MGA48 LWE46:LWE48 LMI46:LMI48 LCM46:LCM48 KSQ46:KSQ48 KIU46:KIU48 JYY46:JYY48 JPC46:JPC48 JFG46:JFG48 IVK46:IVK48 ILO46:ILO48 IBS46:IBS48 HRW46:HRW48 HIA46:HIA48 GYE46:GYE48 GOI46:GOI48 GEM46:GEM48 FUQ46:FUQ48 FKU46:FKU48 FAY46:FAY48 ERC46:ERC48 EHG46:EHG48 DXK46:DXK48 DNO46:DNO48 DDS46:DDS48 CTW46:CTW48 CKA46:CKA48 CAE46:CAE48 BQI46:BQI48 BGM46:BGM48 AWQ46:AWQ48 AMU46:AMU48 ACY46:ACY48 TC46:TC48 JG46:JG48 WVT983088:WVT983092 WLX983088:WLX983092 WCB983088:WCB983092 VSF983088:VSF983092 VIJ983088:VIJ983092 UYN983088:UYN983092 UOR983088:UOR983092 UEV983088:UEV983092 TUZ983088:TUZ983092 TLD983088:TLD983092 TBH983088:TBH983092 SRL983088:SRL983092 SHP983088:SHP983092 RXT983088:RXT983092 RNX983088:RNX983092 REB983088:REB983092 QUF983088:QUF983092 QKJ983088:QKJ983092 QAN983088:QAN983092 PQR983088:PQR983092 PGV983088:PGV983092 OWZ983088:OWZ983092 OND983088:OND983092 ODH983088:ODH983092 NTL983088:NTL983092 NJP983088:NJP983092 MZT983088:MZT983092 MPX983088:MPX983092 MGB983088:MGB983092 LWF983088:LWF983092 LMJ983088:LMJ983092 LCN983088:LCN983092 KSR983088:KSR983092 KIV983088:KIV983092 JYZ983088:JYZ983092 JPD983088:JPD983092 JFH983088:JFH983092 IVL983088:IVL983092 ILP983088:ILP983092 IBT983088:IBT983092 HRX983088:HRX983092 HIB983088:HIB983092 GYF983088:GYF983092 GOJ983088:GOJ983092 GEN983088:GEN983092 FUR983088:FUR983092 FKV983088:FKV983092 FAZ983088:FAZ983092 ERD983088:ERD983092 EHH983088:EHH983092 DXL983088:DXL983092 DNP983088:DNP983092 DDT983088:DDT983092 CTX983088:CTX983092 CKB983088:CKB983092 CAF983088:CAF983092 BQJ983088:BQJ983092 BGN983088:BGN983092 AWR983088:AWR983092 AMV983088:AMV983092 ACZ983088:ACZ983092 TD983088:TD983092 JH983088:JH983092 WVT917552:WVT917556 WLX917552:WLX917556 WCB917552:WCB917556 VSF917552:VSF917556 VIJ917552:VIJ917556 UYN917552:UYN917556 UOR917552:UOR917556 UEV917552:UEV917556 TUZ917552:TUZ917556 TLD917552:TLD917556 TBH917552:TBH917556 SRL917552:SRL917556 SHP917552:SHP917556 RXT917552:RXT917556 RNX917552:RNX917556 REB917552:REB917556 QUF917552:QUF917556 QKJ917552:QKJ917556 QAN917552:QAN917556 PQR917552:PQR917556 PGV917552:PGV917556 OWZ917552:OWZ917556 OND917552:OND917556 ODH917552:ODH917556 NTL917552:NTL917556 NJP917552:NJP917556 MZT917552:MZT917556 MPX917552:MPX917556 MGB917552:MGB917556 LWF917552:LWF917556 LMJ917552:LMJ917556 LCN917552:LCN917556 KSR917552:KSR917556 KIV917552:KIV917556 JYZ917552:JYZ917556 JPD917552:JPD917556 JFH917552:JFH917556 IVL917552:IVL917556 ILP917552:ILP917556 IBT917552:IBT917556 HRX917552:HRX917556 HIB917552:HIB917556 GYF917552:GYF917556 GOJ917552:GOJ917556 GEN917552:GEN917556 FUR917552:FUR917556 FKV917552:FKV917556 FAZ917552:FAZ917556 ERD917552:ERD917556 EHH917552:EHH917556 DXL917552:DXL917556 DNP917552:DNP917556 DDT917552:DDT917556 CTX917552:CTX917556 CKB917552:CKB917556 CAF917552:CAF917556 BQJ917552:BQJ917556 BGN917552:BGN917556 AWR917552:AWR917556 AMV917552:AMV917556 ACZ917552:ACZ917556 TD917552:TD917556 JH917552:JH917556 WVT852016:WVT852020 WLX852016:WLX852020 WCB852016:WCB852020 VSF852016:VSF852020 VIJ852016:VIJ852020 UYN852016:UYN852020 UOR852016:UOR852020 UEV852016:UEV852020 TUZ852016:TUZ852020 TLD852016:TLD852020 TBH852016:TBH852020 SRL852016:SRL852020 SHP852016:SHP852020 RXT852016:RXT852020 RNX852016:RNX852020 REB852016:REB852020 QUF852016:QUF852020 QKJ852016:QKJ852020 QAN852016:QAN852020 PQR852016:PQR852020 PGV852016:PGV852020 OWZ852016:OWZ852020 OND852016:OND852020 ODH852016:ODH852020 NTL852016:NTL852020 NJP852016:NJP852020 MZT852016:MZT852020 MPX852016:MPX852020 MGB852016:MGB852020 LWF852016:LWF852020 LMJ852016:LMJ852020 LCN852016:LCN852020 KSR852016:KSR852020 KIV852016:KIV852020 JYZ852016:JYZ852020 JPD852016:JPD852020 JFH852016:JFH852020 IVL852016:IVL852020 ILP852016:ILP852020 IBT852016:IBT852020 HRX852016:HRX852020 HIB852016:HIB852020 GYF852016:GYF852020 GOJ852016:GOJ852020 GEN852016:GEN852020 FUR852016:FUR852020 FKV852016:FKV852020 FAZ852016:FAZ852020 ERD852016:ERD852020 EHH852016:EHH852020 DXL852016:DXL852020 DNP852016:DNP852020 DDT852016:DDT852020 CTX852016:CTX852020 CKB852016:CKB852020 CAF852016:CAF852020 BQJ852016:BQJ852020 BGN852016:BGN852020 AWR852016:AWR852020 AMV852016:AMV852020 ACZ852016:ACZ852020 TD852016:TD852020 JH852016:JH852020 WVT786480:WVT786484 WLX786480:WLX786484 WCB786480:WCB786484 VSF786480:VSF786484 VIJ786480:VIJ786484 UYN786480:UYN786484 UOR786480:UOR786484 UEV786480:UEV786484 TUZ786480:TUZ786484 TLD786480:TLD786484 TBH786480:TBH786484 SRL786480:SRL786484 SHP786480:SHP786484 RXT786480:RXT786484 RNX786480:RNX786484 REB786480:REB786484 QUF786480:QUF786484 QKJ786480:QKJ786484 QAN786480:QAN786484 PQR786480:PQR786484 PGV786480:PGV786484 OWZ786480:OWZ786484 OND786480:OND786484 ODH786480:ODH786484 NTL786480:NTL786484 NJP786480:NJP786484 MZT786480:MZT786484 MPX786480:MPX786484 MGB786480:MGB786484 LWF786480:LWF786484 LMJ786480:LMJ786484 LCN786480:LCN786484 KSR786480:KSR786484 KIV786480:KIV786484 JYZ786480:JYZ786484 JPD786480:JPD786484 JFH786480:JFH786484 IVL786480:IVL786484 ILP786480:ILP786484 IBT786480:IBT786484 HRX786480:HRX786484 HIB786480:HIB786484 GYF786480:GYF786484 GOJ786480:GOJ786484 GEN786480:GEN786484 FUR786480:FUR786484 FKV786480:FKV786484 FAZ786480:FAZ786484 ERD786480:ERD786484 EHH786480:EHH786484 DXL786480:DXL786484 DNP786480:DNP786484 DDT786480:DDT786484 CTX786480:CTX786484 CKB786480:CKB786484 CAF786480:CAF786484 BQJ786480:BQJ786484 BGN786480:BGN786484 AWR786480:AWR786484 AMV786480:AMV786484 ACZ786480:ACZ786484 TD786480:TD786484 JH786480:JH786484 WVT720944:WVT720948 WLX720944:WLX720948 WCB720944:WCB720948 VSF720944:VSF720948 VIJ720944:VIJ720948 UYN720944:UYN720948 UOR720944:UOR720948 UEV720944:UEV720948 TUZ720944:TUZ720948 TLD720944:TLD720948 TBH720944:TBH720948 SRL720944:SRL720948 SHP720944:SHP720948 RXT720944:RXT720948 RNX720944:RNX720948 REB720944:REB720948 QUF720944:QUF720948 QKJ720944:QKJ720948 QAN720944:QAN720948 PQR720944:PQR720948 PGV720944:PGV720948 OWZ720944:OWZ720948 OND720944:OND720948 ODH720944:ODH720948 NTL720944:NTL720948 NJP720944:NJP720948 MZT720944:MZT720948 MPX720944:MPX720948 MGB720944:MGB720948 LWF720944:LWF720948 LMJ720944:LMJ720948 LCN720944:LCN720948 KSR720944:KSR720948 KIV720944:KIV720948 JYZ720944:JYZ720948 JPD720944:JPD720948 JFH720944:JFH720948 IVL720944:IVL720948 ILP720944:ILP720948 IBT720944:IBT720948 HRX720944:HRX720948 HIB720944:HIB720948 GYF720944:GYF720948 GOJ720944:GOJ720948 GEN720944:GEN720948 FUR720944:FUR720948 FKV720944:FKV720948 FAZ720944:FAZ720948 ERD720944:ERD720948 EHH720944:EHH720948 DXL720944:DXL720948 DNP720944:DNP720948 DDT720944:DDT720948 CTX720944:CTX720948 CKB720944:CKB720948 CAF720944:CAF720948 BQJ720944:BQJ720948 BGN720944:BGN720948 AWR720944:AWR720948 AMV720944:AMV720948 ACZ720944:ACZ720948 TD720944:TD720948 JH720944:JH720948 WVT655408:WVT655412 WLX655408:WLX655412 WCB655408:WCB655412 VSF655408:VSF655412 VIJ655408:VIJ655412 UYN655408:UYN655412 UOR655408:UOR655412 UEV655408:UEV655412 TUZ655408:TUZ655412 TLD655408:TLD655412 TBH655408:TBH655412 SRL655408:SRL655412 SHP655408:SHP655412 RXT655408:RXT655412 RNX655408:RNX655412 REB655408:REB655412 QUF655408:QUF655412 QKJ655408:QKJ655412 QAN655408:QAN655412 PQR655408:PQR655412 PGV655408:PGV655412 OWZ655408:OWZ655412 OND655408:OND655412 ODH655408:ODH655412 NTL655408:NTL655412 NJP655408:NJP655412 MZT655408:MZT655412 MPX655408:MPX655412 MGB655408:MGB655412 LWF655408:LWF655412 LMJ655408:LMJ655412 LCN655408:LCN655412 KSR655408:KSR655412 KIV655408:KIV655412 JYZ655408:JYZ655412 JPD655408:JPD655412 JFH655408:JFH655412 IVL655408:IVL655412 ILP655408:ILP655412 IBT655408:IBT655412 HRX655408:HRX655412 HIB655408:HIB655412 GYF655408:GYF655412 GOJ655408:GOJ655412 GEN655408:GEN655412 FUR655408:FUR655412 FKV655408:FKV655412 FAZ655408:FAZ655412 ERD655408:ERD655412 EHH655408:EHH655412 DXL655408:DXL655412 DNP655408:DNP655412 DDT655408:DDT655412 CTX655408:CTX655412 CKB655408:CKB655412 CAF655408:CAF655412 BQJ655408:BQJ655412 BGN655408:BGN655412 AWR655408:AWR655412 AMV655408:AMV655412 ACZ655408:ACZ655412 TD655408:TD655412 JH655408:JH655412 WVT589872:WVT589876 WLX589872:WLX589876 WCB589872:WCB589876 VSF589872:VSF589876 VIJ589872:VIJ589876 UYN589872:UYN589876 UOR589872:UOR589876 UEV589872:UEV589876 TUZ589872:TUZ589876 TLD589872:TLD589876 TBH589872:TBH589876 SRL589872:SRL589876 SHP589872:SHP589876 RXT589872:RXT589876 RNX589872:RNX589876 REB589872:REB589876 QUF589872:QUF589876 QKJ589872:QKJ589876 QAN589872:QAN589876 PQR589872:PQR589876 PGV589872:PGV589876 OWZ589872:OWZ589876 OND589872:OND589876 ODH589872:ODH589876 NTL589872:NTL589876 NJP589872:NJP589876 MZT589872:MZT589876 MPX589872:MPX589876 MGB589872:MGB589876 LWF589872:LWF589876 LMJ589872:LMJ589876 LCN589872:LCN589876 KSR589872:KSR589876 KIV589872:KIV589876 JYZ589872:JYZ589876 JPD589872:JPD589876 JFH589872:JFH589876 IVL589872:IVL589876 ILP589872:ILP589876 IBT589872:IBT589876 HRX589872:HRX589876 HIB589872:HIB589876 GYF589872:GYF589876 GOJ589872:GOJ589876 GEN589872:GEN589876 FUR589872:FUR589876 FKV589872:FKV589876 FAZ589872:FAZ589876 ERD589872:ERD589876 EHH589872:EHH589876 DXL589872:DXL589876 DNP589872:DNP589876 DDT589872:DDT589876 CTX589872:CTX589876 CKB589872:CKB589876 CAF589872:CAF589876 BQJ589872:BQJ589876 BGN589872:BGN589876 AWR589872:AWR589876 AMV589872:AMV589876 ACZ589872:ACZ589876 TD589872:TD589876 JH589872:JH589876 WVT524336:WVT524340 WLX524336:WLX524340 WCB524336:WCB524340 VSF524336:VSF524340 VIJ524336:VIJ524340 UYN524336:UYN524340 UOR524336:UOR524340 UEV524336:UEV524340 TUZ524336:TUZ524340 TLD524336:TLD524340 TBH524336:TBH524340 SRL524336:SRL524340 SHP524336:SHP524340 RXT524336:RXT524340 RNX524336:RNX524340 REB524336:REB524340 QUF524336:QUF524340 QKJ524336:QKJ524340 QAN524336:QAN524340 PQR524336:PQR524340 PGV524336:PGV524340 OWZ524336:OWZ524340 OND524336:OND524340 ODH524336:ODH524340 NTL524336:NTL524340 NJP524336:NJP524340 MZT524336:MZT524340 MPX524336:MPX524340 MGB524336:MGB524340 LWF524336:LWF524340 LMJ524336:LMJ524340 LCN524336:LCN524340 KSR524336:KSR524340 KIV524336:KIV524340 JYZ524336:JYZ524340 JPD524336:JPD524340 JFH524336:JFH524340 IVL524336:IVL524340 ILP524336:ILP524340 IBT524336:IBT524340 HRX524336:HRX524340 HIB524336:HIB524340 GYF524336:GYF524340 GOJ524336:GOJ524340 GEN524336:GEN524340 FUR524336:FUR524340 FKV524336:FKV524340 FAZ524336:FAZ524340 ERD524336:ERD524340 EHH524336:EHH524340 DXL524336:DXL524340 DNP524336:DNP524340 DDT524336:DDT524340 CTX524336:CTX524340 CKB524336:CKB524340 CAF524336:CAF524340 BQJ524336:BQJ524340 BGN524336:BGN524340 AWR524336:AWR524340 AMV524336:AMV524340 ACZ524336:ACZ524340 TD524336:TD524340 JH524336:JH524340 WVT458800:WVT458804 WLX458800:WLX458804 WCB458800:WCB458804 VSF458800:VSF458804 VIJ458800:VIJ458804 UYN458800:UYN458804 UOR458800:UOR458804 UEV458800:UEV458804 TUZ458800:TUZ458804 TLD458800:TLD458804 TBH458800:TBH458804 SRL458800:SRL458804 SHP458800:SHP458804 RXT458800:RXT458804 RNX458800:RNX458804 REB458800:REB458804 QUF458800:QUF458804 QKJ458800:QKJ458804 QAN458800:QAN458804 PQR458800:PQR458804 PGV458800:PGV458804 OWZ458800:OWZ458804 OND458800:OND458804 ODH458800:ODH458804 NTL458800:NTL458804 NJP458800:NJP458804 MZT458800:MZT458804 MPX458800:MPX458804 MGB458800:MGB458804 LWF458800:LWF458804 LMJ458800:LMJ458804 LCN458800:LCN458804 KSR458800:KSR458804 KIV458800:KIV458804 JYZ458800:JYZ458804 JPD458800:JPD458804 JFH458800:JFH458804 IVL458800:IVL458804 ILP458800:ILP458804 IBT458800:IBT458804 HRX458800:HRX458804 HIB458800:HIB458804 GYF458800:GYF458804 GOJ458800:GOJ458804 GEN458800:GEN458804 FUR458800:FUR458804 FKV458800:FKV458804 FAZ458800:FAZ458804 ERD458800:ERD458804 EHH458800:EHH458804 DXL458800:DXL458804 DNP458800:DNP458804 DDT458800:DDT458804 CTX458800:CTX458804 CKB458800:CKB458804 CAF458800:CAF458804 BQJ458800:BQJ458804 BGN458800:BGN458804 AWR458800:AWR458804 AMV458800:AMV458804 ACZ458800:ACZ458804 TD458800:TD458804 JH458800:JH458804 WVT393264:WVT393268 WLX393264:WLX393268 WCB393264:WCB393268 VSF393264:VSF393268 VIJ393264:VIJ393268 UYN393264:UYN393268 UOR393264:UOR393268 UEV393264:UEV393268 TUZ393264:TUZ393268 TLD393264:TLD393268 TBH393264:TBH393268 SRL393264:SRL393268 SHP393264:SHP393268 RXT393264:RXT393268 RNX393264:RNX393268 REB393264:REB393268 QUF393264:QUF393268 QKJ393264:QKJ393268 QAN393264:QAN393268 PQR393264:PQR393268 PGV393264:PGV393268 OWZ393264:OWZ393268 OND393264:OND393268 ODH393264:ODH393268 NTL393264:NTL393268 NJP393264:NJP393268 MZT393264:MZT393268 MPX393264:MPX393268 MGB393264:MGB393268 LWF393264:LWF393268 LMJ393264:LMJ393268 LCN393264:LCN393268 KSR393264:KSR393268 KIV393264:KIV393268 JYZ393264:JYZ393268 JPD393264:JPD393268 JFH393264:JFH393268 IVL393264:IVL393268 ILP393264:ILP393268 IBT393264:IBT393268 HRX393264:HRX393268 HIB393264:HIB393268 GYF393264:GYF393268 GOJ393264:GOJ393268 GEN393264:GEN393268 FUR393264:FUR393268 FKV393264:FKV393268 FAZ393264:FAZ393268 ERD393264:ERD393268 EHH393264:EHH393268 DXL393264:DXL393268 DNP393264:DNP393268 DDT393264:DDT393268 CTX393264:CTX393268 CKB393264:CKB393268 CAF393264:CAF393268 BQJ393264:BQJ393268 BGN393264:BGN393268 AWR393264:AWR393268 AMV393264:AMV393268 ACZ393264:ACZ393268 TD393264:TD393268 JH393264:JH393268 WVT327728:WVT327732 WLX327728:WLX327732 WCB327728:WCB327732 VSF327728:VSF327732 VIJ327728:VIJ327732 UYN327728:UYN327732 UOR327728:UOR327732 UEV327728:UEV327732 TUZ327728:TUZ327732 TLD327728:TLD327732 TBH327728:TBH327732 SRL327728:SRL327732 SHP327728:SHP327732 RXT327728:RXT327732 RNX327728:RNX327732 REB327728:REB327732 QUF327728:QUF327732 QKJ327728:QKJ327732 QAN327728:QAN327732 PQR327728:PQR327732 PGV327728:PGV327732 OWZ327728:OWZ327732 OND327728:OND327732 ODH327728:ODH327732 NTL327728:NTL327732 NJP327728:NJP327732 MZT327728:MZT327732 MPX327728:MPX327732 MGB327728:MGB327732 LWF327728:LWF327732 LMJ327728:LMJ327732 LCN327728:LCN327732 KSR327728:KSR327732 KIV327728:KIV327732 JYZ327728:JYZ327732 JPD327728:JPD327732 JFH327728:JFH327732 IVL327728:IVL327732 ILP327728:ILP327732 IBT327728:IBT327732 HRX327728:HRX327732 HIB327728:HIB327732 GYF327728:GYF327732 GOJ327728:GOJ327732 GEN327728:GEN327732 FUR327728:FUR327732 FKV327728:FKV327732 FAZ327728:FAZ327732 ERD327728:ERD327732 EHH327728:EHH327732 DXL327728:DXL327732 DNP327728:DNP327732 DDT327728:DDT327732 CTX327728:CTX327732 CKB327728:CKB327732 CAF327728:CAF327732 BQJ327728:BQJ327732 BGN327728:BGN327732 AWR327728:AWR327732 AMV327728:AMV327732 ACZ327728:ACZ327732 TD327728:TD327732 JH327728:JH327732 WVT262192:WVT262196 WLX262192:WLX262196 WCB262192:WCB262196 VSF262192:VSF262196 VIJ262192:VIJ262196 UYN262192:UYN262196 UOR262192:UOR262196 UEV262192:UEV262196 TUZ262192:TUZ262196 TLD262192:TLD262196 TBH262192:TBH262196 SRL262192:SRL262196 SHP262192:SHP262196 RXT262192:RXT262196 RNX262192:RNX262196 REB262192:REB262196 QUF262192:QUF262196 QKJ262192:QKJ262196 QAN262192:QAN262196 PQR262192:PQR262196 PGV262192:PGV262196 OWZ262192:OWZ262196 OND262192:OND262196 ODH262192:ODH262196 NTL262192:NTL262196 NJP262192:NJP262196 MZT262192:MZT262196 MPX262192:MPX262196 MGB262192:MGB262196 LWF262192:LWF262196 LMJ262192:LMJ262196 LCN262192:LCN262196 KSR262192:KSR262196 KIV262192:KIV262196 JYZ262192:JYZ262196 JPD262192:JPD262196 JFH262192:JFH262196 IVL262192:IVL262196 ILP262192:ILP262196 IBT262192:IBT262196 HRX262192:HRX262196 HIB262192:HIB262196 GYF262192:GYF262196 GOJ262192:GOJ262196 GEN262192:GEN262196 FUR262192:FUR262196 FKV262192:FKV262196 FAZ262192:FAZ262196 ERD262192:ERD262196 EHH262192:EHH262196 DXL262192:DXL262196 DNP262192:DNP262196 DDT262192:DDT262196 CTX262192:CTX262196 CKB262192:CKB262196 CAF262192:CAF262196 BQJ262192:BQJ262196 BGN262192:BGN262196 AWR262192:AWR262196 AMV262192:AMV262196 ACZ262192:ACZ262196 TD262192:TD262196 JH262192:JH262196 WVT196656:WVT196660 WLX196656:WLX196660 WCB196656:WCB196660 VSF196656:VSF196660 VIJ196656:VIJ196660 UYN196656:UYN196660 UOR196656:UOR196660 UEV196656:UEV196660 TUZ196656:TUZ196660 TLD196656:TLD196660 TBH196656:TBH196660 SRL196656:SRL196660 SHP196656:SHP196660 RXT196656:RXT196660 RNX196656:RNX196660 REB196656:REB196660 QUF196656:QUF196660 QKJ196656:QKJ196660 QAN196656:QAN196660 PQR196656:PQR196660 PGV196656:PGV196660 OWZ196656:OWZ196660 OND196656:OND196660 ODH196656:ODH196660 NTL196656:NTL196660 NJP196656:NJP196660 MZT196656:MZT196660 MPX196656:MPX196660 MGB196656:MGB196660 LWF196656:LWF196660 LMJ196656:LMJ196660 LCN196656:LCN196660 KSR196656:KSR196660 KIV196656:KIV196660 JYZ196656:JYZ196660 JPD196656:JPD196660 JFH196656:JFH196660 IVL196656:IVL196660 ILP196656:ILP196660 IBT196656:IBT196660 HRX196656:HRX196660 HIB196656:HIB196660 GYF196656:GYF196660 GOJ196656:GOJ196660 GEN196656:GEN196660 FUR196656:FUR196660 FKV196656:FKV196660 FAZ196656:FAZ196660 ERD196656:ERD196660 EHH196656:EHH196660 DXL196656:DXL196660 DNP196656:DNP196660 DDT196656:DDT196660 CTX196656:CTX196660 CKB196656:CKB196660 CAF196656:CAF196660 BQJ196656:BQJ196660 BGN196656:BGN196660 AWR196656:AWR196660 AMV196656:AMV196660 ACZ196656:ACZ196660 TD196656:TD196660 JH196656:JH196660 WVT131120:WVT131124 WLX131120:WLX131124 WCB131120:WCB131124 VSF131120:VSF131124 VIJ131120:VIJ131124 UYN131120:UYN131124 UOR131120:UOR131124 UEV131120:UEV131124 TUZ131120:TUZ131124 TLD131120:TLD131124 TBH131120:TBH131124 SRL131120:SRL131124 SHP131120:SHP131124 RXT131120:RXT131124 RNX131120:RNX131124 REB131120:REB131124 QUF131120:QUF131124 QKJ131120:QKJ131124 QAN131120:QAN131124 PQR131120:PQR131124 PGV131120:PGV131124 OWZ131120:OWZ131124 OND131120:OND131124 ODH131120:ODH131124 NTL131120:NTL131124 NJP131120:NJP131124 MZT131120:MZT131124 MPX131120:MPX131124 MGB131120:MGB131124 LWF131120:LWF131124 LMJ131120:LMJ131124 LCN131120:LCN131124 KSR131120:KSR131124 KIV131120:KIV131124 JYZ131120:JYZ131124 JPD131120:JPD131124 JFH131120:JFH131124 IVL131120:IVL131124 ILP131120:ILP131124 IBT131120:IBT131124 HRX131120:HRX131124 HIB131120:HIB131124 GYF131120:GYF131124 GOJ131120:GOJ131124 GEN131120:GEN131124 FUR131120:FUR131124 FKV131120:FKV131124 FAZ131120:FAZ131124 ERD131120:ERD131124 EHH131120:EHH131124 DXL131120:DXL131124 DNP131120:DNP131124 DDT131120:DDT131124 CTX131120:CTX131124 CKB131120:CKB131124 CAF131120:CAF131124 BQJ131120:BQJ131124 BGN131120:BGN131124 AWR131120:AWR131124 AMV131120:AMV131124 ACZ131120:ACZ131124 TD131120:TD131124 JH131120:JH131124 WVT65584:WVT65588 WLX65584:WLX65588 WCB65584:WCB65588 VSF65584:VSF65588 VIJ65584:VIJ65588 UYN65584:UYN65588 UOR65584:UOR65588 UEV65584:UEV65588 TUZ65584:TUZ65588 TLD65584:TLD65588 TBH65584:TBH65588 SRL65584:SRL65588 SHP65584:SHP65588 RXT65584:RXT65588 RNX65584:RNX65588 REB65584:REB65588 QUF65584:QUF65588 QKJ65584:QKJ65588 QAN65584:QAN65588 PQR65584:PQR65588 PGV65584:PGV65588 OWZ65584:OWZ65588 OND65584:OND65588 ODH65584:ODH65588 NTL65584:NTL65588 NJP65584:NJP65588 MZT65584:MZT65588 MPX65584:MPX65588 MGB65584:MGB65588 LWF65584:LWF65588 LMJ65584:LMJ65588 LCN65584:LCN65588 KSR65584:KSR65588 KIV65584:KIV65588 JYZ65584:JYZ65588 JPD65584:JPD65588 JFH65584:JFH65588 IVL65584:IVL65588 ILP65584:ILP65588 IBT65584:IBT65588 HRX65584:HRX65588 HIB65584:HIB65588 GYF65584:GYF65588 GOJ65584:GOJ65588 GEN65584:GEN65588 FUR65584:FUR65588 FKV65584:FKV65588 FAZ65584:FAZ65588 ERD65584:ERD65588 EHH65584:EHH65588 DXL65584:DXL65588 DNP65584:DNP65588 DDT65584:DDT65588 CTX65584:CTX65588 CKB65584:CKB65588 CAF65584:CAF65588 BQJ65584:BQJ65588 BGN65584:BGN65588 AWR65584:AWR65588 AMV65584:AMV65588 ACZ65584:ACZ65588 TD65584:TD65588 JH65584:JH65588 WVR48 WVT49:WVU52 WLV48 WLX49:WLY52 WBZ48 WCB49:WCC52 VSD48 VSF49:VSG52 VIH48 VIJ49:VIK52 UYL48 UYN49:UYO52 UOP48 UOR49:UOS52 UET48 UEV49:UEW52 TUX48 TUZ49:TVA52 TLB48 TLD49:TLE52 TBF48 TBH49:TBI52 SRJ48 SRL49:SRM52 SHN48 SHP49:SHQ52 RXR48 RXT49:RXU52 RNV48 RNX49:RNY52 RDZ48 REB49:REC52 QUD48 QUF49:QUG52 QKH48 QKJ49:QKK52 QAL48 QAN49:QAO52 PQP48 PQR49:PQS52 PGT48 PGV49:PGW52 OWX48 OWZ49:OXA52 ONB48 OND49:ONE52 ODF48 ODH49:ODI52 NTJ48 NTL49:NTM52 NJN48 NJP49:NJQ52 MZR48 MZT49:MZU52 MPV48 MPX49:MPY52 MFZ48 MGB49:MGC52 LWD48 LWF49:LWG52 LMH48 LMJ49:LMK52 LCL48 LCN49:LCO52 KSP48 KSR49:KSS52 KIT48 KIV49:KIW52 JYX48 JYZ49:JZA52 JPB48 JPD49:JPE52 JFF48 JFH49:JFI52 IVJ48 IVL49:IVM52 ILN48 ILP49:ILQ52 IBR48 IBT49:IBU52 HRV48 HRX49:HRY52 HHZ48 HIB49:HIC52 GYD48 GYF49:GYG52 GOH48 GOJ49:GOK52 GEL48 GEN49:GEO52 FUP48 FUR49:FUS52 FKT48 FKV49:FKW52 FAX48 FAZ49:FBA52 ERB48 ERD49:ERE52 EHF48 EHH49:EHI52 DXJ48 DXL49:DXM52 DNN48 DNP49:DNQ52 DDR48 DDT49:DDU52 CTV48 CTX49:CTY52 CJZ48 CKB49:CKC52 CAD48 CAF49:CAG52 BQH48 BQJ49:BQK52 BGL48 BGN49:BGO52 AWP48 AWR49:AWS52 AMT48 AMV49:AMW52 ACX48 ACZ49:ADA52 TB48 TD49:TE52 JF48 JH49:JI52 JF33 JF40:JG42 TB40:TC42 ACX40:ACY42 AMT40:AMU42 AWP40:AWQ42 BGL40:BGM42 BQH40:BQI42 CAD40:CAE42 CJZ40:CKA42 CTV40:CTW42 DDR40:DDS42 DNN40:DNO42 DXJ40:DXK42 EHF40:EHG42 ERB40:ERC42 FAX40:FAY42 FKT40:FKU42 FUP40:FUQ42 GEL40:GEM42 GOH40:GOI42 GYD40:GYE42 HHZ40:HIA42 HRV40:HRW42 IBR40:IBS42 ILN40:ILO42 IVJ40:IVK42 JFF40:JFG42 JPB40:JPC42 JYX40:JYY42 KIT40:KIU42 KSP40:KSQ42 LCL40:LCM42 LMH40:LMI42 LWD40:LWE42 MFZ40:MGA42 MPV40:MPW42 MZR40:MZS42 NJN40:NJO42 NTJ40:NTK42 ODF40:ODG42 ONB40:ONC42 OWX40:OWY42 PGT40:PGU42 PQP40:PQQ42 QAL40:QAM42 QKH40:QKI42 QUD40:QUE42 RDZ40:REA42 RNV40:RNW42 RXR40:RXS42 SHN40:SHO42 SRJ40:SRK42 TBF40:TBG42 TLB40:TLC42 TUX40:TUY42 UET40:UEU42 UOP40:UOQ42 UYL40:UYM42 VIH40:VII42 VSD40:VSE42 WBZ40:WCA42 WLV40:WLW42">
      <formula1>$R$56:$R$59</formula1>
    </dataValidation>
  </dataValidations>
  <hyperlinks>
    <hyperlink ref="A1" location="'T&amp;V TOC'!A1" display="TOC"/>
  </hyperlinks>
  <pageMargins left="0.25" right="0.25" top="0.75" bottom="0.75" header="0.3" footer="0.3"/>
  <pageSetup scale="47" orientation="portrait" r:id="rId1"/>
  <headerFooter alignWithMargins="0"/>
</worksheet>
</file>

<file path=xl/worksheets/sheet27.xml><?xml version="1.0" encoding="utf-8"?>
<worksheet xmlns="http://schemas.openxmlformats.org/spreadsheetml/2006/main" xmlns:r="http://schemas.openxmlformats.org/officeDocument/2006/relationships">
  <sheetPr>
    <tabColor theme="3" tint="0.39997558519241921"/>
    <pageSetUpPr fitToPage="1"/>
  </sheetPr>
  <dimension ref="A1:BM53"/>
  <sheetViews>
    <sheetView showGridLines="0" view="pageBreakPreview" zoomScaleNormal="100" zoomScaleSheetLayoutView="100" workbookViewId="0"/>
  </sheetViews>
  <sheetFormatPr defaultRowHeight="12"/>
  <cols>
    <col min="1" max="1" width="5.140625" style="1121" customWidth="1"/>
    <col min="2" max="2" width="11.7109375" style="1121" customWidth="1"/>
    <col min="3" max="3" width="30.28515625" style="1121" customWidth="1"/>
    <col min="4" max="4" width="23.42578125" style="1121" customWidth="1"/>
    <col min="5" max="5" width="9.28515625" style="1121" customWidth="1"/>
    <col min="6" max="6" width="8.140625" style="1121" customWidth="1"/>
    <col min="7" max="7" width="8.7109375" style="1121" customWidth="1"/>
    <col min="8" max="8" width="8.5703125" style="1121" customWidth="1"/>
    <col min="9" max="9" width="9.140625" style="1121" customWidth="1"/>
    <col min="10" max="10" width="4.85546875" style="1121" customWidth="1"/>
    <col min="11" max="11" width="9.140625" style="1121"/>
    <col min="12" max="12" width="28.140625" style="1121" customWidth="1"/>
    <col min="13" max="14" width="9.140625" style="1121"/>
    <col min="15" max="15" width="9.140625" style="1121" hidden="1" customWidth="1"/>
    <col min="16" max="255" width="9.140625" style="1121"/>
    <col min="256" max="256" width="20" style="1121" customWidth="1"/>
    <col min="257" max="257" width="12.140625" style="1121" customWidth="1"/>
    <col min="258" max="258" width="23.42578125" style="1121" customWidth="1"/>
    <col min="259" max="261" width="12.7109375" style="1121" customWidth="1"/>
    <col min="262" max="262" width="10.7109375" style="1121" customWidth="1"/>
    <col min="263" max="263" width="11" style="1121" customWidth="1"/>
    <col min="264" max="264" width="14.5703125" style="1121" customWidth="1"/>
    <col min="265" max="266" width="9.140625" style="1121"/>
    <col min="267" max="267" width="12.7109375" style="1121" customWidth="1"/>
    <col min="268" max="268" width="18.28515625" style="1121" customWidth="1"/>
    <col min="269" max="270" width="9.140625" style="1121"/>
    <col min="271" max="271" width="0" style="1121" hidden="1" customWidth="1"/>
    <col min="272" max="511" width="9.140625" style="1121"/>
    <col min="512" max="512" width="20" style="1121" customWidth="1"/>
    <col min="513" max="513" width="12.140625" style="1121" customWidth="1"/>
    <col min="514" max="514" width="23.42578125" style="1121" customWidth="1"/>
    <col min="515" max="517" width="12.7109375" style="1121" customWidth="1"/>
    <col min="518" max="518" width="10.7109375" style="1121" customWidth="1"/>
    <col min="519" max="519" width="11" style="1121" customWidth="1"/>
    <col min="520" max="520" width="14.5703125" style="1121" customWidth="1"/>
    <col min="521" max="522" width="9.140625" style="1121"/>
    <col min="523" max="523" width="12.7109375" style="1121" customWidth="1"/>
    <col min="524" max="524" width="18.28515625" style="1121" customWidth="1"/>
    <col min="525" max="526" width="9.140625" style="1121"/>
    <col min="527" max="527" width="0" style="1121" hidden="1" customWidth="1"/>
    <col min="528" max="767" width="9.140625" style="1121"/>
    <col min="768" max="768" width="20" style="1121" customWidth="1"/>
    <col min="769" max="769" width="12.140625" style="1121" customWidth="1"/>
    <col min="770" max="770" width="23.42578125" style="1121" customWidth="1"/>
    <col min="771" max="773" width="12.7109375" style="1121" customWidth="1"/>
    <col min="774" max="774" width="10.7109375" style="1121" customWidth="1"/>
    <col min="775" max="775" width="11" style="1121" customWidth="1"/>
    <col min="776" max="776" width="14.5703125" style="1121" customWidth="1"/>
    <col min="777" max="778" width="9.140625" style="1121"/>
    <col min="779" max="779" width="12.7109375" style="1121" customWidth="1"/>
    <col min="780" max="780" width="18.28515625" style="1121" customWidth="1"/>
    <col min="781" max="782" width="9.140625" style="1121"/>
    <col min="783" max="783" width="0" style="1121" hidden="1" customWidth="1"/>
    <col min="784" max="1023" width="9.140625" style="1121"/>
    <col min="1024" max="1024" width="20" style="1121" customWidth="1"/>
    <col min="1025" max="1025" width="12.140625" style="1121" customWidth="1"/>
    <col min="1026" max="1026" width="23.42578125" style="1121" customWidth="1"/>
    <col min="1027" max="1029" width="12.7109375" style="1121" customWidth="1"/>
    <col min="1030" max="1030" width="10.7109375" style="1121" customWidth="1"/>
    <col min="1031" max="1031" width="11" style="1121" customWidth="1"/>
    <col min="1032" max="1032" width="14.5703125" style="1121" customWidth="1"/>
    <col min="1033" max="1034" width="9.140625" style="1121"/>
    <col min="1035" max="1035" width="12.7109375" style="1121" customWidth="1"/>
    <col min="1036" max="1036" width="18.28515625" style="1121" customWidth="1"/>
    <col min="1037" max="1038" width="9.140625" style="1121"/>
    <col min="1039" max="1039" width="0" style="1121" hidden="1" customWidth="1"/>
    <col min="1040" max="1279" width="9.140625" style="1121"/>
    <col min="1280" max="1280" width="20" style="1121" customWidth="1"/>
    <col min="1281" max="1281" width="12.140625" style="1121" customWidth="1"/>
    <col min="1282" max="1282" width="23.42578125" style="1121" customWidth="1"/>
    <col min="1283" max="1285" width="12.7109375" style="1121" customWidth="1"/>
    <col min="1286" max="1286" width="10.7109375" style="1121" customWidth="1"/>
    <col min="1287" max="1287" width="11" style="1121" customWidth="1"/>
    <col min="1288" max="1288" width="14.5703125" style="1121" customWidth="1"/>
    <col min="1289" max="1290" width="9.140625" style="1121"/>
    <col min="1291" max="1291" width="12.7109375" style="1121" customWidth="1"/>
    <col min="1292" max="1292" width="18.28515625" style="1121" customWidth="1"/>
    <col min="1293" max="1294" width="9.140625" style="1121"/>
    <col min="1295" max="1295" width="0" style="1121" hidden="1" customWidth="1"/>
    <col min="1296" max="1535" width="9.140625" style="1121"/>
    <col min="1536" max="1536" width="20" style="1121" customWidth="1"/>
    <col min="1537" max="1537" width="12.140625" style="1121" customWidth="1"/>
    <col min="1538" max="1538" width="23.42578125" style="1121" customWidth="1"/>
    <col min="1539" max="1541" width="12.7109375" style="1121" customWidth="1"/>
    <col min="1542" max="1542" width="10.7109375" style="1121" customWidth="1"/>
    <col min="1543" max="1543" width="11" style="1121" customWidth="1"/>
    <col min="1544" max="1544" width="14.5703125" style="1121" customWidth="1"/>
    <col min="1545" max="1546" width="9.140625" style="1121"/>
    <col min="1547" max="1547" width="12.7109375" style="1121" customWidth="1"/>
    <col min="1548" max="1548" width="18.28515625" style="1121" customWidth="1"/>
    <col min="1549" max="1550" width="9.140625" style="1121"/>
    <col min="1551" max="1551" width="0" style="1121" hidden="1" customWidth="1"/>
    <col min="1552" max="1791" width="9.140625" style="1121"/>
    <col min="1792" max="1792" width="20" style="1121" customWidth="1"/>
    <col min="1793" max="1793" width="12.140625" style="1121" customWidth="1"/>
    <col min="1794" max="1794" width="23.42578125" style="1121" customWidth="1"/>
    <col min="1795" max="1797" width="12.7109375" style="1121" customWidth="1"/>
    <col min="1798" max="1798" width="10.7109375" style="1121" customWidth="1"/>
    <col min="1799" max="1799" width="11" style="1121" customWidth="1"/>
    <col min="1800" max="1800" width="14.5703125" style="1121" customWidth="1"/>
    <col min="1801" max="1802" width="9.140625" style="1121"/>
    <col min="1803" max="1803" width="12.7109375" style="1121" customWidth="1"/>
    <col min="1804" max="1804" width="18.28515625" style="1121" customWidth="1"/>
    <col min="1805" max="1806" width="9.140625" style="1121"/>
    <col min="1807" max="1807" width="0" style="1121" hidden="1" customWidth="1"/>
    <col min="1808" max="2047" width="9.140625" style="1121"/>
    <col min="2048" max="2048" width="20" style="1121" customWidth="1"/>
    <col min="2049" max="2049" width="12.140625" style="1121" customWidth="1"/>
    <col min="2050" max="2050" width="23.42578125" style="1121" customWidth="1"/>
    <col min="2051" max="2053" width="12.7109375" style="1121" customWidth="1"/>
    <col min="2054" max="2054" width="10.7109375" style="1121" customWidth="1"/>
    <col min="2055" max="2055" width="11" style="1121" customWidth="1"/>
    <col min="2056" max="2056" width="14.5703125" style="1121" customWidth="1"/>
    <col min="2057" max="2058" width="9.140625" style="1121"/>
    <col min="2059" max="2059" width="12.7109375" style="1121" customWidth="1"/>
    <col min="2060" max="2060" width="18.28515625" style="1121" customWidth="1"/>
    <col min="2061" max="2062" width="9.140625" style="1121"/>
    <col min="2063" max="2063" width="0" style="1121" hidden="1" customWidth="1"/>
    <col min="2064" max="2303" width="9.140625" style="1121"/>
    <col min="2304" max="2304" width="20" style="1121" customWidth="1"/>
    <col min="2305" max="2305" width="12.140625" style="1121" customWidth="1"/>
    <col min="2306" max="2306" width="23.42578125" style="1121" customWidth="1"/>
    <col min="2307" max="2309" width="12.7109375" style="1121" customWidth="1"/>
    <col min="2310" max="2310" width="10.7109375" style="1121" customWidth="1"/>
    <col min="2311" max="2311" width="11" style="1121" customWidth="1"/>
    <col min="2312" max="2312" width="14.5703125" style="1121" customWidth="1"/>
    <col min="2313" max="2314" width="9.140625" style="1121"/>
    <col min="2315" max="2315" width="12.7109375" style="1121" customWidth="1"/>
    <col min="2316" max="2316" width="18.28515625" style="1121" customWidth="1"/>
    <col min="2317" max="2318" width="9.140625" style="1121"/>
    <col min="2319" max="2319" width="0" style="1121" hidden="1" customWidth="1"/>
    <col min="2320" max="2559" width="9.140625" style="1121"/>
    <col min="2560" max="2560" width="20" style="1121" customWidth="1"/>
    <col min="2561" max="2561" width="12.140625" style="1121" customWidth="1"/>
    <col min="2562" max="2562" width="23.42578125" style="1121" customWidth="1"/>
    <col min="2563" max="2565" width="12.7109375" style="1121" customWidth="1"/>
    <col min="2566" max="2566" width="10.7109375" style="1121" customWidth="1"/>
    <col min="2567" max="2567" width="11" style="1121" customWidth="1"/>
    <col min="2568" max="2568" width="14.5703125" style="1121" customWidth="1"/>
    <col min="2569" max="2570" width="9.140625" style="1121"/>
    <col min="2571" max="2571" width="12.7109375" style="1121" customWidth="1"/>
    <col min="2572" max="2572" width="18.28515625" style="1121" customWidth="1"/>
    <col min="2573" max="2574" width="9.140625" style="1121"/>
    <col min="2575" max="2575" width="0" style="1121" hidden="1" customWidth="1"/>
    <col min="2576" max="2815" width="9.140625" style="1121"/>
    <col min="2816" max="2816" width="20" style="1121" customWidth="1"/>
    <col min="2817" max="2817" width="12.140625" style="1121" customWidth="1"/>
    <col min="2818" max="2818" width="23.42578125" style="1121" customWidth="1"/>
    <col min="2819" max="2821" width="12.7109375" style="1121" customWidth="1"/>
    <col min="2822" max="2822" width="10.7109375" style="1121" customWidth="1"/>
    <col min="2823" max="2823" width="11" style="1121" customWidth="1"/>
    <col min="2824" max="2824" width="14.5703125" style="1121" customWidth="1"/>
    <col min="2825" max="2826" width="9.140625" style="1121"/>
    <col min="2827" max="2827" width="12.7109375" style="1121" customWidth="1"/>
    <col min="2828" max="2828" width="18.28515625" style="1121" customWidth="1"/>
    <col min="2829" max="2830" width="9.140625" style="1121"/>
    <col min="2831" max="2831" width="0" style="1121" hidden="1" customWidth="1"/>
    <col min="2832" max="3071" width="9.140625" style="1121"/>
    <col min="3072" max="3072" width="20" style="1121" customWidth="1"/>
    <col min="3073" max="3073" width="12.140625" style="1121" customWidth="1"/>
    <col min="3074" max="3074" width="23.42578125" style="1121" customWidth="1"/>
    <col min="3075" max="3077" width="12.7109375" style="1121" customWidth="1"/>
    <col min="3078" max="3078" width="10.7109375" style="1121" customWidth="1"/>
    <col min="3079" max="3079" width="11" style="1121" customWidth="1"/>
    <col min="3080" max="3080" width="14.5703125" style="1121" customWidth="1"/>
    <col min="3081" max="3082" width="9.140625" style="1121"/>
    <col min="3083" max="3083" width="12.7109375" style="1121" customWidth="1"/>
    <col min="3084" max="3084" width="18.28515625" style="1121" customWidth="1"/>
    <col min="3085" max="3086" width="9.140625" style="1121"/>
    <col min="3087" max="3087" width="0" style="1121" hidden="1" customWidth="1"/>
    <col min="3088" max="3327" width="9.140625" style="1121"/>
    <col min="3328" max="3328" width="20" style="1121" customWidth="1"/>
    <col min="3329" max="3329" width="12.140625" style="1121" customWidth="1"/>
    <col min="3330" max="3330" width="23.42578125" style="1121" customWidth="1"/>
    <col min="3331" max="3333" width="12.7109375" style="1121" customWidth="1"/>
    <col min="3334" max="3334" width="10.7109375" style="1121" customWidth="1"/>
    <col min="3335" max="3335" width="11" style="1121" customWidth="1"/>
    <col min="3336" max="3336" width="14.5703125" style="1121" customWidth="1"/>
    <col min="3337" max="3338" width="9.140625" style="1121"/>
    <col min="3339" max="3339" width="12.7109375" style="1121" customWidth="1"/>
    <col min="3340" max="3340" width="18.28515625" style="1121" customWidth="1"/>
    <col min="3341" max="3342" width="9.140625" style="1121"/>
    <col min="3343" max="3343" width="0" style="1121" hidden="1" customWidth="1"/>
    <col min="3344" max="3583" width="9.140625" style="1121"/>
    <col min="3584" max="3584" width="20" style="1121" customWidth="1"/>
    <col min="3585" max="3585" width="12.140625" style="1121" customWidth="1"/>
    <col min="3586" max="3586" width="23.42578125" style="1121" customWidth="1"/>
    <col min="3587" max="3589" width="12.7109375" style="1121" customWidth="1"/>
    <col min="3590" max="3590" width="10.7109375" style="1121" customWidth="1"/>
    <col min="3591" max="3591" width="11" style="1121" customWidth="1"/>
    <col min="3592" max="3592" width="14.5703125" style="1121" customWidth="1"/>
    <col min="3593" max="3594" width="9.140625" style="1121"/>
    <col min="3595" max="3595" width="12.7109375" style="1121" customWidth="1"/>
    <col min="3596" max="3596" width="18.28515625" style="1121" customWidth="1"/>
    <col min="3597" max="3598" width="9.140625" style="1121"/>
    <col min="3599" max="3599" width="0" style="1121" hidden="1" customWidth="1"/>
    <col min="3600" max="3839" width="9.140625" style="1121"/>
    <col min="3840" max="3840" width="20" style="1121" customWidth="1"/>
    <col min="3841" max="3841" width="12.140625" style="1121" customWidth="1"/>
    <col min="3842" max="3842" width="23.42578125" style="1121" customWidth="1"/>
    <col min="3843" max="3845" width="12.7109375" style="1121" customWidth="1"/>
    <col min="3846" max="3846" width="10.7109375" style="1121" customWidth="1"/>
    <col min="3847" max="3847" width="11" style="1121" customWidth="1"/>
    <col min="3848" max="3848" width="14.5703125" style="1121" customWidth="1"/>
    <col min="3849" max="3850" width="9.140625" style="1121"/>
    <col min="3851" max="3851" width="12.7109375" style="1121" customWidth="1"/>
    <col min="3852" max="3852" width="18.28515625" style="1121" customWidth="1"/>
    <col min="3853" max="3854" width="9.140625" style="1121"/>
    <col min="3855" max="3855" width="0" style="1121" hidden="1" customWidth="1"/>
    <col min="3856" max="4095" width="9.140625" style="1121"/>
    <col min="4096" max="4096" width="20" style="1121" customWidth="1"/>
    <col min="4097" max="4097" width="12.140625" style="1121" customWidth="1"/>
    <col min="4098" max="4098" width="23.42578125" style="1121" customWidth="1"/>
    <col min="4099" max="4101" width="12.7109375" style="1121" customWidth="1"/>
    <col min="4102" max="4102" width="10.7109375" style="1121" customWidth="1"/>
    <col min="4103" max="4103" width="11" style="1121" customWidth="1"/>
    <col min="4104" max="4104" width="14.5703125" style="1121" customWidth="1"/>
    <col min="4105" max="4106" width="9.140625" style="1121"/>
    <col min="4107" max="4107" width="12.7109375" style="1121" customWidth="1"/>
    <col min="4108" max="4108" width="18.28515625" style="1121" customWidth="1"/>
    <col min="4109" max="4110" width="9.140625" style="1121"/>
    <col min="4111" max="4111" width="0" style="1121" hidden="1" customWidth="1"/>
    <col min="4112" max="4351" width="9.140625" style="1121"/>
    <col min="4352" max="4352" width="20" style="1121" customWidth="1"/>
    <col min="4353" max="4353" width="12.140625" style="1121" customWidth="1"/>
    <col min="4354" max="4354" width="23.42578125" style="1121" customWidth="1"/>
    <col min="4355" max="4357" width="12.7109375" style="1121" customWidth="1"/>
    <col min="4358" max="4358" width="10.7109375" style="1121" customWidth="1"/>
    <col min="4359" max="4359" width="11" style="1121" customWidth="1"/>
    <col min="4360" max="4360" width="14.5703125" style="1121" customWidth="1"/>
    <col min="4361" max="4362" width="9.140625" style="1121"/>
    <col min="4363" max="4363" width="12.7109375" style="1121" customWidth="1"/>
    <col min="4364" max="4364" width="18.28515625" style="1121" customWidth="1"/>
    <col min="4365" max="4366" width="9.140625" style="1121"/>
    <col min="4367" max="4367" width="0" style="1121" hidden="1" customWidth="1"/>
    <col min="4368" max="4607" width="9.140625" style="1121"/>
    <col min="4608" max="4608" width="20" style="1121" customWidth="1"/>
    <col min="4609" max="4609" width="12.140625" style="1121" customWidth="1"/>
    <col min="4610" max="4610" width="23.42578125" style="1121" customWidth="1"/>
    <col min="4611" max="4613" width="12.7109375" style="1121" customWidth="1"/>
    <col min="4614" max="4614" width="10.7109375" style="1121" customWidth="1"/>
    <col min="4615" max="4615" width="11" style="1121" customWidth="1"/>
    <col min="4616" max="4616" width="14.5703125" style="1121" customWidth="1"/>
    <col min="4617" max="4618" width="9.140625" style="1121"/>
    <col min="4619" max="4619" width="12.7109375" style="1121" customWidth="1"/>
    <col min="4620" max="4620" width="18.28515625" style="1121" customWidth="1"/>
    <col min="4621" max="4622" width="9.140625" style="1121"/>
    <col min="4623" max="4623" width="0" style="1121" hidden="1" customWidth="1"/>
    <col min="4624" max="4863" width="9.140625" style="1121"/>
    <col min="4864" max="4864" width="20" style="1121" customWidth="1"/>
    <col min="4865" max="4865" width="12.140625" style="1121" customWidth="1"/>
    <col min="4866" max="4866" width="23.42578125" style="1121" customWidth="1"/>
    <col min="4867" max="4869" width="12.7109375" style="1121" customWidth="1"/>
    <col min="4870" max="4870" width="10.7109375" style="1121" customWidth="1"/>
    <col min="4871" max="4871" width="11" style="1121" customWidth="1"/>
    <col min="4872" max="4872" width="14.5703125" style="1121" customWidth="1"/>
    <col min="4873" max="4874" width="9.140625" style="1121"/>
    <col min="4875" max="4875" width="12.7109375" style="1121" customWidth="1"/>
    <col min="4876" max="4876" width="18.28515625" style="1121" customWidth="1"/>
    <col min="4877" max="4878" width="9.140625" style="1121"/>
    <col min="4879" max="4879" width="0" style="1121" hidden="1" customWidth="1"/>
    <col min="4880" max="5119" width="9.140625" style="1121"/>
    <col min="5120" max="5120" width="20" style="1121" customWidth="1"/>
    <col min="5121" max="5121" width="12.140625" style="1121" customWidth="1"/>
    <col min="5122" max="5122" width="23.42578125" style="1121" customWidth="1"/>
    <col min="5123" max="5125" width="12.7109375" style="1121" customWidth="1"/>
    <col min="5126" max="5126" width="10.7109375" style="1121" customWidth="1"/>
    <col min="5127" max="5127" width="11" style="1121" customWidth="1"/>
    <col min="5128" max="5128" width="14.5703125" style="1121" customWidth="1"/>
    <col min="5129" max="5130" width="9.140625" style="1121"/>
    <col min="5131" max="5131" width="12.7109375" style="1121" customWidth="1"/>
    <col min="5132" max="5132" width="18.28515625" style="1121" customWidth="1"/>
    <col min="5133" max="5134" width="9.140625" style="1121"/>
    <col min="5135" max="5135" width="0" style="1121" hidden="1" customWidth="1"/>
    <col min="5136" max="5375" width="9.140625" style="1121"/>
    <col min="5376" max="5376" width="20" style="1121" customWidth="1"/>
    <col min="5377" max="5377" width="12.140625" style="1121" customWidth="1"/>
    <col min="5378" max="5378" width="23.42578125" style="1121" customWidth="1"/>
    <col min="5379" max="5381" width="12.7109375" style="1121" customWidth="1"/>
    <col min="5382" max="5382" width="10.7109375" style="1121" customWidth="1"/>
    <col min="5383" max="5383" width="11" style="1121" customWidth="1"/>
    <col min="5384" max="5384" width="14.5703125" style="1121" customWidth="1"/>
    <col min="5385" max="5386" width="9.140625" style="1121"/>
    <col min="5387" max="5387" width="12.7109375" style="1121" customWidth="1"/>
    <col min="5388" max="5388" width="18.28515625" style="1121" customWidth="1"/>
    <col min="5389" max="5390" width="9.140625" style="1121"/>
    <col min="5391" max="5391" width="0" style="1121" hidden="1" customWidth="1"/>
    <col min="5392" max="5631" width="9.140625" style="1121"/>
    <col min="5632" max="5632" width="20" style="1121" customWidth="1"/>
    <col min="5633" max="5633" width="12.140625" style="1121" customWidth="1"/>
    <col min="5634" max="5634" width="23.42578125" style="1121" customWidth="1"/>
    <col min="5635" max="5637" width="12.7109375" style="1121" customWidth="1"/>
    <col min="5638" max="5638" width="10.7109375" style="1121" customWidth="1"/>
    <col min="5639" max="5639" width="11" style="1121" customWidth="1"/>
    <col min="5640" max="5640" width="14.5703125" style="1121" customWidth="1"/>
    <col min="5641" max="5642" width="9.140625" style="1121"/>
    <col min="5643" max="5643" width="12.7109375" style="1121" customWidth="1"/>
    <col min="5644" max="5644" width="18.28515625" style="1121" customWidth="1"/>
    <col min="5645" max="5646" width="9.140625" style="1121"/>
    <col min="5647" max="5647" width="0" style="1121" hidden="1" customWidth="1"/>
    <col min="5648" max="5887" width="9.140625" style="1121"/>
    <col min="5888" max="5888" width="20" style="1121" customWidth="1"/>
    <col min="5889" max="5889" width="12.140625" style="1121" customWidth="1"/>
    <col min="5890" max="5890" width="23.42578125" style="1121" customWidth="1"/>
    <col min="5891" max="5893" width="12.7109375" style="1121" customWidth="1"/>
    <col min="5894" max="5894" width="10.7109375" style="1121" customWidth="1"/>
    <col min="5895" max="5895" width="11" style="1121" customWidth="1"/>
    <col min="5896" max="5896" width="14.5703125" style="1121" customWidth="1"/>
    <col min="5897" max="5898" width="9.140625" style="1121"/>
    <col min="5899" max="5899" width="12.7109375" style="1121" customWidth="1"/>
    <col min="5900" max="5900" width="18.28515625" style="1121" customWidth="1"/>
    <col min="5901" max="5902" width="9.140625" style="1121"/>
    <col min="5903" max="5903" width="0" style="1121" hidden="1" customWidth="1"/>
    <col min="5904" max="6143" width="9.140625" style="1121"/>
    <col min="6144" max="6144" width="20" style="1121" customWidth="1"/>
    <col min="6145" max="6145" width="12.140625" style="1121" customWidth="1"/>
    <col min="6146" max="6146" width="23.42578125" style="1121" customWidth="1"/>
    <col min="6147" max="6149" width="12.7109375" style="1121" customWidth="1"/>
    <col min="6150" max="6150" width="10.7109375" style="1121" customWidth="1"/>
    <col min="6151" max="6151" width="11" style="1121" customWidth="1"/>
    <col min="6152" max="6152" width="14.5703125" style="1121" customWidth="1"/>
    <col min="6153" max="6154" width="9.140625" style="1121"/>
    <col min="6155" max="6155" width="12.7109375" style="1121" customWidth="1"/>
    <col min="6156" max="6156" width="18.28515625" style="1121" customWidth="1"/>
    <col min="6157" max="6158" width="9.140625" style="1121"/>
    <col min="6159" max="6159" width="0" style="1121" hidden="1" customWidth="1"/>
    <col min="6160" max="6399" width="9.140625" style="1121"/>
    <col min="6400" max="6400" width="20" style="1121" customWidth="1"/>
    <col min="6401" max="6401" width="12.140625" style="1121" customWidth="1"/>
    <col min="6402" max="6402" width="23.42578125" style="1121" customWidth="1"/>
    <col min="6403" max="6405" width="12.7109375" style="1121" customWidth="1"/>
    <col min="6406" max="6406" width="10.7109375" style="1121" customWidth="1"/>
    <col min="6407" max="6407" width="11" style="1121" customWidth="1"/>
    <col min="6408" max="6408" width="14.5703125" style="1121" customWidth="1"/>
    <col min="6409" max="6410" width="9.140625" style="1121"/>
    <col min="6411" max="6411" width="12.7109375" style="1121" customWidth="1"/>
    <col min="6412" max="6412" width="18.28515625" style="1121" customWidth="1"/>
    <col min="6413" max="6414" width="9.140625" style="1121"/>
    <col min="6415" max="6415" width="0" style="1121" hidden="1" customWidth="1"/>
    <col min="6416" max="6655" width="9.140625" style="1121"/>
    <col min="6656" max="6656" width="20" style="1121" customWidth="1"/>
    <col min="6657" max="6657" width="12.140625" style="1121" customWidth="1"/>
    <col min="6658" max="6658" width="23.42578125" style="1121" customWidth="1"/>
    <col min="6659" max="6661" width="12.7109375" style="1121" customWidth="1"/>
    <col min="6662" max="6662" width="10.7109375" style="1121" customWidth="1"/>
    <col min="6663" max="6663" width="11" style="1121" customWidth="1"/>
    <col min="6664" max="6664" width="14.5703125" style="1121" customWidth="1"/>
    <col min="6665" max="6666" width="9.140625" style="1121"/>
    <col min="6667" max="6667" width="12.7109375" style="1121" customWidth="1"/>
    <col min="6668" max="6668" width="18.28515625" style="1121" customWidth="1"/>
    <col min="6669" max="6670" width="9.140625" style="1121"/>
    <col min="6671" max="6671" width="0" style="1121" hidden="1" customWidth="1"/>
    <col min="6672" max="6911" width="9.140625" style="1121"/>
    <col min="6912" max="6912" width="20" style="1121" customWidth="1"/>
    <col min="6913" max="6913" width="12.140625" style="1121" customWidth="1"/>
    <col min="6914" max="6914" width="23.42578125" style="1121" customWidth="1"/>
    <col min="6915" max="6917" width="12.7109375" style="1121" customWidth="1"/>
    <col min="6918" max="6918" width="10.7109375" style="1121" customWidth="1"/>
    <col min="6919" max="6919" width="11" style="1121" customWidth="1"/>
    <col min="6920" max="6920" width="14.5703125" style="1121" customWidth="1"/>
    <col min="6921" max="6922" width="9.140625" style="1121"/>
    <col min="6923" max="6923" width="12.7109375" style="1121" customWidth="1"/>
    <col min="6924" max="6924" width="18.28515625" style="1121" customWidth="1"/>
    <col min="6925" max="6926" width="9.140625" style="1121"/>
    <col min="6927" max="6927" width="0" style="1121" hidden="1" customWidth="1"/>
    <col min="6928" max="7167" width="9.140625" style="1121"/>
    <col min="7168" max="7168" width="20" style="1121" customWidth="1"/>
    <col min="7169" max="7169" width="12.140625" style="1121" customWidth="1"/>
    <col min="7170" max="7170" width="23.42578125" style="1121" customWidth="1"/>
    <col min="7171" max="7173" width="12.7109375" style="1121" customWidth="1"/>
    <col min="7174" max="7174" width="10.7109375" style="1121" customWidth="1"/>
    <col min="7175" max="7175" width="11" style="1121" customWidth="1"/>
    <col min="7176" max="7176" width="14.5703125" style="1121" customWidth="1"/>
    <col min="7177" max="7178" width="9.140625" style="1121"/>
    <col min="7179" max="7179" width="12.7109375" style="1121" customWidth="1"/>
    <col min="7180" max="7180" width="18.28515625" style="1121" customWidth="1"/>
    <col min="7181" max="7182" width="9.140625" style="1121"/>
    <col min="7183" max="7183" width="0" style="1121" hidden="1" customWidth="1"/>
    <col min="7184" max="7423" width="9.140625" style="1121"/>
    <col min="7424" max="7424" width="20" style="1121" customWidth="1"/>
    <col min="7425" max="7425" width="12.140625" style="1121" customWidth="1"/>
    <col min="7426" max="7426" width="23.42578125" style="1121" customWidth="1"/>
    <col min="7427" max="7429" width="12.7109375" style="1121" customWidth="1"/>
    <col min="7430" max="7430" width="10.7109375" style="1121" customWidth="1"/>
    <col min="7431" max="7431" width="11" style="1121" customWidth="1"/>
    <col min="7432" max="7432" width="14.5703125" style="1121" customWidth="1"/>
    <col min="7433" max="7434" width="9.140625" style="1121"/>
    <col min="7435" max="7435" width="12.7109375" style="1121" customWidth="1"/>
    <col min="7436" max="7436" width="18.28515625" style="1121" customWidth="1"/>
    <col min="7437" max="7438" width="9.140625" style="1121"/>
    <col min="7439" max="7439" width="0" style="1121" hidden="1" customWidth="1"/>
    <col min="7440" max="7679" width="9.140625" style="1121"/>
    <col min="7680" max="7680" width="20" style="1121" customWidth="1"/>
    <col min="7681" max="7681" width="12.140625" style="1121" customWidth="1"/>
    <col min="7682" max="7682" width="23.42578125" style="1121" customWidth="1"/>
    <col min="7683" max="7685" width="12.7109375" style="1121" customWidth="1"/>
    <col min="7686" max="7686" width="10.7109375" style="1121" customWidth="1"/>
    <col min="7687" max="7687" width="11" style="1121" customWidth="1"/>
    <col min="7688" max="7688" width="14.5703125" style="1121" customWidth="1"/>
    <col min="7689" max="7690" width="9.140625" style="1121"/>
    <col min="7691" max="7691" width="12.7109375" style="1121" customWidth="1"/>
    <col min="7692" max="7692" width="18.28515625" style="1121" customWidth="1"/>
    <col min="7693" max="7694" width="9.140625" style="1121"/>
    <col min="7695" max="7695" width="0" style="1121" hidden="1" customWidth="1"/>
    <col min="7696" max="7935" width="9.140625" style="1121"/>
    <col min="7936" max="7936" width="20" style="1121" customWidth="1"/>
    <col min="7937" max="7937" width="12.140625" style="1121" customWidth="1"/>
    <col min="7938" max="7938" width="23.42578125" style="1121" customWidth="1"/>
    <col min="7939" max="7941" width="12.7109375" style="1121" customWidth="1"/>
    <col min="7942" max="7942" width="10.7109375" style="1121" customWidth="1"/>
    <col min="7943" max="7943" width="11" style="1121" customWidth="1"/>
    <col min="7944" max="7944" width="14.5703125" style="1121" customWidth="1"/>
    <col min="7945" max="7946" width="9.140625" style="1121"/>
    <col min="7947" max="7947" width="12.7109375" style="1121" customWidth="1"/>
    <col min="7948" max="7948" width="18.28515625" style="1121" customWidth="1"/>
    <col min="7949" max="7950" width="9.140625" style="1121"/>
    <col min="7951" max="7951" width="0" style="1121" hidden="1" customWidth="1"/>
    <col min="7952" max="8191" width="9.140625" style="1121"/>
    <col min="8192" max="8192" width="20" style="1121" customWidth="1"/>
    <col min="8193" max="8193" width="12.140625" style="1121" customWidth="1"/>
    <col min="8194" max="8194" width="23.42578125" style="1121" customWidth="1"/>
    <col min="8195" max="8197" width="12.7109375" style="1121" customWidth="1"/>
    <col min="8198" max="8198" width="10.7109375" style="1121" customWidth="1"/>
    <col min="8199" max="8199" width="11" style="1121" customWidth="1"/>
    <col min="8200" max="8200" width="14.5703125" style="1121" customWidth="1"/>
    <col min="8201" max="8202" width="9.140625" style="1121"/>
    <col min="8203" max="8203" width="12.7109375" style="1121" customWidth="1"/>
    <col min="8204" max="8204" width="18.28515625" style="1121" customWidth="1"/>
    <col min="8205" max="8206" width="9.140625" style="1121"/>
    <col min="8207" max="8207" width="0" style="1121" hidden="1" customWidth="1"/>
    <col min="8208" max="8447" width="9.140625" style="1121"/>
    <col min="8448" max="8448" width="20" style="1121" customWidth="1"/>
    <col min="8449" max="8449" width="12.140625" style="1121" customWidth="1"/>
    <col min="8450" max="8450" width="23.42578125" style="1121" customWidth="1"/>
    <col min="8451" max="8453" width="12.7109375" style="1121" customWidth="1"/>
    <col min="8454" max="8454" width="10.7109375" style="1121" customWidth="1"/>
    <col min="8455" max="8455" width="11" style="1121" customWidth="1"/>
    <col min="8456" max="8456" width="14.5703125" style="1121" customWidth="1"/>
    <col min="8457" max="8458" width="9.140625" style="1121"/>
    <col min="8459" max="8459" width="12.7109375" style="1121" customWidth="1"/>
    <col min="8460" max="8460" width="18.28515625" style="1121" customWidth="1"/>
    <col min="8461" max="8462" width="9.140625" style="1121"/>
    <col min="8463" max="8463" width="0" style="1121" hidden="1" customWidth="1"/>
    <col min="8464" max="8703" width="9.140625" style="1121"/>
    <col min="8704" max="8704" width="20" style="1121" customWidth="1"/>
    <col min="8705" max="8705" width="12.140625" style="1121" customWidth="1"/>
    <col min="8706" max="8706" width="23.42578125" style="1121" customWidth="1"/>
    <col min="8707" max="8709" width="12.7109375" style="1121" customWidth="1"/>
    <col min="8710" max="8710" width="10.7109375" style="1121" customWidth="1"/>
    <col min="8711" max="8711" width="11" style="1121" customWidth="1"/>
    <col min="8712" max="8712" width="14.5703125" style="1121" customWidth="1"/>
    <col min="8713" max="8714" width="9.140625" style="1121"/>
    <col min="8715" max="8715" width="12.7109375" style="1121" customWidth="1"/>
    <col min="8716" max="8716" width="18.28515625" style="1121" customWidth="1"/>
    <col min="8717" max="8718" width="9.140625" style="1121"/>
    <col min="8719" max="8719" width="0" style="1121" hidden="1" customWidth="1"/>
    <col min="8720" max="8959" width="9.140625" style="1121"/>
    <col min="8960" max="8960" width="20" style="1121" customWidth="1"/>
    <col min="8961" max="8961" width="12.140625" style="1121" customWidth="1"/>
    <col min="8962" max="8962" width="23.42578125" style="1121" customWidth="1"/>
    <col min="8963" max="8965" width="12.7109375" style="1121" customWidth="1"/>
    <col min="8966" max="8966" width="10.7109375" style="1121" customWidth="1"/>
    <col min="8967" max="8967" width="11" style="1121" customWidth="1"/>
    <col min="8968" max="8968" width="14.5703125" style="1121" customWidth="1"/>
    <col min="8969" max="8970" width="9.140625" style="1121"/>
    <col min="8971" max="8971" width="12.7109375" style="1121" customWidth="1"/>
    <col min="8972" max="8972" width="18.28515625" style="1121" customWidth="1"/>
    <col min="8973" max="8974" width="9.140625" style="1121"/>
    <col min="8975" max="8975" width="0" style="1121" hidden="1" customWidth="1"/>
    <col min="8976" max="9215" width="9.140625" style="1121"/>
    <col min="9216" max="9216" width="20" style="1121" customWidth="1"/>
    <col min="9217" max="9217" width="12.140625" style="1121" customWidth="1"/>
    <col min="9218" max="9218" width="23.42578125" style="1121" customWidth="1"/>
    <col min="9219" max="9221" width="12.7109375" style="1121" customWidth="1"/>
    <col min="9222" max="9222" width="10.7109375" style="1121" customWidth="1"/>
    <col min="9223" max="9223" width="11" style="1121" customWidth="1"/>
    <col min="9224" max="9224" width="14.5703125" style="1121" customWidth="1"/>
    <col min="9225" max="9226" width="9.140625" style="1121"/>
    <col min="9227" max="9227" width="12.7109375" style="1121" customWidth="1"/>
    <col min="9228" max="9228" width="18.28515625" style="1121" customWidth="1"/>
    <col min="9229" max="9230" width="9.140625" style="1121"/>
    <col min="9231" max="9231" width="0" style="1121" hidden="1" customWidth="1"/>
    <col min="9232" max="9471" width="9.140625" style="1121"/>
    <col min="9472" max="9472" width="20" style="1121" customWidth="1"/>
    <col min="9473" max="9473" width="12.140625" style="1121" customWidth="1"/>
    <col min="9474" max="9474" width="23.42578125" style="1121" customWidth="1"/>
    <col min="9475" max="9477" width="12.7109375" style="1121" customWidth="1"/>
    <col min="9478" max="9478" width="10.7109375" style="1121" customWidth="1"/>
    <col min="9479" max="9479" width="11" style="1121" customWidth="1"/>
    <col min="9480" max="9480" width="14.5703125" style="1121" customWidth="1"/>
    <col min="9481" max="9482" width="9.140625" style="1121"/>
    <col min="9483" max="9483" width="12.7109375" style="1121" customWidth="1"/>
    <col min="9484" max="9484" width="18.28515625" style="1121" customWidth="1"/>
    <col min="9485" max="9486" width="9.140625" style="1121"/>
    <col min="9487" max="9487" width="0" style="1121" hidden="1" customWidth="1"/>
    <col min="9488" max="9727" width="9.140625" style="1121"/>
    <col min="9728" max="9728" width="20" style="1121" customWidth="1"/>
    <col min="9729" max="9729" width="12.140625" style="1121" customWidth="1"/>
    <col min="9730" max="9730" width="23.42578125" style="1121" customWidth="1"/>
    <col min="9731" max="9733" width="12.7109375" style="1121" customWidth="1"/>
    <col min="9734" max="9734" width="10.7109375" style="1121" customWidth="1"/>
    <col min="9735" max="9735" width="11" style="1121" customWidth="1"/>
    <col min="9736" max="9736" width="14.5703125" style="1121" customWidth="1"/>
    <col min="9737" max="9738" width="9.140625" style="1121"/>
    <col min="9739" max="9739" width="12.7109375" style="1121" customWidth="1"/>
    <col min="9740" max="9740" width="18.28515625" style="1121" customWidth="1"/>
    <col min="9741" max="9742" width="9.140625" style="1121"/>
    <col min="9743" max="9743" width="0" style="1121" hidden="1" customWidth="1"/>
    <col min="9744" max="9983" width="9.140625" style="1121"/>
    <col min="9984" max="9984" width="20" style="1121" customWidth="1"/>
    <col min="9985" max="9985" width="12.140625" style="1121" customWidth="1"/>
    <col min="9986" max="9986" width="23.42578125" style="1121" customWidth="1"/>
    <col min="9987" max="9989" width="12.7109375" style="1121" customWidth="1"/>
    <col min="9990" max="9990" width="10.7109375" style="1121" customWidth="1"/>
    <col min="9991" max="9991" width="11" style="1121" customWidth="1"/>
    <col min="9992" max="9992" width="14.5703125" style="1121" customWidth="1"/>
    <col min="9993" max="9994" width="9.140625" style="1121"/>
    <col min="9995" max="9995" width="12.7109375" style="1121" customWidth="1"/>
    <col min="9996" max="9996" width="18.28515625" style="1121" customWidth="1"/>
    <col min="9997" max="9998" width="9.140625" style="1121"/>
    <col min="9999" max="9999" width="0" style="1121" hidden="1" customWidth="1"/>
    <col min="10000" max="10239" width="9.140625" style="1121"/>
    <col min="10240" max="10240" width="20" style="1121" customWidth="1"/>
    <col min="10241" max="10241" width="12.140625" style="1121" customWidth="1"/>
    <col min="10242" max="10242" width="23.42578125" style="1121" customWidth="1"/>
    <col min="10243" max="10245" width="12.7109375" style="1121" customWidth="1"/>
    <col min="10246" max="10246" width="10.7109375" style="1121" customWidth="1"/>
    <col min="10247" max="10247" width="11" style="1121" customWidth="1"/>
    <col min="10248" max="10248" width="14.5703125" style="1121" customWidth="1"/>
    <col min="10249" max="10250" width="9.140625" style="1121"/>
    <col min="10251" max="10251" width="12.7109375" style="1121" customWidth="1"/>
    <col min="10252" max="10252" width="18.28515625" style="1121" customWidth="1"/>
    <col min="10253" max="10254" width="9.140625" style="1121"/>
    <col min="10255" max="10255" width="0" style="1121" hidden="1" customWidth="1"/>
    <col min="10256" max="10495" width="9.140625" style="1121"/>
    <col min="10496" max="10496" width="20" style="1121" customWidth="1"/>
    <col min="10497" max="10497" width="12.140625" style="1121" customWidth="1"/>
    <col min="10498" max="10498" width="23.42578125" style="1121" customWidth="1"/>
    <col min="10499" max="10501" width="12.7109375" style="1121" customWidth="1"/>
    <col min="10502" max="10502" width="10.7109375" style="1121" customWidth="1"/>
    <col min="10503" max="10503" width="11" style="1121" customWidth="1"/>
    <col min="10504" max="10504" width="14.5703125" style="1121" customWidth="1"/>
    <col min="10505" max="10506" width="9.140625" style="1121"/>
    <col min="10507" max="10507" width="12.7109375" style="1121" customWidth="1"/>
    <col min="10508" max="10508" width="18.28515625" style="1121" customWidth="1"/>
    <col min="10509" max="10510" width="9.140625" style="1121"/>
    <col min="10511" max="10511" width="0" style="1121" hidden="1" customWidth="1"/>
    <col min="10512" max="10751" width="9.140625" style="1121"/>
    <col min="10752" max="10752" width="20" style="1121" customWidth="1"/>
    <col min="10753" max="10753" width="12.140625" style="1121" customWidth="1"/>
    <col min="10754" max="10754" width="23.42578125" style="1121" customWidth="1"/>
    <col min="10755" max="10757" width="12.7109375" style="1121" customWidth="1"/>
    <col min="10758" max="10758" width="10.7109375" style="1121" customWidth="1"/>
    <col min="10759" max="10759" width="11" style="1121" customWidth="1"/>
    <col min="10760" max="10760" width="14.5703125" style="1121" customWidth="1"/>
    <col min="10761" max="10762" width="9.140625" style="1121"/>
    <col min="10763" max="10763" width="12.7109375" style="1121" customWidth="1"/>
    <col min="10764" max="10764" width="18.28515625" style="1121" customWidth="1"/>
    <col min="10765" max="10766" width="9.140625" style="1121"/>
    <col min="10767" max="10767" width="0" style="1121" hidden="1" customWidth="1"/>
    <col min="10768" max="11007" width="9.140625" style="1121"/>
    <col min="11008" max="11008" width="20" style="1121" customWidth="1"/>
    <col min="11009" max="11009" width="12.140625" style="1121" customWidth="1"/>
    <col min="11010" max="11010" width="23.42578125" style="1121" customWidth="1"/>
    <col min="11011" max="11013" width="12.7109375" style="1121" customWidth="1"/>
    <col min="11014" max="11014" width="10.7109375" style="1121" customWidth="1"/>
    <col min="11015" max="11015" width="11" style="1121" customWidth="1"/>
    <col min="11016" max="11016" width="14.5703125" style="1121" customWidth="1"/>
    <col min="11017" max="11018" width="9.140625" style="1121"/>
    <col min="11019" max="11019" width="12.7109375" style="1121" customWidth="1"/>
    <col min="11020" max="11020" width="18.28515625" style="1121" customWidth="1"/>
    <col min="11021" max="11022" width="9.140625" style="1121"/>
    <col min="11023" max="11023" width="0" style="1121" hidden="1" customWidth="1"/>
    <col min="11024" max="11263" width="9.140625" style="1121"/>
    <col min="11264" max="11264" width="20" style="1121" customWidth="1"/>
    <col min="11265" max="11265" width="12.140625" style="1121" customWidth="1"/>
    <col min="11266" max="11266" width="23.42578125" style="1121" customWidth="1"/>
    <col min="11267" max="11269" width="12.7109375" style="1121" customWidth="1"/>
    <col min="11270" max="11270" width="10.7109375" style="1121" customWidth="1"/>
    <col min="11271" max="11271" width="11" style="1121" customWidth="1"/>
    <col min="11272" max="11272" width="14.5703125" style="1121" customWidth="1"/>
    <col min="11273" max="11274" width="9.140625" style="1121"/>
    <col min="11275" max="11275" width="12.7109375" style="1121" customWidth="1"/>
    <col min="11276" max="11276" width="18.28515625" style="1121" customWidth="1"/>
    <col min="11277" max="11278" width="9.140625" style="1121"/>
    <col min="11279" max="11279" width="0" style="1121" hidden="1" customWidth="1"/>
    <col min="11280" max="11519" width="9.140625" style="1121"/>
    <col min="11520" max="11520" width="20" style="1121" customWidth="1"/>
    <col min="11521" max="11521" width="12.140625" style="1121" customWidth="1"/>
    <col min="11522" max="11522" width="23.42578125" style="1121" customWidth="1"/>
    <col min="11523" max="11525" width="12.7109375" style="1121" customWidth="1"/>
    <col min="11526" max="11526" width="10.7109375" style="1121" customWidth="1"/>
    <col min="11527" max="11527" width="11" style="1121" customWidth="1"/>
    <col min="11528" max="11528" width="14.5703125" style="1121" customWidth="1"/>
    <col min="11529" max="11530" width="9.140625" style="1121"/>
    <col min="11531" max="11531" width="12.7109375" style="1121" customWidth="1"/>
    <col min="11532" max="11532" width="18.28515625" style="1121" customWidth="1"/>
    <col min="11533" max="11534" width="9.140625" style="1121"/>
    <col min="11535" max="11535" width="0" style="1121" hidden="1" customWidth="1"/>
    <col min="11536" max="11775" width="9.140625" style="1121"/>
    <col min="11776" max="11776" width="20" style="1121" customWidth="1"/>
    <col min="11777" max="11777" width="12.140625" style="1121" customWidth="1"/>
    <col min="11778" max="11778" width="23.42578125" style="1121" customWidth="1"/>
    <col min="11779" max="11781" width="12.7109375" style="1121" customWidth="1"/>
    <col min="11782" max="11782" width="10.7109375" style="1121" customWidth="1"/>
    <col min="11783" max="11783" width="11" style="1121" customWidth="1"/>
    <col min="11784" max="11784" width="14.5703125" style="1121" customWidth="1"/>
    <col min="11785" max="11786" width="9.140625" style="1121"/>
    <col min="11787" max="11787" width="12.7109375" style="1121" customWidth="1"/>
    <col min="11788" max="11788" width="18.28515625" style="1121" customWidth="1"/>
    <col min="11789" max="11790" width="9.140625" style="1121"/>
    <col min="11791" max="11791" width="0" style="1121" hidden="1" customWidth="1"/>
    <col min="11792" max="12031" width="9.140625" style="1121"/>
    <col min="12032" max="12032" width="20" style="1121" customWidth="1"/>
    <col min="12033" max="12033" width="12.140625" style="1121" customWidth="1"/>
    <col min="12034" max="12034" width="23.42578125" style="1121" customWidth="1"/>
    <col min="12035" max="12037" width="12.7109375" style="1121" customWidth="1"/>
    <col min="12038" max="12038" width="10.7109375" style="1121" customWidth="1"/>
    <col min="12039" max="12039" width="11" style="1121" customWidth="1"/>
    <col min="12040" max="12040" width="14.5703125" style="1121" customWidth="1"/>
    <col min="12041" max="12042" width="9.140625" style="1121"/>
    <col min="12043" max="12043" width="12.7109375" style="1121" customWidth="1"/>
    <col min="12044" max="12044" width="18.28515625" style="1121" customWidth="1"/>
    <col min="12045" max="12046" width="9.140625" style="1121"/>
    <col min="12047" max="12047" width="0" style="1121" hidden="1" customWidth="1"/>
    <col min="12048" max="12287" width="9.140625" style="1121"/>
    <col min="12288" max="12288" width="20" style="1121" customWidth="1"/>
    <col min="12289" max="12289" width="12.140625" style="1121" customWidth="1"/>
    <col min="12290" max="12290" width="23.42578125" style="1121" customWidth="1"/>
    <col min="12291" max="12293" width="12.7109375" style="1121" customWidth="1"/>
    <col min="12294" max="12294" width="10.7109375" style="1121" customWidth="1"/>
    <col min="12295" max="12295" width="11" style="1121" customWidth="1"/>
    <col min="12296" max="12296" width="14.5703125" style="1121" customWidth="1"/>
    <col min="12297" max="12298" width="9.140625" style="1121"/>
    <col min="12299" max="12299" width="12.7109375" style="1121" customWidth="1"/>
    <col min="12300" max="12300" width="18.28515625" style="1121" customWidth="1"/>
    <col min="12301" max="12302" width="9.140625" style="1121"/>
    <col min="12303" max="12303" width="0" style="1121" hidden="1" customWidth="1"/>
    <col min="12304" max="12543" width="9.140625" style="1121"/>
    <col min="12544" max="12544" width="20" style="1121" customWidth="1"/>
    <col min="12545" max="12545" width="12.140625" style="1121" customWidth="1"/>
    <col min="12546" max="12546" width="23.42578125" style="1121" customWidth="1"/>
    <col min="12547" max="12549" width="12.7109375" style="1121" customWidth="1"/>
    <col min="12550" max="12550" width="10.7109375" style="1121" customWidth="1"/>
    <col min="12551" max="12551" width="11" style="1121" customWidth="1"/>
    <col min="12552" max="12552" width="14.5703125" style="1121" customWidth="1"/>
    <col min="12553" max="12554" width="9.140625" style="1121"/>
    <col min="12555" max="12555" width="12.7109375" style="1121" customWidth="1"/>
    <col min="12556" max="12556" width="18.28515625" style="1121" customWidth="1"/>
    <col min="12557" max="12558" width="9.140625" style="1121"/>
    <col min="12559" max="12559" width="0" style="1121" hidden="1" customWidth="1"/>
    <col min="12560" max="12799" width="9.140625" style="1121"/>
    <col min="12800" max="12800" width="20" style="1121" customWidth="1"/>
    <col min="12801" max="12801" width="12.140625" style="1121" customWidth="1"/>
    <col min="12802" max="12802" width="23.42578125" style="1121" customWidth="1"/>
    <col min="12803" max="12805" width="12.7109375" style="1121" customWidth="1"/>
    <col min="12806" max="12806" width="10.7109375" style="1121" customWidth="1"/>
    <col min="12807" max="12807" width="11" style="1121" customWidth="1"/>
    <col min="12808" max="12808" width="14.5703125" style="1121" customWidth="1"/>
    <col min="12809" max="12810" width="9.140625" style="1121"/>
    <col min="12811" max="12811" width="12.7109375" style="1121" customWidth="1"/>
    <col min="12812" max="12812" width="18.28515625" style="1121" customWidth="1"/>
    <col min="12813" max="12814" width="9.140625" style="1121"/>
    <col min="12815" max="12815" width="0" style="1121" hidden="1" customWidth="1"/>
    <col min="12816" max="13055" width="9.140625" style="1121"/>
    <col min="13056" max="13056" width="20" style="1121" customWidth="1"/>
    <col min="13057" max="13057" width="12.140625" style="1121" customWidth="1"/>
    <col min="13058" max="13058" width="23.42578125" style="1121" customWidth="1"/>
    <col min="13059" max="13061" width="12.7109375" style="1121" customWidth="1"/>
    <col min="13062" max="13062" width="10.7109375" style="1121" customWidth="1"/>
    <col min="13063" max="13063" width="11" style="1121" customWidth="1"/>
    <col min="13064" max="13064" width="14.5703125" style="1121" customWidth="1"/>
    <col min="13065" max="13066" width="9.140625" style="1121"/>
    <col min="13067" max="13067" width="12.7109375" style="1121" customWidth="1"/>
    <col min="13068" max="13068" width="18.28515625" style="1121" customWidth="1"/>
    <col min="13069" max="13070" width="9.140625" style="1121"/>
    <col min="13071" max="13071" width="0" style="1121" hidden="1" customWidth="1"/>
    <col min="13072" max="13311" width="9.140625" style="1121"/>
    <col min="13312" max="13312" width="20" style="1121" customWidth="1"/>
    <col min="13313" max="13313" width="12.140625" style="1121" customWidth="1"/>
    <col min="13314" max="13314" width="23.42578125" style="1121" customWidth="1"/>
    <col min="13315" max="13317" width="12.7109375" style="1121" customWidth="1"/>
    <col min="13318" max="13318" width="10.7109375" style="1121" customWidth="1"/>
    <col min="13319" max="13319" width="11" style="1121" customWidth="1"/>
    <col min="13320" max="13320" width="14.5703125" style="1121" customWidth="1"/>
    <col min="13321" max="13322" width="9.140625" style="1121"/>
    <col min="13323" max="13323" width="12.7109375" style="1121" customWidth="1"/>
    <col min="13324" max="13324" width="18.28515625" style="1121" customWidth="1"/>
    <col min="13325" max="13326" width="9.140625" style="1121"/>
    <col min="13327" max="13327" width="0" style="1121" hidden="1" customWidth="1"/>
    <col min="13328" max="13567" width="9.140625" style="1121"/>
    <col min="13568" max="13568" width="20" style="1121" customWidth="1"/>
    <col min="13569" max="13569" width="12.140625" style="1121" customWidth="1"/>
    <col min="13570" max="13570" width="23.42578125" style="1121" customWidth="1"/>
    <col min="13571" max="13573" width="12.7109375" style="1121" customWidth="1"/>
    <col min="13574" max="13574" width="10.7109375" style="1121" customWidth="1"/>
    <col min="13575" max="13575" width="11" style="1121" customWidth="1"/>
    <col min="13576" max="13576" width="14.5703125" style="1121" customWidth="1"/>
    <col min="13577" max="13578" width="9.140625" style="1121"/>
    <col min="13579" max="13579" width="12.7109375" style="1121" customWidth="1"/>
    <col min="13580" max="13580" width="18.28515625" style="1121" customWidth="1"/>
    <col min="13581" max="13582" width="9.140625" style="1121"/>
    <col min="13583" max="13583" width="0" style="1121" hidden="1" customWidth="1"/>
    <col min="13584" max="13823" width="9.140625" style="1121"/>
    <col min="13824" max="13824" width="20" style="1121" customWidth="1"/>
    <col min="13825" max="13825" width="12.140625" style="1121" customWidth="1"/>
    <col min="13826" max="13826" width="23.42578125" style="1121" customWidth="1"/>
    <col min="13827" max="13829" width="12.7109375" style="1121" customWidth="1"/>
    <col min="13830" max="13830" width="10.7109375" style="1121" customWidth="1"/>
    <col min="13831" max="13831" width="11" style="1121" customWidth="1"/>
    <col min="13832" max="13832" width="14.5703125" style="1121" customWidth="1"/>
    <col min="13833" max="13834" width="9.140625" style="1121"/>
    <col min="13835" max="13835" width="12.7109375" style="1121" customWidth="1"/>
    <col min="13836" max="13836" width="18.28515625" style="1121" customWidth="1"/>
    <col min="13837" max="13838" width="9.140625" style="1121"/>
    <col min="13839" max="13839" width="0" style="1121" hidden="1" customWidth="1"/>
    <col min="13840" max="14079" width="9.140625" style="1121"/>
    <col min="14080" max="14080" width="20" style="1121" customWidth="1"/>
    <col min="14081" max="14081" width="12.140625" style="1121" customWidth="1"/>
    <col min="14082" max="14082" width="23.42578125" style="1121" customWidth="1"/>
    <col min="14083" max="14085" width="12.7109375" style="1121" customWidth="1"/>
    <col min="14086" max="14086" width="10.7109375" style="1121" customWidth="1"/>
    <col min="14087" max="14087" width="11" style="1121" customWidth="1"/>
    <col min="14088" max="14088" width="14.5703125" style="1121" customWidth="1"/>
    <col min="14089" max="14090" width="9.140625" style="1121"/>
    <col min="14091" max="14091" width="12.7109375" style="1121" customWidth="1"/>
    <col min="14092" max="14092" width="18.28515625" style="1121" customWidth="1"/>
    <col min="14093" max="14094" width="9.140625" style="1121"/>
    <col min="14095" max="14095" width="0" style="1121" hidden="1" customWidth="1"/>
    <col min="14096" max="14335" width="9.140625" style="1121"/>
    <col min="14336" max="14336" width="20" style="1121" customWidth="1"/>
    <col min="14337" max="14337" width="12.140625" style="1121" customWidth="1"/>
    <col min="14338" max="14338" width="23.42578125" style="1121" customWidth="1"/>
    <col min="14339" max="14341" width="12.7109375" style="1121" customWidth="1"/>
    <col min="14342" max="14342" width="10.7109375" style="1121" customWidth="1"/>
    <col min="14343" max="14343" width="11" style="1121" customWidth="1"/>
    <col min="14344" max="14344" width="14.5703125" style="1121" customWidth="1"/>
    <col min="14345" max="14346" width="9.140625" style="1121"/>
    <col min="14347" max="14347" width="12.7109375" style="1121" customWidth="1"/>
    <col min="14348" max="14348" width="18.28515625" style="1121" customWidth="1"/>
    <col min="14349" max="14350" width="9.140625" style="1121"/>
    <col min="14351" max="14351" width="0" style="1121" hidden="1" customWidth="1"/>
    <col min="14352" max="14591" width="9.140625" style="1121"/>
    <col min="14592" max="14592" width="20" style="1121" customWidth="1"/>
    <col min="14593" max="14593" width="12.140625" style="1121" customWidth="1"/>
    <col min="14594" max="14594" width="23.42578125" style="1121" customWidth="1"/>
    <col min="14595" max="14597" width="12.7109375" style="1121" customWidth="1"/>
    <col min="14598" max="14598" width="10.7109375" style="1121" customWidth="1"/>
    <col min="14599" max="14599" width="11" style="1121" customWidth="1"/>
    <col min="14600" max="14600" width="14.5703125" style="1121" customWidth="1"/>
    <col min="14601" max="14602" width="9.140625" style="1121"/>
    <col min="14603" max="14603" width="12.7109375" style="1121" customWidth="1"/>
    <col min="14604" max="14604" width="18.28515625" style="1121" customWidth="1"/>
    <col min="14605" max="14606" width="9.140625" style="1121"/>
    <col min="14607" max="14607" width="0" style="1121" hidden="1" customWidth="1"/>
    <col min="14608" max="14847" width="9.140625" style="1121"/>
    <col min="14848" max="14848" width="20" style="1121" customWidth="1"/>
    <col min="14849" max="14849" width="12.140625" style="1121" customWidth="1"/>
    <col min="14850" max="14850" width="23.42578125" style="1121" customWidth="1"/>
    <col min="14851" max="14853" width="12.7109375" style="1121" customWidth="1"/>
    <col min="14854" max="14854" width="10.7109375" style="1121" customWidth="1"/>
    <col min="14855" max="14855" width="11" style="1121" customWidth="1"/>
    <col min="14856" max="14856" width="14.5703125" style="1121" customWidth="1"/>
    <col min="14857" max="14858" width="9.140625" style="1121"/>
    <col min="14859" max="14859" width="12.7109375" style="1121" customWidth="1"/>
    <col min="14860" max="14860" width="18.28515625" style="1121" customWidth="1"/>
    <col min="14861" max="14862" width="9.140625" style="1121"/>
    <col min="14863" max="14863" width="0" style="1121" hidden="1" customWidth="1"/>
    <col min="14864" max="15103" width="9.140625" style="1121"/>
    <col min="15104" max="15104" width="20" style="1121" customWidth="1"/>
    <col min="15105" max="15105" width="12.140625" style="1121" customWidth="1"/>
    <col min="15106" max="15106" width="23.42578125" style="1121" customWidth="1"/>
    <col min="15107" max="15109" width="12.7109375" style="1121" customWidth="1"/>
    <col min="15110" max="15110" width="10.7109375" style="1121" customWidth="1"/>
    <col min="15111" max="15111" width="11" style="1121" customWidth="1"/>
    <col min="15112" max="15112" width="14.5703125" style="1121" customWidth="1"/>
    <col min="15113" max="15114" width="9.140625" style="1121"/>
    <col min="15115" max="15115" width="12.7109375" style="1121" customWidth="1"/>
    <col min="15116" max="15116" width="18.28515625" style="1121" customWidth="1"/>
    <col min="15117" max="15118" width="9.140625" style="1121"/>
    <col min="15119" max="15119" width="0" style="1121" hidden="1" customWidth="1"/>
    <col min="15120" max="15359" width="9.140625" style="1121"/>
    <col min="15360" max="15360" width="20" style="1121" customWidth="1"/>
    <col min="15361" max="15361" width="12.140625" style="1121" customWidth="1"/>
    <col min="15362" max="15362" width="23.42578125" style="1121" customWidth="1"/>
    <col min="15363" max="15365" width="12.7109375" style="1121" customWidth="1"/>
    <col min="15366" max="15366" width="10.7109375" style="1121" customWidth="1"/>
    <col min="15367" max="15367" width="11" style="1121" customWidth="1"/>
    <col min="15368" max="15368" width="14.5703125" style="1121" customWidth="1"/>
    <col min="15369" max="15370" width="9.140625" style="1121"/>
    <col min="15371" max="15371" width="12.7109375" style="1121" customWidth="1"/>
    <col min="15372" max="15372" width="18.28515625" style="1121" customWidth="1"/>
    <col min="15373" max="15374" width="9.140625" style="1121"/>
    <col min="15375" max="15375" width="0" style="1121" hidden="1" customWidth="1"/>
    <col min="15376" max="15615" width="9.140625" style="1121"/>
    <col min="15616" max="15616" width="20" style="1121" customWidth="1"/>
    <col min="15617" max="15617" width="12.140625" style="1121" customWidth="1"/>
    <col min="15618" max="15618" width="23.42578125" style="1121" customWidth="1"/>
    <col min="15619" max="15621" width="12.7109375" style="1121" customWidth="1"/>
    <col min="15622" max="15622" width="10.7109375" style="1121" customWidth="1"/>
    <col min="15623" max="15623" width="11" style="1121" customWidth="1"/>
    <col min="15624" max="15624" width="14.5703125" style="1121" customWidth="1"/>
    <col min="15625" max="15626" width="9.140625" style="1121"/>
    <col min="15627" max="15627" width="12.7109375" style="1121" customWidth="1"/>
    <col min="15628" max="15628" width="18.28515625" style="1121" customWidth="1"/>
    <col min="15629" max="15630" width="9.140625" style="1121"/>
    <col min="15631" max="15631" width="0" style="1121" hidden="1" customWidth="1"/>
    <col min="15632" max="15871" width="9.140625" style="1121"/>
    <col min="15872" max="15872" width="20" style="1121" customWidth="1"/>
    <col min="15873" max="15873" width="12.140625" style="1121" customWidth="1"/>
    <col min="15874" max="15874" width="23.42578125" style="1121" customWidth="1"/>
    <col min="15875" max="15877" width="12.7109375" style="1121" customWidth="1"/>
    <col min="15878" max="15878" width="10.7109375" style="1121" customWidth="1"/>
    <col min="15879" max="15879" width="11" style="1121" customWidth="1"/>
    <col min="15880" max="15880" width="14.5703125" style="1121" customWidth="1"/>
    <col min="15881" max="15882" width="9.140625" style="1121"/>
    <col min="15883" max="15883" width="12.7109375" style="1121" customWidth="1"/>
    <col min="15884" max="15884" width="18.28515625" style="1121" customWidth="1"/>
    <col min="15885" max="15886" width="9.140625" style="1121"/>
    <col min="15887" max="15887" width="0" style="1121" hidden="1" customWidth="1"/>
    <col min="15888" max="16127" width="9.140625" style="1121"/>
    <col min="16128" max="16128" width="20" style="1121" customWidth="1"/>
    <col min="16129" max="16129" width="12.140625" style="1121" customWidth="1"/>
    <col min="16130" max="16130" width="23.42578125" style="1121" customWidth="1"/>
    <col min="16131" max="16133" width="12.7109375" style="1121" customWidth="1"/>
    <col min="16134" max="16134" width="10.7109375" style="1121" customWidth="1"/>
    <col min="16135" max="16135" width="11" style="1121" customWidth="1"/>
    <col min="16136" max="16136" width="14.5703125" style="1121" customWidth="1"/>
    <col min="16137" max="16138" width="9.140625" style="1121"/>
    <col min="16139" max="16139" width="12.7109375" style="1121" customWidth="1"/>
    <col min="16140" max="16140" width="18.28515625" style="1121" customWidth="1"/>
    <col min="16141" max="16142" width="9.140625" style="1121"/>
    <col min="16143" max="16143" width="0" style="1121" hidden="1" customWidth="1"/>
    <col min="16144" max="16384" width="9.140625" style="1121"/>
  </cols>
  <sheetData>
    <row r="1" spans="1:65" s="1119" customFormat="1" ht="18.75">
      <c r="A1" s="1881" t="s">
        <v>3609</v>
      </c>
      <c r="B1" s="1265" t="s">
        <v>4070</v>
      </c>
      <c r="C1" s="1021"/>
      <c r="D1" s="1021"/>
      <c r="E1" s="1249"/>
      <c r="F1" s="1249"/>
      <c r="G1" s="1250"/>
      <c r="H1" s="1251"/>
      <c r="I1" s="1251"/>
      <c r="J1" s="2542" t="s">
        <v>2595</v>
      </c>
      <c r="K1" s="2542"/>
      <c r="L1" s="1269" t="s">
        <v>3610</v>
      </c>
    </row>
    <row r="2" spans="1:65" s="1119" customFormat="1">
      <c r="B2" s="1272" t="s">
        <v>3198</v>
      </c>
      <c r="C2" s="1035">
        <f>'Basic Info'!C29:D29</f>
        <v>0</v>
      </c>
      <c r="D2" s="1021"/>
      <c r="E2" s="1021"/>
      <c r="F2" s="1021"/>
      <c r="G2" s="1021"/>
      <c r="H2" s="1021"/>
      <c r="I2" s="1021"/>
      <c r="J2" s="2543"/>
      <c r="K2" s="2543"/>
      <c r="L2" s="1270"/>
    </row>
    <row r="3" spans="1:65" s="1119" customFormat="1">
      <c r="C3" s="1021"/>
      <c r="D3" s="1021"/>
      <c r="E3" s="1021"/>
      <c r="F3" s="1021"/>
      <c r="G3" s="1021"/>
      <c r="H3" s="1021"/>
      <c r="I3" s="1021"/>
      <c r="J3" s="2543"/>
      <c r="K3" s="2543"/>
      <c r="L3" s="1270"/>
    </row>
    <row r="4" spans="1:65">
      <c r="A4" s="1195"/>
      <c r="C4" s="1021"/>
      <c r="D4" s="1021"/>
      <c r="E4" s="1021"/>
      <c r="F4" s="1021"/>
      <c r="G4" s="1021"/>
      <c r="H4" s="1021"/>
      <c r="I4" s="1021"/>
      <c r="J4" s="2543"/>
      <c r="K4" s="2543"/>
      <c r="L4" s="1270"/>
    </row>
    <row r="5" spans="1:65" s="1199" customFormat="1">
      <c r="A5" s="1196"/>
      <c r="B5" s="1261" t="s">
        <v>3981</v>
      </c>
      <c r="C5" s="1252"/>
      <c r="D5" s="1252"/>
      <c r="E5" s="1252"/>
      <c r="F5" s="1226"/>
      <c r="G5" s="1129"/>
      <c r="H5" s="1129"/>
      <c r="I5" s="1129"/>
      <c r="J5" s="1129"/>
      <c r="K5" s="1129"/>
      <c r="L5" s="1252"/>
      <c r="M5" s="1198"/>
      <c r="N5" s="1198"/>
      <c r="O5" s="1198"/>
      <c r="P5" s="1198"/>
      <c r="Q5" s="1198"/>
      <c r="R5" s="1198"/>
      <c r="S5" s="1198"/>
      <c r="T5" s="1198"/>
      <c r="U5" s="1198"/>
      <c r="V5" s="1198"/>
      <c r="W5" s="1198"/>
      <c r="X5" s="1198"/>
      <c r="Y5" s="1198"/>
      <c r="Z5" s="1198"/>
      <c r="AA5" s="1198"/>
      <c r="AB5" s="1198"/>
      <c r="AC5" s="1198"/>
      <c r="AD5" s="1198"/>
      <c r="AE5" s="1198"/>
      <c r="AF5" s="1198"/>
      <c r="AG5" s="1198"/>
      <c r="AH5" s="1198"/>
      <c r="AI5" s="1198"/>
      <c r="AJ5" s="1198"/>
      <c r="AK5" s="1198"/>
      <c r="AL5" s="1198"/>
      <c r="AM5" s="1198"/>
      <c r="AN5" s="1198"/>
      <c r="AO5" s="1198"/>
      <c r="AP5" s="1198"/>
      <c r="AQ5" s="1198"/>
      <c r="AR5" s="1198"/>
      <c r="AS5" s="1198"/>
      <c r="AT5" s="1198"/>
      <c r="AU5" s="1198"/>
      <c r="AV5" s="1198"/>
      <c r="AW5" s="1198"/>
      <c r="AX5" s="1198"/>
      <c r="AY5" s="1198"/>
      <c r="AZ5" s="1198"/>
      <c r="BA5" s="1198"/>
      <c r="BB5" s="1198"/>
      <c r="BC5" s="1198"/>
      <c r="BD5" s="1198"/>
      <c r="BE5" s="1198"/>
      <c r="BF5" s="1198"/>
      <c r="BG5" s="1198"/>
      <c r="BH5" s="1198"/>
      <c r="BI5" s="1198"/>
      <c r="BJ5" s="1198"/>
      <c r="BK5" s="1198"/>
      <c r="BL5" s="1198"/>
      <c r="BM5" s="1198"/>
    </row>
    <row r="6" spans="1:65" s="1139" customFormat="1">
      <c r="B6" s="2544" t="s">
        <v>3720</v>
      </c>
      <c r="C6" s="2544"/>
      <c r="D6" s="2544"/>
      <c r="E6" s="2544"/>
      <c r="F6" s="2544"/>
      <c r="G6" s="2544"/>
      <c r="H6" s="2544"/>
      <c r="I6" s="2544"/>
      <c r="J6" s="2544"/>
      <c r="K6" s="2544"/>
      <c r="L6" s="2544"/>
    </row>
    <row r="7" spans="1:65" s="1139" customFormat="1">
      <c r="B7" s="1021"/>
      <c r="C7" s="1021"/>
      <c r="D7" s="1021"/>
      <c r="E7" s="1021"/>
      <c r="F7" s="1021"/>
      <c r="G7" s="1021"/>
      <c r="H7" s="1021"/>
      <c r="I7" s="1021"/>
      <c r="J7" s="1021"/>
      <c r="K7" s="1021"/>
      <c r="L7" s="1021"/>
    </row>
    <row r="8" spans="1:65">
      <c r="B8" s="1260" t="s">
        <v>3927</v>
      </c>
      <c r="C8" s="1226"/>
      <c r="D8" s="1226"/>
      <c r="E8" s="1226"/>
      <c r="F8" s="1226"/>
      <c r="G8" s="1129"/>
      <c r="H8" s="1129"/>
    </row>
    <row r="9" spans="1:65">
      <c r="A9" s="1124"/>
      <c r="B9" s="1226" t="s">
        <v>3613</v>
      </c>
      <c r="C9" s="1226"/>
      <c r="D9" s="1226"/>
      <c r="E9" s="1226"/>
      <c r="F9" s="1253"/>
      <c r="G9" s="1129"/>
      <c r="H9" s="1129"/>
    </row>
    <row r="10" spans="1:65">
      <c r="A10" s="1124"/>
      <c r="B10" s="1226" t="s">
        <v>3661</v>
      </c>
      <c r="C10" s="1226"/>
      <c r="D10" s="1226"/>
      <c r="E10" s="1226"/>
      <c r="F10" s="1226"/>
      <c r="G10" s="1129"/>
      <c r="H10" s="1129"/>
    </row>
    <row r="11" spans="1:65">
      <c r="A11" s="1124"/>
      <c r="B11" s="1226" t="s">
        <v>3615</v>
      </c>
      <c r="C11" s="1226"/>
      <c r="D11" s="1226"/>
      <c r="E11" s="1226"/>
      <c r="F11" s="1254"/>
      <c r="G11" s="1129"/>
      <c r="H11" s="1129"/>
    </row>
    <row r="12" spans="1:65">
      <c r="A12" s="1124"/>
      <c r="B12" s="1226" t="s">
        <v>3721</v>
      </c>
      <c r="C12" s="1226"/>
      <c r="D12" s="1226"/>
      <c r="E12" s="1226"/>
      <c r="F12" s="1226"/>
      <c r="G12" s="1129"/>
      <c r="H12" s="1129"/>
    </row>
    <row r="13" spans="1:65">
      <c r="A13" s="1124"/>
      <c r="B13" s="1226" t="s">
        <v>3722</v>
      </c>
      <c r="C13" s="1226"/>
      <c r="D13" s="1226"/>
      <c r="E13" s="1226"/>
      <c r="F13" s="1226"/>
      <c r="G13" s="1129"/>
      <c r="H13" s="1129"/>
    </row>
    <row r="14" spans="1:65">
      <c r="A14" s="1124"/>
      <c r="B14" s="1226" t="s">
        <v>3723</v>
      </c>
      <c r="C14" s="1226"/>
      <c r="D14" s="1226"/>
      <c r="E14" s="1226"/>
      <c r="F14" s="1226"/>
      <c r="G14" s="1129"/>
      <c r="H14" s="1129"/>
    </row>
    <row r="15" spans="1:65">
      <c r="A15" s="1124"/>
      <c r="B15" s="1226"/>
      <c r="C15" s="1226"/>
      <c r="D15" s="1226"/>
      <c r="E15" s="1226"/>
      <c r="F15" s="1226"/>
      <c r="G15" s="1129"/>
      <c r="H15" s="1129"/>
    </row>
    <row r="16" spans="1:65">
      <c r="A16" s="1124"/>
      <c r="B16" s="1262" t="s">
        <v>3982</v>
      </c>
      <c r="C16" s="1226"/>
      <c r="D16" s="1226"/>
      <c r="E16" s="1226"/>
      <c r="F16" s="1226"/>
      <c r="G16" s="1226"/>
      <c r="H16" s="1226"/>
    </row>
    <row r="17" spans="1:15">
      <c r="A17" s="1124"/>
      <c r="B17" s="1226" t="s">
        <v>3724</v>
      </c>
      <c r="C17" s="1226"/>
      <c r="D17" s="1226"/>
      <c r="E17" s="1226"/>
      <c r="F17" s="1226"/>
      <c r="G17" s="1226"/>
      <c r="H17" s="1226"/>
      <c r="I17" s="1226"/>
      <c r="J17" s="1226"/>
      <c r="K17" s="1226"/>
      <c r="L17" s="1226"/>
    </row>
    <row r="18" spans="1:15" ht="42.75" customHeight="1">
      <c r="A18" s="1124"/>
      <c r="B18" s="2545" t="s">
        <v>4587</v>
      </c>
      <c r="C18" s="2545"/>
      <c r="D18" s="2545"/>
      <c r="E18" s="2545"/>
      <c r="F18" s="2545"/>
      <c r="G18" s="2545"/>
      <c r="H18" s="2545"/>
      <c r="I18" s="2545"/>
      <c r="J18" s="2545"/>
      <c r="K18" s="1226"/>
      <c r="L18" s="1226"/>
    </row>
    <row r="19" spans="1:15">
      <c r="A19" s="1124"/>
      <c r="B19" s="1255" t="s">
        <v>4069</v>
      </c>
      <c r="C19" s="1255"/>
      <c r="D19" s="1255"/>
      <c r="E19" s="1255"/>
      <c r="F19" s="1255"/>
      <c r="G19" s="1255"/>
      <c r="H19" s="1255"/>
      <c r="I19" s="1255"/>
      <c r="J19" s="1255"/>
      <c r="K19" s="1255"/>
      <c r="L19" s="1255"/>
    </row>
    <row r="20" spans="1:15">
      <c r="A20" s="1124"/>
      <c r="B20" s="2546" t="s">
        <v>4067</v>
      </c>
      <c r="C20" s="2546"/>
      <c r="D20" s="2546"/>
      <c r="E20" s="2546"/>
      <c r="F20" s="2546"/>
      <c r="G20" s="2546"/>
      <c r="H20" s="2546"/>
      <c r="I20" s="2546"/>
      <c r="J20" s="2546"/>
      <c r="K20" s="1255"/>
      <c r="L20" s="1255"/>
    </row>
    <row r="21" spans="1:15">
      <c r="A21" s="1124"/>
      <c r="B21" s="2548" t="s">
        <v>4068</v>
      </c>
      <c r="C21" s="2548"/>
      <c r="D21" s="2548"/>
      <c r="E21" s="2548"/>
      <c r="F21" s="2548"/>
      <c r="G21" s="2548"/>
      <c r="H21" s="2548"/>
      <c r="I21" s="2548"/>
      <c r="J21" s="2548"/>
      <c r="K21" s="2548"/>
      <c r="L21" s="2548"/>
    </row>
    <row r="22" spans="1:15">
      <c r="A22" s="1124"/>
      <c r="B22" s="1228"/>
      <c r="C22" s="1226"/>
      <c r="D22" s="1226"/>
      <c r="E22" s="1226"/>
      <c r="F22" s="1226"/>
      <c r="G22" s="1226"/>
      <c r="H22" s="1226"/>
      <c r="I22" s="1226"/>
      <c r="J22" s="1226"/>
      <c r="K22" s="1226"/>
      <c r="L22" s="1226"/>
      <c r="M22" s="1255"/>
      <c r="N22" s="1255"/>
      <c r="O22" s="1124"/>
    </row>
    <row r="23" spans="1:15">
      <c r="A23" s="1124"/>
      <c r="B23" s="1165" t="s">
        <v>3928</v>
      </c>
      <c r="C23" s="1252"/>
      <c r="D23" s="1256"/>
      <c r="E23" s="1256"/>
      <c r="F23" s="1257"/>
      <c r="G23" s="1255"/>
      <c r="H23" s="1255"/>
      <c r="I23" s="1124"/>
    </row>
    <row r="24" spans="1:15">
      <c r="A24" s="1124"/>
      <c r="B24" s="2547" t="s">
        <v>4065</v>
      </c>
      <c r="C24" s="2541"/>
      <c r="D24" s="2541"/>
      <c r="E24" s="2541"/>
      <c r="F24" s="2541"/>
      <c r="G24" s="2541"/>
      <c r="H24" s="2541"/>
      <c r="I24" s="2541"/>
      <c r="J24" s="2541"/>
      <c r="K24" s="2541"/>
      <c r="L24" s="2541"/>
    </row>
    <row r="25" spans="1:15">
      <c r="A25" s="1124"/>
      <c r="B25" s="2541" t="s">
        <v>4063</v>
      </c>
      <c r="C25" s="2541"/>
      <c r="D25" s="2541"/>
      <c r="E25" s="2541"/>
      <c r="F25" s="2541"/>
      <c r="G25" s="2541"/>
      <c r="H25" s="2541"/>
      <c r="I25" s="2541"/>
      <c r="J25" s="2541"/>
      <c r="K25" s="2541"/>
      <c r="L25" s="2541"/>
    </row>
    <row r="26" spans="1:15">
      <c r="A26" s="1124"/>
      <c r="B26" s="2541" t="s">
        <v>4064</v>
      </c>
      <c r="C26" s="2541"/>
      <c r="D26" s="2541"/>
      <c r="E26" s="2541"/>
      <c r="F26" s="2541"/>
      <c r="G26" s="2541"/>
      <c r="H26" s="2541"/>
      <c r="I26" s="2541"/>
      <c r="J26" s="2541"/>
      <c r="K26" s="2541"/>
      <c r="L26" s="2541"/>
    </row>
    <row r="27" spans="1:15">
      <c r="A27" s="1124"/>
      <c r="B27" s="2541" t="s">
        <v>4066</v>
      </c>
      <c r="C27" s="2541"/>
      <c r="D27" s="2541"/>
      <c r="E27" s="2541"/>
      <c r="F27" s="2541"/>
      <c r="G27" s="2541"/>
      <c r="H27" s="2541"/>
      <c r="I27" s="2541"/>
      <c r="J27" s="2541"/>
      <c r="K27" s="2541"/>
      <c r="L27" s="2541"/>
    </row>
    <row r="28" spans="1:15">
      <c r="A28" s="1124"/>
      <c r="B28" s="1015"/>
      <c r="C28" s="1015"/>
      <c r="D28" s="1015"/>
      <c r="E28" s="1015"/>
      <c r="F28" s="1015"/>
      <c r="G28" s="1015"/>
      <c r="H28" s="1015"/>
      <c r="I28" s="1015"/>
      <c r="J28" s="1015"/>
      <c r="K28" s="1015"/>
      <c r="L28" s="1015"/>
    </row>
    <row r="29" spans="1:15" ht="51.75">
      <c r="B29" s="1266" t="s">
        <v>2292</v>
      </c>
      <c r="C29" s="1267" t="s">
        <v>3725</v>
      </c>
      <c r="D29" s="1267" t="s">
        <v>3716</v>
      </c>
      <c r="E29" s="1267" t="s">
        <v>4054</v>
      </c>
      <c r="F29" s="1266" t="s">
        <v>3726</v>
      </c>
      <c r="G29" s="1266" t="s">
        <v>4055</v>
      </c>
      <c r="H29" s="1266" t="s">
        <v>4056</v>
      </c>
      <c r="I29" s="1267" t="s">
        <v>4057</v>
      </c>
      <c r="J29" s="1268" t="s">
        <v>3627</v>
      </c>
      <c r="K29" s="2539" t="s">
        <v>4058</v>
      </c>
      <c r="L29" s="2540"/>
    </row>
    <row r="30" spans="1:15">
      <c r="B30" s="1071"/>
      <c r="C30" s="1071"/>
      <c r="D30" s="1071"/>
      <c r="E30" s="1071"/>
      <c r="F30" s="1071"/>
      <c r="G30" s="1071"/>
      <c r="H30" s="1071"/>
      <c r="I30" s="1071"/>
      <c r="J30" s="1213"/>
      <c r="K30" s="2456"/>
      <c r="L30" s="2456"/>
    </row>
    <row r="31" spans="1:15">
      <c r="B31" s="1071"/>
      <c r="C31" s="1071"/>
      <c r="D31" s="1071"/>
      <c r="E31" s="1071"/>
      <c r="F31" s="1071"/>
      <c r="G31" s="1071"/>
      <c r="H31" s="1071"/>
      <c r="I31" s="1071"/>
      <c r="J31" s="1213"/>
      <c r="K31" s="2456"/>
      <c r="L31" s="2456"/>
    </row>
    <row r="32" spans="1:15">
      <c r="B32" s="1071"/>
      <c r="C32" s="1071"/>
      <c r="D32" s="1071"/>
      <c r="E32" s="1071"/>
      <c r="F32" s="1071"/>
      <c r="G32" s="1071"/>
      <c r="H32" s="1071"/>
      <c r="I32" s="1071"/>
      <c r="J32" s="1213"/>
      <c r="K32" s="2456"/>
      <c r="L32" s="2456"/>
    </row>
    <row r="33" spans="1:13">
      <c r="B33" s="1071"/>
      <c r="C33" s="1071"/>
      <c r="D33" s="1071"/>
      <c r="E33" s="1071"/>
      <c r="F33" s="1071"/>
      <c r="G33" s="1071"/>
      <c r="H33" s="1071"/>
      <c r="I33" s="1071"/>
      <c r="J33" s="1213"/>
      <c r="K33" s="2456"/>
      <c r="L33" s="2456"/>
    </row>
    <row r="34" spans="1:13">
      <c r="B34" s="1071"/>
      <c r="C34" s="1071"/>
      <c r="D34" s="1071"/>
      <c r="E34" s="1071"/>
      <c r="F34" s="1071"/>
      <c r="G34" s="1071"/>
      <c r="H34" s="1071"/>
      <c r="I34" s="1071"/>
      <c r="J34" s="1213"/>
      <c r="K34" s="2456"/>
      <c r="L34" s="2456"/>
    </row>
    <row r="35" spans="1:13">
      <c r="B35" s="1228"/>
      <c r="C35" s="1226"/>
      <c r="D35" s="1226"/>
      <c r="E35" s="1226"/>
      <c r="F35" s="1226"/>
      <c r="G35" s="1226"/>
      <c r="H35" s="1226"/>
      <c r="I35" s="1226"/>
      <c r="J35" s="1273"/>
      <c r="K35" s="1226"/>
      <c r="L35" s="1226"/>
    </row>
    <row r="36" spans="1:13">
      <c r="B36" s="1228"/>
      <c r="C36" s="1226"/>
      <c r="D36" s="1226"/>
      <c r="E36" s="1226"/>
      <c r="F36" s="1226"/>
      <c r="G36" s="1226"/>
      <c r="H36" s="1226"/>
      <c r="I36" s="1226"/>
      <c r="J36" s="1273"/>
      <c r="K36" s="1226"/>
      <c r="L36" s="1226"/>
    </row>
    <row r="37" spans="1:13">
      <c r="A37" s="1124"/>
      <c r="B37" s="1228"/>
      <c r="C37" s="1226"/>
      <c r="D37" s="1226"/>
      <c r="E37" s="1226"/>
      <c r="F37" s="1226"/>
      <c r="G37" s="1226"/>
      <c r="H37" s="1226"/>
      <c r="I37" s="1226"/>
      <c r="J37" s="1273"/>
      <c r="K37" s="1226"/>
      <c r="L37" s="1226"/>
    </row>
    <row r="38" spans="1:13" ht="66" customHeight="1">
      <c r="A38" s="1124"/>
      <c r="B38" s="2388"/>
      <c r="C38" s="2390"/>
      <c r="D38" s="2388" t="s">
        <v>3968</v>
      </c>
      <c r="E38" s="2390"/>
      <c r="F38" s="2388" t="s">
        <v>3727</v>
      </c>
      <c r="G38" s="2390"/>
      <c r="H38" s="2388" t="s">
        <v>3620</v>
      </c>
      <c r="I38" s="2390"/>
      <c r="J38" s="1083" t="s">
        <v>3627</v>
      </c>
      <c r="K38" s="2428" t="s">
        <v>4058</v>
      </c>
      <c r="L38" s="2428"/>
    </row>
    <row r="39" spans="1:13" ht="61.5" customHeight="1">
      <c r="A39" s="1124"/>
      <c r="B39" s="2440" t="s">
        <v>3976</v>
      </c>
      <c r="C39" s="2442"/>
      <c r="D39" s="2391" t="s">
        <v>3596</v>
      </c>
      <c r="E39" s="2417"/>
      <c r="F39" s="2537" t="str">
        <f>ERMs!C33</f>
        <v>, U-</v>
      </c>
      <c r="G39" s="2538"/>
      <c r="H39" s="2537" t="str">
        <f>ERMs!D33</f>
        <v>Baseline: U-
Proposed: U-</v>
      </c>
      <c r="I39" s="2538"/>
      <c r="J39" s="1017"/>
      <c r="K39" s="2393"/>
      <c r="L39" s="2393"/>
    </row>
    <row r="40" spans="1:13" ht="24.75" customHeight="1">
      <c r="B40" s="2440" t="s">
        <v>4059</v>
      </c>
      <c r="C40" s="2441"/>
      <c r="D40" s="2441"/>
      <c r="E40" s="2441"/>
      <c r="F40" s="2441"/>
      <c r="G40" s="2441"/>
      <c r="H40" s="2441"/>
      <c r="I40" s="2524"/>
      <c r="J40" s="1019"/>
      <c r="K40" s="2383"/>
      <c r="L40" s="2383"/>
    </row>
    <row r="41" spans="1:13" ht="29.25" customHeight="1">
      <c r="B41" s="2440" t="s">
        <v>4060</v>
      </c>
      <c r="C41" s="2441"/>
      <c r="D41" s="2441"/>
      <c r="E41" s="2441"/>
      <c r="F41" s="2441"/>
      <c r="G41" s="2441"/>
      <c r="H41" s="2441"/>
      <c r="I41" s="2524"/>
      <c r="J41" s="1019"/>
      <c r="K41" s="2383"/>
      <c r="L41" s="2383"/>
      <c r="M41" s="1129"/>
    </row>
    <row r="42" spans="1:13" ht="62.25" customHeight="1">
      <c r="B42" s="2440" t="s">
        <v>4061</v>
      </c>
      <c r="C42" s="2441"/>
      <c r="D42" s="2441"/>
      <c r="E42" s="2441"/>
      <c r="F42" s="2441"/>
      <c r="G42" s="2441"/>
      <c r="H42" s="2441"/>
      <c r="I42" s="2524"/>
      <c r="J42" s="1019"/>
      <c r="K42" s="2383"/>
      <c r="L42" s="2383"/>
    </row>
    <row r="43" spans="1:13" ht="36.75" customHeight="1">
      <c r="B43" s="2440" t="s">
        <v>4062</v>
      </c>
      <c r="C43" s="2441"/>
      <c r="D43" s="2441"/>
      <c r="E43" s="2441"/>
      <c r="F43" s="2441"/>
      <c r="G43" s="2441"/>
      <c r="H43" s="2441"/>
      <c r="I43" s="2524"/>
      <c r="J43" s="1019"/>
      <c r="K43" s="2383"/>
      <c r="L43" s="2383"/>
    </row>
    <row r="44" spans="1:13" ht="49.5" customHeight="1">
      <c r="B44" s="2440" t="s">
        <v>4044</v>
      </c>
      <c r="C44" s="2441"/>
      <c r="D44" s="2441"/>
      <c r="E44" s="2441"/>
      <c r="F44" s="2441"/>
      <c r="G44" s="2441"/>
      <c r="H44" s="2441"/>
      <c r="I44" s="2524"/>
      <c r="J44" s="1019"/>
      <c r="K44" s="2383"/>
      <c r="L44" s="2383"/>
    </row>
    <row r="45" spans="1:13" ht="29.25" customHeight="1">
      <c r="B45" s="896"/>
      <c r="C45" s="896"/>
      <c r="D45" s="896"/>
      <c r="E45" s="896"/>
      <c r="F45" s="896"/>
      <c r="G45" s="896"/>
      <c r="H45" s="896"/>
      <c r="I45" s="896"/>
      <c r="J45" s="896"/>
      <c r="K45" s="896"/>
      <c r="L45" s="896"/>
    </row>
    <row r="46" spans="1:13" ht="54" customHeight="1">
      <c r="B46" s="1258"/>
      <c r="C46" s="1129"/>
      <c r="D46" s="1129"/>
      <c r="E46" s="1129"/>
      <c r="F46" s="1129"/>
      <c r="G46" s="1129"/>
      <c r="H46" s="1129"/>
      <c r="I46" s="1129"/>
      <c r="J46" s="1129"/>
      <c r="K46" s="1129"/>
      <c r="L46" s="1129"/>
    </row>
    <row r="51" spans="15:15">
      <c r="O51" s="1121" t="s">
        <v>1493</v>
      </c>
    </row>
    <row r="52" spans="15:15">
      <c r="O52" s="1121" t="s">
        <v>1494</v>
      </c>
    </row>
    <row r="53" spans="15:15">
      <c r="O53" s="1121" t="s">
        <v>2677</v>
      </c>
    </row>
  </sheetData>
  <sheetProtection formatCells="0" formatColumns="0" formatRows="0" insertColumns="0" insertRows="0"/>
  <mergeCells count="38">
    <mergeCell ref="B18:J18"/>
    <mergeCell ref="B20:J20"/>
    <mergeCell ref="B24:L24"/>
    <mergeCell ref="B25:L25"/>
    <mergeCell ref="B26:L26"/>
    <mergeCell ref="B21:L21"/>
    <mergeCell ref="J1:K1"/>
    <mergeCell ref="J2:K2"/>
    <mergeCell ref="J3:K3"/>
    <mergeCell ref="J4:K4"/>
    <mergeCell ref="B6:L6"/>
    <mergeCell ref="K29:L29"/>
    <mergeCell ref="K30:L30"/>
    <mergeCell ref="K31:L31"/>
    <mergeCell ref="K32:L32"/>
    <mergeCell ref="B27:L27"/>
    <mergeCell ref="K33:L33"/>
    <mergeCell ref="B38:C38"/>
    <mergeCell ref="K38:L38"/>
    <mergeCell ref="B39:C39"/>
    <mergeCell ref="K39:L39"/>
    <mergeCell ref="H38:I38"/>
    <mergeCell ref="H39:I39"/>
    <mergeCell ref="F38:G38"/>
    <mergeCell ref="F39:G39"/>
    <mergeCell ref="D38:E38"/>
    <mergeCell ref="D39:E39"/>
    <mergeCell ref="K34:L34"/>
    <mergeCell ref="B40:I40"/>
    <mergeCell ref="K43:L43"/>
    <mergeCell ref="K44:L44"/>
    <mergeCell ref="K40:L40"/>
    <mergeCell ref="K41:L41"/>
    <mergeCell ref="K42:L42"/>
    <mergeCell ref="B41:I41"/>
    <mergeCell ref="B42:I42"/>
    <mergeCell ref="B43:I43"/>
    <mergeCell ref="B44:I44"/>
  </mergeCells>
  <dataValidations count="1">
    <dataValidation type="list" allowBlank="1" showInputMessage="1" showErrorMessage="1" sqref="JC41 WVO30 WLS30 WBW30 VSA30 VIE30 UYI30 UOM30 UEQ30 TUU30 TKY30 TBC30 SRG30 SHK30 RXO30 RNS30 RDW30 QUA30 QKE30 QAI30 PQM30 PGQ30 OWU30 OMY30 ODC30 NTG30 NJK30 MZO30 MPS30 MFW30 LWA30 LME30 LCI30 KSM30 KIQ30 JYU30 JOY30 JFC30 IVG30 ILK30 IBO30 HRS30 HHW30 GYA30 GOE30 GEI30 FUM30 FKQ30 FAU30 EQY30 EHC30 DXG30 DNK30 DDO30 CTS30 CJW30 CAA30 BQE30 BGI30 AWM30 AMQ30 ACU30 SY30 JC30 JC32:JD34 JE35:JF36 SY32:SZ34 TA35:TB36 ACU32:ACV34 ACW35:ACX36 AMQ32:AMR34 AMS35:AMT36 AWM32:AWN34 AWO35:AWP36 BGI32:BGJ34 BGK35:BGL36 BQE32:BQF34 BQG35:BQH36 CAA32:CAB34 CAC35:CAD36 CJW32:CJX34 CJY35:CJZ36 CTS32:CTT34 CTU35:CTV36 DDO32:DDP34 DDQ35:DDR36 DNK32:DNL34 DNM35:DNN36 DXG32:DXH34 DXI35:DXJ36 EHC32:EHD34 EHE35:EHF36 EQY32:EQZ34 ERA35:ERB36 FAU32:FAV34 FAW35:FAX36 FKQ32:FKR34 FKS35:FKT36 FUM32:FUN34 FUO35:FUP36 GEI32:GEJ34 GEK35:GEL36 GOE32:GOF34 GOG35:GOH36 GYA32:GYB34 GYC35:GYD36 HHW32:HHX34 HHY35:HHZ36 HRS32:HRT34 HRU35:HRV36 IBO32:IBP34 IBQ35:IBR36 ILK32:ILL34 ILM35:ILN36 IVG32:IVH34 IVI35:IVJ36 JFC32:JFD34 JFE35:JFF36 JOY32:JOZ34 JPA35:JPB36 JYU32:JYV34 JYW35:JYX36 KIQ32:KIR34 KIS35:KIT36 KSM32:KSN34 KSO35:KSP36 LCI32:LCJ34 LCK35:LCL36 LME32:LMF34 LMG35:LMH36 LWA32:LWB34 LWC35:LWD36 MFW32:MFX34 MFY35:MFZ36 MPS32:MPT34 MPU35:MPV36 MZO32:MZP34 MZQ35:MZR36 NJK32:NJL34 NJM35:NJN36 NTG32:NTH34 NTI35:NTJ36 ODC32:ODD34 ODE35:ODF36 OMY32:OMZ34 ONA35:ONB36 OWU32:OWV34 OWW35:OWX36 PGQ32:PGR34 PGS35:PGT36 PQM32:PQN34 PQO35:PQP36 QAI32:QAJ34 QAK35:QAL36 QKE32:QKF34 QKG35:QKH36 QUA32:QUB34 QUC35:QUD36 RDW32:RDX34 RDY35:RDZ36 RNS32:RNT34 RNU35:RNV36 RXO32:RXP34 RXQ35:RXR36 SHK32:SHL34 SHM35:SHN36 SRG32:SRH34 SRI35:SRJ36 TBC32:TBD34 TBE35:TBF36 TKY32:TKZ34 TLA35:TLB36 TUU32:TUV34 TUW35:TUX36 UEQ32:UER34 UES35:UET36 UOM32:UON34 UOO35:UOP36 UYI32:UYJ34 UYK35:UYL36 VIE32:VIF34 VIG35:VIH36 VSA32:VSB34 VSC35:VSD36 WBW32:WBX34 WBY35:WBZ36 WLS32:WLT34 WLU35:WLV36 WVO32:WVP34 WVQ35:WVR36 JE65568:JF65572 TA65568:TB65572 ACW65568:ACX65572 AMS65568:AMT65572 AWO65568:AWP65572 BGK65568:BGL65572 BQG65568:BQH65572 CAC65568:CAD65572 CJY65568:CJZ65572 CTU65568:CTV65572 DDQ65568:DDR65572 DNM65568:DNN65572 DXI65568:DXJ65572 EHE65568:EHF65572 ERA65568:ERB65572 FAW65568:FAX65572 FKS65568:FKT65572 FUO65568:FUP65572 GEK65568:GEL65572 GOG65568:GOH65572 GYC65568:GYD65572 HHY65568:HHZ65572 HRU65568:HRV65572 IBQ65568:IBR65572 ILM65568:ILN65572 IVI65568:IVJ65572 JFE65568:JFF65572 JPA65568:JPB65572 JYW65568:JYX65572 KIS65568:KIT65572 KSO65568:KSP65572 LCK65568:LCL65572 LMG65568:LMH65572 LWC65568:LWD65572 MFY65568:MFZ65572 MPU65568:MPV65572 MZQ65568:MZR65572 NJM65568:NJN65572 NTI65568:NTJ65572 ODE65568:ODF65572 ONA65568:ONB65572 OWW65568:OWX65572 PGS65568:PGT65572 PQO65568:PQP65572 QAK65568:QAL65572 QKG65568:QKH65572 QUC65568:QUD65572 RDY65568:RDZ65572 RNU65568:RNV65572 RXQ65568:RXR65572 SHM65568:SHN65572 SRI65568:SRJ65572 TBE65568:TBF65572 TLA65568:TLB65572 TUW65568:TUX65572 UES65568:UET65572 UOO65568:UOP65572 UYK65568:UYL65572 VIG65568:VIH65572 VSC65568:VSD65572 WBY65568:WBZ65572 WLU65568:WLV65572 WVQ65568:WVR65572 JE131104:JF131108 TA131104:TB131108 ACW131104:ACX131108 AMS131104:AMT131108 AWO131104:AWP131108 BGK131104:BGL131108 BQG131104:BQH131108 CAC131104:CAD131108 CJY131104:CJZ131108 CTU131104:CTV131108 DDQ131104:DDR131108 DNM131104:DNN131108 DXI131104:DXJ131108 EHE131104:EHF131108 ERA131104:ERB131108 FAW131104:FAX131108 FKS131104:FKT131108 FUO131104:FUP131108 GEK131104:GEL131108 GOG131104:GOH131108 GYC131104:GYD131108 HHY131104:HHZ131108 HRU131104:HRV131108 IBQ131104:IBR131108 ILM131104:ILN131108 IVI131104:IVJ131108 JFE131104:JFF131108 JPA131104:JPB131108 JYW131104:JYX131108 KIS131104:KIT131108 KSO131104:KSP131108 LCK131104:LCL131108 LMG131104:LMH131108 LWC131104:LWD131108 MFY131104:MFZ131108 MPU131104:MPV131108 MZQ131104:MZR131108 NJM131104:NJN131108 NTI131104:NTJ131108 ODE131104:ODF131108 ONA131104:ONB131108 OWW131104:OWX131108 PGS131104:PGT131108 PQO131104:PQP131108 QAK131104:QAL131108 QKG131104:QKH131108 QUC131104:QUD131108 RDY131104:RDZ131108 RNU131104:RNV131108 RXQ131104:RXR131108 SHM131104:SHN131108 SRI131104:SRJ131108 TBE131104:TBF131108 TLA131104:TLB131108 TUW131104:TUX131108 UES131104:UET131108 UOO131104:UOP131108 UYK131104:UYL131108 VIG131104:VIH131108 VSC131104:VSD131108 WBY131104:WBZ131108 WLU131104:WLV131108 WVQ131104:WVR131108 JE196640:JF196644 TA196640:TB196644 ACW196640:ACX196644 AMS196640:AMT196644 AWO196640:AWP196644 BGK196640:BGL196644 BQG196640:BQH196644 CAC196640:CAD196644 CJY196640:CJZ196644 CTU196640:CTV196644 DDQ196640:DDR196644 DNM196640:DNN196644 DXI196640:DXJ196644 EHE196640:EHF196644 ERA196640:ERB196644 FAW196640:FAX196644 FKS196640:FKT196644 FUO196640:FUP196644 GEK196640:GEL196644 GOG196640:GOH196644 GYC196640:GYD196644 HHY196640:HHZ196644 HRU196640:HRV196644 IBQ196640:IBR196644 ILM196640:ILN196644 IVI196640:IVJ196644 JFE196640:JFF196644 JPA196640:JPB196644 JYW196640:JYX196644 KIS196640:KIT196644 KSO196640:KSP196644 LCK196640:LCL196644 LMG196640:LMH196644 LWC196640:LWD196644 MFY196640:MFZ196644 MPU196640:MPV196644 MZQ196640:MZR196644 NJM196640:NJN196644 NTI196640:NTJ196644 ODE196640:ODF196644 ONA196640:ONB196644 OWW196640:OWX196644 PGS196640:PGT196644 PQO196640:PQP196644 QAK196640:QAL196644 QKG196640:QKH196644 QUC196640:QUD196644 RDY196640:RDZ196644 RNU196640:RNV196644 RXQ196640:RXR196644 SHM196640:SHN196644 SRI196640:SRJ196644 TBE196640:TBF196644 TLA196640:TLB196644 TUW196640:TUX196644 UES196640:UET196644 UOO196640:UOP196644 UYK196640:UYL196644 VIG196640:VIH196644 VSC196640:VSD196644 WBY196640:WBZ196644 WLU196640:WLV196644 WVQ196640:WVR196644 JE262176:JF262180 TA262176:TB262180 ACW262176:ACX262180 AMS262176:AMT262180 AWO262176:AWP262180 BGK262176:BGL262180 BQG262176:BQH262180 CAC262176:CAD262180 CJY262176:CJZ262180 CTU262176:CTV262180 DDQ262176:DDR262180 DNM262176:DNN262180 DXI262176:DXJ262180 EHE262176:EHF262180 ERA262176:ERB262180 FAW262176:FAX262180 FKS262176:FKT262180 FUO262176:FUP262180 GEK262176:GEL262180 GOG262176:GOH262180 GYC262176:GYD262180 HHY262176:HHZ262180 HRU262176:HRV262180 IBQ262176:IBR262180 ILM262176:ILN262180 IVI262176:IVJ262180 JFE262176:JFF262180 JPA262176:JPB262180 JYW262176:JYX262180 KIS262176:KIT262180 KSO262176:KSP262180 LCK262176:LCL262180 LMG262176:LMH262180 LWC262176:LWD262180 MFY262176:MFZ262180 MPU262176:MPV262180 MZQ262176:MZR262180 NJM262176:NJN262180 NTI262176:NTJ262180 ODE262176:ODF262180 ONA262176:ONB262180 OWW262176:OWX262180 PGS262176:PGT262180 PQO262176:PQP262180 QAK262176:QAL262180 QKG262176:QKH262180 QUC262176:QUD262180 RDY262176:RDZ262180 RNU262176:RNV262180 RXQ262176:RXR262180 SHM262176:SHN262180 SRI262176:SRJ262180 TBE262176:TBF262180 TLA262176:TLB262180 TUW262176:TUX262180 UES262176:UET262180 UOO262176:UOP262180 UYK262176:UYL262180 VIG262176:VIH262180 VSC262176:VSD262180 WBY262176:WBZ262180 WLU262176:WLV262180 WVQ262176:WVR262180 JE327712:JF327716 TA327712:TB327716 ACW327712:ACX327716 AMS327712:AMT327716 AWO327712:AWP327716 BGK327712:BGL327716 BQG327712:BQH327716 CAC327712:CAD327716 CJY327712:CJZ327716 CTU327712:CTV327716 DDQ327712:DDR327716 DNM327712:DNN327716 DXI327712:DXJ327716 EHE327712:EHF327716 ERA327712:ERB327716 FAW327712:FAX327716 FKS327712:FKT327716 FUO327712:FUP327716 GEK327712:GEL327716 GOG327712:GOH327716 GYC327712:GYD327716 HHY327712:HHZ327716 HRU327712:HRV327716 IBQ327712:IBR327716 ILM327712:ILN327716 IVI327712:IVJ327716 JFE327712:JFF327716 JPA327712:JPB327716 JYW327712:JYX327716 KIS327712:KIT327716 KSO327712:KSP327716 LCK327712:LCL327716 LMG327712:LMH327716 LWC327712:LWD327716 MFY327712:MFZ327716 MPU327712:MPV327716 MZQ327712:MZR327716 NJM327712:NJN327716 NTI327712:NTJ327716 ODE327712:ODF327716 ONA327712:ONB327716 OWW327712:OWX327716 PGS327712:PGT327716 PQO327712:PQP327716 QAK327712:QAL327716 QKG327712:QKH327716 QUC327712:QUD327716 RDY327712:RDZ327716 RNU327712:RNV327716 RXQ327712:RXR327716 SHM327712:SHN327716 SRI327712:SRJ327716 TBE327712:TBF327716 TLA327712:TLB327716 TUW327712:TUX327716 UES327712:UET327716 UOO327712:UOP327716 UYK327712:UYL327716 VIG327712:VIH327716 VSC327712:VSD327716 WBY327712:WBZ327716 WLU327712:WLV327716 WVQ327712:WVR327716 JE393248:JF393252 TA393248:TB393252 ACW393248:ACX393252 AMS393248:AMT393252 AWO393248:AWP393252 BGK393248:BGL393252 BQG393248:BQH393252 CAC393248:CAD393252 CJY393248:CJZ393252 CTU393248:CTV393252 DDQ393248:DDR393252 DNM393248:DNN393252 DXI393248:DXJ393252 EHE393248:EHF393252 ERA393248:ERB393252 FAW393248:FAX393252 FKS393248:FKT393252 FUO393248:FUP393252 GEK393248:GEL393252 GOG393248:GOH393252 GYC393248:GYD393252 HHY393248:HHZ393252 HRU393248:HRV393252 IBQ393248:IBR393252 ILM393248:ILN393252 IVI393248:IVJ393252 JFE393248:JFF393252 JPA393248:JPB393252 JYW393248:JYX393252 KIS393248:KIT393252 KSO393248:KSP393252 LCK393248:LCL393252 LMG393248:LMH393252 LWC393248:LWD393252 MFY393248:MFZ393252 MPU393248:MPV393252 MZQ393248:MZR393252 NJM393248:NJN393252 NTI393248:NTJ393252 ODE393248:ODF393252 ONA393248:ONB393252 OWW393248:OWX393252 PGS393248:PGT393252 PQO393248:PQP393252 QAK393248:QAL393252 QKG393248:QKH393252 QUC393248:QUD393252 RDY393248:RDZ393252 RNU393248:RNV393252 RXQ393248:RXR393252 SHM393248:SHN393252 SRI393248:SRJ393252 TBE393248:TBF393252 TLA393248:TLB393252 TUW393248:TUX393252 UES393248:UET393252 UOO393248:UOP393252 UYK393248:UYL393252 VIG393248:VIH393252 VSC393248:VSD393252 WBY393248:WBZ393252 WLU393248:WLV393252 WVQ393248:WVR393252 JE458784:JF458788 TA458784:TB458788 ACW458784:ACX458788 AMS458784:AMT458788 AWO458784:AWP458788 BGK458784:BGL458788 BQG458784:BQH458788 CAC458784:CAD458788 CJY458784:CJZ458788 CTU458784:CTV458788 DDQ458784:DDR458788 DNM458784:DNN458788 DXI458784:DXJ458788 EHE458784:EHF458788 ERA458784:ERB458788 FAW458784:FAX458788 FKS458784:FKT458788 FUO458784:FUP458788 GEK458784:GEL458788 GOG458784:GOH458788 GYC458784:GYD458788 HHY458784:HHZ458788 HRU458784:HRV458788 IBQ458784:IBR458788 ILM458784:ILN458788 IVI458784:IVJ458788 JFE458784:JFF458788 JPA458784:JPB458788 JYW458784:JYX458788 KIS458784:KIT458788 KSO458784:KSP458788 LCK458784:LCL458788 LMG458784:LMH458788 LWC458784:LWD458788 MFY458784:MFZ458788 MPU458784:MPV458788 MZQ458784:MZR458788 NJM458784:NJN458788 NTI458784:NTJ458788 ODE458784:ODF458788 ONA458784:ONB458788 OWW458784:OWX458788 PGS458784:PGT458788 PQO458784:PQP458788 QAK458784:QAL458788 QKG458784:QKH458788 QUC458784:QUD458788 RDY458784:RDZ458788 RNU458784:RNV458788 RXQ458784:RXR458788 SHM458784:SHN458788 SRI458784:SRJ458788 TBE458784:TBF458788 TLA458784:TLB458788 TUW458784:TUX458788 UES458784:UET458788 UOO458784:UOP458788 UYK458784:UYL458788 VIG458784:VIH458788 VSC458784:VSD458788 WBY458784:WBZ458788 WLU458784:WLV458788 WVQ458784:WVR458788 JE524320:JF524324 TA524320:TB524324 ACW524320:ACX524324 AMS524320:AMT524324 AWO524320:AWP524324 BGK524320:BGL524324 BQG524320:BQH524324 CAC524320:CAD524324 CJY524320:CJZ524324 CTU524320:CTV524324 DDQ524320:DDR524324 DNM524320:DNN524324 DXI524320:DXJ524324 EHE524320:EHF524324 ERA524320:ERB524324 FAW524320:FAX524324 FKS524320:FKT524324 FUO524320:FUP524324 GEK524320:GEL524324 GOG524320:GOH524324 GYC524320:GYD524324 HHY524320:HHZ524324 HRU524320:HRV524324 IBQ524320:IBR524324 ILM524320:ILN524324 IVI524320:IVJ524324 JFE524320:JFF524324 JPA524320:JPB524324 JYW524320:JYX524324 KIS524320:KIT524324 KSO524320:KSP524324 LCK524320:LCL524324 LMG524320:LMH524324 LWC524320:LWD524324 MFY524320:MFZ524324 MPU524320:MPV524324 MZQ524320:MZR524324 NJM524320:NJN524324 NTI524320:NTJ524324 ODE524320:ODF524324 ONA524320:ONB524324 OWW524320:OWX524324 PGS524320:PGT524324 PQO524320:PQP524324 QAK524320:QAL524324 QKG524320:QKH524324 QUC524320:QUD524324 RDY524320:RDZ524324 RNU524320:RNV524324 RXQ524320:RXR524324 SHM524320:SHN524324 SRI524320:SRJ524324 TBE524320:TBF524324 TLA524320:TLB524324 TUW524320:TUX524324 UES524320:UET524324 UOO524320:UOP524324 UYK524320:UYL524324 VIG524320:VIH524324 VSC524320:VSD524324 WBY524320:WBZ524324 WLU524320:WLV524324 WVQ524320:WVR524324 JE589856:JF589860 TA589856:TB589860 ACW589856:ACX589860 AMS589856:AMT589860 AWO589856:AWP589860 BGK589856:BGL589860 BQG589856:BQH589860 CAC589856:CAD589860 CJY589856:CJZ589860 CTU589856:CTV589860 DDQ589856:DDR589860 DNM589856:DNN589860 DXI589856:DXJ589860 EHE589856:EHF589860 ERA589856:ERB589860 FAW589856:FAX589860 FKS589856:FKT589860 FUO589856:FUP589860 GEK589856:GEL589860 GOG589856:GOH589860 GYC589856:GYD589860 HHY589856:HHZ589860 HRU589856:HRV589860 IBQ589856:IBR589860 ILM589856:ILN589860 IVI589856:IVJ589860 JFE589856:JFF589860 JPA589856:JPB589860 JYW589856:JYX589860 KIS589856:KIT589860 KSO589856:KSP589860 LCK589856:LCL589860 LMG589856:LMH589860 LWC589856:LWD589860 MFY589856:MFZ589860 MPU589856:MPV589860 MZQ589856:MZR589860 NJM589856:NJN589860 NTI589856:NTJ589860 ODE589856:ODF589860 ONA589856:ONB589860 OWW589856:OWX589860 PGS589856:PGT589860 PQO589856:PQP589860 QAK589856:QAL589860 QKG589856:QKH589860 QUC589856:QUD589860 RDY589856:RDZ589860 RNU589856:RNV589860 RXQ589856:RXR589860 SHM589856:SHN589860 SRI589856:SRJ589860 TBE589856:TBF589860 TLA589856:TLB589860 TUW589856:TUX589860 UES589856:UET589860 UOO589856:UOP589860 UYK589856:UYL589860 VIG589856:VIH589860 VSC589856:VSD589860 WBY589856:WBZ589860 WLU589856:WLV589860 WVQ589856:WVR589860 JE655392:JF655396 TA655392:TB655396 ACW655392:ACX655396 AMS655392:AMT655396 AWO655392:AWP655396 BGK655392:BGL655396 BQG655392:BQH655396 CAC655392:CAD655396 CJY655392:CJZ655396 CTU655392:CTV655396 DDQ655392:DDR655396 DNM655392:DNN655396 DXI655392:DXJ655396 EHE655392:EHF655396 ERA655392:ERB655396 FAW655392:FAX655396 FKS655392:FKT655396 FUO655392:FUP655396 GEK655392:GEL655396 GOG655392:GOH655396 GYC655392:GYD655396 HHY655392:HHZ655396 HRU655392:HRV655396 IBQ655392:IBR655396 ILM655392:ILN655396 IVI655392:IVJ655396 JFE655392:JFF655396 JPA655392:JPB655396 JYW655392:JYX655396 KIS655392:KIT655396 KSO655392:KSP655396 LCK655392:LCL655396 LMG655392:LMH655396 LWC655392:LWD655396 MFY655392:MFZ655396 MPU655392:MPV655396 MZQ655392:MZR655396 NJM655392:NJN655396 NTI655392:NTJ655396 ODE655392:ODF655396 ONA655392:ONB655396 OWW655392:OWX655396 PGS655392:PGT655396 PQO655392:PQP655396 QAK655392:QAL655396 QKG655392:QKH655396 QUC655392:QUD655396 RDY655392:RDZ655396 RNU655392:RNV655396 RXQ655392:RXR655396 SHM655392:SHN655396 SRI655392:SRJ655396 TBE655392:TBF655396 TLA655392:TLB655396 TUW655392:TUX655396 UES655392:UET655396 UOO655392:UOP655396 UYK655392:UYL655396 VIG655392:VIH655396 VSC655392:VSD655396 WBY655392:WBZ655396 WLU655392:WLV655396 WVQ655392:WVR655396 JE720928:JF720932 TA720928:TB720932 ACW720928:ACX720932 AMS720928:AMT720932 AWO720928:AWP720932 BGK720928:BGL720932 BQG720928:BQH720932 CAC720928:CAD720932 CJY720928:CJZ720932 CTU720928:CTV720932 DDQ720928:DDR720932 DNM720928:DNN720932 DXI720928:DXJ720932 EHE720928:EHF720932 ERA720928:ERB720932 FAW720928:FAX720932 FKS720928:FKT720932 FUO720928:FUP720932 GEK720928:GEL720932 GOG720928:GOH720932 GYC720928:GYD720932 HHY720928:HHZ720932 HRU720928:HRV720932 IBQ720928:IBR720932 ILM720928:ILN720932 IVI720928:IVJ720932 JFE720928:JFF720932 JPA720928:JPB720932 JYW720928:JYX720932 KIS720928:KIT720932 KSO720928:KSP720932 LCK720928:LCL720932 LMG720928:LMH720932 LWC720928:LWD720932 MFY720928:MFZ720932 MPU720928:MPV720932 MZQ720928:MZR720932 NJM720928:NJN720932 NTI720928:NTJ720932 ODE720928:ODF720932 ONA720928:ONB720932 OWW720928:OWX720932 PGS720928:PGT720932 PQO720928:PQP720932 QAK720928:QAL720932 QKG720928:QKH720932 QUC720928:QUD720932 RDY720928:RDZ720932 RNU720928:RNV720932 RXQ720928:RXR720932 SHM720928:SHN720932 SRI720928:SRJ720932 TBE720928:TBF720932 TLA720928:TLB720932 TUW720928:TUX720932 UES720928:UET720932 UOO720928:UOP720932 UYK720928:UYL720932 VIG720928:VIH720932 VSC720928:VSD720932 WBY720928:WBZ720932 WLU720928:WLV720932 WVQ720928:WVR720932 JE786464:JF786468 TA786464:TB786468 ACW786464:ACX786468 AMS786464:AMT786468 AWO786464:AWP786468 BGK786464:BGL786468 BQG786464:BQH786468 CAC786464:CAD786468 CJY786464:CJZ786468 CTU786464:CTV786468 DDQ786464:DDR786468 DNM786464:DNN786468 DXI786464:DXJ786468 EHE786464:EHF786468 ERA786464:ERB786468 FAW786464:FAX786468 FKS786464:FKT786468 FUO786464:FUP786468 GEK786464:GEL786468 GOG786464:GOH786468 GYC786464:GYD786468 HHY786464:HHZ786468 HRU786464:HRV786468 IBQ786464:IBR786468 ILM786464:ILN786468 IVI786464:IVJ786468 JFE786464:JFF786468 JPA786464:JPB786468 JYW786464:JYX786468 KIS786464:KIT786468 KSO786464:KSP786468 LCK786464:LCL786468 LMG786464:LMH786468 LWC786464:LWD786468 MFY786464:MFZ786468 MPU786464:MPV786468 MZQ786464:MZR786468 NJM786464:NJN786468 NTI786464:NTJ786468 ODE786464:ODF786468 ONA786464:ONB786468 OWW786464:OWX786468 PGS786464:PGT786468 PQO786464:PQP786468 QAK786464:QAL786468 QKG786464:QKH786468 QUC786464:QUD786468 RDY786464:RDZ786468 RNU786464:RNV786468 RXQ786464:RXR786468 SHM786464:SHN786468 SRI786464:SRJ786468 TBE786464:TBF786468 TLA786464:TLB786468 TUW786464:TUX786468 UES786464:UET786468 UOO786464:UOP786468 UYK786464:UYL786468 VIG786464:VIH786468 VSC786464:VSD786468 WBY786464:WBZ786468 WLU786464:WLV786468 WVQ786464:WVR786468 JE852000:JF852004 TA852000:TB852004 ACW852000:ACX852004 AMS852000:AMT852004 AWO852000:AWP852004 BGK852000:BGL852004 BQG852000:BQH852004 CAC852000:CAD852004 CJY852000:CJZ852004 CTU852000:CTV852004 DDQ852000:DDR852004 DNM852000:DNN852004 DXI852000:DXJ852004 EHE852000:EHF852004 ERA852000:ERB852004 FAW852000:FAX852004 FKS852000:FKT852004 FUO852000:FUP852004 GEK852000:GEL852004 GOG852000:GOH852004 GYC852000:GYD852004 HHY852000:HHZ852004 HRU852000:HRV852004 IBQ852000:IBR852004 ILM852000:ILN852004 IVI852000:IVJ852004 JFE852000:JFF852004 JPA852000:JPB852004 JYW852000:JYX852004 KIS852000:KIT852004 KSO852000:KSP852004 LCK852000:LCL852004 LMG852000:LMH852004 LWC852000:LWD852004 MFY852000:MFZ852004 MPU852000:MPV852004 MZQ852000:MZR852004 NJM852000:NJN852004 NTI852000:NTJ852004 ODE852000:ODF852004 ONA852000:ONB852004 OWW852000:OWX852004 PGS852000:PGT852004 PQO852000:PQP852004 QAK852000:QAL852004 QKG852000:QKH852004 QUC852000:QUD852004 RDY852000:RDZ852004 RNU852000:RNV852004 RXQ852000:RXR852004 SHM852000:SHN852004 SRI852000:SRJ852004 TBE852000:TBF852004 TLA852000:TLB852004 TUW852000:TUX852004 UES852000:UET852004 UOO852000:UOP852004 UYK852000:UYL852004 VIG852000:VIH852004 VSC852000:VSD852004 WBY852000:WBZ852004 WLU852000:WLV852004 WVQ852000:WVR852004 JE917536:JF917540 TA917536:TB917540 ACW917536:ACX917540 AMS917536:AMT917540 AWO917536:AWP917540 BGK917536:BGL917540 BQG917536:BQH917540 CAC917536:CAD917540 CJY917536:CJZ917540 CTU917536:CTV917540 DDQ917536:DDR917540 DNM917536:DNN917540 DXI917536:DXJ917540 EHE917536:EHF917540 ERA917536:ERB917540 FAW917536:FAX917540 FKS917536:FKT917540 FUO917536:FUP917540 GEK917536:GEL917540 GOG917536:GOH917540 GYC917536:GYD917540 HHY917536:HHZ917540 HRU917536:HRV917540 IBQ917536:IBR917540 ILM917536:ILN917540 IVI917536:IVJ917540 JFE917536:JFF917540 JPA917536:JPB917540 JYW917536:JYX917540 KIS917536:KIT917540 KSO917536:KSP917540 LCK917536:LCL917540 LMG917536:LMH917540 LWC917536:LWD917540 MFY917536:MFZ917540 MPU917536:MPV917540 MZQ917536:MZR917540 NJM917536:NJN917540 NTI917536:NTJ917540 ODE917536:ODF917540 ONA917536:ONB917540 OWW917536:OWX917540 PGS917536:PGT917540 PQO917536:PQP917540 QAK917536:QAL917540 QKG917536:QKH917540 QUC917536:QUD917540 RDY917536:RDZ917540 RNU917536:RNV917540 RXQ917536:RXR917540 SHM917536:SHN917540 SRI917536:SRJ917540 TBE917536:TBF917540 TLA917536:TLB917540 TUW917536:TUX917540 UES917536:UET917540 UOO917536:UOP917540 UYK917536:UYL917540 VIG917536:VIH917540 VSC917536:VSD917540 WBY917536:WBZ917540 WLU917536:WLV917540 WVQ917536:WVR917540 JE983072:JF983076 TA983072:TB983076 ACW983072:ACX983076 AMS983072:AMT983076 AWO983072:AWP983076 BGK983072:BGL983076 BQG983072:BQH983076 CAC983072:CAD983076 CJY983072:CJZ983076 CTU983072:CTV983076 DDQ983072:DDR983076 DNM983072:DNN983076 DXI983072:DXJ983076 EHE983072:EHF983076 ERA983072:ERB983076 FAW983072:FAX983076 FKS983072:FKT983076 FUO983072:FUP983076 GEK983072:GEL983076 GOG983072:GOH983076 GYC983072:GYD983076 HHY983072:HHZ983076 HRU983072:HRV983076 IBQ983072:IBR983076 ILM983072:ILN983076 IVI983072:IVJ983076 JFE983072:JFF983076 JPA983072:JPB983076 JYW983072:JYX983076 KIS983072:KIT983076 KSO983072:KSP983076 LCK983072:LCL983076 LMG983072:LMH983076 LWC983072:LWD983076 MFY983072:MFZ983076 MPU983072:MPV983076 MZQ983072:MZR983076 NJM983072:NJN983076 NTI983072:NTJ983076 ODE983072:ODF983076 ONA983072:ONB983076 OWW983072:OWX983076 PGS983072:PGT983076 PQO983072:PQP983076 QAK983072:QAL983076 QKG983072:QKH983076 QUC983072:QUD983076 RDY983072:RDZ983076 RNU983072:RNV983076 RXQ983072:RXR983076 SHM983072:SHN983076 SRI983072:SRJ983076 TBE983072:TBF983076 TLA983072:TLB983076 TUW983072:TUX983076 UES983072:UET983076 UOO983072:UOP983076 UYK983072:UYL983076 VIG983072:VIH983076 VSC983072:VSD983076 WBY983072:WBZ983076 WLU983072:WLV983076 WVQ983072:WVR983076 JE65566 TA65566 ACW65566 AMS65566 AWO65566 BGK65566 BQG65566 CAC65566 CJY65566 CTU65566 DDQ65566 DNM65566 DXI65566 EHE65566 ERA65566 FAW65566 FKS65566 FUO65566 GEK65566 GOG65566 GYC65566 HHY65566 HRU65566 IBQ65566 ILM65566 IVI65566 JFE65566 JPA65566 JYW65566 KIS65566 KSO65566 LCK65566 LMG65566 LWC65566 MFY65566 MPU65566 MZQ65566 NJM65566 NTI65566 ODE65566 ONA65566 OWW65566 PGS65566 PQO65566 QAK65566 QKG65566 QUC65566 RDY65566 RNU65566 RXQ65566 SHM65566 SRI65566 TBE65566 TLA65566 TUW65566 UES65566 UOO65566 UYK65566 VIG65566 VSC65566 WBY65566 WLU65566 WVQ65566 JE131102 TA131102 ACW131102 AMS131102 AWO131102 BGK131102 BQG131102 CAC131102 CJY131102 CTU131102 DDQ131102 DNM131102 DXI131102 EHE131102 ERA131102 FAW131102 FKS131102 FUO131102 GEK131102 GOG131102 GYC131102 HHY131102 HRU131102 IBQ131102 ILM131102 IVI131102 JFE131102 JPA131102 JYW131102 KIS131102 KSO131102 LCK131102 LMG131102 LWC131102 MFY131102 MPU131102 MZQ131102 NJM131102 NTI131102 ODE131102 ONA131102 OWW131102 PGS131102 PQO131102 QAK131102 QKG131102 QUC131102 RDY131102 RNU131102 RXQ131102 SHM131102 SRI131102 TBE131102 TLA131102 TUW131102 UES131102 UOO131102 UYK131102 VIG131102 VSC131102 WBY131102 WLU131102 WVQ131102 JE196638 TA196638 ACW196638 AMS196638 AWO196638 BGK196638 BQG196638 CAC196638 CJY196638 CTU196638 DDQ196638 DNM196638 DXI196638 EHE196638 ERA196638 FAW196638 FKS196638 FUO196638 GEK196638 GOG196638 GYC196638 HHY196638 HRU196638 IBQ196638 ILM196638 IVI196638 JFE196638 JPA196638 JYW196638 KIS196638 KSO196638 LCK196638 LMG196638 LWC196638 MFY196638 MPU196638 MZQ196638 NJM196638 NTI196638 ODE196638 ONA196638 OWW196638 PGS196638 PQO196638 QAK196638 QKG196638 QUC196638 RDY196638 RNU196638 RXQ196638 SHM196638 SRI196638 TBE196638 TLA196638 TUW196638 UES196638 UOO196638 UYK196638 VIG196638 VSC196638 WBY196638 WLU196638 WVQ196638 JE262174 TA262174 ACW262174 AMS262174 AWO262174 BGK262174 BQG262174 CAC262174 CJY262174 CTU262174 DDQ262174 DNM262174 DXI262174 EHE262174 ERA262174 FAW262174 FKS262174 FUO262174 GEK262174 GOG262174 GYC262174 HHY262174 HRU262174 IBQ262174 ILM262174 IVI262174 JFE262174 JPA262174 JYW262174 KIS262174 KSO262174 LCK262174 LMG262174 LWC262174 MFY262174 MPU262174 MZQ262174 NJM262174 NTI262174 ODE262174 ONA262174 OWW262174 PGS262174 PQO262174 QAK262174 QKG262174 QUC262174 RDY262174 RNU262174 RXQ262174 SHM262174 SRI262174 TBE262174 TLA262174 TUW262174 UES262174 UOO262174 UYK262174 VIG262174 VSC262174 WBY262174 WLU262174 WVQ262174 JE327710 TA327710 ACW327710 AMS327710 AWO327710 BGK327710 BQG327710 CAC327710 CJY327710 CTU327710 DDQ327710 DNM327710 DXI327710 EHE327710 ERA327710 FAW327710 FKS327710 FUO327710 GEK327710 GOG327710 GYC327710 HHY327710 HRU327710 IBQ327710 ILM327710 IVI327710 JFE327710 JPA327710 JYW327710 KIS327710 KSO327710 LCK327710 LMG327710 LWC327710 MFY327710 MPU327710 MZQ327710 NJM327710 NTI327710 ODE327710 ONA327710 OWW327710 PGS327710 PQO327710 QAK327710 QKG327710 QUC327710 RDY327710 RNU327710 RXQ327710 SHM327710 SRI327710 TBE327710 TLA327710 TUW327710 UES327710 UOO327710 UYK327710 VIG327710 VSC327710 WBY327710 WLU327710 WVQ327710 JE393246 TA393246 ACW393246 AMS393246 AWO393246 BGK393246 BQG393246 CAC393246 CJY393246 CTU393246 DDQ393246 DNM393246 DXI393246 EHE393246 ERA393246 FAW393246 FKS393246 FUO393246 GEK393246 GOG393246 GYC393246 HHY393246 HRU393246 IBQ393246 ILM393246 IVI393246 JFE393246 JPA393246 JYW393246 KIS393246 KSO393246 LCK393246 LMG393246 LWC393246 MFY393246 MPU393246 MZQ393246 NJM393246 NTI393246 ODE393246 ONA393246 OWW393246 PGS393246 PQO393246 QAK393246 QKG393246 QUC393246 RDY393246 RNU393246 RXQ393246 SHM393246 SRI393246 TBE393246 TLA393246 TUW393246 UES393246 UOO393246 UYK393246 VIG393246 VSC393246 WBY393246 WLU393246 WVQ393246 JE458782 TA458782 ACW458782 AMS458782 AWO458782 BGK458782 BQG458782 CAC458782 CJY458782 CTU458782 DDQ458782 DNM458782 DXI458782 EHE458782 ERA458782 FAW458782 FKS458782 FUO458782 GEK458782 GOG458782 GYC458782 HHY458782 HRU458782 IBQ458782 ILM458782 IVI458782 JFE458782 JPA458782 JYW458782 KIS458782 KSO458782 LCK458782 LMG458782 LWC458782 MFY458782 MPU458782 MZQ458782 NJM458782 NTI458782 ODE458782 ONA458782 OWW458782 PGS458782 PQO458782 QAK458782 QKG458782 QUC458782 RDY458782 RNU458782 RXQ458782 SHM458782 SRI458782 TBE458782 TLA458782 TUW458782 UES458782 UOO458782 UYK458782 VIG458782 VSC458782 WBY458782 WLU458782 WVQ458782 JE524318 TA524318 ACW524318 AMS524318 AWO524318 BGK524318 BQG524318 CAC524318 CJY524318 CTU524318 DDQ524318 DNM524318 DXI524318 EHE524318 ERA524318 FAW524318 FKS524318 FUO524318 GEK524318 GOG524318 GYC524318 HHY524318 HRU524318 IBQ524318 ILM524318 IVI524318 JFE524318 JPA524318 JYW524318 KIS524318 KSO524318 LCK524318 LMG524318 LWC524318 MFY524318 MPU524318 MZQ524318 NJM524318 NTI524318 ODE524318 ONA524318 OWW524318 PGS524318 PQO524318 QAK524318 QKG524318 QUC524318 RDY524318 RNU524318 RXQ524318 SHM524318 SRI524318 TBE524318 TLA524318 TUW524318 UES524318 UOO524318 UYK524318 VIG524318 VSC524318 WBY524318 WLU524318 WVQ524318 JE589854 TA589854 ACW589854 AMS589854 AWO589854 BGK589854 BQG589854 CAC589854 CJY589854 CTU589854 DDQ589854 DNM589854 DXI589854 EHE589854 ERA589854 FAW589854 FKS589854 FUO589854 GEK589854 GOG589854 GYC589854 HHY589854 HRU589854 IBQ589854 ILM589854 IVI589854 JFE589854 JPA589854 JYW589854 KIS589854 KSO589854 LCK589854 LMG589854 LWC589854 MFY589854 MPU589854 MZQ589854 NJM589854 NTI589854 ODE589854 ONA589854 OWW589854 PGS589854 PQO589854 QAK589854 QKG589854 QUC589854 RDY589854 RNU589854 RXQ589854 SHM589854 SRI589854 TBE589854 TLA589854 TUW589854 UES589854 UOO589854 UYK589854 VIG589854 VSC589854 WBY589854 WLU589854 WVQ589854 JE655390 TA655390 ACW655390 AMS655390 AWO655390 BGK655390 BQG655390 CAC655390 CJY655390 CTU655390 DDQ655390 DNM655390 DXI655390 EHE655390 ERA655390 FAW655390 FKS655390 FUO655390 GEK655390 GOG655390 GYC655390 HHY655390 HRU655390 IBQ655390 ILM655390 IVI655390 JFE655390 JPA655390 JYW655390 KIS655390 KSO655390 LCK655390 LMG655390 LWC655390 MFY655390 MPU655390 MZQ655390 NJM655390 NTI655390 ODE655390 ONA655390 OWW655390 PGS655390 PQO655390 QAK655390 QKG655390 QUC655390 RDY655390 RNU655390 RXQ655390 SHM655390 SRI655390 TBE655390 TLA655390 TUW655390 UES655390 UOO655390 UYK655390 VIG655390 VSC655390 WBY655390 WLU655390 WVQ655390 JE720926 TA720926 ACW720926 AMS720926 AWO720926 BGK720926 BQG720926 CAC720926 CJY720926 CTU720926 DDQ720926 DNM720926 DXI720926 EHE720926 ERA720926 FAW720926 FKS720926 FUO720926 GEK720926 GOG720926 GYC720926 HHY720926 HRU720926 IBQ720926 ILM720926 IVI720926 JFE720926 JPA720926 JYW720926 KIS720926 KSO720926 LCK720926 LMG720926 LWC720926 MFY720926 MPU720926 MZQ720926 NJM720926 NTI720926 ODE720926 ONA720926 OWW720926 PGS720926 PQO720926 QAK720926 QKG720926 QUC720926 RDY720926 RNU720926 RXQ720926 SHM720926 SRI720926 TBE720926 TLA720926 TUW720926 UES720926 UOO720926 UYK720926 VIG720926 VSC720926 WBY720926 WLU720926 WVQ720926 JE786462 TA786462 ACW786462 AMS786462 AWO786462 BGK786462 BQG786462 CAC786462 CJY786462 CTU786462 DDQ786462 DNM786462 DXI786462 EHE786462 ERA786462 FAW786462 FKS786462 FUO786462 GEK786462 GOG786462 GYC786462 HHY786462 HRU786462 IBQ786462 ILM786462 IVI786462 JFE786462 JPA786462 JYW786462 KIS786462 KSO786462 LCK786462 LMG786462 LWC786462 MFY786462 MPU786462 MZQ786462 NJM786462 NTI786462 ODE786462 ONA786462 OWW786462 PGS786462 PQO786462 QAK786462 QKG786462 QUC786462 RDY786462 RNU786462 RXQ786462 SHM786462 SRI786462 TBE786462 TLA786462 TUW786462 UES786462 UOO786462 UYK786462 VIG786462 VSC786462 WBY786462 WLU786462 WVQ786462 JE851998 TA851998 ACW851998 AMS851998 AWO851998 BGK851998 BQG851998 CAC851998 CJY851998 CTU851998 DDQ851998 DNM851998 DXI851998 EHE851998 ERA851998 FAW851998 FKS851998 FUO851998 GEK851998 GOG851998 GYC851998 HHY851998 HRU851998 IBQ851998 ILM851998 IVI851998 JFE851998 JPA851998 JYW851998 KIS851998 KSO851998 LCK851998 LMG851998 LWC851998 MFY851998 MPU851998 MZQ851998 NJM851998 NTI851998 ODE851998 ONA851998 OWW851998 PGS851998 PQO851998 QAK851998 QKG851998 QUC851998 RDY851998 RNU851998 RXQ851998 SHM851998 SRI851998 TBE851998 TLA851998 TUW851998 UES851998 UOO851998 UYK851998 VIG851998 VSC851998 WBY851998 WLU851998 WVQ851998 JE917534 TA917534 ACW917534 AMS917534 AWO917534 BGK917534 BQG917534 CAC917534 CJY917534 CTU917534 DDQ917534 DNM917534 DXI917534 EHE917534 ERA917534 FAW917534 FKS917534 FUO917534 GEK917534 GOG917534 GYC917534 HHY917534 HRU917534 IBQ917534 ILM917534 IVI917534 JFE917534 JPA917534 JYW917534 KIS917534 KSO917534 LCK917534 LMG917534 LWC917534 MFY917534 MPU917534 MZQ917534 NJM917534 NTI917534 ODE917534 ONA917534 OWW917534 PGS917534 PQO917534 QAK917534 QKG917534 QUC917534 RDY917534 RNU917534 RXQ917534 SHM917534 SRI917534 TBE917534 TLA917534 TUW917534 UES917534 UOO917534 UYK917534 VIG917534 VSC917534 WBY917534 WLU917534 WVQ917534 JE983070 TA983070 ACW983070 AMS983070 AWO983070 BGK983070 BQG983070 CAC983070 CJY983070 CTU983070 DDQ983070 DNM983070 DXI983070 EHE983070 ERA983070 FAW983070 FKS983070 FUO983070 GEK983070 GOG983070 GYC983070 HHY983070 HRU983070 IBQ983070 ILM983070 IVI983070 JFE983070 JPA983070 JYW983070 KIS983070 KSO983070 LCK983070 LMG983070 LWC983070 MFY983070 MPU983070 MZQ983070 NJM983070 NTI983070 ODE983070 ONA983070 OWW983070 PGS983070 PQO983070 QAK983070 QKG983070 QUC983070 RDY983070 RNU983070 RXQ983070 SHM983070 SRI983070 TBE983070 TLA983070 TUW983070 UES983070 UOO983070 UYK983070 VIG983070 VSC983070 WBY983070 WLU983070 WVQ983070 JE45:JF46 JC43:JC44 TA45:TB46 SY43:SY44 ACW45:ACX46 ACU43:ACU44 AMS45:AMT46 AMQ43:AMQ44 AWO45:AWP46 AWM43:AWM44 BGK45:BGL46 BGI43:BGI44 BQG45:BQH46 BQE43:BQE44 CAC45:CAD46 CAA43:CAA44 CJY45:CJZ46 CJW43:CJW44 CTU45:CTV46 CTS43:CTS44 DDQ45:DDR46 DDO43:DDO44 DNM45:DNN46 DNK43:DNK44 DXI45:DXJ46 DXG43:DXG44 EHE45:EHF46 EHC43:EHC44 ERA45:ERB46 EQY43:EQY44 FAW45:FAX46 FAU43:FAU44 FKS45:FKT46 FKQ43:FKQ44 FUO45:FUP46 FUM43:FUM44 GEK45:GEL46 GEI43:GEI44 GOG45:GOH46 GOE43:GOE44 GYC45:GYD46 GYA43:GYA44 HHY45:HHZ46 HHW43:HHW44 HRU45:HRV46 HRS43:HRS44 IBQ45:IBR46 IBO43:IBO44 ILM45:ILN46 ILK43:ILK44 IVI45:IVJ46 IVG43:IVG44 JFE45:JFF46 JFC43:JFC44 JPA45:JPB46 JOY43:JOY44 JYW45:JYX46 JYU43:JYU44 KIS45:KIT46 KIQ43:KIQ44 KSO45:KSP46 KSM43:KSM44 LCK45:LCL46 LCI43:LCI44 LMG45:LMH46 LME43:LME44 LWC45:LWD46 LWA43:LWA44 MFY45:MFZ46 MFW43:MFW44 MPU45:MPV46 MPS43:MPS44 MZQ45:MZR46 MZO43:MZO44 NJM45:NJN46 NJK43:NJK44 NTI45:NTJ46 NTG43:NTG44 ODE45:ODF46 ODC43:ODC44 ONA45:ONB46 OMY43:OMY44 OWW45:OWX46 OWU43:OWU44 PGS45:PGT46 PGQ43:PGQ44 PQO45:PQP46 PQM43:PQM44 QAK45:QAL46 QAI43:QAI44 QKG45:QKH46 QKE43:QKE44 QUC45:QUD46 QUA43:QUA44 RDY45:RDZ46 RDW43:RDW44 RNU45:RNV46 RNS43:RNS44 RXQ45:RXR46 RXO43:RXO44 SHM45:SHN46 SHK43:SHK44 SRI45:SRJ46 SRG43:SRG44 TBE45:TBF46 TBC43:TBC44 TLA45:TLB46 TKY43:TKY44 TUW45:TUX46 TUU43:TUU44 UES45:UET46 UEQ43:UEQ44 UOO45:UOP46 UOM43:UOM44 UYK45:UYL46 UYI43:UYI44 VIG45:VIH46 VIE43:VIE44 VSC45:VSD46 VSA43:VSA44 WBY45:WBZ46 WBW43:WBW44 WLU45:WLV46 WLS43:WLS44 WVQ45:WVR46 WVO43:WVO44 JE65579:JE65582 TA65579:TA65582 ACW65579:ACW65582 AMS65579:AMS65582 AWO65579:AWO65582 BGK65579:BGK65582 BQG65579:BQG65582 CAC65579:CAC65582 CJY65579:CJY65582 CTU65579:CTU65582 DDQ65579:DDQ65582 DNM65579:DNM65582 DXI65579:DXI65582 EHE65579:EHE65582 ERA65579:ERA65582 FAW65579:FAW65582 FKS65579:FKS65582 FUO65579:FUO65582 GEK65579:GEK65582 GOG65579:GOG65582 GYC65579:GYC65582 HHY65579:HHY65582 HRU65579:HRU65582 IBQ65579:IBQ65582 ILM65579:ILM65582 IVI65579:IVI65582 JFE65579:JFE65582 JPA65579:JPA65582 JYW65579:JYW65582 KIS65579:KIS65582 KSO65579:KSO65582 LCK65579:LCK65582 LMG65579:LMG65582 LWC65579:LWC65582 MFY65579:MFY65582 MPU65579:MPU65582 MZQ65579:MZQ65582 NJM65579:NJM65582 NTI65579:NTI65582 ODE65579:ODE65582 ONA65579:ONA65582 OWW65579:OWW65582 PGS65579:PGS65582 PQO65579:PQO65582 QAK65579:QAK65582 QKG65579:QKG65582 QUC65579:QUC65582 RDY65579:RDY65582 RNU65579:RNU65582 RXQ65579:RXQ65582 SHM65579:SHM65582 SRI65579:SRI65582 TBE65579:TBE65582 TLA65579:TLA65582 TUW65579:TUW65582 UES65579:UES65582 UOO65579:UOO65582 UYK65579:UYK65582 VIG65579:VIG65582 VSC65579:VSC65582 WBY65579:WBY65582 WLU65579:WLU65582 WVQ65579:WVQ65582 JE131115:JE131118 TA131115:TA131118 ACW131115:ACW131118 AMS131115:AMS131118 AWO131115:AWO131118 BGK131115:BGK131118 BQG131115:BQG131118 CAC131115:CAC131118 CJY131115:CJY131118 CTU131115:CTU131118 DDQ131115:DDQ131118 DNM131115:DNM131118 DXI131115:DXI131118 EHE131115:EHE131118 ERA131115:ERA131118 FAW131115:FAW131118 FKS131115:FKS131118 FUO131115:FUO131118 GEK131115:GEK131118 GOG131115:GOG131118 GYC131115:GYC131118 HHY131115:HHY131118 HRU131115:HRU131118 IBQ131115:IBQ131118 ILM131115:ILM131118 IVI131115:IVI131118 JFE131115:JFE131118 JPA131115:JPA131118 JYW131115:JYW131118 KIS131115:KIS131118 KSO131115:KSO131118 LCK131115:LCK131118 LMG131115:LMG131118 LWC131115:LWC131118 MFY131115:MFY131118 MPU131115:MPU131118 MZQ131115:MZQ131118 NJM131115:NJM131118 NTI131115:NTI131118 ODE131115:ODE131118 ONA131115:ONA131118 OWW131115:OWW131118 PGS131115:PGS131118 PQO131115:PQO131118 QAK131115:QAK131118 QKG131115:QKG131118 QUC131115:QUC131118 RDY131115:RDY131118 RNU131115:RNU131118 RXQ131115:RXQ131118 SHM131115:SHM131118 SRI131115:SRI131118 TBE131115:TBE131118 TLA131115:TLA131118 TUW131115:TUW131118 UES131115:UES131118 UOO131115:UOO131118 UYK131115:UYK131118 VIG131115:VIG131118 VSC131115:VSC131118 WBY131115:WBY131118 WLU131115:WLU131118 WVQ131115:WVQ131118 JE196651:JE196654 TA196651:TA196654 ACW196651:ACW196654 AMS196651:AMS196654 AWO196651:AWO196654 BGK196651:BGK196654 BQG196651:BQG196654 CAC196651:CAC196654 CJY196651:CJY196654 CTU196651:CTU196654 DDQ196651:DDQ196654 DNM196651:DNM196654 DXI196651:DXI196654 EHE196651:EHE196654 ERA196651:ERA196654 FAW196651:FAW196654 FKS196651:FKS196654 FUO196651:FUO196654 GEK196651:GEK196654 GOG196651:GOG196654 GYC196651:GYC196654 HHY196651:HHY196654 HRU196651:HRU196654 IBQ196651:IBQ196654 ILM196651:ILM196654 IVI196651:IVI196654 JFE196651:JFE196654 JPA196651:JPA196654 JYW196651:JYW196654 KIS196651:KIS196654 KSO196651:KSO196654 LCK196651:LCK196654 LMG196651:LMG196654 LWC196651:LWC196654 MFY196651:MFY196654 MPU196651:MPU196654 MZQ196651:MZQ196654 NJM196651:NJM196654 NTI196651:NTI196654 ODE196651:ODE196654 ONA196651:ONA196654 OWW196651:OWW196654 PGS196651:PGS196654 PQO196651:PQO196654 QAK196651:QAK196654 QKG196651:QKG196654 QUC196651:QUC196654 RDY196651:RDY196654 RNU196651:RNU196654 RXQ196651:RXQ196654 SHM196651:SHM196654 SRI196651:SRI196654 TBE196651:TBE196654 TLA196651:TLA196654 TUW196651:TUW196654 UES196651:UES196654 UOO196651:UOO196654 UYK196651:UYK196654 VIG196651:VIG196654 VSC196651:VSC196654 WBY196651:WBY196654 WLU196651:WLU196654 WVQ196651:WVQ196654 JE262187:JE262190 TA262187:TA262190 ACW262187:ACW262190 AMS262187:AMS262190 AWO262187:AWO262190 BGK262187:BGK262190 BQG262187:BQG262190 CAC262187:CAC262190 CJY262187:CJY262190 CTU262187:CTU262190 DDQ262187:DDQ262190 DNM262187:DNM262190 DXI262187:DXI262190 EHE262187:EHE262190 ERA262187:ERA262190 FAW262187:FAW262190 FKS262187:FKS262190 FUO262187:FUO262190 GEK262187:GEK262190 GOG262187:GOG262190 GYC262187:GYC262190 HHY262187:HHY262190 HRU262187:HRU262190 IBQ262187:IBQ262190 ILM262187:ILM262190 IVI262187:IVI262190 JFE262187:JFE262190 JPA262187:JPA262190 JYW262187:JYW262190 KIS262187:KIS262190 KSO262187:KSO262190 LCK262187:LCK262190 LMG262187:LMG262190 LWC262187:LWC262190 MFY262187:MFY262190 MPU262187:MPU262190 MZQ262187:MZQ262190 NJM262187:NJM262190 NTI262187:NTI262190 ODE262187:ODE262190 ONA262187:ONA262190 OWW262187:OWW262190 PGS262187:PGS262190 PQO262187:PQO262190 QAK262187:QAK262190 QKG262187:QKG262190 QUC262187:QUC262190 RDY262187:RDY262190 RNU262187:RNU262190 RXQ262187:RXQ262190 SHM262187:SHM262190 SRI262187:SRI262190 TBE262187:TBE262190 TLA262187:TLA262190 TUW262187:TUW262190 UES262187:UES262190 UOO262187:UOO262190 UYK262187:UYK262190 VIG262187:VIG262190 VSC262187:VSC262190 WBY262187:WBY262190 WLU262187:WLU262190 WVQ262187:WVQ262190 JE327723:JE327726 TA327723:TA327726 ACW327723:ACW327726 AMS327723:AMS327726 AWO327723:AWO327726 BGK327723:BGK327726 BQG327723:BQG327726 CAC327723:CAC327726 CJY327723:CJY327726 CTU327723:CTU327726 DDQ327723:DDQ327726 DNM327723:DNM327726 DXI327723:DXI327726 EHE327723:EHE327726 ERA327723:ERA327726 FAW327723:FAW327726 FKS327723:FKS327726 FUO327723:FUO327726 GEK327723:GEK327726 GOG327723:GOG327726 GYC327723:GYC327726 HHY327723:HHY327726 HRU327723:HRU327726 IBQ327723:IBQ327726 ILM327723:ILM327726 IVI327723:IVI327726 JFE327723:JFE327726 JPA327723:JPA327726 JYW327723:JYW327726 KIS327723:KIS327726 KSO327723:KSO327726 LCK327723:LCK327726 LMG327723:LMG327726 LWC327723:LWC327726 MFY327723:MFY327726 MPU327723:MPU327726 MZQ327723:MZQ327726 NJM327723:NJM327726 NTI327723:NTI327726 ODE327723:ODE327726 ONA327723:ONA327726 OWW327723:OWW327726 PGS327723:PGS327726 PQO327723:PQO327726 QAK327723:QAK327726 QKG327723:QKG327726 QUC327723:QUC327726 RDY327723:RDY327726 RNU327723:RNU327726 RXQ327723:RXQ327726 SHM327723:SHM327726 SRI327723:SRI327726 TBE327723:TBE327726 TLA327723:TLA327726 TUW327723:TUW327726 UES327723:UES327726 UOO327723:UOO327726 UYK327723:UYK327726 VIG327723:VIG327726 VSC327723:VSC327726 WBY327723:WBY327726 WLU327723:WLU327726 WVQ327723:WVQ327726 JE393259:JE393262 TA393259:TA393262 ACW393259:ACW393262 AMS393259:AMS393262 AWO393259:AWO393262 BGK393259:BGK393262 BQG393259:BQG393262 CAC393259:CAC393262 CJY393259:CJY393262 CTU393259:CTU393262 DDQ393259:DDQ393262 DNM393259:DNM393262 DXI393259:DXI393262 EHE393259:EHE393262 ERA393259:ERA393262 FAW393259:FAW393262 FKS393259:FKS393262 FUO393259:FUO393262 GEK393259:GEK393262 GOG393259:GOG393262 GYC393259:GYC393262 HHY393259:HHY393262 HRU393259:HRU393262 IBQ393259:IBQ393262 ILM393259:ILM393262 IVI393259:IVI393262 JFE393259:JFE393262 JPA393259:JPA393262 JYW393259:JYW393262 KIS393259:KIS393262 KSO393259:KSO393262 LCK393259:LCK393262 LMG393259:LMG393262 LWC393259:LWC393262 MFY393259:MFY393262 MPU393259:MPU393262 MZQ393259:MZQ393262 NJM393259:NJM393262 NTI393259:NTI393262 ODE393259:ODE393262 ONA393259:ONA393262 OWW393259:OWW393262 PGS393259:PGS393262 PQO393259:PQO393262 QAK393259:QAK393262 QKG393259:QKG393262 QUC393259:QUC393262 RDY393259:RDY393262 RNU393259:RNU393262 RXQ393259:RXQ393262 SHM393259:SHM393262 SRI393259:SRI393262 TBE393259:TBE393262 TLA393259:TLA393262 TUW393259:TUW393262 UES393259:UES393262 UOO393259:UOO393262 UYK393259:UYK393262 VIG393259:VIG393262 VSC393259:VSC393262 WBY393259:WBY393262 WLU393259:WLU393262 WVQ393259:WVQ393262 JE458795:JE458798 TA458795:TA458798 ACW458795:ACW458798 AMS458795:AMS458798 AWO458795:AWO458798 BGK458795:BGK458798 BQG458795:BQG458798 CAC458795:CAC458798 CJY458795:CJY458798 CTU458795:CTU458798 DDQ458795:DDQ458798 DNM458795:DNM458798 DXI458795:DXI458798 EHE458795:EHE458798 ERA458795:ERA458798 FAW458795:FAW458798 FKS458795:FKS458798 FUO458795:FUO458798 GEK458795:GEK458798 GOG458795:GOG458798 GYC458795:GYC458798 HHY458795:HHY458798 HRU458795:HRU458798 IBQ458795:IBQ458798 ILM458795:ILM458798 IVI458795:IVI458798 JFE458795:JFE458798 JPA458795:JPA458798 JYW458795:JYW458798 KIS458795:KIS458798 KSO458795:KSO458798 LCK458795:LCK458798 LMG458795:LMG458798 LWC458795:LWC458798 MFY458795:MFY458798 MPU458795:MPU458798 MZQ458795:MZQ458798 NJM458795:NJM458798 NTI458795:NTI458798 ODE458795:ODE458798 ONA458795:ONA458798 OWW458795:OWW458798 PGS458795:PGS458798 PQO458795:PQO458798 QAK458795:QAK458798 QKG458795:QKG458798 QUC458795:QUC458798 RDY458795:RDY458798 RNU458795:RNU458798 RXQ458795:RXQ458798 SHM458795:SHM458798 SRI458795:SRI458798 TBE458795:TBE458798 TLA458795:TLA458798 TUW458795:TUW458798 UES458795:UES458798 UOO458795:UOO458798 UYK458795:UYK458798 VIG458795:VIG458798 VSC458795:VSC458798 WBY458795:WBY458798 WLU458795:WLU458798 WVQ458795:WVQ458798 JE524331:JE524334 TA524331:TA524334 ACW524331:ACW524334 AMS524331:AMS524334 AWO524331:AWO524334 BGK524331:BGK524334 BQG524331:BQG524334 CAC524331:CAC524334 CJY524331:CJY524334 CTU524331:CTU524334 DDQ524331:DDQ524334 DNM524331:DNM524334 DXI524331:DXI524334 EHE524331:EHE524334 ERA524331:ERA524334 FAW524331:FAW524334 FKS524331:FKS524334 FUO524331:FUO524334 GEK524331:GEK524334 GOG524331:GOG524334 GYC524331:GYC524334 HHY524331:HHY524334 HRU524331:HRU524334 IBQ524331:IBQ524334 ILM524331:ILM524334 IVI524331:IVI524334 JFE524331:JFE524334 JPA524331:JPA524334 JYW524331:JYW524334 KIS524331:KIS524334 KSO524331:KSO524334 LCK524331:LCK524334 LMG524331:LMG524334 LWC524331:LWC524334 MFY524331:MFY524334 MPU524331:MPU524334 MZQ524331:MZQ524334 NJM524331:NJM524334 NTI524331:NTI524334 ODE524331:ODE524334 ONA524331:ONA524334 OWW524331:OWW524334 PGS524331:PGS524334 PQO524331:PQO524334 QAK524331:QAK524334 QKG524331:QKG524334 QUC524331:QUC524334 RDY524331:RDY524334 RNU524331:RNU524334 RXQ524331:RXQ524334 SHM524331:SHM524334 SRI524331:SRI524334 TBE524331:TBE524334 TLA524331:TLA524334 TUW524331:TUW524334 UES524331:UES524334 UOO524331:UOO524334 UYK524331:UYK524334 VIG524331:VIG524334 VSC524331:VSC524334 WBY524331:WBY524334 WLU524331:WLU524334 WVQ524331:WVQ524334 JE589867:JE589870 TA589867:TA589870 ACW589867:ACW589870 AMS589867:AMS589870 AWO589867:AWO589870 BGK589867:BGK589870 BQG589867:BQG589870 CAC589867:CAC589870 CJY589867:CJY589870 CTU589867:CTU589870 DDQ589867:DDQ589870 DNM589867:DNM589870 DXI589867:DXI589870 EHE589867:EHE589870 ERA589867:ERA589870 FAW589867:FAW589870 FKS589867:FKS589870 FUO589867:FUO589870 GEK589867:GEK589870 GOG589867:GOG589870 GYC589867:GYC589870 HHY589867:HHY589870 HRU589867:HRU589870 IBQ589867:IBQ589870 ILM589867:ILM589870 IVI589867:IVI589870 JFE589867:JFE589870 JPA589867:JPA589870 JYW589867:JYW589870 KIS589867:KIS589870 KSO589867:KSO589870 LCK589867:LCK589870 LMG589867:LMG589870 LWC589867:LWC589870 MFY589867:MFY589870 MPU589867:MPU589870 MZQ589867:MZQ589870 NJM589867:NJM589870 NTI589867:NTI589870 ODE589867:ODE589870 ONA589867:ONA589870 OWW589867:OWW589870 PGS589867:PGS589870 PQO589867:PQO589870 QAK589867:QAK589870 QKG589867:QKG589870 QUC589867:QUC589870 RDY589867:RDY589870 RNU589867:RNU589870 RXQ589867:RXQ589870 SHM589867:SHM589870 SRI589867:SRI589870 TBE589867:TBE589870 TLA589867:TLA589870 TUW589867:TUW589870 UES589867:UES589870 UOO589867:UOO589870 UYK589867:UYK589870 VIG589867:VIG589870 VSC589867:VSC589870 WBY589867:WBY589870 WLU589867:WLU589870 WVQ589867:WVQ589870 JE655403:JE655406 TA655403:TA655406 ACW655403:ACW655406 AMS655403:AMS655406 AWO655403:AWO655406 BGK655403:BGK655406 BQG655403:BQG655406 CAC655403:CAC655406 CJY655403:CJY655406 CTU655403:CTU655406 DDQ655403:DDQ655406 DNM655403:DNM655406 DXI655403:DXI655406 EHE655403:EHE655406 ERA655403:ERA655406 FAW655403:FAW655406 FKS655403:FKS655406 FUO655403:FUO655406 GEK655403:GEK655406 GOG655403:GOG655406 GYC655403:GYC655406 HHY655403:HHY655406 HRU655403:HRU655406 IBQ655403:IBQ655406 ILM655403:ILM655406 IVI655403:IVI655406 JFE655403:JFE655406 JPA655403:JPA655406 JYW655403:JYW655406 KIS655403:KIS655406 KSO655403:KSO655406 LCK655403:LCK655406 LMG655403:LMG655406 LWC655403:LWC655406 MFY655403:MFY655406 MPU655403:MPU655406 MZQ655403:MZQ655406 NJM655403:NJM655406 NTI655403:NTI655406 ODE655403:ODE655406 ONA655403:ONA655406 OWW655403:OWW655406 PGS655403:PGS655406 PQO655403:PQO655406 QAK655403:QAK655406 QKG655403:QKG655406 QUC655403:QUC655406 RDY655403:RDY655406 RNU655403:RNU655406 RXQ655403:RXQ655406 SHM655403:SHM655406 SRI655403:SRI655406 TBE655403:TBE655406 TLA655403:TLA655406 TUW655403:TUW655406 UES655403:UES655406 UOO655403:UOO655406 UYK655403:UYK655406 VIG655403:VIG655406 VSC655403:VSC655406 WBY655403:WBY655406 WLU655403:WLU655406 WVQ655403:WVQ655406 JE720939:JE720942 TA720939:TA720942 ACW720939:ACW720942 AMS720939:AMS720942 AWO720939:AWO720942 BGK720939:BGK720942 BQG720939:BQG720942 CAC720939:CAC720942 CJY720939:CJY720942 CTU720939:CTU720942 DDQ720939:DDQ720942 DNM720939:DNM720942 DXI720939:DXI720942 EHE720939:EHE720942 ERA720939:ERA720942 FAW720939:FAW720942 FKS720939:FKS720942 FUO720939:FUO720942 GEK720939:GEK720942 GOG720939:GOG720942 GYC720939:GYC720942 HHY720939:HHY720942 HRU720939:HRU720942 IBQ720939:IBQ720942 ILM720939:ILM720942 IVI720939:IVI720942 JFE720939:JFE720942 JPA720939:JPA720942 JYW720939:JYW720942 KIS720939:KIS720942 KSO720939:KSO720942 LCK720939:LCK720942 LMG720939:LMG720942 LWC720939:LWC720942 MFY720939:MFY720942 MPU720939:MPU720942 MZQ720939:MZQ720942 NJM720939:NJM720942 NTI720939:NTI720942 ODE720939:ODE720942 ONA720939:ONA720942 OWW720939:OWW720942 PGS720939:PGS720942 PQO720939:PQO720942 QAK720939:QAK720942 QKG720939:QKG720942 QUC720939:QUC720942 RDY720939:RDY720942 RNU720939:RNU720942 RXQ720939:RXQ720942 SHM720939:SHM720942 SRI720939:SRI720942 TBE720939:TBE720942 TLA720939:TLA720942 TUW720939:TUW720942 UES720939:UES720942 UOO720939:UOO720942 UYK720939:UYK720942 VIG720939:VIG720942 VSC720939:VSC720942 WBY720939:WBY720942 WLU720939:WLU720942 WVQ720939:WVQ720942 JE786475:JE786478 TA786475:TA786478 ACW786475:ACW786478 AMS786475:AMS786478 AWO786475:AWO786478 BGK786475:BGK786478 BQG786475:BQG786478 CAC786475:CAC786478 CJY786475:CJY786478 CTU786475:CTU786478 DDQ786475:DDQ786478 DNM786475:DNM786478 DXI786475:DXI786478 EHE786475:EHE786478 ERA786475:ERA786478 FAW786475:FAW786478 FKS786475:FKS786478 FUO786475:FUO786478 GEK786475:GEK786478 GOG786475:GOG786478 GYC786475:GYC786478 HHY786475:HHY786478 HRU786475:HRU786478 IBQ786475:IBQ786478 ILM786475:ILM786478 IVI786475:IVI786478 JFE786475:JFE786478 JPA786475:JPA786478 JYW786475:JYW786478 KIS786475:KIS786478 KSO786475:KSO786478 LCK786475:LCK786478 LMG786475:LMG786478 LWC786475:LWC786478 MFY786475:MFY786478 MPU786475:MPU786478 MZQ786475:MZQ786478 NJM786475:NJM786478 NTI786475:NTI786478 ODE786475:ODE786478 ONA786475:ONA786478 OWW786475:OWW786478 PGS786475:PGS786478 PQO786475:PQO786478 QAK786475:QAK786478 QKG786475:QKG786478 QUC786475:QUC786478 RDY786475:RDY786478 RNU786475:RNU786478 RXQ786475:RXQ786478 SHM786475:SHM786478 SRI786475:SRI786478 TBE786475:TBE786478 TLA786475:TLA786478 TUW786475:TUW786478 UES786475:UES786478 UOO786475:UOO786478 UYK786475:UYK786478 VIG786475:VIG786478 VSC786475:VSC786478 WBY786475:WBY786478 WLU786475:WLU786478 WVQ786475:WVQ786478 JE852011:JE852014 TA852011:TA852014 ACW852011:ACW852014 AMS852011:AMS852014 AWO852011:AWO852014 BGK852011:BGK852014 BQG852011:BQG852014 CAC852011:CAC852014 CJY852011:CJY852014 CTU852011:CTU852014 DDQ852011:DDQ852014 DNM852011:DNM852014 DXI852011:DXI852014 EHE852011:EHE852014 ERA852011:ERA852014 FAW852011:FAW852014 FKS852011:FKS852014 FUO852011:FUO852014 GEK852011:GEK852014 GOG852011:GOG852014 GYC852011:GYC852014 HHY852011:HHY852014 HRU852011:HRU852014 IBQ852011:IBQ852014 ILM852011:ILM852014 IVI852011:IVI852014 JFE852011:JFE852014 JPA852011:JPA852014 JYW852011:JYW852014 KIS852011:KIS852014 KSO852011:KSO852014 LCK852011:LCK852014 LMG852011:LMG852014 LWC852011:LWC852014 MFY852011:MFY852014 MPU852011:MPU852014 MZQ852011:MZQ852014 NJM852011:NJM852014 NTI852011:NTI852014 ODE852011:ODE852014 ONA852011:ONA852014 OWW852011:OWW852014 PGS852011:PGS852014 PQO852011:PQO852014 QAK852011:QAK852014 QKG852011:QKG852014 QUC852011:QUC852014 RDY852011:RDY852014 RNU852011:RNU852014 RXQ852011:RXQ852014 SHM852011:SHM852014 SRI852011:SRI852014 TBE852011:TBE852014 TLA852011:TLA852014 TUW852011:TUW852014 UES852011:UES852014 UOO852011:UOO852014 UYK852011:UYK852014 VIG852011:VIG852014 VSC852011:VSC852014 WBY852011:WBY852014 WLU852011:WLU852014 WVQ852011:WVQ852014 JE917547:JE917550 TA917547:TA917550 ACW917547:ACW917550 AMS917547:AMS917550 AWO917547:AWO917550 BGK917547:BGK917550 BQG917547:BQG917550 CAC917547:CAC917550 CJY917547:CJY917550 CTU917547:CTU917550 DDQ917547:DDQ917550 DNM917547:DNM917550 DXI917547:DXI917550 EHE917547:EHE917550 ERA917547:ERA917550 FAW917547:FAW917550 FKS917547:FKS917550 FUO917547:FUO917550 GEK917547:GEK917550 GOG917547:GOG917550 GYC917547:GYC917550 HHY917547:HHY917550 HRU917547:HRU917550 IBQ917547:IBQ917550 ILM917547:ILM917550 IVI917547:IVI917550 JFE917547:JFE917550 JPA917547:JPA917550 JYW917547:JYW917550 KIS917547:KIS917550 KSO917547:KSO917550 LCK917547:LCK917550 LMG917547:LMG917550 LWC917547:LWC917550 MFY917547:MFY917550 MPU917547:MPU917550 MZQ917547:MZQ917550 NJM917547:NJM917550 NTI917547:NTI917550 ODE917547:ODE917550 ONA917547:ONA917550 OWW917547:OWW917550 PGS917547:PGS917550 PQO917547:PQO917550 QAK917547:QAK917550 QKG917547:QKG917550 QUC917547:QUC917550 RDY917547:RDY917550 RNU917547:RNU917550 RXQ917547:RXQ917550 SHM917547:SHM917550 SRI917547:SRI917550 TBE917547:TBE917550 TLA917547:TLA917550 TUW917547:TUW917550 UES917547:UES917550 UOO917547:UOO917550 UYK917547:UYK917550 VIG917547:VIG917550 VSC917547:VSC917550 WBY917547:WBY917550 WLU917547:WLU917550 WVQ917547:WVQ917550 JE983083:JE983086 TA983083:TA983086 ACW983083:ACW983086 AMS983083:AMS983086 AWO983083:AWO983086 BGK983083:BGK983086 BQG983083:BQG983086 CAC983083:CAC983086 CJY983083:CJY983086 CTU983083:CTU983086 DDQ983083:DDQ983086 DNM983083:DNM983086 DXI983083:DXI983086 EHE983083:EHE983086 ERA983083:ERA983086 FAW983083:FAW983086 FKS983083:FKS983086 FUO983083:FUO983086 GEK983083:GEK983086 GOG983083:GOG983086 GYC983083:GYC983086 HHY983083:HHY983086 HRU983083:HRU983086 IBQ983083:IBQ983086 ILM983083:ILM983086 IVI983083:IVI983086 JFE983083:JFE983086 JPA983083:JPA983086 JYW983083:JYW983086 KIS983083:KIS983086 KSO983083:KSO983086 LCK983083:LCK983086 LMG983083:LMG983086 LWC983083:LWC983086 MFY983083:MFY983086 MPU983083:MPU983086 MZQ983083:MZQ983086 NJM983083:NJM983086 NTI983083:NTI983086 ODE983083:ODE983086 ONA983083:ONA983086 OWW983083:OWW983086 PGS983083:PGS983086 PQO983083:PQO983086 QAK983083:QAK983086 QKG983083:QKG983086 QUC983083:QUC983086 RDY983083:RDY983086 RNU983083:RNU983086 RXQ983083:RXQ983086 SHM983083:SHM983086 SRI983083:SRI983086 TBE983083:TBE983086 TLA983083:TLA983086 TUW983083:TUW983086 UES983083:UES983086 UOO983083:UOO983086 UYK983083:UYK983086 VIG983083:VIG983086 VSC983083:VSC983086 WBY983083:WBY983086 WLU983083:WLU983086 WVQ983083:WVQ983086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JD41:JD44 SZ41:SZ44 ACV41:ACV44 AMR41:AMR44 AWN41:AWN44 BGJ41:BGJ44 BQF41:BQF44 CAB41:CAB44 CJX41:CJX44 CTT41:CTT44 DDP41:DDP44 DNL41:DNL44 DXH41:DXH44 EHD41:EHD44 EQZ41:EQZ44 FAV41:FAV44 FKR41:FKR44 FUN41:FUN44 GEJ41:GEJ44 GOF41:GOF44 GYB41:GYB44 HHX41:HHX44 HRT41:HRT44 IBP41:IBP44 ILL41:ILL44 IVH41:IVH44 JFD41:JFD44 JOZ41:JOZ44 JYV41:JYV44 KIR41:KIR44 KSN41:KSN44 LCJ41:LCJ44 LMF41:LMF44 LWB41:LWB44 MFX41:MFX44 MPT41:MPT44 MZP41:MZP44 NJL41:NJL44 NTH41:NTH44 ODD41:ODD44 OMZ41:OMZ44 OWV41:OWV44 PGR41:PGR44 PQN41:PQN44 QAJ41:QAJ44 QKF41:QKF44 QUB41:QUB44 RDX41:RDX44 RNT41:RNT44 RXP41:RXP44 SHL41:SHL44 SRH41:SRH44 TBD41:TBD44 TKZ41:TKZ44 TUV41:TUV44 UER41:UER44 UON41:UON44 UYJ41:UYJ44 VIF41:VIF44 VSB41:VSB44 WBX41:WBX44 WLT41:WLT44 WVP41:WVP44 JF65577:JF65582 TB65577:TB65582 ACX65577:ACX65582 AMT65577:AMT65582 AWP65577:AWP65582 BGL65577:BGL65582 BQH65577:BQH65582 CAD65577:CAD65582 CJZ65577:CJZ65582 CTV65577:CTV65582 DDR65577:DDR65582 DNN65577:DNN65582 DXJ65577:DXJ65582 EHF65577:EHF65582 ERB65577:ERB65582 FAX65577:FAX65582 FKT65577:FKT65582 FUP65577:FUP65582 GEL65577:GEL65582 GOH65577:GOH65582 GYD65577:GYD65582 HHZ65577:HHZ65582 HRV65577:HRV65582 IBR65577:IBR65582 ILN65577:ILN65582 IVJ65577:IVJ65582 JFF65577:JFF65582 JPB65577:JPB65582 JYX65577:JYX65582 KIT65577:KIT65582 KSP65577:KSP65582 LCL65577:LCL65582 LMH65577:LMH65582 LWD65577:LWD65582 MFZ65577:MFZ65582 MPV65577:MPV65582 MZR65577:MZR65582 NJN65577:NJN65582 NTJ65577:NTJ65582 ODF65577:ODF65582 ONB65577:ONB65582 OWX65577:OWX65582 PGT65577:PGT65582 PQP65577:PQP65582 QAL65577:QAL65582 QKH65577:QKH65582 QUD65577:QUD65582 RDZ65577:RDZ65582 RNV65577:RNV65582 RXR65577:RXR65582 SHN65577:SHN65582 SRJ65577:SRJ65582 TBF65577:TBF65582 TLB65577:TLB65582 TUX65577:TUX65582 UET65577:UET65582 UOP65577:UOP65582 UYL65577:UYL65582 VIH65577:VIH65582 VSD65577:VSD65582 WBZ65577:WBZ65582 WLV65577:WLV65582 WVR65577:WVR65582 JF131113:JF131118 TB131113:TB131118 ACX131113:ACX131118 AMT131113:AMT131118 AWP131113:AWP131118 BGL131113:BGL131118 BQH131113:BQH131118 CAD131113:CAD131118 CJZ131113:CJZ131118 CTV131113:CTV131118 DDR131113:DDR131118 DNN131113:DNN131118 DXJ131113:DXJ131118 EHF131113:EHF131118 ERB131113:ERB131118 FAX131113:FAX131118 FKT131113:FKT131118 FUP131113:FUP131118 GEL131113:GEL131118 GOH131113:GOH131118 GYD131113:GYD131118 HHZ131113:HHZ131118 HRV131113:HRV131118 IBR131113:IBR131118 ILN131113:ILN131118 IVJ131113:IVJ131118 JFF131113:JFF131118 JPB131113:JPB131118 JYX131113:JYX131118 KIT131113:KIT131118 KSP131113:KSP131118 LCL131113:LCL131118 LMH131113:LMH131118 LWD131113:LWD131118 MFZ131113:MFZ131118 MPV131113:MPV131118 MZR131113:MZR131118 NJN131113:NJN131118 NTJ131113:NTJ131118 ODF131113:ODF131118 ONB131113:ONB131118 OWX131113:OWX131118 PGT131113:PGT131118 PQP131113:PQP131118 QAL131113:QAL131118 QKH131113:QKH131118 QUD131113:QUD131118 RDZ131113:RDZ131118 RNV131113:RNV131118 RXR131113:RXR131118 SHN131113:SHN131118 SRJ131113:SRJ131118 TBF131113:TBF131118 TLB131113:TLB131118 TUX131113:TUX131118 UET131113:UET131118 UOP131113:UOP131118 UYL131113:UYL131118 VIH131113:VIH131118 VSD131113:VSD131118 WBZ131113:WBZ131118 WLV131113:WLV131118 WVR131113:WVR131118 JF196649:JF196654 TB196649:TB196654 ACX196649:ACX196654 AMT196649:AMT196654 AWP196649:AWP196654 BGL196649:BGL196654 BQH196649:BQH196654 CAD196649:CAD196654 CJZ196649:CJZ196654 CTV196649:CTV196654 DDR196649:DDR196654 DNN196649:DNN196654 DXJ196649:DXJ196654 EHF196649:EHF196654 ERB196649:ERB196654 FAX196649:FAX196654 FKT196649:FKT196654 FUP196649:FUP196654 GEL196649:GEL196654 GOH196649:GOH196654 GYD196649:GYD196654 HHZ196649:HHZ196654 HRV196649:HRV196654 IBR196649:IBR196654 ILN196649:ILN196654 IVJ196649:IVJ196654 JFF196649:JFF196654 JPB196649:JPB196654 JYX196649:JYX196654 KIT196649:KIT196654 KSP196649:KSP196654 LCL196649:LCL196654 LMH196649:LMH196654 LWD196649:LWD196654 MFZ196649:MFZ196654 MPV196649:MPV196654 MZR196649:MZR196654 NJN196649:NJN196654 NTJ196649:NTJ196654 ODF196649:ODF196654 ONB196649:ONB196654 OWX196649:OWX196654 PGT196649:PGT196654 PQP196649:PQP196654 QAL196649:QAL196654 QKH196649:QKH196654 QUD196649:QUD196654 RDZ196649:RDZ196654 RNV196649:RNV196654 RXR196649:RXR196654 SHN196649:SHN196654 SRJ196649:SRJ196654 TBF196649:TBF196654 TLB196649:TLB196654 TUX196649:TUX196654 UET196649:UET196654 UOP196649:UOP196654 UYL196649:UYL196654 VIH196649:VIH196654 VSD196649:VSD196654 WBZ196649:WBZ196654 WLV196649:WLV196654 WVR196649:WVR196654 JF262185:JF262190 TB262185:TB262190 ACX262185:ACX262190 AMT262185:AMT262190 AWP262185:AWP262190 BGL262185:BGL262190 BQH262185:BQH262190 CAD262185:CAD262190 CJZ262185:CJZ262190 CTV262185:CTV262190 DDR262185:DDR262190 DNN262185:DNN262190 DXJ262185:DXJ262190 EHF262185:EHF262190 ERB262185:ERB262190 FAX262185:FAX262190 FKT262185:FKT262190 FUP262185:FUP262190 GEL262185:GEL262190 GOH262185:GOH262190 GYD262185:GYD262190 HHZ262185:HHZ262190 HRV262185:HRV262190 IBR262185:IBR262190 ILN262185:ILN262190 IVJ262185:IVJ262190 JFF262185:JFF262190 JPB262185:JPB262190 JYX262185:JYX262190 KIT262185:KIT262190 KSP262185:KSP262190 LCL262185:LCL262190 LMH262185:LMH262190 LWD262185:LWD262190 MFZ262185:MFZ262190 MPV262185:MPV262190 MZR262185:MZR262190 NJN262185:NJN262190 NTJ262185:NTJ262190 ODF262185:ODF262190 ONB262185:ONB262190 OWX262185:OWX262190 PGT262185:PGT262190 PQP262185:PQP262190 QAL262185:QAL262190 QKH262185:QKH262190 QUD262185:QUD262190 RDZ262185:RDZ262190 RNV262185:RNV262190 RXR262185:RXR262190 SHN262185:SHN262190 SRJ262185:SRJ262190 TBF262185:TBF262190 TLB262185:TLB262190 TUX262185:TUX262190 UET262185:UET262190 UOP262185:UOP262190 UYL262185:UYL262190 VIH262185:VIH262190 VSD262185:VSD262190 WBZ262185:WBZ262190 WLV262185:WLV262190 WVR262185:WVR262190 JF327721:JF327726 TB327721:TB327726 ACX327721:ACX327726 AMT327721:AMT327726 AWP327721:AWP327726 BGL327721:BGL327726 BQH327721:BQH327726 CAD327721:CAD327726 CJZ327721:CJZ327726 CTV327721:CTV327726 DDR327721:DDR327726 DNN327721:DNN327726 DXJ327721:DXJ327726 EHF327721:EHF327726 ERB327721:ERB327726 FAX327721:FAX327726 FKT327721:FKT327726 FUP327721:FUP327726 GEL327721:GEL327726 GOH327721:GOH327726 GYD327721:GYD327726 HHZ327721:HHZ327726 HRV327721:HRV327726 IBR327721:IBR327726 ILN327721:ILN327726 IVJ327721:IVJ327726 JFF327721:JFF327726 JPB327721:JPB327726 JYX327721:JYX327726 KIT327721:KIT327726 KSP327721:KSP327726 LCL327721:LCL327726 LMH327721:LMH327726 LWD327721:LWD327726 MFZ327721:MFZ327726 MPV327721:MPV327726 MZR327721:MZR327726 NJN327721:NJN327726 NTJ327721:NTJ327726 ODF327721:ODF327726 ONB327721:ONB327726 OWX327721:OWX327726 PGT327721:PGT327726 PQP327721:PQP327726 QAL327721:QAL327726 QKH327721:QKH327726 QUD327721:QUD327726 RDZ327721:RDZ327726 RNV327721:RNV327726 RXR327721:RXR327726 SHN327721:SHN327726 SRJ327721:SRJ327726 TBF327721:TBF327726 TLB327721:TLB327726 TUX327721:TUX327726 UET327721:UET327726 UOP327721:UOP327726 UYL327721:UYL327726 VIH327721:VIH327726 VSD327721:VSD327726 WBZ327721:WBZ327726 WLV327721:WLV327726 WVR327721:WVR327726 JF393257:JF393262 TB393257:TB393262 ACX393257:ACX393262 AMT393257:AMT393262 AWP393257:AWP393262 BGL393257:BGL393262 BQH393257:BQH393262 CAD393257:CAD393262 CJZ393257:CJZ393262 CTV393257:CTV393262 DDR393257:DDR393262 DNN393257:DNN393262 DXJ393257:DXJ393262 EHF393257:EHF393262 ERB393257:ERB393262 FAX393257:FAX393262 FKT393257:FKT393262 FUP393257:FUP393262 GEL393257:GEL393262 GOH393257:GOH393262 GYD393257:GYD393262 HHZ393257:HHZ393262 HRV393257:HRV393262 IBR393257:IBR393262 ILN393257:ILN393262 IVJ393257:IVJ393262 JFF393257:JFF393262 JPB393257:JPB393262 JYX393257:JYX393262 KIT393257:KIT393262 KSP393257:KSP393262 LCL393257:LCL393262 LMH393257:LMH393262 LWD393257:LWD393262 MFZ393257:MFZ393262 MPV393257:MPV393262 MZR393257:MZR393262 NJN393257:NJN393262 NTJ393257:NTJ393262 ODF393257:ODF393262 ONB393257:ONB393262 OWX393257:OWX393262 PGT393257:PGT393262 PQP393257:PQP393262 QAL393257:QAL393262 QKH393257:QKH393262 QUD393257:QUD393262 RDZ393257:RDZ393262 RNV393257:RNV393262 RXR393257:RXR393262 SHN393257:SHN393262 SRJ393257:SRJ393262 TBF393257:TBF393262 TLB393257:TLB393262 TUX393257:TUX393262 UET393257:UET393262 UOP393257:UOP393262 UYL393257:UYL393262 VIH393257:VIH393262 VSD393257:VSD393262 WBZ393257:WBZ393262 WLV393257:WLV393262 WVR393257:WVR393262 JF458793:JF458798 TB458793:TB458798 ACX458793:ACX458798 AMT458793:AMT458798 AWP458793:AWP458798 BGL458793:BGL458798 BQH458793:BQH458798 CAD458793:CAD458798 CJZ458793:CJZ458798 CTV458793:CTV458798 DDR458793:DDR458798 DNN458793:DNN458798 DXJ458793:DXJ458798 EHF458793:EHF458798 ERB458793:ERB458798 FAX458793:FAX458798 FKT458793:FKT458798 FUP458793:FUP458798 GEL458793:GEL458798 GOH458793:GOH458798 GYD458793:GYD458798 HHZ458793:HHZ458798 HRV458793:HRV458798 IBR458793:IBR458798 ILN458793:ILN458798 IVJ458793:IVJ458798 JFF458793:JFF458798 JPB458793:JPB458798 JYX458793:JYX458798 KIT458793:KIT458798 KSP458793:KSP458798 LCL458793:LCL458798 LMH458793:LMH458798 LWD458793:LWD458798 MFZ458793:MFZ458798 MPV458793:MPV458798 MZR458793:MZR458798 NJN458793:NJN458798 NTJ458793:NTJ458798 ODF458793:ODF458798 ONB458793:ONB458798 OWX458793:OWX458798 PGT458793:PGT458798 PQP458793:PQP458798 QAL458793:QAL458798 QKH458793:QKH458798 QUD458793:QUD458798 RDZ458793:RDZ458798 RNV458793:RNV458798 RXR458793:RXR458798 SHN458793:SHN458798 SRJ458793:SRJ458798 TBF458793:TBF458798 TLB458793:TLB458798 TUX458793:TUX458798 UET458793:UET458798 UOP458793:UOP458798 UYL458793:UYL458798 VIH458793:VIH458798 VSD458793:VSD458798 WBZ458793:WBZ458798 WLV458793:WLV458798 WVR458793:WVR458798 JF524329:JF524334 TB524329:TB524334 ACX524329:ACX524334 AMT524329:AMT524334 AWP524329:AWP524334 BGL524329:BGL524334 BQH524329:BQH524334 CAD524329:CAD524334 CJZ524329:CJZ524334 CTV524329:CTV524334 DDR524329:DDR524334 DNN524329:DNN524334 DXJ524329:DXJ524334 EHF524329:EHF524334 ERB524329:ERB524334 FAX524329:FAX524334 FKT524329:FKT524334 FUP524329:FUP524334 GEL524329:GEL524334 GOH524329:GOH524334 GYD524329:GYD524334 HHZ524329:HHZ524334 HRV524329:HRV524334 IBR524329:IBR524334 ILN524329:ILN524334 IVJ524329:IVJ524334 JFF524329:JFF524334 JPB524329:JPB524334 JYX524329:JYX524334 KIT524329:KIT524334 KSP524329:KSP524334 LCL524329:LCL524334 LMH524329:LMH524334 LWD524329:LWD524334 MFZ524329:MFZ524334 MPV524329:MPV524334 MZR524329:MZR524334 NJN524329:NJN524334 NTJ524329:NTJ524334 ODF524329:ODF524334 ONB524329:ONB524334 OWX524329:OWX524334 PGT524329:PGT524334 PQP524329:PQP524334 QAL524329:QAL524334 QKH524329:QKH524334 QUD524329:QUD524334 RDZ524329:RDZ524334 RNV524329:RNV524334 RXR524329:RXR524334 SHN524329:SHN524334 SRJ524329:SRJ524334 TBF524329:TBF524334 TLB524329:TLB524334 TUX524329:TUX524334 UET524329:UET524334 UOP524329:UOP524334 UYL524329:UYL524334 VIH524329:VIH524334 VSD524329:VSD524334 WBZ524329:WBZ524334 WLV524329:WLV524334 WVR524329:WVR524334 JF589865:JF589870 TB589865:TB589870 ACX589865:ACX589870 AMT589865:AMT589870 AWP589865:AWP589870 BGL589865:BGL589870 BQH589865:BQH589870 CAD589865:CAD589870 CJZ589865:CJZ589870 CTV589865:CTV589870 DDR589865:DDR589870 DNN589865:DNN589870 DXJ589865:DXJ589870 EHF589865:EHF589870 ERB589865:ERB589870 FAX589865:FAX589870 FKT589865:FKT589870 FUP589865:FUP589870 GEL589865:GEL589870 GOH589865:GOH589870 GYD589865:GYD589870 HHZ589865:HHZ589870 HRV589865:HRV589870 IBR589865:IBR589870 ILN589865:ILN589870 IVJ589865:IVJ589870 JFF589865:JFF589870 JPB589865:JPB589870 JYX589865:JYX589870 KIT589865:KIT589870 KSP589865:KSP589870 LCL589865:LCL589870 LMH589865:LMH589870 LWD589865:LWD589870 MFZ589865:MFZ589870 MPV589865:MPV589870 MZR589865:MZR589870 NJN589865:NJN589870 NTJ589865:NTJ589870 ODF589865:ODF589870 ONB589865:ONB589870 OWX589865:OWX589870 PGT589865:PGT589870 PQP589865:PQP589870 QAL589865:QAL589870 QKH589865:QKH589870 QUD589865:QUD589870 RDZ589865:RDZ589870 RNV589865:RNV589870 RXR589865:RXR589870 SHN589865:SHN589870 SRJ589865:SRJ589870 TBF589865:TBF589870 TLB589865:TLB589870 TUX589865:TUX589870 UET589865:UET589870 UOP589865:UOP589870 UYL589865:UYL589870 VIH589865:VIH589870 VSD589865:VSD589870 WBZ589865:WBZ589870 WLV589865:WLV589870 WVR589865:WVR589870 JF655401:JF655406 TB655401:TB655406 ACX655401:ACX655406 AMT655401:AMT655406 AWP655401:AWP655406 BGL655401:BGL655406 BQH655401:BQH655406 CAD655401:CAD655406 CJZ655401:CJZ655406 CTV655401:CTV655406 DDR655401:DDR655406 DNN655401:DNN655406 DXJ655401:DXJ655406 EHF655401:EHF655406 ERB655401:ERB655406 FAX655401:FAX655406 FKT655401:FKT655406 FUP655401:FUP655406 GEL655401:GEL655406 GOH655401:GOH655406 GYD655401:GYD655406 HHZ655401:HHZ655406 HRV655401:HRV655406 IBR655401:IBR655406 ILN655401:ILN655406 IVJ655401:IVJ655406 JFF655401:JFF655406 JPB655401:JPB655406 JYX655401:JYX655406 KIT655401:KIT655406 KSP655401:KSP655406 LCL655401:LCL655406 LMH655401:LMH655406 LWD655401:LWD655406 MFZ655401:MFZ655406 MPV655401:MPV655406 MZR655401:MZR655406 NJN655401:NJN655406 NTJ655401:NTJ655406 ODF655401:ODF655406 ONB655401:ONB655406 OWX655401:OWX655406 PGT655401:PGT655406 PQP655401:PQP655406 QAL655401:QAL655406 QKH655401:QKH655406 QUD655401:QUD655406 RDZ655401:RDZ655406 RNV655401:RNV655406 RXR655401:RXR655406 SHN655401:SHN655406 SRJ655401:SRJ655406 TBF655401:TBF655406 TLB655401:TLB655406 TUX655401:TUX655406 UET655401:UET655406 UOP655401:UOP655406 UYL655401:UYL655406 VIH655401:VIH655406 VSD655401:VSD655406 WBZ655401:WBZ655406 WLV655401:WLV655406 WVR655401:WVR655406 JF720937:JF720942 TB720937:TB720942 ACX720937:ACX720942 AMT720937:AMT720942 AWP720937:AWP720942 BGL720937:BGL720942 BQH720937:BQH720942 CAD720937:CAD720942 CJZ720937:CJZ720942 CTV720937:CTV720942 DDR720937:DDR720942 DNN720937:DNN720942 DXJ720937:DXJ720942 EHF720937:EHF720942 ERB720937:ERB720942 FAX720937:FAX720942 FKT720937:FKT720942 FUP720937:FUP720942 GEL720937:GEL720942 GOH720937:GOH720942 GYD720937:GYD720942 HHZ720937:HHZ720942 HRV720937:HRV720942 IBR720937:IBR720942 ILN720937:ILN720942 IVJ720937:IVJ720942 JFF720937:JFF720942 JPB720937:JPB720942 JYX720937:JYX720942 KIT720937:KIT720942 KSP720937:KSP720942 LCL720937:LCL720942 LMH720937:LMH720942 LWD720937:LWD720942 MFZ720937:MFZ720942 MPV720937:MPV720942 MZR720937:MZR720942 NJN720937:NJN720942 NTJ720937:NTJ720942 ODF720937:ODF720942 ONB720937:ONB720942 OWX720937:OWX720942 PGT720937:PGT720942 PQP720937:PQP720942 QAL720937:QAL720942 QKH720937:QKH720942 QUD720937:QUD720942 RDZ720937:RDZ720942 RNV720937:RNV720942 RXR720937:RXR720942 SHN720937:SHN720942 SRJ720937:SRJ720942 TBF720937:TBF720942 TLB720937:TLB720942 TUX720937:TUX720942 UET720937:UET720942 UOP720937:UOP720942 UYL720937:UYL720942 VIH720937:VIH720942 VSD720937:VSD720942 WBZ720937:WBZ720942 WLV720937:WLV720942 WVR720937:WVR720942 JF786473:JF786478 TB786473:TB786478 ACX786473:ACX786478 AMT786473:AMT786478 AWP786473:AWP786478 BGL786473:BGL786478 BQH786473:BQH786478 CAD786473:CAD786478 CJZ786473:CJZ786478 CTV786473:CTV786478 DDR786473:DDR786478 DNN786473:DNN786478 DXJ786473:DXJ786478 EHF786473:EHF786478 ERB786473:ERB786478 FAX786473:FAX786478 FKT786473:FKT786478 FUP786473:FUP786478 GEL786473:GEL786478 GOH786473:GOH786478 GYD786473:GYD786478 HHZ786473:HHZ786478 HRV786473:HRV786478 IBR786473:IBR786478 ILN786473:ILN786478 IVJ786473:IVJ786478 JFF786473:JFF786478 JPB786473:JPB786478 JYX786473:JYX786478 KIT786473:KIT786478 KSP786473:KSP786478 LCL786473:LCL786478 LMH786473:LMH786478 LWD786473:LWD786478 MFZ786473:MFZ786478 MPV786473:MPV786478 MZR786473:MZR786478 NJN786473:NJN786478 NTJ786473:NTJ786478 ODF786473:ODF786478 ONB786473:ONB786478 OWX786473:OWX786478 PGT786473:PGT786478 PQP786473:PQP786478 QAL786473:QAL786478 QKH786473:QKH786478 QUD786473:QUD786478 RDZ786473:RDZ786478 RNV786473:RNV786478 RXR786473:RXR786478 SHN786473:SHN786478 SRJ786473:SRJ786478 TBF786473:TBF786478 TLB786473:TLB786478 TUX786473:TUX786478 UET786473:UET786478 UOP786473:UOP786478 UYL786473:UYL786478 VIH786473:VIH786478 VSD786473:VSD786478 WBZ786473:WBZ786478 WLV786473:WLV786478 WVR786473:WVR786478 JF852009:JF852014 TB852009:TB852014 ACX852009:ACX852014 AMT852009:AMT852014 AWP852009:AWP852014 BGL852009:BGL852014 BQH852009:BQH852014 CAD852009:CAD852014 CJZ852009:CJZ852014 CTV852009:CTV852014 DDR852009:DDR852014 DNN852009:DNN852014 DXJ852009:DXJ852014 EHF852009:EHF852014 ERB852009:ERB852014 FAX852009:FAX852014 FKT852009:FKT852014 FUP852009:FUP852014 GEL852009:GEL852014 GOH852009:GOH852014 GYD852009:GYD852014 HHZ852009:HHZ852014 HRV852009:HRV852014 IBR852009:IBR852014 ILN852009:ILN852014 IVJ852009:IVJ852014 JFF852009:JFF852014 JPB852009:JPB852014 JYX852009:JYX852014 KIT852009:KIT852014 KSP852009:KSP852014 LCL852009:LCL852014 LMH852009:LMH852014 LWD852009:LWD852014 MFZ852009:MFZ852014 MPV852009:MPV852014 MZR852009:MZR852014 NJN852009:NJN852014 NTJ852009:NTJ852014 ODF852009:ODF852014 ONB852009:ONB852014 OWX852009:OWX852014 PGT852009:PGT852014 PQP852009:PQP852014 QAL852009:QAL852014 QKH852009:QKH852014 QUD852009:QUD852014 RDZ852009:RDZ852014 RNV852009:RNV852014 RXR852009:RXR852014 SHN852009:SHN852014 SRJ852009:SRJ852014 TBF852009:TBF852014 TLB852009:TLB852014 TUX852009:TUX852014 UET852009:UET852014 UOP852009:UOP852014 UYL852009:UYL852014 VIH852009:VIH852014 VSD852009:VSD852014 WBZ852009:WBZ852014 WLV852009:WLV852014 WVR852009:WVR852014 JF917545:JF917550 TB917545:TB917550 ACX917545:ACX917550 AMT917545:AMT917550 AWP917545:AWP917550 BGL917545:BGL917550 BQH917545:BQH917550 CAD917545:CAD917550 CJZ917545:CJZ917550 CTV917545:CTV917550 DDR917545:DDR917550 DNN917545:DNN917550 DXJ917545:DXJ917550 EHF917545:EHF917550 ERB917545:ERB917550 FAX917545:FAX917550 FKT917545:FKT917550 FUP917545:FUP917550 GEL917545:GEL917550 GOH917545:GOH917550 GYD917545:GYD917550 HHZ917545:HHZ917550 HRV917545:HRV917550 IBR917545:IBR917550 ILN917545:ILN917550 IVJ917545:IVJ917550 JFF917545:JFF917550 JPB917545:JPB917550 JYX917545:JYX917550 KIT917545:KIT917550 KSP917545:KSP917550 LCL917545:LCL917550 LMH917545:LMH917550 LWD917545:LWD917550 MFZ917545:MFZ917550 MPV917545:MPV917550 MZR917545:MZR917550 NJN917545:NJN917550 NTJ917545:NTJ917550 ODF917545:ODF917550 ONB917545:ONB917550 OWX917545:OWX917550 PGT917545:PGT917550 PQP917545:PQP917550 QAL917545:QAL917550 QKH917545:QKH917550 QUD917545:QUD917550 RDZ917545:RDZ917550 RNV917545:RNV917550 RXR917545:RXR917550 SHN917545:SHN917550 SRJ917545:SRJ917550 TBF917545:TBF917550 TLB917545:TLB917550 TUX917545:TUX917550 UET917545:UET917550 UOP917545:UOP917550 UYL917545:UYL917550 VIH917545:VIH917550 VSD917545:VSD917550 WBZ917545:WBZ917550 WLV917545:WLV917550 WVR917545:WVR917550 JF983081:JF983086 TB983081:TB983086 ACX983081:ACX983086 AMT983081:AMT983086 AWP983081:AWP983086 BGL983081:BGL983086 BQH983081:BQH983086 CAD983081:CAD983086 CJZ983081:CJZ983086 CTV983081:CTV983086 DDR983081:DDR983086 DNN983081:DNN983086 DXJ983081:DXJ983086 EHF983081:EHF983086 ERB983081:ERB983086 FAX983081:FAX983086 FKT983081:FKT983086 FUP983081:FUP983086 GEL983081:GEL983086 GOH983081:GOH983086 GYD983081:GYD983086 HHZ983081:HHZ983086 HRV983081:HRV983086 IBR983081:IBR983086 ILN983081:ILN983086 IVJ983081:IVJ983086 JFF983081:JFF983086 JPB983081:JPB983086 JYX983081:JYX983086 KIT983081:KIT983086 KSP983081:KSP983086 LCL983081:LCL983086 LMH983081:LMH983086 LWD983081:LWD983086 MFZ983081:MFZ983086 MPV983081:MPV983086 MZR983081:MZR983086 NJN983081:NJN983086 NTJ983081:NTJ983086 ODF983081:ODF983086 ONB983081:ONB983086 OWX983081:OWX983086 PGT983081:PGT983086 PQP983081:PQP983086 QAL983081:QAL983086 QKH983081:QKH983086 QUD983081:QUD983086 RDZ983081:RDZ983086 RNV983081:RNV983086 RXR983081:RXR983086 SHN983081:SHN983086 SRJ983081:SRJ983086 TBF983081:TBF983086 TLB983081:TLB983086 TUX983081:TUX983086 UET983081:UET983086 UOP983081:UOP983086 UYL983081:UYL983086 VIH983081:VIH983086 VSD983081:VSD983086 WBZ983081:WBZ983086 WLV983081:WLV983086 WVR983081:WVR983086 L983079:L983084 L917543:L917548 L852007:L852012 L786471:L786476 L720935:L720940 L655399:L655404 L589863:L589868 L524327:L524332 L458791:L458796 L393255:L393260 L327719:L327724 L262183:L262188 L196647:L196652 L131111:L131116 L65575:L65580 K983079 K917543 K852007 K786471 K720935 K655399 K589863 K524327 K458791 K393255 K327719 K262183 K196647 K131111 K65575 K983081:K983084 K917545:K917548 K852009:K852012 K786473:K786476 K720937:K720940 K655401:K655404 K589865:K589868 K524329:K524332 K458793:K458796 K393257:K393260 K327721:K327724 K262185:K262188 K196649:K196652 K131113:K131116 K65577:K65580 K983068 K917532 K851996 K786460 K720924 K655388 K589852 K524316 K458780 K393244 K327708 K262172 K196636 K131100 K65564 K983070:L983074 K917534:L917538 K851998:L852002 K786462:L786466 K720926:L720930 K655390:L655394 K589854:L589858 K524318:L524322 K458782:L458786 K393246:L393250 K327710:L327714 K262174:L262178 K196638:L196642 K131102:L131106 K65566:L65570 J30:J34 J39:J44 WVO41 WLS41 WBW41 VSA41 VIE41 UYI41 UOM41 UEQ41 TUU41 TKY41 TBC41 SRG41 SHK41 RXO41 RNS41 RDW41 QUA41 QKE41 QAI41 PQM41 PGQ41 OWU41 OMY41 ODC41 NTG41 NJK41 MZO41 MPS41 MFW41 LWA41 LME41 LCI41 KSM41 KIQ41 JYU41 JOY41 JFC41 IVG41 ILK41 IBO41 HRS41 HHW41 GYA41 GOE41 GEI41 FUM41 FKQ41 FAU41 EQY41 EHC41 DXG41 DNK41 DDO41 CTS41 CJW41 CAA41 BQE41 BGI41 AWM41 AMQ41 ACU41 SY41">
      <formula1>$O$50:$O$53</formula1>
    </dataValidation>
  </dataValidations>
  <hyperlinks>
    <hyperlink ref="A1" location="'T&amp;V TOC'!A1" display="TOC"/>
  </hyperlinks>
  <pageMargins left="0.25" right="0.25" top="0.75" bottom="0.75" header="0.3" footer="0.3"/>
  <pageSetup scale="68" fitToHeight="2" orientation="portrait" r:id="rId1"/>
  <headerFooter alignWithMargins="0"/>
  <legacyDrawingHF r:id="rId2"/>
</worksheet>
</file>

<file path=xl/worksheets/sheet28.xml><?xml version="1.0" encoding="utf-8"?>
<worksheet xmlns="http://schemas.openxmlformats.org/spreadsheetml/2006/main" xmlns:r="http://schemas.openxmlformats.org/officeDocument/2006/relationships">
  <sheetPr>
    <tabColor theme="3" tint="0.79998168889431442"/>
  </sheetPr>
  <dimension ref="A1:BW33"/>
  <sheetViews>
    <sheetView showGridLines="0" view="pageBreakPreview" zoomScaleNormal="100" zoomScaleSheetLayoutView="100" workbookViewId="0"/>
  </sheetViews>
  <sheetFormatPr defaultRowHeight="12"/>
  <cols>
    <col min="1" max="1" width="5.5703125" style="1120" customWidth="1"/>
    <col min="2" max="2" width="20" style="1121" customWidth="1"/>
    <col min="3" max="3" width="17.28515625" style="1121" customWidth="1"/>
    <col min="4" max="5" width="15.7109375" style="1121" customWidth="1"/>
    <col min="6" max="6" width="30.7109375" style="1121" customWidth="1"/>
    <col min="7" max="7" width="10.7109375" style="1121" customWidth="1"/>
    <col min="8" max="8" width="5.7109375" style="1121" customWidth="1"/>
    <col min="9" max="9" width="4.140625" style="1121" customWidth="1"/>
    <col min="10" max="10" width="33.85546875" style="1121" customWidth="1"/>
    <col min="11" max="13" width="9" style="1129" customWidth="1"/>
    <col min="14" max="14" width="9" style="1129" hidden="1" customWidth="1"/>
    <col min="15" max="15" width="9" style="1129" customWidth="1"/>
    <col min="16" max="27" width="9.140625" style="1129"/>
    <col min="28" max="257" width="9.140625" style="1121"/>
    <col min="258" max="258" width="20" style="1121" customWidth="1"/>
    <col min="259" max="259" width="17.28515625" style="1121" customWidth="1"/>
    <col min="260" max="261" width="15.7109375" style="1121" customWidth="1"/>
    <col min="262" max="262" width="30.7109375" style="1121" customWidth="1"/>
    <col min="263" max="263" width="10.7109375" style="1121" customWidth="1"/>
    <col min="264" max="264" width="5.7109375" style="1121" customWidth="1"/>
    <col min="265" max="265" width="11" style="1121" customWidth="1"/>
    <col min="266" max="266" width="33.85546875" style="1121" customWidth="1"/>
    <col min="267" max="269" width="9" style="1121" customWidth="1"/>
    <col min="270" max="270" width="0" style="1121" hidden="1" customWidth="1"/>
    <col min="271" max="271" width="9" style="1121" customWidth="1"/>
    <col min="272" max="513" width="9.140625" style="1121"/>
    <col min="514" max="514" width="20" style="1121" customWidth="1"/>
    <col min="515" max="515" width="17.28515625" style="1121" customWidth="1"/>
    <col min="516" max="517" width="15.7109375" style="1121" customWidth="1"/>
    <col min="518" max="518" width="30.7109375" style="1121" customWidth="1"/>
    <col min="519" max="519" width="10.7109375" style="1121" customWidth="1"/>
    <col min="520" max="520" width="5.7109375" style="1121" customWidth="1"/>
    <col min="521" max="521" width="11" style="1121" customWidth="1"/>
    <col min="522" max="522" width="33.85546875" style="1121" customWidth="1"/>
    <col min="523" max="525" width="9" style="1121" customWidth="1"/>
    <col min="526" max="526" width="0" style="1121" hidden="1" customWidth="1"/>
    <col min="527" max="527" width="9" style="1121" customWidth="1"/>
    <col min="528" max="769" width="9.140625" style="1121"/>
    <col min="770" max="770" width="20" style="1121" customWidth="1"/>
    <col min="771" max="771" width="17.28515625" style="1121" customWidth="1"/>
    <col min="772" max="773" width="15.7109375" style="1121" customWidth="1"/>
    <col min="774" max="774" width="30.7109375" style="1121" customWidth="1"/>
    <col min="775" max="775" width="10.7109375" style="1121" customWidth="1"/>
    <col min="776" max="776" width="5.7109375" style="1121" customWidth="1"/>
    <col min="777" max="777" width="11" style="1121" customWidth="1"/>
    <col min="778" max="778" width="33.85546875" style="1121" customWidth="1"/>
    <col min="779" max="781" width="9" style="1121" customWidth="1"/>
    <col min="782" max="782" width="0" style="1121" hidden="1" customWidth="1"/>
    <col min="783" max="783" width="9" style="1121" customWidth="1"/>
    <col min="784" max="1025" width="9.140625" style="1121"/>
    <col min="1026" max="1026" width="20" style="1121" customWidth="1"/>
    <col min="1027" max="1027" width="17.28515625" style="1121" customWidth="1"/>
    <col min="1028" max="1029" width="15.7109375" style="1121" customWidth="1"/>
    <col min="1030" max="1030" width="30.7109375" style="1121" customWidth="1"/>
    <col min="1031" max="1031" width="10.7109375" style="1121" customWidth="1"/>
    <col min="1032" max="1032" width="5.7109375" style="1121" customWidth="1"/>
    <col min="1033" max="1033" width="11" style="1121" customWidth="1"/>
    <col min="1034" max="1034" width="33.85546875" style="1121" customWidth="1"/>
    <col min="1035" max="1037" width="9" style="1121" customWidth="1"/>
    <col min="1038" max="1038" width="0" style="1121" hidden="1" customWidth="1"/>
    <col min="1039" max="1039" width="9" style="1121" customWidth="1"/>
    <col min="1040" max="1281" width="9.140625" style="1121"/>
    <col min="1282" max="1282" width="20" style="1121" customWidth="1"/>
    <col min="1283" max="1283" width="17.28515625" style="1121" customWidth="1"/>
    <col min="1284" max="1285" width="15.7109375" style="1121" customWidth="1"/>
    <col min="1286" max="1286" width="30.7109375" style="1121" customWidth="1"/>
    <col min="1287" max="1287" width="10.7109375" style="1121" customWidth="1"/>
    <col min="1288" max="1288" width="5.7109375" style="1121" customWidth="1"/>
    <col min="1289" max="1289" width="11" style="1121" customWidth="1"/>
    <col min="1290" max="1290" width="33.85546875" style="1121" customWidth="1"/>
    <col min="1291" max="1293" width="9" style="1121" customWidth="1"/>
    <col min="1294" max="1294" width="0" style="1121" hidden="1" customWidth="1"/>
    <col min="1295" max="1295" width="9" style="1121" customWidth="1"/>
    <col min="1296" max="1537" width="9.140625" style="1121"/>
    <col min="1538" max="1538" width="20" style="1121" customWidth="1"/>
    <col min="1539" max="1539" width="17.28515625" style="1121" customWidth="1"/>
    <col min="1540" max="1541" width="15.7109375" style="1121" customWidth="1"/>
    <col min="1542" max="1542" width="30.7109375" style="1121" customWidth="1"/>
    <col min="1543" max="1543" width="10.7109375" style="1121" customWidth="1"/>
    <col min="1544" max="1544" width="5.7109375" style="1121" customWidth="1"/>
    <col min="1545" max="1545" width="11" style="1121" customWidth="1"/>
    <col min="1546" max="1546" width="33.85546875" style="1121" customWidth="1"/>
    <col min="1547" max="1549" width="9" style="1121" customWidth="1"/>
    <col min="1550" max="1550" width="0" style="1121" hidden="1" customWidth="1"/>
    <col min="1551" max="1551" width="9" style="1121" customWidth="1"/>
    <col min="1552" max="1793" width="9.140625" style="1121"/>
    <col min="1794" max="1794" width="20" style="1121" customWidth="1"/>
    <col min="1795" max="1795" width="17.28515625" style="1121" customWidth="1"/>
    <col min="1796" max="1797" width="15.7109375" style="1121" customWidth="1"/>
    <col min="1798" max="1798" width="30.7109375" style="1121" customWidth="1"/>
    <col min="1799" max="1799" width="10.7109375" style="1121" customWidth="1"/>
    <col min="1800" max="1800" width="5.7109375" style="1121" customWidth="1"/>
    <col min="1801" max="1801" width="11" style="1121" customWidth="1"/>
    <col min="1802" max="1802" width="33.85546875" style="1121" customWidth="1"/>
    <col min="1803" max="1805" width="9" style="1121" customWidth="1"/>
    <col min="1806" max="1806" width="0" style="1121" hidden="1" customWidth="1"/>
    <col min="1807" max="1807" width="9" style="1121" customWidth="1"/>
    <col min="1808" max="2049" width="9.140625" style="1121"/>
    <col min="2050" max="2050" width="20" style="1121" customWidth="1"/>
    <col min="2051" max="2051" width="17.28515625" style="1121" customWidth="1"/>
    <col min="2052" max="2053" width="15.7109375" style="1121" customWidth="1"/>
    <col min="2054" max="2054" width="30.7109375" style="1121" customWidth="1"/>
    <col min="2055" max="2055" width="10.7109375" style="1121" customWidth="1"/>
    <col min="2056" max="2056" width="5.7109375" style="1121" customWidth="1"/>
    <col min="2057" max="2057" width="11" style="1121" customWidth="1"/>
    <col min="2058" max="2058" width="33.85546875" style="1121" customWidth="1"/>
    <col min="2059" max="2061" width="9" style="1121" customWidth="1"/>
    <col min="2062" max="2062" width="0" style="1121" hidden="1" customWidth="1"/>
    <col min="2063" max="2063" width="9" style="1121" customWidth="1"/>
    <col min="2064" max="2305" width="9.140625" style="1121"/>
    <col min="2306" max="2306" width="20" style="1121" customWidth="1"/>
    <col min="2307" max="2307" width="17.28515625" style="1121" customWidth="1"/>
    <col min="2308" max="2309" width="15.7109375" style="1121" customWidth="1"/>
    <col min="2310" max="2310" width="30.7109375" style="1121" customWidth="1"/>
    <col min="2311" max="2311" width="10.7109375" style="1121" customWidth="1"/>
    <col min="2312" max="2312" width="5.7109375" style="1121" customWidth="1"/>
    <col min="2313" max="2313" width="11" style="1121" customWidth="1"/>
    <col min="2314" max="2314" width="33.85546875" style="1121" customWidth="1"/>
    <col min="2315" max="2317" width="9" style="1121" customWidth="1"/>
    <col min="2318" max="2318" width="0" style="1121" hidden="1" customWidth="1"/>
    <col min="2319" max="2319" width="9" style="1121" customWidth="1"/>
    <col min="2320" max="2561" width="9.140625" style="1121"/>
    <col min="2562" max="2562" width="20" style="1121" customWidth="1"/>
    <col min="2563" max="2563" width="17.28515625" style="1121" customWidth="1"/>
    <col min="2564" max="2565" width="15.7109375" style="1121" customWidth="1"/>
    <col min="2566" max="2566" width="30.7109375" style="1121" customWidth="1"/>
    <col min="2567" max="2567" width="10.7109375" style="1121" customWidth="1"/>
    <col min="2568" max="2568" width="5.7109375" style="1121" customWidth="1"/>
    <col min="2569" max="2569" width="11" style="1121" customWidth="1"/>
    <col min="2570" max="2570" width="33.85546875" style="1121" customWidth="1"/>
    <col min="2571" max="2573" width="9" style="1121" customWidth="1"/>
    <col min="2574" max="2574" width="0" style="1121" hidden="1" customWidth="1"/>
    <col min="2575" max="2575" width="9" style="1121" customWidth="1"/>
    <col min="2576" max="2817" width="9.140625" style="1121"/>
    <col min="2818" max="2818" width="20" style="1121" customWidth="1"/>
    <col min="2819" max="2819" width="17.28515625" style="1121" customWidth="1"/>
    <col min="2820" max="2821" width="15.7109375" style="1121" customWidth="1"/>
    <col min="2822" max="2822" width="30.7109375" style="1121" customWidth="1"/>
    <col min="2823" max="2823" width="10.7109375" style="1121" customWidth="1"/>
    <col min="2824" max="2824" width="5.7109375" style="1121" customWidth="1"/>
    <col min="2825" max="2825" width="11" style="1121" customWidth="1"/>
    <col min="2826" max="2826" width="33.85546875" style="1121" customWidth="1"/>
    <col min="2827" max="2829" width="9" style="1121" customWidth="1"/>
    <col min="2830" max="2830" width="0" style="1121" hidden="1" customWidth="1"/>
    <col min="2831" max="2831" width="9" style="1121" customWidth="1"/>
    <col min="2832" max="3073" width="9.140625" style="1121"/>
    <col min="3074" max="3074" width="20" style="1121" customWidth="1"/>
    <col min="3075" max="3075" width="17.28515625" style="1121" customWidth="1"/>
    <col min="3076" max="3077" width="15.7109375" style="1121" customWidth="1"/>
    <col min="3078" max="3078" width="30.7109375" style="1121" customWidth="1"/>
    <col min="3079" max="3079" width="10.7109375" style="1121" customWidth="1"/>
    <col min="3080" max="3080" width="5.7109375" style="1121" customWidth="1"/>
    <col min="3081" max="3081" width="11" style="1121" customWidth="1"/>
    <col min="3082" max="3082" width="33.85546875" style="1121" customWidth="1"/>
    <col min="3083" max="3085" width="9" style="1121" customWidth="1"/>
    <col min="3086" max="3086" width="0" style="1121" hidden="1" customWidth="1"/>
    <col min="3087" max="3087" width="9" style="1121" customWidth="1"/>
    <col min="3088" max="3329" width="9.140625" style="1121"/>
    <col min="3330" max="3330" width="20" style="1121" customWidth="1"/>
    <col min="3331" max="3331" width="17.28515625" style="1121" customWidth="1"/>
    <col min="3332" max="3333" width="15.7109375" style="1121" customWidth="1"/>
    <col min="3334" max="3334" width="30.7109375" style="1121" customWidth="1"/>
    <col min="3335" max="3335" width="10.7109375" style="1121" customWidth="1"/>
    <col min="3336" max="3336" width="5.7109375" style="1121" customWidth="1"/>
    <col min="3337" max="3337" width="11" style="1121" customWidth="1"/>
    <col min="3338" max="3338" width="33.85546875" style="1121" customWidth="1"/>
    <col min="3339" max="3341" width="9" style="1121" customWidth="1"/>
    <col min="3342" max="3342" width="0" style="1121" hidden="1" customWidth="1"/>
    <col min="3343" max="3343" width="9" style="1121" customWidth="1"/>
    <col min="3344" max="3585" width="9.140625" style="1121"/>
    <col min="3586" max="3586" width="20" style="1121" customWidth="1"/>
    <col min="3587" max="3587" width="17.28515625" style="1121" customWidth="1"/>
    <col min="3588" max="3589" width="15.7109375" style="1121" customWidth="1"/>
    <col min="3590" max="3590" width="30.7109375" style="1121" customWidth="1"/>
    <col min="3591" max="3591" width="10.7109375" style="1121" customWidth="1"/>
    <col min="3592" max="3592" width="5.7109375" style="1121" customWidth="1"/>
    <col min="3593" max="3593" width="11" style="1121" customWidth="1"/>
    <col min="3594" max="3594" width="33.85546875" style="1121" customWidth="1"/>
    <col min="3595" max="3597" width="9" style="1121" customWidth="1"/>
    <col min="3598" max="3598" width="0" style="1121" hidden="1" customWidth="1"/>
    <col min="3599" max="3599" width="9" style="1121" customWidth="1"/>
    <col min="3600" max="3841" width="9.140625" style="1121"/>
    <col min="3842" max="3842" width="20" style="1121" customWidth="1"/>
    <col min="3843" max="3843" width="17.28515625" style="1121" customWidth="1"/>
    <col min="3844" max="3845" width="15.7109375" style="1121" customWidth="1"/>
    <col min="3846" max="3846" width="30.7109375" style="1121" customWidth="1"/>
    <col min="3847" max="3847" width="10.7109375" style="1121" customWidth="1"/>
    <col min="3848" max="3848" width="5.7109375" style="1121" customWidth="1"/>
    <col min="3849" max="3849" width="11" style="1121" customWidth="1"/>
    <col min="3850" max="3850" width="33.85546875" style="1121" customWidth="1"/>
    <col min="3851" max="3853" width="9" style="1121" customWidth="1"/>
    <col min="3854" max="3854" width="0" style="1121" hidden="1" customWidth="1"/>
    <col min="3855" max="3855" width="9" style="1121" customWidth="1"/>
    <col min="3856" max="4097" width="9.140625" style="1121"/>
    <col min="4098" max="4098" width="20" style="1121" customWidth="1"/>
    <col min="4099" max="4099" width="17.28515625" style="1121" customWidth="1"/>
    <col min="4100" max="4101" width="15.7109375" style="1121" customWidth="1"/>
    <col min="4102" max="4102" width="30.7109375" style="1121" customWidth="1"/>
    <col min="4103" max="4103" width="10.7109375" style="1121" customWidth="1"/>
    <col min="4104" max="4104" width="5.7109375" style="1121" customWidth="1"/>
    <col min="4105" max="4105" width="11" style="1121" customWidth="1"/>
    <col min="4106" max="4106" width="33.85546875" style="1121" customWidth="1"/>
    <col min="4107" max="4109" width="9" style="1121" customWidth="1"/>
    <col min="4110" max="4110" width="0" style="1121" hidden="1" customWidth="1"/>
    <col min="4111" max="4111" width="9" style="1121" customWidth="1"/>
    <col min="4112" max="4353" width="9.140625" style="1121"/>
    <col min="4354" max="4354" width="20" style="1121" customWidth="1"/>
    <col min="4355" max="4355" width="17.28515625" style="1121" customWidth="1"/>
    <col min="4356" max="4357" width="15.7109375" style="1121" customWidth="1"/>
    <col min="4358" max="4358" width="30.7109375" style="1121" customWidth="1"/>
    <col min="4359" max="4359" width="10.7109375" style="1121" customWidth="1"/>
    <col min="4360" max="4360" width="5.7109375" style="1121" customWidth="1"/>
    <col min="4361" max="4361" width="11" style="1121" customWidth="1"/>
    <col min="4362" max="4362" width="33.85546875" style="1121" customWidth="1"/>
    <col min="4363" max="4365" width="9" style="1121" customWidth="1"/>
    <col min="4366" max="4366" width="0" style="1121" hidden="1" customWidth="1"/>
    <col min="4367" max="4367" width="9" style="1121" customWidth="1"/>
    <col min="4368" max="4609" width="9.140625" style="1121"/>
    <col min="4610" max="4610" width="20" style="1121" customWidth="1"/>
    <col min="4611" max="4611" width="17.28515625" style="1121" customWidth="1"/>
    <col min="4612" max="4613" width="15.7109375" style="1121" customWidth="1"/>
    <col min="4614" max="4614" width="30.7109375" style="1121" customWidth="1"/>
    <col min="4615" max="4615" width="10.7109375" style="1121" customWidth="1"/>
    <col min="4616" max="4616" width="5.7109375" style="1121" customWidth="1"/>
    <col min="4617" max="4617" width="11" style="1121" customWidth="1"/>
    <col min="4618" max="4618" width="33.85546875" style="1121" customWidth="1"/>
    <col min="4619" max="4621" width="9" style="1121" customWidth="1"/>
    <col min="4622" max="4622" width="0" style="1121" hidden="1" customWidth="1"/>
    <col min="4623" max="4623" width="9" style="1121" customWidth="1"/>
    <col min="4624" max="4865" width="9.140625" style="1121"/>
    <col min="4866" max="4866" width="20" style="1121" customWidth="1"/>
    <col min="4867" max="4867" width="17.28515625" style="1121" customWidth="1"/>
    <col min="4868" max="4869" width="15.7109375" style="1121" customWidth="1"/>
    <col min="4870" max="4870" width="30.7109375" style="1121" customWidth="1"/>
    <col min="4871" max="4871" width="10.7109375" style="1121" customWidth="1"/>
    <col min="4872" max="4872" width="5.7109375" style="1121" customWidth="1"/>
    <col min="4873" max="4873" width="11" style="1121" customWidth="1"/>
    <col min="4874" max="4874" width="33.85546875" style="1121" customWidth="1"/>
    <col min="4875" max="4877" width="9" style="1121" customWidth="1"/>
    <col min="4878" max="4878" width="0" style="1121" hidden="1" customWidth="1"/>
    <col min="4879" max="4879" width="9" style="1121" customWidth="1"/>
    <col min="4880" max="5121" width="9.140625" style="1121"/>
    <col min="5122" max="5122" width="20" style="1121" customWidth="1"/>
    <col min="5123" max="5123" width="17.28515625" style="1121" customWidth="1"/>
    <col min="5124" max="5125" width="15.7109375" style="1121" customWidth="1"/>
    <col min="5126" max="5126" width="30.7109375" style="1121" customWidth="1"/>
    <col min="5127" max="5127" width="10.7109375" style="1121" customWidth="1"/>
    <col min="5128" max="5128" width="5.7109375" style="1121" customWidth="1"/>
    <col min="5129" max="5129" width="11" style="1121" customWidth="1"/>
    <col min="5130" max="5130" width="33.85546875" style="1121" customWidth="1"/>
    <col min="5131" max="5133" width="9" style="1121" customWidth="1"/>
    <col min="5134" max="5134" width="0" style="1121" hidden="1" customWidth="1"/>
    <col min="5135" max="5135" width="9" style="1121" customWidth="1"/>
    <col min="5136" max="5377" width="9.140625" style="1121"/>
    <col min="5378" max="5378" width="20" style="1121" customWidth="1"/>
    <col min="5379" max="5379" width="17.28515625" style="1121" customWidth="1"/>
    <col min="5380" max="5381" width="15.7109375" style="1121" customWidth="1"/>
    <col min="5382" max="5382" width="30.7109375" style="1121" customWidth="1"/>
    <col min="5383" max="5383" width="10.7109375" style="1121" customWidth="1"/>
    <col min="5384" max="5384" width="5.7109375" style="1121" customWidth="1"/>
    <col min="5385" max="5385" width="11" style="1121" customWidth="1"/>
    <col min="5386" max="5386" width="33.85546875" style="1121" customWidth="1"/>
    <col min="5387" max="5389" width="9" style="1121" customWidth="1"/>
    <col min="5390" max="5390" width="0" style="1121" hidden="1" customWidth="1"/>
    <col min="5391" max="5391" width="9" style="1121" customWidth="1"/>
    <col min="5392" max="5633" width="9.140625" style="1121"/>
    <col min="5634" max="5634" width="20" style="1121" customWidth="1"/>
    <col min="5635" max="5635" width="17.28515625" style="1121" customWidth="1"/>
    <col min="5636" max="5637" width="15.7109375" style="1121" customWidth="1"/>
    <col min="5638" max="5638" width="30.7109375" style="1121" customWidth="1"/>
    <col min="5639" max="5639" width="10.7109375" style="1121" customWidth="1"/>
    <col min="5640" max="5640" width="5.7109375" style="1121" customWidth="1"/>
    <col min="5641" max="5641" width="11" style="1121" customWidth="1"/>
    <col min="5642" max="5642" width="33.85546875" style="1121" customWidth="1"/>
    <col min="5643" max="5645" width="9" style="1121" customWidth="1"/>
    <col min="5646" max="5646" width="0" style="1121" hidden="1" customWidth="1"/>
    <col min="5647" max="5647" width="9" style="1121" customWidth="1"/>
    <col min="5648" max="5889" width="9.140625" style="1121"/>
    <col min="5890" max="5890" width="20" style="1121" customWidth="1"/>
    <col min="5891" max="5891" width="17.28515625" style="1121" customWidth="1"/>
    <col min="5892" max="5893" width="15.7109375" style="1121" customWidth="1"/>
    <col min="5894" max="5894" width="30.7109375" style="1121" customWidth="1"/>
    <col min="5895" max="5895" width="10.7109375" style="1121" customWidth="1"/>
    <col min="5896" max="5896" width="5.7109375" style="1121" customWidth="1"/>
    <col min="5897" max="5897" width="11" style="1121" customWidth="1"/>
    <col min="5898" max="5898" width="33.85546875" style="1121" customWidth="1"/>
    <col min="5899" max="5901" width="9" style="1121" customWidth="1"/>
    <col min="5902" max="5902" width="0" style="1121" hidden="1" customWidth="1"/>
    <col min="5903" max="5903" width="9" style="1121" customWidth="1"/>
    <col min="5904" max="6145" width="9.140625" style="1121"/>
    <col min="6146" max="6146" width="20" style="1121" customWidth="1"/>
    <col min="6147" max="6147" width="17.28515625" style="1121" customWidth="1"/>
    <col min="6148" max="6149" width="15.7109375" style="1121" customWidth="1"/>
    <col min="6150" max="6150" width="30.7109375" style="1121" customWidth="1"/>
    <col min="6151" max="6151" width="10.7109375" style="1121" customWidth="1"/>
    <col min="6152" max="6152" width="5.7109375" style="1121" customWidth="1"/>
    <col min="6153" max="6153" width="11" style="1121" customWidth="1"/>
    <col min="6154" max="6154" width="33.85546875" style="1121" customWidth="1"/>
    <col min="6155" max="6157" width="9" style="1121" customWidth="1"/>
    <col min="6158" max="6158" width="0" style="1121" hidden="1" customWidth="1"/>
    <col min="6159" max="6159" width="9" style="1121" customWidth="1"/>
    <col min="6160" max="6401" width="9.140625" style="1121"/>
    <col min="6402" max="6402" width="20" style="1121" customWidth="1"/>
    <col min="6403" max="6403" width="17.28515625" style="1121" customWidth="1"/>
    <col min="6404" max="6405" width="15.7109375" style="1121" customWidth="1"/>
    <col min="6406" max="6406" width="30.7109375" style="1121" customWidth="1"/>
    <col min="6407" max="6407" width="10.7109375" style="1121" customWidth="1"/>
    <col min="6408" max="6408" width="5.7109375" style="1121" customWidth="1"/>
    <col min="6409" max="6409" width="11" style="1121" customWidth="1"/>
    <col min="6410" max="6410" width="33.85546875" style="1121" customWidth="1"/>
    <col min="6411" max="6413" width="9" style="1121" customWidth="1"/>
    <col min="6414" max="6414" width="0" style="1121" hidden="1" customWidth="1"/>
    <col min="6415" max="6415" width="9" style="1121" customWidth="1"/>
    <col min="6416" max="6657" width="9.140625" style="1121"/>
    <col min="6658" max="6658" width="20" style="1121" customWidth="1"/>
    <col min="6659" max="6659" width="17.28515625" style="1121" customWidth="1"/>
    <col min="6660" max="6661" width="15.7109375" style="1121" customWidth="1"/>
    <col min="6662" max="6662" width="30.7109375" style="1121" customWidth="1"/>
    <col min="6663" max="6663" width="10.7109375" style="1121" customWidth="1"/>
    <col min="6664" max="6664" width="5.7109375" style="1121" customWidth="1"/>
    <col min="6665" max="6665" width="11" style="1121" customWidth="1"/>
    <col min="6666" max="6666" width="33.85546875" style="1121" customWidth="1"/>
    <col min="6667" max="6669" width="9" style="1121" customWidth="1"/>
    <col min="6670" max="6670" width="0" style="1121" hidden="1" customWidth="1"/>
    <col min="6671" max="6671" width="9" style="1121" customWidth="1"/>
    <col min="6672" max="6913" width="9.140625" style="1121"/>
    <col min="6914" max="6914" width="20" style="1121" customWidth="1"/>
    <col min="6915" max="6915" width="17.28515625" style="1121" customWidth="1"/>
    <col min="6916" max="6917" width="15.7109375" style="1121" customWidth="1"/>
    <col min="6918" max="6918" width="30.7109375" style="1121" customWidth="1"/>
    <col min="6919" max="6919" width="10.7109375" style="1121" customWidth="1"/>
    <col min="6920" max="6920" width="5.7109375" style="1121" customWidth="1"/>
    <col min="6921" max="6921" width="11" style="1121" customWidth="1"/>
    <col min="6922" max="6922" width="33.85546875" style="1121" customWidth="1"/>
    <col min="6923" max="6925" width="9" style="1121" customWidth="1"/>
    <col min="6926" max="6926" width="0" style="1121" hidden="1" customWidth="1"/>
    <col min="6927" max="6927" width="9" style="1121" customWidth="1"/>
    <col min="6928" max="7169" width="9.140625" style="1121"/>
    <col min="7170" max="7170" width="20" style="1121" customWidth="1"/>
    <col min="7171" max="7171" width="17.28515625" style="1121" customWidth="1"/>
    <col min="7172" max="7173" width="15.7109375" style="1121" customWidth="1"/>
    <col min="7174" max="7174" width="30.7109375" style="1121" customWidth="1"/>
    <col min="7175" max="7175" width="10.7109375" style="1121" customWidth="1"/>
    <col min="7176" max="7176" width="5.7109375" style="1121" customWidth="1"/>
    <col min="7177" max="7177" width="11" style="1121" customWidth="1"/>
    <col min="7178" max="7178" width="33.85546875" style="1121" customWidth="1"/>
    <col min="7179" max="7181" width="9" style="1121" customWidth="1"/>
    <col min="7182" max="7182" width="0" style="1121" hidden="1" customWidth="1"/>
    <col min="7183" max="7183" width="9" style="1121" customWidth="1"/>
    <col min="7184" max="7425" width="9.140625" style="1121"/>
    <col min="7426" max="7426" width="20" style="1121" customWidth="1"/>
    <col min="7427" max="7427" width="17.28515625" style="1121" customWidth="1"/>
    <col min="7428" max="7429" width="15.7109375" style="1121" customWidth="1"/>
    <col min="7430" max="7430" width="30.7109375" style="1121" customWidth="1"/>
    <col min="7431" max="7431" width="10.7109375" style="1121" customWidth="1"/>
    <col min="7432" max="7432" width="5.7109375" style="1121" customWidth="1"/>
    <col min="7433" max="7433" width="11" style="1121" customWidth="1"/>
    <col min="7434" max="7434" width="33.85546875" style="1121" customWidth="1"/>
    <col min="7435" max="7437" width="9" style="1121" customWidth="1"/>
    <col min="7438" max="7438" width="0" style="1121" hidden="1" customWidth="1"/>
    <col min="7439" max="7439" width="9" style="1121" customWidth="1"/>
    <col min="7440" max="7681" width="9.140625" style="1121"/>
    <col min="7682" max="7682" width="20" style="1121" customWidth="1"/>
    <col min="7683" max="7683" width="17.28515625" style="1121" customWidth="1"/>
    <col min="7684" max="7685" width="15.7109375" style="1121" customWidth="1"/>
    <col min="7686" max="7686" width="30.7109375" style="1121" customWidth="1"/>
    <col min="7687" max="7687" width="10.7109375" style="1121" customWidth="1"/>
    <col min="7688" max="7688" width="5.7109375" style="1121" customWidth="1"/>
    <col min="7689" max="7689" width="11" style="1121" customWidth="1"/>
    <col min="7690" max="7690" width="33.85546875" style="1121" customWidth="1"/>
    <col min="7691" max="7693" width="9" style="1121" customWidth="1"/>
    <col min="7694" max="7694" width="0" style="1121" hidden="1" customWidth="1"/>
    <col min="7695" max="7695" width="9" style="1121" customWidth="1"/>
    <col min="7696" max="7937" width="9.140625" style="1121"/>
    <col min="7938" max="7938" width="20" style="1121" customWidth="1"/>
    <col min="7939" max="7939" width="17.28515625" style="1121" customWidth="1"/>
    <col min="7940" max="7941" width="15.7109375" style="1121" customWidth="1"/>
    <col min="7942" max="7942" width="30.7109375" style="1121" customWidth="1"/>
    <col min="7943" max="7943" width="10.7109375" style="1121" customWidth="1"/>
    <col min="7944" max="7944" width="5.7109375" style="1121" customWidth="1"/>
    <col min="7945" max="7945" width="11" style="1121" customWidth="1"/>
    <col min="7946" max="7946" width="33.85546875" style="1121" customWidth="1"/>
    <col min="7947" max="7949" width="9" style="1121" customWidth="1"/>
    <col min="7950" max="7950" width="0" style="1121" hidden="1" customWidth="1"/>
    <col min="7951" max="7951" width="9" style="1121" customWidth="1"/>
    <col min="7952" max="8193" width="9.140625" style="1121"/>
    <col min="8194" max="8194" width="20" style="1121" customWidth="1"/>
    <col min="8195" max="8195" width="17.28515625" style="1121" customWidth="1"/>
    <col min="8196" max="8197" width="15.7109375" style="1121" customWidth="1"/>
    <col min="8198" max="8198" width="30.7109375" style="1121" customWidth="1"/>
    <col min="8199" max="8199" width="10.7109375" style="1121" customWidth="1"/>
    <col min="8200" max="8200" width="5.7109375" style="1121" customWidth="1"/>
    <col min="8201" max="8201" width="11" style="1121" customWidth="1"/>
    <col min="8202" max="8202" width="33.85546875" style="1121" customWidth="1"/>
    <col min="8203" max="8205" width="9" style="1121" customWidth="1"/>
    <col min="8206" max="8206" width="0" style="1121" hidden="1" customWidth="1"/>
    <col min="8207" max="8207" width="9" style="1121" customWidth="1"/>
    <col min="8208" max="8449" width="9.140625" style="1121"/>
    <col min="8450" max="8450" width="20" style="1121" customWidth="1"/>
    <col min="8451" max="8451" width="17.28515625" style="1121" customWidth="1"/>
    <col min="8452" max="8453" width="15.7109375" style="1121" customWidth="1"/>
    <col min="8454" max="8454" width="30.7109375" style="1121" customWidth="1"/>
    <col min="8455" max="8455" width="10.7109375" style="1121" customWidth="1"/>
    <col min="8456" max="8456" width="5.7109375" style="1121" customWidth="1"/>
    <col min="8457" max="8457" width="11" style="1121" customWidth="1"/>
    <col min="8458" max="8458" width="33.85546875" style="1121" customWidth="1"/>
    <col min="8459" max="8461" width="9" style="1121" customWidth="1"/>
    <col min="8462" max="8462" width="0" style="1121" hidden="1" customWidth="1"/>
    <col min="8463" max="8463" width="9" style="1121" customWidth="1"/>
    <col min="8464" max="8705" width="9.140625" style="1121"/>
    <col min="8706" max="8706" width="20" style="1121" customWidth="1"/>
    <col min="8707" max="8707" width="17.28515625" style="1121" customWidth="1"/>
    <col min="8708" max="8709" width="15.7109375" style="1121" customWidth="1"/>
    <col min="8710" max="8710" width="30.7109375" style="1121" customWidth="1"/>
    <col min="8711" max="8711" width="10.7109375" style="1121" customWidth="1"/>
    <col min="8712" max="8712" width="5.7109375" style="1121" customWidth="1"/>
    <col min="8713" max="8713" width="11" style="1121" customWidth="1"/>
    <col min="8714" max="8714" width="33.85546875" style="1121" customWidth="1"/>
    <col min="8715" max="8717" width="9" style="1121" customWidth="1"/>
    <col min="8718" max="8718" width="0" style="1121" hidden="1" customWidth="1"/>
    <col min="8719" max="8719" width="9" style="1121" customWidth="1"/>
    <col min="8720" max="8961" width="9.140625" style="1121"/>
    <col min="8962" max="8962" width="20" style="1121" customWidth="1"/>
    <col min="8963" max="8963" width="17.28515625" style="1121" customWidth="1"/>
    <col min="8964" max="8965" width="15.7109375" style="1121" customWidth="1"/>
    <col min="8966" max="8966" width="30.7109375" style="1121" customWidth="1"/>
    <col min="8967" max="8967" width="10.7109375" style="1121" customWidth="1"/>
    <col min="8968" max="8968" width="5.7109375" style="1121" customWidth="1"/>
    <col min="8969" max="8969" width="11" style="1121" customWidth="1"/>
    <col min="8970" max="8970" width="33.85546875" style="1121" customWidth="1"/>
    <col min="8971" max="8973" width="9" style="1121" customWidth="1"/>
    <col min="8974" max="8974" width="0" style="1121" hidden="1" customWidth="1"/>
    <col min="8975" max="8975" width="9" style="1121" customWidth="1"/>
    <col min="8976" max="9217" width="9.140625" style="1121"/>
    <col min="9218" max="9218" width="20" style="1121" customWidth="1"/>
    <col min="9219" max="9219" width="17.28515625" style="1121" customWidth="1"/>
    <col min="9220" max="9221" width="15.7109375" style="1121" customWidth="1"/>
    <col min="9222" max="9222" width="30.7109375" style="1121" customWidth="1"/>
    <col min="9223" max="9223" width="10.7109375" style="1121" customWidth="1"/>
    <col min="9224" max="9224" width="5.7109375" style="1121" customWidth="1"/>
    <col min="9225" max="9225" width="11" style="1121" customWidth="1"/>
    <col min="9226" max="9226" width="33.85546875" style="1121" customWidth="1"/>
    <col min="9227" max="9229" width="9" style="1121" customWidth="1"/>
    <col min="9230" max="9230" width="0" style="1121" hidden="1" customWidth="1"/>
    <col min="9231" max="9231" width="9" style="1121" customWidth="1"/>
    <col min="9232" max="9473" width="9.140625" style="1121"/>
    <col min="9474" max="9474" width="20" style="1121" customWidth="1"/>
    <col min="9475" max="9475" width="17.28515625" style="1121" customWidth="1"/>
    <col min="9476" max="9477" width="15.7109375" style="1121" customWidth="1"/>
    <col min="9478" max="9478" width="30.7109375" style="1121" customWidth="1"/>
    <col min="9479" max="9479" width="10.7109375" style="1121" customWidth="1"/>
    <col min="9480" max="9480" width="5.7109375" style="1121" customWidth="1"/>
    <col min="9481" max="9481" width="11" style="1121" customWidth="1"/>
    <col min="9482" max="9482" width="33.85546875" style="1121" customWidth="1"/>
    <col min="9483" max="9485" width="9" style="1121" customWidth="1"/>
    <col min="9486" max="9486" width="0" style="1121" hidden="1" customWidth="1"/>
    <col min="9487" max="9487" width="9" style="1121" customWidth="1"/>
    <col min="9488" max="9729" width="9.140625" style="1121"/>
    <col min="9730" max="9730" width="20" style="1121" customWidth="1"/>
    <col min="9731" max="9731" width="17.28515625" style="1121" customWidth="1"/>
    <col min="9732" max="9733" width="15.7109375" style="1121" customWidth="1"/>
    <col min="9734" max="9734" width="30.7109375" style="1121" customWidth="1"/>
    <col min="9735" max="9735" width="10.7109375" style="1121" customWidth="1"/>
    <col min="9736" max="9736" width="5.7109375" style="1121" customWidth="1"/>
    <col min="9737" max="9737" width="11" style="1121" customWidth="1"/>
    <col min="9738" max="9738" width="33.85546875" style="1121" customWidth="1"/>
    <col min="9739" max="9741" width="9" style="1121" customWidth="1"/>
    <col min="9742" max="9742" width="0" style="1121" hidden="1" customWidth="1"/>
    <col min="9743" max="9743" width="9" style="1121" customWidth="1"/>
    <col min="9744" max="9985" width="9.140625" style="1121"/>
    <col min="9986" max="9986" width="20" style="1121" customWidth="1"/>
    <col min="9987" max="9987" width="17.28515625" style="1121" customWidth="1"/>
    <col min="9988" max="9989" width="15.7109375" style="1121" customWidth="1"/>
    <col min="9990" max="9990" width="30.7109375" style="1121" customWidth="1"/>
    <col min="9991" max="9991" width="10.7109375" style="1121" customWidth="1"/>
    <col min="9992" max="9992" width="5.7109375" style="1121" customWidth="1"/>
    <col min="9993" max="9993" width="11" style="1121" customWidth="1"/>
    <col min="9994" max="9994" width="33.85546875" style="1121" customWidth="1"/>
    <col min="9995" max="9997" width="9" style="1121" customWidth="1"/>
    <col min="9998" max="9998" width="0" style="1121" hidden="1" customWidth="1"/>
    <col min="9999" max="9999" width="9" style="1121" customWidth="1"/>
    <col min="10000" max="10241" width="9.140625" style="1121"/>
    <col min="10242" max="10242" width="20" style="1121" customWidth="1"/>
    <col min="10243" max="10243" width="17.28515625" style="1121" customWidth="1"/>
    <col min="10244" max="10245" width="15.7109375" style="1121" customWidth="1"/>
    <col min="10246" max="10246" width="30.7109375" style="1121" customWidth="1"/>
    <col min="10247" max="10247" width="10.7109375" style="1121" customWidth="1"/>
    <col min="10248" max="10248" width="5.7109375" style="1121" customWidth="1"/>
    <col min="10249" max="10249" width="11" style="1121" customWidth="1"/>
    <col min="10250" max="10250" width="33.85546875" style="1121" customWidth="1"/>
    <col min="10251" max="10253" width="9" style="1121" customWidth="1"/>
    <col min="10254" max="10254" width="0" style="1121" hidden="1" customWidth="1"/>
    <col min="10255" max="10255" width="9" style="1121" customWidth="1"/>
    <col min="10256" max="10497" width="9.140625" style="1121"/>
    <col min="10498" max="10498" width="20" style="1121" customWidth="1"/>
    <col min="10499" max="10499" width="17.28515625" style="1121" customWidth="1"/>
    <col min="10500" max="10501" width="15.7109375" style="1121" customWidth="1"/>
    <col min="10502" max="10502" width="30.7109375" style="1121" customWidth="1"/>
    <col min="10503" max="10503" width="10.7109375" style="1121" customWidth="1"/>
    <col min="10504" max="10504" width="5.7109375" style="1121" customWidth="1"/>
    <col min="10505" max="10505" width="11" style="1121" customWidth="1"/>
    <col min="10506" max="10506" width="33.85546875" style="1121" customWidth="1"/>
    <col min="10507" max="10509" width="9" style="1121" customWidth="1"/>
    <col min="10510" max="10510" width="0" style="1121" hidden="1" customWidth="1"/>
    <col min="10511" max="10511" width="9" style="1121" customWidth="1"/>
    <col min="10512" max="10753" width="9.140625" style="1121"/>
    <col min="10754" max="10754" width="20" style="1121" customWidth="1"/>
    <col min="10755" max="10755" width="17.28515625" style="1121" customWidth="1"/>
    <col min="10756" max="10757" width="15.7109375" style="1121" customWidth="1"/>
    <col min="10758" max="10758" width="30.7109375" style="1121" customWidth="1"/>
    <col min="10759" max="10759" width="10.7109375" style="1121" customWidth="1"/>
    <col min="10760" max="10760" width="5.7109375" style="1121" customWidth="1"/>
    <col min="10761" max="10761" width="11" style="1121" customWidth="1"/>
    <col min="10762" max="10762" width="33.85546875" style="1121" customWidth="1"/>
    <col min="10763" max="10765" width="9" style="1121" customWidth="1"/>
    <col min="10766" max="10766" width="0" style="1121" hidden="1" customWidth="1"/>
    <col min="10767" max="10767" width="9" style="1121" customWidth="1"/>
    <col min="10768" max="11009" width="9.140625" style="1121"/>
    <col min="11010" max="11010" width="20" style="1121" customWidth="1"/>
    <col min="11011" max="11011" width="17.28515625" style="1121" customWidth="1"/>
    <col min="11012" max="11013" width="15.7109375" style="1121" customWidth="1"/>
    <col min="11014" max="11014" width="30.7109375" style="1121" customWidth="1"/>
    <col min="11015" max="11015" width="10.7109375" style="1121" customWidth="1"/>
    <col min="11016" max="11016" width="5.7109375" style="1121" customWidth="1"/>
    <col min="11017" max="11017" width="11" style="1121" customWidth="1"/>
    <col min="11018" max="11018" width="33.85546875" style="1121" customWidth="1"/>
    <col min="11019" max="11021" width="9" style="1121" customWidth="1"/>
    <col min="11022" max="11022" width="0" style="1121" hidden="1" customWidth="1"/>
    <col min="11023" max="11023" width="9" style="1121" customWidth="1"/>
    <col min="11024" max="11265" width="9.140625" style="1121"/>
    <col min="11266" max="11266" width="20" style="1121" customWidth="1"/>
    <col min="11267" max="11267" width="17.28515625" style="1121" customWidth="1"/>
    <col min="11268" max="11269" width="15.7109375" style="1121" customWidth="1"/>
    <col min="11270" max="11270" width="30.7109375" style="1121" customWidth="1"/>
    <col min="11271" max="11271" width="10.7109375" style="1121" customWidth="1"/>
    <col min="11272" max="11272" width="5.7109375" style="1121" customWidth="1"/>
    <col min="11273" max="11273" width="11" style="1121" customWidth="1"/>
    <col min="11274" max="11274" width="33.85546875" style="1121" customWidth="1"/>
    <col min="11275" max="11277" width="9" style="1121" customWidth="1"/>
    <col min="11278" max="11278" width="0" style="1121" hidden="1" customWidth="1"/>
    <col min="11279" max="11279" width="9" style="1121" customWidth="1"/>
    <col min="11280" max="11521" width="9.140625" style="1121"/>
    <col min="11522" max="11522" width="20" style="1121" customWidth="1"/>
    <col min="11523" max="11523" width="17.28515625" style="1121" customWidth="1"/>
    <col min="11524" max="11525" width="15.7109375" style="1121" customWidth="1"/>
    <col min="11526" max="11526" width="30.7109375" style="1121" customWidth="1"/>
    <col min="11527" max="11527" width="10.7109375" style="1121" customWidth="1"/>
    <col min="11528" max="11528" width="5.7109375" style="1121" customWidth="1"/>
    <col min="11529" max="11529" width="11" style="1121" customWidth="1"/>
    <col min="11530" max="11530" width="33.85546875" style="1121" customWidth="1"/>
    <col min="11531" max="11533" width="9" style="1121" customWidth="1"/>
    <col min="11534" max="11534" width="0" style="1121" hidden="1" customWidth="1"/>
    <col min="11535" max="11535" width="9" style="1121" customWidth="1"/>
    <col min="11536" max="11777" width="9.140625" style="1121"/>
    <col min="11778" max="11778" width="20" style="1121" customWidth="1"/>
    <col min="11779" max="11779" width="17.28515625" style="1121" customWidth="1"/>
    <col min="11780" max="11781" width="15.7109375" style="1121" customWidth="1"/>
    <col min="11782" max="11782" width="30.7109375" style="1121" customWidth="1"/>
    <col min="11783" max="11783" width="10.7109375" style="1121" customWidth="1"/>
    <col min="11784" max="11784" width="5.7109375" style="1121" customWidth="1"/>
    <col min="11785" max="11785" width="11" style="1121" customWidth="1"/>
    <col min="11786" max="11786" width="33.85546875" style="1121" customWidth="1"/>
    <col min="11787" max="11789" width="9" style="1121" customWidth="1"/>
    <col min="11790" max="11790" width="0" style="1121" hidden="1" customWidth="1"/>
    <col min="11791" max="11791" width="9" style="1121" customWidth="1"/>
    <col min="11792" max="12033" width="9.140625" style="1121"/>
    <col min="12034" max="12034" width="20" style="1121" customWidth="1"/>
    <col min="12035" max="12035" width="17.28515625" style="1121" customWidth="1"/>
    <col min="12036" max="12037" width="15.7109375" style="1121" customWidth="1"/>
    <col min="12038" max="12038" width="30.7109375" style="1121" customWidth="1"/>
    <col min="12039" max="12039" width="10.7109375" style="1121" customWidth="1"/>
    <col min="12040" max="12040" width="5.7109375" style="1121" customWidth="1"/>
    <col min="12041" max="12041" width="11" style="1121" customWidth="1"/>
    <col min="12042" max="12042" width="33.85546875" style="1121" customWidth="1"/>
    <col min="12043" max="12045" width="9" style="1121" customWidth="1"/>
    <col min="12046" max="12046" width="0" style="1121" hidden="1" customWidth="1"/>
    <col min="12047" max="12047" width="9" style="1121" customWidth="1"/>
    <col min="12048" max="12289" width="9.140625" style="1121"/>
    <col min="12290" max="12290" width="20" style="1121" customWidth="1"/>
    <col min="12291" max="12291" width="17.28515625" style="1121" customWidth="1"/>
    <col min="12292" max="12293" width="15.7109375" style="1121" customWidth="1"/>
    <col min="12294" max="12294" width="30.7109375" style="1121" customWidth="1"/>
    <col min="12295" max="12295" width="10.7109375" style="1121" customWidth="1"/>
    <col min="12296" max="12296" width="5.7109375" style="1121" customWidth="1"/>
    <col min="12297" max="12297" width="11" style="1121" customWidth="1"/>
    <col min="12298" max="12298" width="33.85546875" style="1121" customWidth="1"/>
    <col min="12299" max="12301" width="9" style="1121" customWidth="1"/>
    <col min="12302" max="12302" width="0" style="1121" hidden="1" customWidth="1"/>
    <col min="12303" max="12303" width="9" style="1121" customWidth="1"/>
    <col min="12304" max="12545" width="9.140625" style="1121"/>
    <col min="12546" max="12546" width="20" style="1121" customWidth="1"/>
    <col min="12547" max="12547" width="17.28515625" style="1121" customWidth="1"/>
    <col min="12548" max="12549" width="15.7109375" style="1121" customWidth="1"/>
    <col min="12550" max="12550" width="30.7109375" style="1121" customWidth="1"/>
    <col min="12551" max="12551" width="10.7109375" style="1121" customWidth="1"/>
    <col min="12552" max="12552" width="5.7109375" style="1121" customWidth="1"/>
    <col min="12553" max="12553" width="11" style="1121" customWidth="1"/>
    <col min="12554" max="12554" width="33.85546875" style="1121" customWidth="1"/>
    <col min="12555" max="12557" width="9" style="1121" customWidth="1"/>
    <col min="12558" max="12558" width="0" style="1121" hidden="1" customWidth="1"/>
    <col min="12559" max="12559" width="9" style="1121" customWidth="1"/>
    <col min="12560" max="12801" width="9.140625" style="1121"/>
    <col min="12802" max="12802" width="20" style="1121" customWidth="1"/>
    <col min="12803" max="12803" width="17.28515625" style="1121" customWidth="1"/>
    <col min="12804" max="12805" width="15.7109375" style="1121" customWidth="1"/>
    <col min="12806" max="12806" width="30.7109375" style="1121" customWidth="1"/>
    <col min="12807" max="12807" width="10.7109375" style="1121" customWidth="1"/>
    <col min="12808" max="12808" width="5.7109375" style="1121" customWidth="1"/>
    <col min="12809" max="12809" width="11" style="1121" customWidth="1"/>
    <col min="12810" max="12810" width="33.85546875" style="1121" customWidth="1"/>
    <col min="12811" max="12813" width="9" style="1121" customWidth="1"/>
    <col min="12814" max="12814" width="0" style="1121" hidden="1" customWidth="1"/>
    <col min="12815" max="12815" width="9" style="1121" customWidth="1"/>
    <col min="12816" max="13057" width="9.140625" style="1121"/>
    <col min="13058" max="13058" width="20" style="1121" customWidth="1"/>
    <col min="13059" max="13059" width="17.28515625" style="1121" customWidth="1"/>
    <col min="13060" max="13061" width="15.7109375" style="1121" customWidth="1"/>
    <col min="13062" max="13062" width="30.7109375" style="1121" customWidth="1"/>
    <col min="13063" max="13063" width="10.7109375" style="1121" customWidth="1"/>
    <col min="13064" max="13064" width="5.7109375" style="1121" customWidth="1"/>
    <col min="13065" max="13065" width="11" style="1121" customWidth="1"/>
    <col min="13066" max="13066" width="33.85546875" style="1121" customWidth="1"/>
    <col min="13067" max="13069" width="9" style="1121" customWidth="1"/>
    <col min="13070" max="13070" width="0" style="1121" hidden="1" customWidth="1"/>
    <col min="13071" max="13071" width="9" style="1121" customWidth="1"/>
    <col min="13072" max="13313" width="9.140625" style="1121"/>
    <col min="13314" max="13314" width="20" style="1121" customWidth="1"/>
    <col min="13315" max="13315" width="17.28515625" style="1121" customWidth="1"/>
    <col min="13316" max="13317" width="15.7109375" style="1121" customWidth="1"/>
    <col min="13318" max="13318" width="30.7109375" style="1121" customWidth="1"/>
    <col min="13319" max="13319" width="10.7109375" style="1121" customWidth="1"/>
    <col min="13320" max="13320" width="5.7109375" style="1121" customWidth="1"/>
    <col min="13321" max="13321" width="11" style="1121" customWidth="1"/>
    <col min="13322" max="13322" width="33.85546875" style="1121" customWidth="1"/>
    <col min="13323" max="13325" width="9" style="1121" customWidth="1"/>
    <col min="13326" max="13326" width="0" style="1121" hidden="1" customWidth="1"/>
    <col min="13327" max="13327" width="9" style="1121" customWidth="1"/>
    <col min="13328" max="13569" width="9.140625" style="1121"/>
    <col min="13570" max="13570" width="20" style="1121" customWidth="1"/>
    <col min="13571" max="13571" width="17.28515625" style="1121" customWidth="1"/>
    <col min="13572" max="13573" width="15.7109375" style="1121" customWidth="1"/>
    <col min="13574" max="13574" width="30.7109375" style="1121" customWidth="1"/>
    <col min="13575" max="13575" width="10.7109375" style="1121" customWidth="1"/>
    <col min="13576" max="13576" width="5.7109375" style="1121" customWidth="1"/>
    <col min="13577" max="13577" width="11" style="1121" customWidth="1"/>
    <col min="13578" max="13578" width="33.85546875" style="1121" customWidth="1"/>
    <col min="13579" max="13581" width="9" style="1121" customWidth="1"/>
    <col min="13582" max="13582" width="0" style="1121" hidden="1" customWidth="1"/>
    <col min="13583" max="13583" width="9" style="1121" customWidth="1"/>
    <col min="13584" max="13825" width="9.140625" style="1121"/>
    <col min="13826" max="13826" width="20" style="1121" customWidth="1"/>
    <col min="13827" max="13827" width="17.28515625" style="1121" customWidth="1"/>
    <col min="13828" max="13829" width="15.7109375" style="1121" customWidth="1"/>
    <col min="13830" max="13830" width="30.7109375" style="1121" customWidth="1"/>
    <col min="13831" max="13831" width="10.7109375" style="1121" customWidth="1"/>
    <col min="13832" max="13832" width="5.7109375" style="1121" customWidth="1"/>
    <col min="13833" max="13833" width="11" style="1121" customWidth="1"/>
    <col min="13834" max="13834" width="33.85546875" style="1121" customWidth="1"/>
    <col min="13835" max="13837" width="9" style="1121" customWidth="1"/>
    <col min="13838" max="13838" width="0" style="1121" hidden="1" customWidth="1"/>
    <col min="13839" max="13839" width="9" style="1121" customWidth="1"/>
    <col min="13840" max="14081" width="9.140625" style="1121"/>
    <col min="14082" max="14082" width="20" style="1121" customWidth="1"/>
    <col min="14083" max="14083" width="17.28515625" style="1121" customWidth="1"/>
    <col min="14084" max="14085" width="15.7109375" style="1121" customWidth="1"/>
    <col min="14086" max="14086" width="30.7109375" style="1121" customWidth="1"/>
    <col min="14087" max="14087" width="10.7109375" style="1121" customWidth="1"/>
    <col min="14088" max="14088" width="5.7109375" style="1121" customWidth="1"/>
    <col min="14089" max="14089" width="11" style="1121" customWidth="1"/>
    <col min="14090" max="14090" width="33.85546875" style="1121" customWidth="1"/>
    <col min="14091" max="14093" width="9" style="1121" customWidth="1"/>
    <col min="14094" max="14094" width="0" style="1121" hidden="1" customWidth="1"/>
    <col min="14095" max="14095" width="9" style="1121" customWidth="1"/>
    <col min="14096" max="14337" width="9.140625" style="1121"/>
    <col min="14338" max="14338" width="20" style="1121" customWidth="1"/>
    <col min="14339" max="14339" width="17.28515625" style="1121" customWidth="1"/>
    <col min="14340" max="14341" width="15.7109375" style="1121" customWidth="1"/>
    <col min="14342" max="14342" width="30.7109375" style="1121" customWidth="1"/>
    <col min="14343" max="14343" width="10.7109375" style="1121" customWidth="1"/>
    <col min="14344" max="14344" width="5.7109375" style="1121" customWidth="1"/>
    <col min="14345" max="14345" width="11" style="1121" customWidth="1"/>
    <col min="14346" max="14346" width="33.85546875" style="1121" customWidth="1"/>
    <col min="14347" max="14349" width="9" style="1121" customWidth="1"/>
    <col min="14350" max="14350" width="0" style="1121" hidden="1" customWidth="1"/>
    <col min="14351" max="14351" width="9" style="1121" customWidth="1"/>
    <col min="14352" max="14593" width="9.140625" style="1121"/>
    <col min="14594" max="14594" width="20" style="1121" customWidth="1"/>
    <col min="14595" max="14595" width="17.28515625" style="1121" customWidth="1"/>
    <col min="14596" max="14597" width="15.7109375" style="1121" customWidth="1"/>
    <col min="14598" max="14598" width="30.7109375" style="1121" customWidth="1"/>
    <col min="14599" max="14599" width="10.7109375" style="1121" customWidth="1"/>
    <col min="14600" max="14600" width="5.7109375" style="1121" customWidth="1"/>
    <col min="14601" max="14601" width="11" style="1121" customWidth="1"/>
    <col min="14602" max="14602" width="33.85546875" style="1121" customWidth="1"/>
    <col min="14603" max="14605" width="9" style="1121" customWidth="1"/>
    <col min="14606" max="14606" width="0" style="1121" hidden="1" customWidth="1"/>
    <col min="14607" max="14607" width="9" style="1121" customWidth="1"/>
    <col min="14608" max="14849" width="9.140625" style="1121"/>
    <col min="14850" max="14850" width="20" style="1121" customWidth="1"/>
    <col min="14851" max="14851" width="17.28515625" style="1121" customWidth="1"/>
    <col min="14852" max="14853" width="15.7109375" style="1121" customWidth="1"/>
    <col min="14854" max="14854" width="30.7109375" style="1121" customWidth="1"/>
    <col min="14855" max="14855" width="10.7109375" style="1121" customWidth="1"/>
    <col min="14856" max="14856" width="5.7109375" style="1121" customWidth="1"/>
    <col min="14857" max="14857" width="11" style="1121" customWidth="1"/>
    <col min="14858" max="14858" width="33.85546875" style="1121" customWidth="1"/>
    <col min="14859" max="14861" width="9" style="1121" customWidth="1"/>
    <col min="14862" max="14862" width="0" style="1121" hidden="1" customWidth="1"/>
    <col min="14863" max="14863" width="9" style="1121" customWidth="1"/>
    <col min="14864" max="15105" width="9.140625" style="1121"/>
    <col min="15106" max="15106" width="20" style="1121" customWidth="1"/>
    <col min="15107" max="15107" width="17.28515625" style="1121" customWidth="1"/>
    <col min="15108" max="15109" width="15.7109375" style="1121" customWidth="1"/>
    <col min="15110" max="15110" width="30.7109375" style="1121" customWidth="1"/>
    <col min="15111" max="15111" width="10.7109375" style="1121" customWidth="1"/>
    <col min="15112" max="15112" width="5.7109375" style="1121" customWidth="1"/>
    <col min="15113" max="15113" width="11" style="1121" customWidth="1"/>
    <col min="15114" max="15114" width="33.85546875" style="1121" customWidth="1"/>
    <col min="15115" max="15117" width="9" style="1121" customWidth="1"/>
    <col min="15118" max="15118" width="0" style="1121" hidden="1" customWidth="1"/>
    <col min="15119" max="15119" width="9" style="1121" customWidth="1"/>
    <col min="15120" max="15361" width="9.140625" style="1121"/>
    <col min="15362" max="15362" width="20" style="1121" customWidth="1"/>
    <col min="15363" max="15363" width="17.28515625" style="1121" customWidth="1"/>
    <col min="15364" max="15365" width="15.7109375" style="1121" customWidth="1"/>
    <col min="15366" max="15366" width="30.7109375" style="1121" customWidth="1"/>
    <col min="15367" max="15367" width="10.7109375" style="1121" customWidth="1"/>
    <col min="15368" max="15368" width="5.7109375" style="1121" customWidth="1"/>
    <col min="15369" max="15369" width="11" style="1121" customWidth="1"/>
    <col min="15370" max="15370" width="33.85546875" style="1121" customWidth="1"/>
    <col min="15371" max="15373" width="9" style="1121" customWidth="1"/>
    <col min="15374" max="15374" width="0" style="1121" hidden="1" customWidth="1"/>
    <col min="15375" max="15375" width="9" style="1121" customWidth="1"/>
    <col min="15376" max="15617" width="9.140625" style="1121"/>
    <col min="15618" max="15618" width="20" style="1121" customWidth="1"/>
    <col min="15619" max="15619" width="17.28515625" style="1121" customWidth="1"/>
    <col min="15620" max="15621" width="15.7109375" style="1121" customWidth="1"/>
    <col min="15622" max="15622" width="30.7109375" style="1121" customWidth="1"/>
    <col min="15623" max="15623" width="10.7109375" style="1121" customWidth="1"/>
    <col min="15624" max="15624" width="5.7109375" style="1121" customWidth="1"/>
    <col min="15625" max="15625" width="11" style="1121" customWidth="1"/>
    <col min="15626" max="15626" width="33.85546875" style="1121" customWidth="1"/>
    <col min="15627" max="15629" width="9" style="1121" customWidth="1"/>
    <col min="15630" max="15630" width="0" style="1121" hidden="1" customWidth="1"/>
    <col min="15631" max="15631" width="9" style="1121" customWidth="1"/>
    <col min="15632" max="15873" width="9.140625" style="1121"/>
    <col min="15874" max="15874" width="20" style="1121" customWidth="1"/>
    <col min="15875" max="15875" width="17.28515625" style="1121" customWidth="1"/>
    <col min="15876" max="15877" width="15.7109375" style="1121" customWidth="1"/>
    <col min="15878" max="15878" width="30.7109375" style="1121" customWidth="1"/>
    <col min="15879" max="15879" width="10.7109375" style="1121" customWidth="1"/>
    <col min="15880" max="15880" width="5.7109375" style="1121" customWidth="1"/>
    <col min="15881" max="15881" width="11" style="1121" customWidth="1"/>
    <col min="15882" max="15882" width="33.85546875" style="1121" customWidth="1"/>
    <col min="15883" max="15885" width="9" style="1121" customWidth="1"/>
    <col min="15886" max="15886" width="0" style="1121" hidden="1" customWidth="1"/>
    <col min="15887" max="15887" width="9" style="1121" customWidth="1"/>
    <col min="15888" max="16129" width="9.140625" style="1121"/>
    <col min="16130" max="16130" width="20" style="1121" customWidth="1"/>
    <col min="16131" max="16131" width="17.28515625" style="1121" customWidth="1"/>
    <col min="16132" max="16133" width="15.7109375" style="1121" customWidth="1"/>
    <col min="16134" max="16134" width="30.7109375" style="1121" customWidth="1"/>
    <col min="16135" max="16135" width="10.7109375" style="1121" customWidth="1"/>
    <col min="16136" max="16136" width="5.7109375" style="1121" customWidth="1"/>
    <col min="16137" max="16137" width="11" style="1121" customWidth="1"/>
    <col min="16138" max="16138" width="33.85546875" style="1121" customWidth="1"/>
    <col min="16139" max="16141" width="9" style="1121" customWidth="1"/>
    <col min="16142" max="16142" width="0" style="1121" hidden="1" customWidth="1"/>
    <col min="16143" max="16143" width="9" style="1121" customWidth="1"/>
    <col min="16144" max="16384" width="9.140625" style="1121"/>
  </cols>
  <sheetData>
    <row r="1" spans="1:75" s="1119" customFormat="1" ht="18.75">
      <c r="A1" s="1881" t="s">
        <v>3609</v>
      </c>
      <c r="B1" s="1282" t="s">
        <v>4465</v>
      </c>
      <c r="C1" s="1280"/>
      <c r="D1" s="1280"/>
      <c r="E1" s="1273"/>
      <c r="F1" s="1250"/>
      <c r="G1" s="1250"/>
      <c r="H1" s="2550" t="s">
        <v>2595</v>
      </c>
      <c r="I1" s="2542"/>
      <c r="J1" s="1163" t="s">
        <v>3610</v>
      </c>
    </row>
    <row r="2" spans="1:75" s="1119" customFormat="1">
      <c r="B2" s="1034" t="s">
        <v>3198</v>
      </c>
      <c r="C2" s="1035">
        <f>'Basic Info'!C29:D29</f>
        <v>0</v>
      </c>
      <c r="D2" s="1255"/>
      <c r="E2" s="1255"/>
      <c r="F2" s="1255"/>
      <c r="G2" s="1255"/>
      <c r="H2" s="2502"/>
      <c r="I2" s="2502"/>
      <c r="J2" s="1006"/>
    </row>
    <row r="3" spans="1:75" s="1119" customFormat="1">
      <c r="C3" s="1255"/>
      <c r="D3" s="1255"/>
      <c r="E3" s="1255"/>
      <c r="F3" s="1255"/>
      <c r="G3" s="1255"/>
      <c r="H3" s="2502"/>
      <c r="I3" s="2502"/>
      <c r="J3" s="1006"/>
    </row>
    <row r="4" spans="1:75">
      <c r="G4" s="1255"/>
      <c r="H4" s="2502"/>
      <c r="I4" s="2502"/>
      <c r="J4" s="1006"/>
    </row>
    <row r="5" spans="1:75" s="1275" customFormat="1">
      <c r="A5" s="1196"/>
      <c r="B5" s="1283" t="s">
        <v>3981</v>
      </c>
      <c r="C5" s="1015"/>
      <c r="D5" s="1015"/>
      <c r="E5" s="1015"/>
      <c r="F5" s="1015"/>
      <c r="G5" s="1255"/>
      <c r="H5" s="1225"/>
      <c r="I5" s="1225"/>
      <c r="J5" s="1226"/>
      <c r="K5" s="1198"/>
      <c r="L5" s="1198"/>
      <c r="M5" s="1198"/>
      <c r="N5" s="1198"/>
      <c r="O5" s="1198"/>
      <c r="P5" s="1198"/>
      <c r="Q5" s="1198"/>
      <c r="R5" s="1198"/>
      <c r="S5" s="1198"/>
      <c r="T5" s="1198"/>
      <c r="U5" s="1198"/>
      <c r="V5" s="1198"/>
      <c r="W5" s="1198"/>
      <c r="X5" s="1198"/>
      <c r="Y5" s="1198"/>
      <c r="Z5" s="1198"/>
      <c r="AA5" s="1198"/>
      <c r="AB5" s="1198"/>
      <c r="AC5" s="1198"/>
      <c r="AD5" s="1198"/>
      <c r="AE5" s="1198"/>
      <c r="AF5" s="1198"/>
      <c r="AG5" s="1198"/>
      <c r="AH5" s="1198"/>
      <c r="AI5" s="1198"/>
      <c r="AJ5" s="1198"/>
      <c r="AK5" s="1198"/>
      <c r="AL5" s="1198"/>
      <c r="AM5" s="1198"/>
      <c r="AN5" s="1198"/>
      <c r="AO5" s="1198"/>
      <c r="AP5" s="1198"/>
      <c r="AQ5" s="1198"/>
      <c r="AR5" s="1198"/>
      <c r="AS5" s="1198"/>
      <c r="AT5" s="1198"/>
      <c r="AU5" s="1198"/>
      <c r="AV5" s="1198"/>
      <c r="AW5" s="1198"/>
      <c r="AX5" s="1198"/>
      <c r="AY5" s="1198"/>
      <c r="AZ5" s="1198"/>
      <c r="BA5" s="1198"/>
      <c r="BB5" s="1198"/>
      <c r="BC5" s="1198"/>
      <c r="BD5" s="1198"/>
      <c r="BE5" s="1198"/>
      <c r="BF5" s="1198"/>
      <c r="BG5" s="1198"/>
      <c r="BH5" s="1198"/>
      <c r="BI5" s="1198"/>
      <c r="BJ5" s="1198"/>
      <c r="BK5" s="1198"/>
      <c r="BL5" s="1198"/>
      <c r="BM5" s="1198"/>
      <c r="BN5" s="1198"/>
      <c r="BO5" s="1198"/>
      <c r="BP5" s="1198"/>
      <c r="BQ5" s="1198"/>
      <c r="BR5" s="1198"/>
      <c r="BS5" s="1198"/>
      <c r="BT5" s="1198"/>
      <c r="BU5" s="1198"/>
      <c r="BV5" s="1198"/>
      <c r="BW5" s="1198"/>
    </row>
    <row r="6" spans="1:75">
      <c r="B6" s="2541" t="s">
        <v>3728</v>
      </c>
      <c r="C6" s="2541"/>
      <c r="D6" s="2541"/>
      <c r="E6" s="2541"/>
      <c r="F6" s="2541"/>
      <c r="G6" s="1255"/>
      <c r="H6" s="1225"/>
      <c r="I6" s="1225"/>
      <c r="J6" s="1226"/>
    </row>
    <row r="7" spans="1:75">
      <c r="B7" s="2541" t="s">
        <v>3729</v>
      </c>
      <c r="C7" s="2541"/>
      <c r="D7" s="2541"/>
      <c r="E7" s="2541"/>
      <c r="F7" s="2541"/>
      <c r="G7" s="1255"/>
      <c r="H7" s="2549"/>
      <c r="I7" s="2549"/>
      <c r="J7" s="1255"/>
    </row>
    <row r="8" spans="1:75" ht="14.25" customHeight="1">
      <c r="B8" s="2541" t="s">
        <v>3730</v>
      </c>
      <c r="C8" s="2541"/>
      <c r="D8" s="2541"/>
      <c r="E8" s="2541"/>
      <c r="F8" s="2541"/>
      <c r="G8" s="1255"/>
      <c r="H8" s="2549"/>
      <c r="I8" s="2549"/>
      <c r="J8" s="1255"/>
    </row>
    <row r="9" spans="1:75" ht="14.25" customHeight="1">
      <c r="B9" s="1255"/>
      <c r="C9" s="1255"/>
      <c r="D9" s="1255"/>
      <c r="E9" s="1255"/>
      <c r="F9" s="1255"/>
      <c r="G9" s="1255"/>
      <c r="H9" s="1255"/>
      <c r="I9" s="1255"/>
      <c r="J9" s="1264"/>
    </row>
    <row r="10" spans="1:75" ht="14.25" customHeight="1">
      <c r="B10" s="1283" t="s">
        <v>3927</v>
      </c>
      <c r="C10" s="1255"/>
      <c r="D10" s="1255"/>
      <c r="E10" s="1255"/>
      <c r="F10" s="1255"/>
      <c r="G10" s="1255"/>
      <c r="H10" s="1255"/>
      <c r="I10" s="1255"/>
      <c r="J10" s="1264"/>
    </row>
    <row r="11" spans="1:75">
      <c r="B11" s="1123" t="s">
        <v>3731</v>
      </c>
      <c r="C11" s="1123"/>
      <c r="D11" s="1123"/>
      <c r="E11" s="1123"/>
      <c r="F11" s="1123"/>
      <c r="G11" s="1255"/>
      <c r="H11" s="1255"/>
      <c r="I11" s="1255"/>
      <c r="J11" s="1255"/>
    </row>
    <row r="12" spans="1:75">
      <c r="A12" s="1123"/>
      <c r="B12" s="1255" t="s">
        <v>3647</v>
      </c>
      <c r="C12" s="1255"/>
      <c r="D12" s="1255"/>
      <c r="E12" s="1255"/>
      <c r="F12" s="1255"/>
      <c r="G12" s="1255"/>
      <c r="H12" s="1255"/>
      <c r="I12" s="1255"/>
      <c r="J12" s="1255"/>
    </row>
    <row r="13" spans="1:75">
      <c r="A13" s="1174"/>
      <c r="B13" s="1255"/>
      <c r="C13" s="1255"/>
      <c r="D13" s="1255"/>
      <c r="E13" s="1255"/>
      <c r="F13" s="1255"/>
      <c r="G13" s="1255"/>
      <c r="H13" s="1255"/>
      <c r="I13" s="1255"/>
      <c r="J13" s="1255"/>
    </row>
    <row r="14" spans="1:75">
      <c r="A14" s="1123"/>
      <c r="B14" s="1262" t="s">
        <v>3982</v>
      </c>
      <c r="C14" s="1255"/>
      <c r="D14" s="1255"/>
      <c r="E14" s="1255"/>
      <c r="F14" s="1255"/>
      <c r="G14" s="1255"/>
      <c r="H14" s="1255"/>
      <c r="I14" s="1255"/>
      <c r="J14" s="1255"/>
    </row>
    <row r="15" spans="1:75">
      <c r="A15" s="1123"/>
      <c r="B15" s="1276" t="s">
        <v>3732</v>
      </c>
      <c r="C15" s="1255"/>
      <c r="D15" s="1255"/>
      <c r="E15" s="1255"/>
      <c r="F15" s="1255"/>
      <c r="G15" s="1255"/>
      <c r="H15" s="1255"/>
      <c r="I15" s="1255"/>
      <c r="J15" s="1255"/>
    </row>
    <row r="16" spans="1:75">
      <c r="A16" s="1123"/>
      <c r="B16" s="1276" t="s">
        <v>3733</v>
      </c>
      <c r="C16" s="1255"/>
      <c r="D16" s="1255"/>
      <c r="E16" s="1255"/>
      <c r="F16" s="1255"/>
      <c r="G16" s="1255"/>
      <c r="H16" s="1255"/>
      <c r="I16" s="1255"/>
      <c r="J16" s="1255"/>
    </row>
    <row r="17" spans="1:27">
      <c r="A17" s="1123"/>
      <c r="B17" s="1277"/>
      <c r="C17" s="1255"/>
      <c r="D17" s="1255"/>
      <c r="E17" s="1255"/>
      <c r="F17" s="1255"/>
      <c r="G17" s="1255"/>
      <c r="H17" s="1255"/>
      <c r="I17" s="1255"/>
      <c r="J17" s="1255"/>
    </row>
    <row r="18" spans="1:27">
      <c r="B18" s="1165" t="s">
        <v>3928</v>
      </c>
      <c r="C18" s="1037"/>
      <c r="D18" s="1037"/>
      <c r="E18" s="1037"/>
      <c r="F18" s="1129"/>
      <c r="G18" s="1129"/>
      <c r="H18" s="1129"/>
      <c r="I18" s="1129"/>
      <c r="J18" s="1129"/>
      <c r="W18" s="1121"/>
      <c r="X18" s="1121"/>
      <c r="Y18" s="1121"/>
      <c r="Z18" s="1121"/>
      <c r="AA18" s="1121"/>
    </row>
    <row r="19" spans="1:27" ht="24.75" customHeight="1">
      <c r="B19" s="2395" t="s">
        <v>4075</v>
      </c>
      <c r="C19" s="2395"/>
      <c r="D19" s="2395"/>
      <c r="E19" s="2395"/>
      <c r="F19" s="2395"/>
      <c r="G19" s="2395"/>
      <c r="H19" s="2395"/>
      <c r="I19" s="2395"/>
      <c r="J19" s="2395"/>
      <c r="W19" s="1121"/>
      <c r="X19" s="1121"/>
      <c r="Y19" s="1121"/>
      <c r="Z19" s="1121"/>
      <c r="AA19" s="1121"/>
    </row>
    <row r="20" spans="1:27" ht="24.75" customHeight="1">
      <c r="B20" s="2395" t="s">
        <v>4583</v>
      </c>
      <c r="C20" s="2395"/>
      <c r="D20" s="2395"/>
      <c r="E20" s="2395"/>
      <c r="F20" s="2395"/>
      <c r="G20" s="2395"/>
      <c r="H20" s="2395"/>
      <c r="I20" s="2395"/>
      <c r="J20" s="2395"/>
      <c r="W20" s="1121"/>
      <c r="X20" s="1121"/>
      <c r="Y20" s="1121"/>
      <c r="Z20" s="1121"/>
      <c r="AA20" s="1121"/>
    </row>
    <row r="21" spans="1:27">
      <c r="B21" s="978"/>
      <c r="C21" s="978"/>
      <c r="D21" s="978"/>
      <c r="E21" s="978"/>
      <c r="F21" s="1226"/>
      <c r="G21" s="1129"/>
      <c r="H21" s="1129"/>
      <c r="I21" s="1129"/>
      <c r="J21" s="1129"/>
      <c r="W21" s="1121"/>
      <c r="X21" s="1121"/>
      <c r="Y21" s="1121"/>
      <c r="Z21" s="1121"/>
      <c r="AA21" s="1121"/>
    </row>
    <row r="22" spans="1:27" ht="76.5" customHeight="1">
      <c r="B22" s="2443"/>
      <c r="C22" s="2443"/>
      <c r="D22" s="2443"/>
      <c r="E22" s="2443"/>
      <c r="F22" s="2443"/>
      <c r="G22" s="2443"/>
      <c r="H22" s="2443"/>
      <c r="I22" s="1089" t="s">
        <v>3627</v>
      </c>
      <c r="J22" s="1284" t="s">
        <v>4071</v>
      </c>
      <c r="Z22" s="1121"/>
      <c r="AA22" s="1121"/>
    </row>
    <row r="23" spans="1:27" ht="51.75" customHeight="1">
      <c r="A23" s="1121"/>
      <c r="B23" s="2391" t="s">
        <v>4072</v>
      </c>
      <c r="C23" s="2400"/>
      <c r="D23" s="2400"/>
      <c r="E23" s="2400"/>
      <c r="F23" s="2400"/>
      <c r="G23" s="2400"/>
      <c r="H23" s="2401"/>
      <c r="I23" s="1019"/>
      <c r="J23" s="1019"/>
      <c r="K23" s="1278"/>
      <c r="L23" s="1226"/>
      <c r="Z23" s="1121"/>
      <c r="AA23" s="1121"/>
    </row>
    <row r="24" spans="1:27" ht="36.75" customHeight="1">
      <c r="B24" s="2391" t="s">
        <v>4073</v>
      </c>
      <c r="C24" s="2400"/>
      <c r="D24" s="2400"/>
      <c r="E24" s="2400"/>
      <c r="F24" s="2400"/>
      <c r="G24" s="2400"/>
      <c r="H24" s="2401"/>
      <c r="I24" s="1019"/>
      <c r="J24" s="1019"/>
    </row>
    <row r="25" spans="1:27" ht="37.5" customHeight="1">
      <c r="B25" s="2448" t="s">
        <v>3977</v>
      </c>
      <c r="C25" s="2449"/>
      <c r="D25" s="2449"/>
      <c r="E25" s="2449"/>
      <c r="F25" s="2449"/>
      <c r="G25" s="2449"/>
      <c r="H25" s="2450"/>
      <c r="I25" s="1019"/>
      <c r="J25" s="1019"/>
      <c r="K25" s="1281"/>
      <c r="L25" s="1226"/>
      <c r="M25" s="1226"/>
      <c r="N25" s="1226"/>
    </row>
    <row r="26" spans="1:27" ht="38.25" customHeight="1">
      <c r="B26" s="2448" t="s">
        <v>4074</v>
      </c>
      <c r="C26" s="2449"/>
      <c r="D26" s="2449"/>
      <c r="E26" s="2449"/>
      <c r="F26" s="2449"/>
      <c r="G26" s="2449"/>
      <c r="H26" s="2450"/>
      <c r="I26" s="1019"/>
      <c r="J26" s="1019"/>
      <c r="K26" s="1226"/>
      <c r="L26" s="1226"/>
      <c r="M26" s="1226"/>
      <c r="N26" s="1226"/>
    </row>
    <row r="27" spans="1:27" ht="43.5" customHeight="1">
      <c r="K27" s="1279"/>
      <c r="L27" s="1226"/>
      <c r="M27" s="1226"/>
      <c r="N27" s="1226"/>
    </row>
    <row r="28" spans="1:27" ht="45" customHeight="1">
      <c r="K28" s="1226"/>
      <c r="L28" s="1226"/>
      <c r="M28" s="1226"/>
      <c r="N28" s="1226"/>
    </row>
    <row r="29" spans="1:27">
      <c r="A29" s="1121"/>
    </row>
    <row r="30" spans="1:27">
      <c r="A30" s="1121"/>
    </row>
    <row r="31" spans="1:27">
      <c r="A31" s="1121"/>
      <c r="N31" s="1129" t="s">
        <v>1493</v>
      </c>
    </row>
    <row r="32" spans="1:27">
      <c r="A32" s="1121"/>
      <c r="N32" s="1129" t="s">
        <v>1494</v>
      </c>
    </row>
    <row r="33" spans="14:14">
      <c r="N33" s="1129" t="s">
        <v>2677</v>
      </c>
    </row>
  </sheetData>
  <sheetProtection formatCells="0" formatColumns="0" formatRows="0" insertColumns="0" insertRows="0"/>
  <mergeCells count="16">
    <mergeCell ref="B7:F7"/>
    <mergeCell ref="H7:I7"/>
    <mergeCell ref="B19:J19"/>
    <mergeCell ref="B20:J20"/>
    <mergeCell ref="B23:H23"/>
    <mergeCell ref="B22:H22"/>
    <mergeCell ref="H1:I1"/>
    <mergeCell ref="H2:I2"/>
    <mergeCell ref="H3:I3"/>
    <mergeCell ref="B6:F6"/>
    <mergeCell ref="H4:I4"/>
    <mergeCell ref="B26:H26"/>
    <mergeCell ref="B8:F8"/>
    <mergeCell ref="H8:I8"/>
    <mergeCell ref="B25:H25"/>
    <mergeCell ref="B24:H24"/>
  </mergeCells>
  <dataValidations count="1">
    <dataValidation type="list" allowBlank="1" showInputMessage="1" showErrorMessage="1" sqref="WVP23 WLT23 WBX23 VSB23 VIF23 UYJ23 UON23 UER23 TUV23 TKZ23 TBD23 SRH23 SHL23 RXP23 RNT23 RDX23 QUB23 QKF23 QAJ23 PQN23 PGR23 OWV23 OMZ23 ODD23 NTH23 NJL23 MZP23 MPT23 MFX23 LWB23 LMF23 LCJ23 KSN23 KIR23 JYV23 JOZ23 JFD23 IVH23 ILL23 IBP23 HRT23 HHX23 GYB23 GOF23 GEJ23 FUN23 FKR23 FAV23 EQZ23 EHD23 DXH23 DNL23 DDP23 CTT23 CJX23 CAB23 BQF23 BGJ23 AWN23 AMR23 ACV23 SZ23 JD23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JD25:JE26 SZ25:TA26 ACV25:ACW26 AMR25:AMS26 AWN25:AWO26 BGJ25:BGK26 BQF25:BQG26 CAB25:CAC26 CJX25:CJY26 CTT25:CTU26 DDP25:DDQ26 DNL25:DNM26 DXH25:DXI26 EHD25:EHE26 EQZ25:ERA26 FAV25:FAW26 FKR25:FKS26 FUN25:FUO26 GEJ25:GEK26 GOF25:GOG26 GYB25:GYC26 HHX25:HHY26 HRT25:HRU26 IBP25:IBQ26 ILL25:ILM26 IVH25:IVI26 JFD25:JFE26 JOZ25:JPA26 JYV25:JYW26 KIR25:KIS26 KSN25:KSO26 LCJ25:LCK26 LMF25:LMG26 LWB25:LWC26 MFX25:MFY26 MPT25:MPU26 MZP25:MZQ26 NJL25:NJM26 NTH25:NTI26 ODD25:ODE26 OMZ25:ONA26 OWV25:OWW26 PGR25:PGS26 PQN25:PQO26 QAJ25:QAK26 QKF25:QKG26 QUB25:QUC26 RDX25:RDY26 RNT25:RNU26 RXP25:RXQ26 SHL25:SHM26 SRH25:SRI26 TBD25:TBE26 TKZ25:TLA26 TUV25:TUW26 UER25:UES26 UON25:UOO26 UYJ25:UYK26 VIF25:VIG26 VSB25:VSC26 WBX25:WBY26 WLT25:WLU26 WVP25:WVQ26 JD65561:JE65562 SZ65561:TA65562 ACV65561:ACW65562 AMR65561:AMS65562 AWN65561:AWO65562 BGJ65561:BGK65562 BQF65561:BQG65562 CAB65561:CAC65562 CJX65561:CJY65562 CTT65561:CTU65562 DDP65561:DDQ65562 DNL65561:DNM65562 DXH65561:DXI65562 EHD65561:EHE65562 EQZ65561:ERA65562 FAV65561:FAW65562 FKR65561:FKS65562 FUN65561:FUO65562 GEJ65561:GEK65562 GOF65561:GOG65562 GYB65561:GYC65562 HHX65561:HHY65562 HRT65561:HRU65562 IBP65561:IBQ65562 ILL65561:ILM65562 IVH65561:IVI65562 JFD65561:JFE65562 JOZ65561:JPA65562 JYV65561:JYW65562 KIR65561:KIS65562 KSN65561:KSO65562 LCJ65561:LCK65562 LMF65561:LMG65562 LWB65561:LWC65562 MFX65561:MFY65562 MPT65561:MPU65562 MZP65561:MZQ65562 NJL65561:NJM65562 NTH65561:NTI65562 ODD65561:ODE65562 OMZ65561:ONA65562 OWV65561:OWW65562 PGR65561:PGS65562 PQN65561:PQO65562 QAJ65561:QAK65562 QKF65561:QKG65562 QUB65561:QUC65562 RDX65561:RDY65562 RNT65561:RNU65562 RXP65561:RXQ65562 SHL65561:SHM65562 SRH65561:SRI65562 TBD65561:TBE65562 TKZ65561:TLA65562 TUV65561:TUW65562 UER65561:UES65562 UON65561:UOO65562 UYJ65561:UYK65562 VIF65561:VIG65562 VSB65561:VSC65562 WBX65561:WBY65562 WLT65561:WLU65562 WVP65561:WVQ65562 JD131097:JE131098 SZ131097:TA131098 ACV131097:ACW131098 AMR131097:AMS131098 AWN131097:AWO131098 BGJ131097:BGK131098 BQF131097:BQG131098 CAB131097:CAC131098 CJX131097:CJY131098 CTT131097:CTU131098 DDP131097:DDQ131098 DNL131097:DNM131098 DXH131097:DXI131098 EHD131097:EHE131098 EQZ131097:ERA131098 FAV131097:FAW131098 FKR131097:FKS131098 FUN131097:FUO131098 GEJ131097:GEK131098 GOF131097:GOG131098 GYB131097:GYC131098 HHX131097:HHY131098 HRT131097:HRU131098 IBP131097:IBQ131098 ILL131097:ILM131098 IVH131097:IVI131098 JFD131097:JFE131098 JOZ131097:JPA131098 JYV131097:JYW131098 KIR131097:KIS131098 KSN131097:KSO131098 LCJ131097:LCK131098 LMF131097:LMG131098 LWB131097:LWC131098 MFX131097:MFY131098 MPT131097:MPU131098 MZP131097:MZQ131098 NJL131097:NJM131098 NTH131097:NTI131098 ODD131097:ODE131098 OMZ131097:ONA131098 OWV131097:OWW131098 PGR131097:PGS131098 PQN131097:PQO131098 QAJ131097:QAK131098 QKF131097:QKG131098 QUB131097:QUC131098 RDX131097:RDY131098 RNT131097:RNU131098 RXP131097:RXQ131098 SHL131097:SHM131098 SRH131097:SRI131098 TBD131097:TBE131098 TKZ131097:TLA131098 TUV131097:TUW131098 UER131097:UES131098 UON131097:UOO131098 UYJ131097:UYK131098 VIF131097:VIG131098 VSB131097:VSC131098 WBX131097:WBY131098 WLT131097:WLU131098 WVP131097:WVQ131098 JD196633:JE196634 SZ196633:TA196634 ACV196633:ACW196634 AMR196633:AMS196634 AWN196633:AWO196634 BGJ196633:BGK196634 BQF196633:BQG196634 CAB196633:CAC196634 CJX196633:CJY196634 CTT196633:CTU196634 DDP196633:DDQ196634 DNL196633:DNM196634 DXH196633:DXI196634 EHD196633:EHE196634 EQZ196633:ERA196634 FAV196633:FAW196634 FKR196633:FKS196634 FUN196633:FUO196634 GEJ196633:GEK196634 GOF196633:GOG196634 GYB196633:GYC196634 HHX196633:HHY196634 HRT196633:HRU196634 IBP196633:IBQ196634 ILL196633:ILM196634 IVH196633:IVI196634 JFD196633:JFE196634 JOZ196633:JPA196634 JYV196633:JYW196634 KIR196633:KIS196634 KSN196633:KSO196634 LCJ196633:LCK196634 LMF196633:LMG196634 LWB196633:LWC196634 MFX196633:MFY196634 MPT196633:MPU196634 MZP196633:MZQ196634 NJL196633:NJM196634 NTH196633:NTI196634 ODD196633:ODE196634 OMZ196633:ONA196634 OWV196633:OWW196634 PGR196633:PGS196634 PQN196633:PQO196634 QAJ196633:QAK196634 QKF196633:QKG196634 QUB196633:QUC196634 RDX196633:RDY196634 RNT196633:RNU196634 RXP196633:RXQ196634 SHL196633:SHM196634 SRH196633:SRI196634 TBD196633:TBE196634 TKZ196633:TLA196634 TUV196633:TUW196634 UER196633:UES196634 UON196633:UOO196634 UYJ196633:UYK196634 VIF196633:VIG196634 VSB196633:VSC196634 WBX196633:WBY196634 WLT196633:WLU196634 WVP196633:WVQ196634 JD262169:JE262170 SZ262169:TA262170 ACV262169:ACW262170 AMR262169:AMS262170 AWN262169:AWO262170 BGJ262169:BGK262170 BQF262169:BQG262170 CAB262169:CAC262170 CJX262169:CJY262170 CTT262169:CTU262170 DDP262169:DDQ262170 DNL262169:DNM262170 DXH262169:DXI262170 EHD262169:EHE262170 EQZ262169:ERA262170 FAV262169:FAW262170 FKR262169:FKS262170 FUN262169:FUO262170 GEJ262169:GEK262170 GOF262169:GOG262170 GYB262169:GYC262170 HHX262169:HHY262170 HRT262169:HRU262170 IBP262169:IBQ262170 ILL262169:ILM262170 IVH262169:IVI262170 JFD262169:JFE262170 JOZ262169:JPA262170 JYV262169:JYW262170 KIR262169:KIS262170 KSN262169:KSO262170 LCJ262169:LCK262170 LMF262169:LMG262170 LWB262169:LWC262170 MFX262169:MFY262170 MPT262169:MPU262170 MZP262169:MZQ262170 NJL262169:NJM262170 NTH262169:NTI262170 ODD262169:ODE262170 OMZ262169:ONA262170 OWV262169:OWW262170 PGR262169:PGS262170 PQN262169:PQO262170 QAJ262169:QAK262170 QKF262169:QKG262170 QUB262169:QUC262170 RDX262169:RDY262170 RNT262169:RNU262170 RXP262169:RXQ262170 SHL262169:SHM262170 SRH262169:SRI262170 TBD262169:TBE262170 TKZ262169:TLA262170 TUV262169:TUW262170 UER262169:UES262170 UON262169:UOO262170 UYJ262169:UYK262170 VIF262169:VIG262170 VSB262169:VSC262170 WBX262169:WBY262170 WLT262169:WLU262170 WVP262169:WVQ262170 JD327705:JE327706 SZ327705:TA327706 ACV327705:ACW327706 AMR327705:AMS327706 AWN327705:AWO327706 BGJ327705:BGK327706 BQF327705:BQG327706 CAB327705:CAC327706 CJX327705:CJY327706 CTT327705:CTU327706 DDP327705:DDQ327706 DNL327705:DNM327706 DXH327705:DXI327706 EHD327705:EHE327706 EQZ327705:ERA327706 FAV327705:FAW327706 FKR327705:FKS327706 FUN327705:FUO327706 GEJ327705:GEK327706 GOF327705:GOG327706 GYB327705:GYC327706 HHX327705:HHY327706 HRT327705:HRU327706 IBP327705:IBQ327706 ILL327705:ILM327706 IVH327705:IVI327706 JFD327705:JFE327706 JOZ327705:JPA327706 JYV327705:JYW327706 KIR327705:KIS327706 KSN327705:KSO327706 LCJ327705:LCK327706 LMF327705:LMG327706 LWB327705:LWC327706 MFX327705:MFY327706 MPT327705:MPU327706 MZP327705:MZQ327706 NJL327705:NJM327706 NTH327705:NTI327706 ODD327705:ODE327706 OMZ327705:ONA327706 OWV327705:OWW327706 PGR327705:PGS327706 PQN327705:PQO327706 QAJ327705:QAK327706 QKF327705:QKG327706 QUB327705:QUC327706 RDX327705:RDY327706 RNT327705:RNU327706 RXP327705:RXQ327706 SHL327705:SHM327706 SRH327705:SRI327706 TBD327705:TBE327706 TKZ327705:TLA327706 TUV327705:TUW327706 UER327705:UES327706 UON327705:UOO327706 UYJ327705:UYK327706 VIF327705:VIG327706 VSB327705:VSC327706 WBX327705:WBY327706 WLT327705:WLU327706 WVP327705:WVQ327706 JD393241:JE393242 SZ393241:TA393242 ACV393241:ACW393242 AMR393241:AMS393242 AWN393241:AWO393242 BGJ393241:BGK393242 BQF393241:BQG393242 CAB393241:CAC393242 CJX393241:CJY393242 CTT393241:CTU393242 DDP393241:DDQ393242 DNL393241:DNM393242 DXH393241:DXI393242 EHD393241:EHE393242 EQZ393241:ERA393242 FAV393241:FAW393242 FKR393241:FKS393242 FUN393241:FUO393242 GEJ393241:GEK393242 GOF393241:GOG393242 GYB393241:GYC393242 HHX393241:HHY393242 HRT393241:HRU393242 IBP393241:IBQ393242 ILL393241:ILM393242 IVH393241:IVI393242 JFD393241:JFE393242 JOZ393241:JPA393242 JYV393241:JYW393242 KIR393241:KIS393242 KSN393241:KSO393242 LCJ393241:LCK393242 LMF393241:LMG393242 LWB393241:LWC393242 MFX393241:MFY393242 MPT393241:MPU393242 MZP393241:MZQ393242 NJL393241:NJM393242 NTH393241:NTI393242 ODD393241:ODE393242 OMZ393241:ONA393242 OWV393241:OWW393242 PGR393241:PGS393242 PQN393241:PQO393242 QAJ393241:QAK393242 QKF393241:QKG393242 QUB393241:QUC393242 RDX393241:RDY393242 RNT393241:RNU393242 RXP393241:RXQ393242 SHL393241:SHM393242 SRH393241:SRI393242 TBD393241:TBE393242 TKZ393241:TLA393242 TUV393241:TUW393242 UER393241:UES393242 UON393241:UOO393242 UYJ393241:UYK393242 VIF393241:VIG393242 VSB393241:VSC393242 WBX393241:WBY393242 WLT393241:WLU393242 WVP393241:WVQ393242 JD458777:JE458778 SZ458777:TA458778 ACV458777:ACW458778 AMR458777:AMS458778 AWN458777:AWO458778 BGJ458777:BGK458778 BQF458777:BQG458778 CAB458777:CAC458778 CJX458777:CJY458778 CTT458777:CTU458778 DDP458777:DDQ458778 DNL458777:DNM458778 DXH458777:DXI458778 EHD458777:EHE458778 EQZ458777:ERA458778 FAV458777:FAW458778 FKR458777:FKS458778 FUN458777:FUO458778 GEJ458777:GEK458778 GOF458777:GOG458778 GYB458777:GYC458778 HHX458777:HHY458778 HRT458777:HRU458778 IBP458777:IBQ458778 ILL458777:ILM458778 IVH458777:IVI458778 JFD458777:JFE458778 JOZ458777:JPA458778 JYV458777:JYW458778 KIR458777:KIS458778 KSN458777:KSO458778 LCJ458777:LCK458778 LMF458777:LMG458778 LWB458777:LWC458778 MFX458777:MFY458778 MPT458777:MPU458778 MZP458777:MZQ458778 NJL458777:NJM458778 NTH458777:NTI458778 ODD458777:ODE458778 OMZ458777:ONA458778 OWV458777:OWW458778 PGR458777:PGS458778 PQN458777:PQO458778 QAJ458777:QAK458778 QKF458777:QKG458778 QUB458777:QUC458778 RDX458777:RDY458778 RNT458777:RNU458778 RXP458777:RXQ458778 SHL458777:SHM458778 SRH458777:SRI458778 TBD458777:TBE458778 TKZ458777:TLA458778 TUV458777:TUW458778 UER458777:UES458778 UON458777:UOO458778 UYJ458777:UYK458778 VIF458777:VIG458778 VSB458777:VSC458778 WBX458777:WBY458778 WLT458777:WLU458778 WVP458777:WVQ458778 JD524313:JE524314 SZ524313:TA524314 ACV524313:ACW524314 AMR524313:AMS524314 AWN524313:AWO524314 BGJ524313:BGK524314 BQF524313:BQG524314 CAB524313:CAC524314 CJX524313:CJY524314 CTT524313:CTU524314 DDP524313:DDQ524314 DNL524313:DNM524314 DXH524313:DXI524314 EHD524313:EHE524314 EQZ524313:ERA524314 FAV524313:FAW524314 FKR524313:FKS524314 FUN524313:FUO524314 GEJ524313:GEK524314 GOF524313:GOG524314 GYB524313:GYC524314 HHX524313:HHY524314 HRT524313:HRU524314 IBP524313:IBQ524314 ILL524313:ILM524314 IVH524313:IVI524314 JFD524313:JFE524314 JOZ524313:JPA524314 JYV524313:JYW524314 KIR524313:KIS524314 KSN524313:KSO524314 LCJ524313:LCK524314 LMF524313:LMG524314 LWB524313:LWC524314 MFX524313:MFY524314 MPT524313:MPU524314 MZP524313:MZQ524314 NJL524313:NJM524314 NTH524313:NTI524314 ODD524313:ODE524314 OMZ524313:ONA524314 OWV524313:OWW524314 PGR524313:PGS524314 PQN524313:PQO524314 QAJ524313:QAK524314 QKF524313:QKG524314 QUB524313:QUC524314 RDX524313:RDY524314 RNT524313:RNU524314 RXP524313:RXQ524314 SHL524313:SHM524314 SRH524313:SRI524314 TBD524313:TBE524314 TKZ524313:TLA524314 TUV524313:TUW524314 UER524313:UES524314 UON524313:UOO524314 UYJ524313:UYK524314 VIF524313:VIG524314 VSB524313:VSC524314 WBX524313:WBY524314 WLT524313:WLU524314 WVP524313:WVQ524314 JD589849:JE589850 SZ589849:TA589850 ACV589849:ACW589850 AMR589849:AMS589850 AWN589849:AWO589850 BGJ589849:BGK589850 BQF589849:BQG589850 CAB589849:CAC589850 CJX589849:CJY589850 CTT589849:CTU589850 DDP589849:DDQ589850 DNL589849:DNM589850 DXH589849:DXI589850 EHD589849:EHE589850 EQZ589849:ERA589850 FAV589849:FAW589850 FKR589849:FKS589850 FUN589849:FUO589850 GEJ589849:GEK589850 GOF589849:GOG589850 GYB589849:GYC589850 HHX589849:HHY589850 HRT589849:HRU589850 IBP589849:IBQ589850 ILL589849:ILM589850 IVH589849:IVI589850 JFD589849:JFE589850 JOZ589849:JPA589850 JYV589849:JYW589850 KIR589849:KIS589850 KSN589849:KSO589850 LCJ589849:LCK589850 LMF589849:LMG589850 LWB589849:LWC589850 MFX589849:MFY589850 MPT589849:MPU589850 MZP589849:MZQ589850 NJL589849:NJM589850 NTH589849:NTI589850 ODD589849:ODE589850 OMZ589849:ONA589850 OWV589849:OWW589850 PGR589849:PGS589850 PQN589849:PQO589850 QAJ589849:QAK589850 QKF589849:QKG589850 QUB589849:QUC589850 RDX589849:RDY589850 RNT589849:RNU589850 RXP589849:RXQ589850 SHL589849:SHM589850 SRH589849:SRI589850 TBD589849:TBE589850 TKZ589849:TLA589850 TUV589849:TUW589850 UER589849:UES589850 UON589849:UOO589850 UYJ589849:UYK589850 VIF589849:VIG589850 VSB589849:VSC589850 WBX589849:WBY589850 WLT589849:WLU589850 WVP589849:WVQ589850 JD655385:JE655386 SZ655385:TA655386 ACV655385:ACW655386 AMR655385:AMS655386 AWN655385:AWO655386 BGJ655385:BGK655386 BQF655385:BQG655386 CAB655385:CAC655386 CJX655385:CJY655386 CTT655385:CTU655386 DDP655385:DDQ655386 DNL655385:DNM655386 DXH655385:DXI655386 EHD655385:EHE655386 EQZ655385:ERA655386 FAV655385:FAW655386 FKR655385:FKS655386 FUN655385:FUO655386 GEJ655385:GEK655386 GOF655385:GOG655386 GYB655385:GYC655386 HHX655385:HHY655386 HRT655385:HRU655386 IBP655385:IBQ655386 ILL655385:ILM655386 IVH655385:IVI655386 JFD655385:JFE655386 JOZ655385:JPA655386 JYV655385:JYW655386 KIR655385:KIS655386 KSN655385:KSO655386 LCJ655385:LCK655386 LMF655385:LMG655386 LWB655385:LWC655386 MFX655385:MFY655386 MPT655385:MPU655386 MZP655385:MZQ655386 NJL655385:NJM655386 NTH655385:NTI655386 ODD655385:ODE655386 OMZ655385:ONA655386 OWV655385:OWW655386 PGR655385:PGS655386 PQN655385:PQO655386 QAJ655385:QAK655386 QKF655385:QKG655386 QUB655385:QUC655386 RDX655385:RDY655386 RNT655385:RNU655386 RXP655385:RXQ655386 SHL655385:SHM655386 SRH655385:SRI655386 TBD655385:TBE655386 TKZ655385:TLA655386 TUV655385:TUW655386 UER655385:UES655386 UON655385:UOO655386 UYJ655385:UYK655386 VIF655385:VIG655386 VSB655385:VSC655386 WBX655385:WBY655386 WLT655385:WLU655386 WVP655385:WVQ655386 JD720921:JE720922 SZ720921:TA720922 ACV720921:ACW720922 AMR720921:AMS720922 AWN720921:AWO720922 BGJ720921:BGK720922 BQF720921:BQG720922 CAB720921:CAC720922 CJX720921:CJY720922 CTT720921:CTU720922 DDP720921:DDQ720922 DNL720921:DNM720922 DXH720921:DXI720922 EHD720921:EHE720922 EQZ720921:ERA720922 FAV720921:FAW720922 FKR720921:FKS720922 FUN720921:FUO720922 GEJ720921:GEK720922 GOF720921:GOG720922 GYB720921:GYC720922 HHX720921:HHY720922 HRT720921:HRU720922 IBP720921:IBQ720922 ILL720921:ILM720922 IVH720921:IVI720922 JFD720921:JFE720922 JOZ720921:JPA720922 JYV720921:JYW720922 KIR720921:KIS720922 KSN720921:KSO720922 LCJ720921:LCK720922 LMF720921:LMG720922 LWB720921:LWC720922 MFX720921:MFY720922 MPT720921:MPU720922 MZP720921:MZQ720922 NJL720921:NJM720922 NTH720921:NTI720922 ODD720921:ODE720922 OMZ720921:ONA720922 OWV720921:OWW720922 PGR720921:PGS720922 PQN720921:PQO720922 QAJ720921:QAK720922 QKF720921:QKG720922 QUB720921:QUC720922 RDX720921:RDY720922 RNT720921:RNU720922 RXP720921:RXQ720922 SHL720921:SHM720922 SRH720921:SRI720922 TBD720921:TBE720922 TKZ720921:TLA720922 TUV720921:TUW720922 UER720921:UES720922 UON720921:UOO720922 UYJ720921:UYK720922 VIF720921:VIG720922 VSB720921:VSC720922 WBX720921:WBY720922 WLT720921:WLU720922 WVP720921:WVQ720922 JD786457:JE786458 SZ786457:TA786458 ACV786457:ACW786458 AMR786457:AMS786458 AWN786457:AWO786458 BGJ786457:BGK786458 BQF786457:BQG786458 CAB786457:CAC786458 CJX786457:CJY786458 CTT786457:CTU786458 DDP786457:DDQ786458 DNL786457:DNM786458 DXH786457:DXI786458 EHD786457:EHE786458 EQZ786457:ERA786458 FAV786457:FAW786458 FKR786457:FKS786458 FUN786457:FUO786458 GEJ786457:GEK786458 GOF786457:GOG786458 GYB786457:GYC786458 HHX786457:HHY786458 HRT786457:HRU786458 IBP786457:IBQ786458 ILL786457:ILM786458 IVH786457:IVI786458 JFD786457:JFE786458 JOZ786457:JPA786458 JYV786457:JYW786458 KIR786457:KIS786458 KSN786457:KSO786458 LCJ786457:LCK786458 LMF786457:LMG786458 LWB786457:LWC786458 MFX786457:MFY786458 MPT786457:MPU786458 MZP786457:MZQ786458 NJL786457:NJM786458 NTH786457:NTI786458 ODD786457:ODE786458 OMZ786457:ONA786458 OWV786457:OWW786458 PGR786457:PGS786458 PQN786457:PQO786458 QAJ786457:QAK786458 QKF786457:QKG786458 QUB786457:QUC786458 RDX786457:RDY786458 RNT786457:RNU786458 RXP786457:RXQ786458 SHL786457:SHM786458 SRH786457:SRI786458 TBD786457:TBE786458 TKZ786457:TLA786458 TUV786457:TUW786458 UER786457:UES786458 UON786457:UOO786458 UYJ786457:UYK786458 VIF786457:VIG786458 VSB786457:VSC786458 WBX786457:WBY786458 WLT786457:WLU786458 WVP786457:WVQ786458 JD851993:JE851994 SZ851993:TA851994 ACV851993:ACW851994 AMR851993:AMS851994 AWN851993:AWO851994 BGJ851993:BGK851994 BQF851993:BQG851994 CAB851993:CAC851994 CJX851993:CJY851994 CTT851993:CTU851994 DDP851993:DDQ851994 DNL851993:DNM851994 DXH851993:DXI851994 EHD851993:EHE851994 EQZ851993:ERA851994 FAV851993:FAW851994 FKR851993:FKS851994 FUN851993:FUO851994 GEJ851993:GEK851994 GOF851993:GOG851994 GYB851993:GYC851994 HHX851993:HHY851994 HRT851993:HRU851994 IBP851993:IBQ851994 ILL851993:ILM851994 IVH851993:IVI851994 JFD851993:JFE851994 JOZ851993:JPA851994 JYV851993:JYW851994 KIR851993:KIS851994 KSN851993:KSO851994 LCJ851993:LCK851994 LMF851993:LMG851994 LWB851993:LWC851994 MFX851993:MFY851994 MPT851993:MPU851994 MZP851993:MZQ851994 NJL851993:NJM851994 NTH851993:NTI851994 ODD851993:ODE851994 OMZ851993:ONA851994 OWV851993:OWW851994 PGR851993:PGS851994 PQN851993:PQO851994 QAJ851993:QAK851994 QKF851993:QKG851994 QUB851993:QUC851994 RDX851993:RDY851994 RNT851993:RNU851994 RXP851993:RXQ851994 SHL851993:SHM851994 SRH851993:SRI851994 TBD851993:TBE851994 TKZ851993:TLA851994 TUV851993:TUW851994 UER851993:UES851994 UON851993:UOO851994 UYJ851993:UYK851994 VIF851993:VIG851994 VSB851993:VSC851994 WBX851993:WBY851994 WLT851993:WLU851994 WVP851993:WVQ851994 JD917529:JE917530 SZ917529:TA917530 ACV917529:ACW917530 AMR917529:AMS917530 AWN917529:AWO917530 BGJ917529:BGK917530 BQF917529:BQG917530 CAB917529:CAC917530 CJX917529:CJY917530 CTT917529:CTU917530 DDP917529:DDQ917530 DNL917529:DNM917530 DXH917529:DXI917530 EHD917529:EHE917530 EQZ917529:ERA917530 FAV917529:FAW917530 FKR917529:FKS917530 FUN917529:FUO917530 GEJ917529:GEK917530 GOF917529:GOG917530 GYB917529:GYC917530 HHX917529:HHY917530 HRT917529:HRU917530 IBP917529:IBQ917530 ILL917529:ILM917530 IVH917529:IVI917530 JFD917529:JFE917530 JOZ917529:JPA917530 JYV917529:JYW917530 KIR917529:KIS917530 KSN917529:KSO917530 LCJ917529:LCK917530 LMF917529:LMG917530 LWB917529:LWC917530 MFX917529:MFY917530 MPT917529:MPU917530 MZP917529:MZQ917530 NJL917529:NJM917530 NTH917529:NTI917530 ODD917529:ODE917530 OMZ917529:ONA917530 OWV917529:OWW917530 PGR917529:PGS917530 PQN917529:PQO917530 QAJ917529:QAK917530 QKF917529:QKG917530 QUB917529:QUC917530 RDX917529:RDY917530 RNT917529:RNU917530 RXP917529:RXQ917530 SHL917529:SHM917530 SRH917529:SRI917530 TBD917529:TBE917530 TKZ917529:TLA917530 TUV917529:TUW917530 UER917529:UES917530 UON917529:UOO917530 UYJ917529:UYK917530 VIF917529:VIG917530 VSB917529:VSC917530 WBX917529:WBY917530 WLT917529:WLU917530 WVP917529:WVQ917530 JD983065:JE983066 SZ983065:TA983066 ACV983065:ACW983066 AMR983065:AMS983066 AWN983065:AWO983066 BGJ983065:BGK983066 BQF983065:BQG983066 CAB983065:CAC983066 CJX983065:CJY983066 CTT983065:CTU983066 DDP983065:DDQ983066 DNL983065:DNM983066 DXH983065:DXI983066 EHD983065:EHE983066 EQZ983065:ERA983066 FAV983065:FAW983066 FKR983065:FKS983066 FUN983065:FUO983066 GEJ983065:GEK983066 GOF983065:GOG983066 GYB983065:GYC983066 HHX983065:HHY983066 HRT983065:HRU983066 IBP983065:IBQ983066 ILL983065:ILM983066 IVH983065:IVI983066 JFD983065:JFE983066 JOZ983065:JPA983066 JYV983065:JYW983066 KIR983065:KIS983066 KSN983065:KSO983066 LCJ983065:LCK983066 LMF983065:LMG983066 LWB983065:LWC983066 MFX983065:MFY983066 MPT983065:MPU983066 MZP983065:MZQ983066 NJL983065:NJM983066 NTH983065:NTI983066 ODD983065:ODE983066 OMZ983065:ONA983066 OWV983065:OWW983066 PGR983065:PGS983066 PQN983065:PQO983066 QAJ983065:QAK983066 QKF983065:QKG983066 QUB983065:QUC983066 RDX983065:RDY983066 RNT983065:RNU983066 RXP983065:RXQ983066 SHL983065:SHM983066 SRH983065:SRI983066 TBD983065:TBE983066 TKZ983065:TLA983066 TUV983065:TUW983066 UER983065:UES983066 UON983065:UOO983066 UYJ983065:UYK983066 VIF983065:VIG983066 VSB983065:VSC983066 WBX983065:WBY983066 WLT983065:WLU983066 WVP983065:WVQ983066 JE27:JE28 TA27:TA28 ACW27:ACW28 AMS27:AMS28 AWO27:AWO28 BGK27:BGK28 BQG27:BQG28 CAC27:CAC28 CJY27:CJY28 CTU27:CTU28 DDQ27:DDQ28 DNM27:DNM28 DXI27:DXI28 EHE27:EHE28 ERA27:ERA28 FAW27:FAW28 FKS27:FKS28 FUO27:FUO28 GEK27:GEK28 GOG27:GOG28 GYC27:GYC28 HHY27:HHY28 HRU27:HRU28 IBQ27:IBQ28 ILM27:ILM28 IVI27:IVI28 JFE27:JFE28 JPA27:JPA28 JYW27:JYW28 KIS27:KIS28 KSO27:KSO28 LCK27:LCK28 LMG27:LMG28 LWC27:LWC28 MFY27:MFY28 MPU27:MPU28 MZQ27:MZQ28 NJM27:NJM28 NTI27:NTI28 ODE27:ODE28 ONA27:ONA28 OWW27:OWW28 PGS27:PGS28 PQO27:PQO28 QAK27:QAK28 QKG27:QKG28 QUC27:QUC28 RDY27:RDY28 RNU27:RNU28 RXQ27:RXQ28 SHM27:SHM28 SRI27:SRI28 TBE27:TBE28 TLA27:TLA28 TUW27:TUW28 UES27:UES28 UOO27:UOO28 UYK27:UYK28 VIG27:VIG28 VSC27:VSC28 WBY27:WBY28 WLU27:WLU28 WVQ27:WVQ28 JE65563:JE65564 TA65563:TA65564 ACW65563:ACW65564 AMS65563:AMS65564 AWO65563:AWO65564 BGK65563:BGK65564 BQG65563:BQG65564 CAC65563:CAC65564 CJY65563:CJY65564 CTU65563:CTU65564 DDQ65563:DDQ65564 DNM65563:DNM65564 DXI65563:DXI65564 EHE65563:EHE65564 ERA65563:ERA65564 FAW65563:FAW65564 FKS65563:FKS65564 FUO65563:FUO65564 GEK65563:GEK65564 GOG65563:GOG65564 GYC65563:GYC65564 HHY65563:HHY65564 HRU65563:HRU65564 IBQ65563:IBQ65564 ILM65563:ILM65564 IVI65563:IVI65564 JFE65563:JFE65564 JPA65563:JPA65564 JYW65563:JYW65564 KIS65563:KIS65564 KSO65563:KSO65564 LCK65563:LCK65564 LMG65563:LMG65564 LWC65563:LWC65564 MFY65563:MFY65564 MPU65563:MPU65564 MZQ65563:MZQ65564 NJM65563:NJM65564 NTI65563:NTI65564 ODE65563:ODE65564 ONA65563:ONA65564 OWW65563:OWW65564 PGS65563:PGS65564 PQO65563:PQO65564 QAK65563:QAK65564 QKG65563:QKG65564 QUC65563:QUC65564 RDY65563:RDY65564 RNU65563:RNU65564 RXQ65563:RXQ65564 SHM65563:SHM65564 SRI65563:SRI65564 TBE65563:TBE65564 TLA65563:TLA65564 TUW65563:TUW65564 UES65563:UES65564 UOO65563:UOO65564 UYK65563:UYK65564 VIG65563:VIG65564 VSC65563:VSC65564 WBY65563:WBY65564 WLU65563:WLU65564 WVQ65563:WVQ65564 JE131099:JE131100 TA131099:TA131100 ACW131099:ACW131100 AMS131099:AMS131100 AWO131099:AWO131100 BGK131099:BGK131100 BQG131099:BQG131100 CAC131099:CAC131100 CJY131099:CJY131100 CTU131099:CTU131100 DDQ131099:DDQ131100 DNM131099:DNM131100 DXI131099:DXI131100 EHE131099:EHE131100 ERA131099:ERA131100 FAW131099:FAW131100 FKS131099:FKS131100 FUO131099:FUO131100 GEK131099:GEK131100 GOG131099:GOG131100 GYC131099:GYC131100 HHY131099:HHY131100 HRU131099:HRU131100 IBQ131099:IBQ131100 ILM131099:ILM131100 IVI131099:IVI131100 JFE131099:JFE131100 JPA131099:JPA131100 JYW131099:JYW131100 KIS131099:KIS131100 KSO131099:KSO131100 LCK131099:LCK131100 LMG131099:LMG131100 LWC131099:LWC131100 MFY131099:MFY131100 MPU131099:MPU131100 MZQ131099:MZQ131100 NJM131099:NJM131100 NTI131099:NTI131100 ODE131099:ODE131100 ONA131099:ONA131100 OWW131099:OWW131100 PGS131099:PGS131100 PQO131099:PQO131100 QAK131099:QAK131100 QKG131099:QKG131100 QUC131099:QUC131100 RDY131099:RDY131100 RNU131099:RNU131100 RXQ131099:RXQ131100 SHM131099:SHM131100 SRI131099:SRI131100 TBE131099:TBE131100 TLA131099:TLA131100 TUW131099:TUW131100 UES131099:UES131100 UOO131099:UOO131100 UYK131099:UYK131100 VIG131099:VIG131100 VSC131099:VSC131100 WBY131099:WBY131100 WLU131099:WLU131100 WVQ131099:WVQ131100 JE196635:JE196636 TA196635:TA196636 ACW196635:ACW196636 AMS196635:AMS196636 AWO196635:AWO196636 BGK196635:BGK196636 BQG196635:BQG196636 CAC196635:CAC196636 CJY196635:CJY196636 CTU196635:CTU196636 DDQ196635:DDQ196636 DNM196635:DNM196636 DXI196635:DXI196636 EHE196635:EHE196636 ERA196635:ERA196636 FAW196635:FAW196636 FKS196635:FKS196636 FUO196635:FUO196636 GEK196635:GEK196636 GOG196635:GOG196636 GYC196635:GYC196636 HHY196635:HHY196636 HRU196635:HRU196636 IBQ196635:IBQ196636 ILM196635:ILM196636 IVI196635:IVI196636 JFE196635:JFE196636 JPA196635:JPA196636 JYW196635:JYW196636 KIS196635:KIS196636 KSO196635:KSO196636 LCK196635:LCK196636 LMG196635:LMG196636 LWC196635:LWC196636 MFY196635:MFY196636 MPU196635:MPU196636 MZQ196635:MZQ196636 NJM196635:NJM196636 NTI196635:NTI196636 ODE196635:ODE196636 ONA196635:ONA196636 OWW196635:OWW196636 PGS196635:PGS196636 PQO196635:PQO196636 QAK196635:QAK196636 QKG196635:QKG196636 QUC196635:QUC196636 RDY196635:RDY196636 RNU196635:RNU196636 RXQ196635:RXQ196636 SHM196635:SHM196636 SRI196635:SRI196636 TBE196635:TBE196636 TLA196635:TLA196636 TUW196635:TUW196636 UES196635:UES196636 UOO196635:UOO196636 UYK196635:UYK196636 VIG196635:VIG196636 VSC196635:VSC196636 WBY196635:WBY196636 WLU196635:WLU196636 WVQ196635:WVQ196636 JE262171:JE262172 TA262171:TA262172 ACW262171:ACW262172 AMS262171:AMS262172 AWO262171:AWO262172 BGK262171:BGK262172 BQG262171:BQG262172 CAC262171:CAC262172 CJY262171:CJY262172 CTU262171:CTU262172 DDQ262171:DDQ262172 DNM262171:DNM262172 DXI262171:DXI262172 EHE262171:EHE262172 ERA262171:ERA262172 FAW262171:FAW262172 FKS262171:FKS262172 FUO262171:FUO262172 GEK262171:GEK262172 GOG262171:GOG262172 GYC262171:GYC262172 HHY262171:HHY262172 HRU262171:HRU262172 IBQ262171:IBQ262172 ILM262171:ILM262172 IVI262171:IVI262172 JFE262171:JFE262172 JPA262171:JPA262172 JYW262171:JYW262172 KIS262171:KIS262172 KSO262171:KSO262172 LCK262171:LCK262172 LMG262171:LMG262172 LWC262171:LWC262172 MFY262171:MFY262172 MPU262171:MPU262172 MZQ262171:MZQ262172 NJM262171:NJM262172 NTI262171:NTI262172 ODE262171:ODE262172 ONA262171:ONA262172 OWW262171:OWW262172 PGS262171:PGS262172 PQO262171:PQO262172 QAK262171:QAK262172 QKG262171:QKG262172 QUC262171:QUC262172 RDY262171:RDY262172 RNU262171:RNU262172 RXQ262171:RXQ262172 SHM262171:SHM262172 SRI262171:SRI262172 TBE262171:TBE262172 TLA262171:TLA262172 TUW262171:TUW262172 UES262171:UES262172 UOO262171:UOO262172 UYK262171:UYK262172 VIG262171:VIG262172 VSC262171:VSC262172 WBY262171:WBY262172 WLU262171:WLU262172 WVQ262171:WVQ262172 JE327707:JE327708 TA327707:TA327708 ACW327707:ACW327708 AMS327707:AMS327708 AWO327707:AWO327708 BGK327707:BGK327708 BQG327707:BQG327708 CAC327707:CAC327708 CJY327707:CJY327708 CTU327707:CTU327708 DDQ327707:DDQ327708 DNM327707:DNM327708 DXI327707:DXI327708 EHE327707:EHE327708 ERA327707:ERA327708 FAW327707:FAW327708 FKS327707:FKS327708 FUO327707:FUO327708 GEK327707:GEK327708 GOG327707:GOG327708 GYC327707:GYC327708 HHY327707:HHY327708 HRU327707:HRU327708 IBQ327707:IBQ327708 ILM327707:ILM327708 IVI327707:IVI327708 JFE327707:JFE327708 JPA327707:JPA327708 JYW327707:JYW327708 KIS327707:KIS327708 KSO327707:KSO327708 LCK327707:LCK327708 LMG327707:LMG327708 LWC327707:LWC327708 MFY327707:MFY327708 MPU327707:MPU327708 MZQ327707:MZQ327708 NJM327707:NJM327708 NTI327707:NTI327708 ODE327707:ODE327708 ONA327707:ONA327708 OWW327707:OWW327708 PGS327707:PGS327708 PQO327707:PQO327708 QAK327707:QAK327708 QKG327707:QKG327708 QUC327707:QUC327708 RDY327707:RDY327708 RNU327707:RNU327708 RXQ327707:RXQ327708 SHM327707:SHM327708 SRI327707:SRI327708 TBE327707:TBE327708 TLA327707:TLA327708 TUW327707:TUW327708 UES327707:UES327708 UOO327707:UOO327708 UYK327707:UYK327708 VIG327707:VIG327708 VSC327707:VSC327708 WBY327707:WBY327708 WLU327707:WLU327708 WVQ327707:WVQ327708 JE393243:JE393244 TA393243:TA393244 ACW393243:ACW393244 AMS393243:AMS393244 AWO393243:AWO393244 BGK393243:BGK393244 BQG393243:BQG393244 CAC393243:CAC393244 CJY393243:CJY393244 CTU393243:CTU393244 DDQ393243:DDQ393244 DNM393243:DNM393244 DXI393243:DXI393244 EHE393243:EHE393244 ERA393243:ERA393244 FAW393243:FAW393244 FKS393243:FKS393244 FUO393243:FUO393244 GEK393243:GEK393244 GOG393243:GOG393244 GYC393243:GYC393244 HHY393243:HHY393244 HRU393243:HRU393244 IBQ393243:IBQ393244 ILM393243:ILM393244 IVI393243:IVI393244 JFE393243:JFE393244 JPA393243:JPA393244 JYW393243:JYW393244 KIS393243:KIS393244 KSO393243:KSO393244 LCK393243:LCK393244 LMG393243:LMG393244 LWC393243:LWC393244 MFY393243:MFY393244 MPU393243:MPU393244 MZQ393243:MZQ393244 NJM393243:NJM393244 NTI393243:NTI393244 ODE393243:ODE393244 ONA393243:ONA393244 OWW393243:OWW393244 PGS393243:PGS393244 PQO393243:PQO393244 QAK393243:QAK393244 QKG393243:QKG393244 QUC393243:QUC393244 RDY393243:RDY393244 RNU393243:RNU393244 RXQ393243:RXQ393244 SHM393243:SHM393244 SRI393243:SRI393244 TBE393243:TBE393244 TLA393243:TLA393244 TUW393243:TUW393244 UES393243:UES393244 UOO393243:UOO393244 UYK393243:UYK393244 VIG393243:VIG393244 VSC393243:VSC393244 WBY393243:WBY393244 WLU393243:WLU393244 WVQ393243:WVQ393244 JE458779:JE458780 TA458779:TA458780 ACW458779:ACW458780 AMS458779:AMS458780 AWO458779:AWO458780 BGK458779:BGK458780 BQG458779:BQG458780 CAC458779:CAC458780 CJY458779:CJY458780 CTU458779:CTU458780 DDQ458779:DDQ458780 DNM458779:DNM458780 DXI458779:DXI458780 EHE458779:EHE458780 ERA458779:ERA458780 FAW458779:FAW458780 FKS458779:FKS458780 FUO458779:FUO458780 GEK458779:GEK458780 GOG458779:GOG458780 GYC458779:GYC458780 HHY458779:HHY458780 HRU458779:HRU458780 IBQ458779:IBQ458780 ILM458779:ILM458780 IVI458779:IVI458780 JFE458779:JFE458780 JPA458779:JPA458780 JYW458779:JYW458780 KIS458779:KIS458780 KSO458779:KSO458780 LCK458779:LCK458780 LMG458779:LMG458780 LWC458779:LWC458780 MFY458779:MFY458780 MPU458779:MPU458780 MZQ458779:MZQ458780 NJM458779:NJM458780 NTI458779:NTI458780 ODE458779:ODE458780 ONA458779:ONA458780 OWW458779:OWW458780 PGS458779:PGS458780 PQO458779:PQO458780 QAK458779:QAK458780 QKG458779:QKG458780 QUC458779:QUC458780 RDY458779:RDY458780 RNU458779:RNU458780 RXQ458779:RXQ458780 SHM458779:SHM458780 SRI458779:SRI458780 TBE458779:TBE458780 TLA458779:TLA458780 TUW458779:TUW458780 UES458779:UES458780 UOO458779:UOO458780 UYK458779:UYK458780 VIG458779:VIG458780 VSC458779:VSC458780 WBY458779:WBY458780 WLU458779:WLU458780 WVQ458779:WVQ458780 JE524315:JE524316 TA524315:TA524316 ACW524315:ACW524316 AMS524315:AMS524316 AWO524315:AWO524316 BGK524315:BGK524316 BQG524315:BQG524316 CAC524315:CAC524316 CJY524315:CJY524316 CTU524315:CTU524316 DDQ524315:DDQ524316 DNM524315:DNM524316 DXI524315:DXI524316 EHE524315:EHE524316 ERA524315:ERA524316 FAW524315:FAW524316 FKS524315:FKS524316 FUO524315:FUO524316 GEK524315:GEK524316 GOG524315:GOG524316 GYC524315:GYC524316 HHY524315:HHY524316 HRU524315:HRU524316 IBQ524315:IBQ524316 ILM524315:ILM524316 IVI524315:IVI524316 JFE524315:JFE524316 JPA524315:JPA524316 JYW524315:JYW524316 KIS524315:KIS524316 KSO524315:KSO524316 LCK524315:LCK524316 LMG524315:LMG524316 LWC524315:LWC524316 MFY524315:MFY524316 MPU524315:MPU524316 MZQ524315:MZQ524316 NJM524315:NJM524316 NTI524315:NTI524316 ODE524315:ODE524316 ONA524315:ONA524316 OWW524315:OWW524316 PGS524315:PGS524316 PQO524315:PQO524316 QAK524315:QAK524316 QKG524315:QKG524316 QUC524315:QUC524316 RDY524315:RDY524316 RNU524315:RNU524316 RXQ524315:RXQ524316 SHM524315:SHM524316 SRI524315:SRI524316 TBE524315:TBE524316 TLA524315:TLA524316 TUW524315:TUW524316 UES524315:UES524316 UOO524315:UOO524316 UYK524315:UYK524316 VIG524315:VIG524316 VSC524315:VSC524316 WBY524315:WBY524316 WLU524315:WLU524316 WVQ524315:WVQ524316 JE589851:JE589852 TA589851:TA589852 ACW589851:ACW589852 AMS589851:AMS589852 AWO589851:AWO589852 BGK589851:BGK589852 BQG589851:BQG589852 CAC589851:CAC589852 CJY589851:CJY589852 CTU589851:CTU589852 DDQ589851:DDQ589852 DNM589851:DNM589852 DXI589851:DXI589852 EHE589851:EHE589852 ERA589851:ERA589852 FAW589851:FAW589852 FKS589851:FKS589852 FUO589851:FUO589852 GEK589851:GEK589852 GOG589851:GOG589852 GYC589851:GYC589852 HHY589851:HHY589852 HRU589851:HRU589852 IBQ589851:IBQ589852 ILM589851:ILM589852 IVI589851:IVI589852 JFE589851:JFE589852 JPA589851:JPA589852 JYW589851:JYW589852 KIS589851:KIS589852 KSO589851:KSO589852 LCK589851:LCK589852 LMG589851:LMG589852 LWC589851:LWC589852 MFY589851:MFY589852 MPU589851:MPU589852 MZQ589851:MZQ589852 NJM589851:NJM589852 NTI589851:NTI589852 ODE589851:ODE589852 ONA589851:ONA589852 OWW589851:OWW589852 PGS589851:PGS589852 PQO589851:PQO589852 QAK589851:QAK589852 QKG589851:QKG589852 QUC589851:QUC589852 RDY589851:RDY589852 RNU589851:RNU589852 RXQ589851:RXQ589852 SHM589851:SHM589852 SRI589851:SRI589852 TBE589851:TBE589852 TLA589851:TLA589852 TUW589851:TUW589852 UES589851:UES589852 UOO589851:UOO589852 UYK589851:UYK589852 VIG589851:VIG589852 VSC589851:VSC589852 WBY589851:WBY589852 WLU589851:WLU589852 WVQ589851:WVQ589852 JE655387:JE655388 TA655387:TA655388 ACW655387:ACW655388 AMS655387:AMS655388 AWO655387:AWO655388 BGK655387:BGK655388 BQG655387:BQG655388 CAC655387:CAC655388 CJY655387:CJY655388 CTU655387:CTU655388 DDQ655387:DDQ655388 DNM655387:DNM655388 DXI655387:DXI655388 EHE655387:EHE655388 ERA655387:ERA655388 FAW655387:FAW655388 FKS655387:FKS655388 FUO655387:FUO655388 GEK655387:GEK655388 GOG655387:GOG655388 GYC655387:GYC655388 HHY655387:HHY655388 HRU655387:HRU655388 IBQ655387:IBQ655388 ILM655387:ILM655388 IVI655387:IVI655388 JFE655387:JFE655388 JPA655387:JPA655388 JYW655387:JYW655388 KIS655387:KIS655388 KSO655387:KSO655388 LCK655387:LCK655388 LMG655387:LMG655388 LWC655387:LWC655388 MFY655387:MFY655388 MPU655387:MPU655388 MZQ655387:MZQ655388 NJM655387:NJM655388 NTI655387:NTI655388 ODE655387:ODE655388 ONA655387:ONA655388 OWW655387:OWW655388 PGS655387:PGS655388 PQO655387:PQO655388 QAK655387:QAK655388 QKG655387:QKG655388 QUC655387:QUC655388 RDY655387:RDY655388 RNU655387:RNU655388 RXQ655387:RXQ655388 SHM655387:SHM655388 SRI655387:SRI655388 TBE655387:TBE655388 TLA655387:TLA655388 TUW655387:TUW655388 UES655387:UES655388 UOO655387:UOO655388 UYK655387:UYK655388 VIG655387:VIG655388 VSC655387:VSC655388 WBY655387:WBY655388 WLU655387:WLU655388 WVQ655387:WVQ655388 JE720923:JE720924 TA720923:TA720924 ACW720923:ACW720924 AMS720923:AMS720924 AWO720923:AWO720924 BGK720923:BGK720924 BQG720923:BQG720924 CAC720923:CAC720924 CJY720923:CJY720924 CTU720923:CTU720924 DDQ720923:DDQ720924 DNM720923:DNM720924 DXI720923:DXI720924 EHE720923:EHE720924 ERA720923:ERA720924 FAW720923:FAW720924 FKS720923:FKS720924 FUO720923:FUO720924 GEK720923:GEK720924 GOG720923:GOG720924 GYC720923:GYC720924 HHY720923:HHY720924 HRU720923:HRU720924 IBQ720923:IBQ720924 ILM720923:ILM720924 IVI720923:IVI720924 JFE720923:JFE720924 JPA720923:JPA720924 JYW720923:JYW720924 KIS720923:KIS720924 KSO720923:KSO720924 LCK720923:LCK720924 LMG720923:LMG720924 LWC720923:LWC720924 MFY720923:MFY720924 MPU720923:MPU720924 MZQ720923:MZQ720924 NJM720923:NJM720924 NTI720923:NTI720924 ODE720923:ODE720924 ONA720923:ONA720924 OWW720923:OWW720924 PGS720923:PGS720924 PQO720923:PQO720924 QAK720923:QAK720924 QKG720923:QKG720924 QUC720923:QUC720924 RDY720923:RDY720924 RNU720923:RNU720924 RXQ720923:RXQ720924 SHM720923:SHM720924 SRI720923:SRI720924 TBE720923:TBE720924 TLA720923:TLA720924 TUW720923:TUW720924 UES720923:UES720924 UOO720923:UOO720924 UYK720923:UYK720924 VIG720923:VIG720924 VSC720923:VSC720924 WBY720923:WBY720924 WLU720923:WLU720924 WVQ720923:WVQ720924 JE786459:JE786460 TA786459:TA786460 ACW786459:ACW786460 AMS786459:AMS786460 AWO786459:AWO786460 BGK786459:BGK786460 BQG786459:BQG786460 CAC786459:CAC786460 CJY786459:CJY786460 CTU786459:CTU786460 DDQ786459:DDQ786460 DNM786459:DNM786460 DXI786459:DXI786460 EHE786459:EHE786460 ERA786459:ERA786460 FAW786459:FAW786460 FKS786459:FKS786460 FUO786459:FUO786460 GEK786459:GEK786460 GOG786459:GOG786460 GYC786459:GYC786460 HHY786459:HHY786460 HRU786459:HRU786460 IBQ786459:IBQ786460 ILM786459:ILM786460 IVI786459:IVI786460 JFE786459:JFE786460 JPA786459:JPA786460 JYW786459:JYW786460 KIS786459:KIS786460 KSO786459:KSO786460 LCK786459:LCK786460 LMG786459:LMG786460 LWC786459:LWC786460 MFY786459:MFY786460 MPU786459:MPU786460 MZQ786459:MZQ786460 NJM786459:NJM786460 NTI786459:NTI786460 ODE786459:ODE786460 ONA786459:ONA786460 OWW786459:OWW786460 PGS786459:PGS786460 PQO786459:PQO786460 QAK786459:QAK786460 QKG786459:QKG786460 QUC786459:QUC786460 RDY786459:RDY786460 RNU786459:RNU786460 RXQ786459:RXQ786460 SHM786459:SHM786460 SRI786459:SRI786460 TBE786459:TBE786460 TLA786459:TLA786460 TUW786459:TUW786460 UES786459:UES786460 UOO786459:UOO786460 UYK786459:UYK786460 VIG786459:VIG786460 VSC786459:VSC786460 WBY786459:WBY786460 WLU786459:WLU786460 WVQ786459:WVQ786460 JE851995:JE851996 TA851995:TA851996 ACW851995:ACW851996 AMS851995:AMS851996 AWO851995:AWO851996 BGK851995:BGK851996 BQG851995:BQG851996 CAC851995:CAC851996 CJY851995:CJY851996 CTU851995:CTU851996 DDQ851995:DDQ851996 DNM851995:DNM851996 DXI851995:DXI851996 EHE851995:EHE851996 ERA851995:ERA851996 FAW851995:FAW851996 FKS851995:FKS851996 FUO851995:FUO851996 GEK851995:GEK851996 GOG851995:GOG851996 GYC851995:GYC851996 HHY851995:HHY851996 HRU851995:HRU851996 IBQ851995:IBQ851996 ILM851995:ILM851996 IVI851995:IVI851996 JFE851995:JFE851996 JPA851995:JPA851996 JYW851995:JYW851996 KIS851995:KIS851996 KSO851995:KSO851996 LCK851995:LCK851996 LMG851995:LMG851996 LWC851995:LWC851996 MFY851995:MFY851996 MPU851995:MPU851996 MZQ851995:MZQ851996 NJM851995:NJM851996 NTI851995:NTI851996 ODE851995:ODE851996 ONA851995:ONA851996 OWW851995:OWW851996 PGS851995:PGS851996 PQO851995:PQO851996 QAK851995:QAK851996 QKG851995:QKG851996 QUC851995:QUC851996 RDY851995:RDY851996 RNU851995:RNU851996 RXQ851995:RXQ851996 SHM851995:SHM851996 SRI851995:SRI851996 TBE851995:TBE851996 TLA851995:TLA851996 TUW851995:TUW851996 UES851995:UES851996 UOO851995:UOO851996 UYK851995:UYK851996 VIG851995:VIG851996 VSC851995:VSC851996 WBY851995:WBY851996 WLU851995:WLU851996 WVQ851995:WVQ851996 JE917531:JE917532 TA917531:TA917532 ACW917531:ACW917532 AMS917531:AMS917532 AWO917531:AWO917532 BGK917531:BGK917532 BQG917531:BQG917532 CAC917531:CAC917532 CJY917531:CJY917532 CTU917531:CTU917532 DDQ917531:DDQ917532 DNM917531:DNM917532 DXI917531:DXI917532 EHE917531:EHE917532 ERA917531:ERA917532 FAW917531:FAW917532 FKS917531:FKS917532 FUO917531:FUO917532 GEK917531:GEK917532 GOG917531:GOG917532 GYC917531:GYC917532 HHY917531:HHY917532 HRU917531:HRU917532 IBQ917531:IBQ917532 ILM917531:ILM917532 IVI917531:IVI917532 JFE917531:JFE917532 JPA917531:JPA917532 JYW917531:JYW917532 KIS917531:KIS917532 KSO917531:KSO917532 LCK917531:LCK917532 LMG917531:LMG917532 LWC917531:LWC917532 MFY917531:MFY917532 MPU917531:MPU917532 MZQ917531:MZQ917532 NJM917531:NJM917532 NTI917531:NTI917532 ODE917531:ODE917532 ONA917531:ONA917532 OWW917531:OWW917532 PGS917531:PGS917532 PQO917531:PQO917532 QAK917531:QAK917532 QKG917531:QKG917532 QUC917531:QUC917532 RDY917531:RDY917532 RNU917531:RNU917532 RXQ917531:RXQ917532 SHM917531:SHM917532 SRI917531:SRI917532 TBE917531:TBE917532 TLA917531:TLA917532 TUW917531:TUW917532 UES917531:UES917532 UOO917531:UOO917532 UYK917531:UYK917532 VIG917531:VIG917532 VSC917531:VSC917532 WBY917531:WBY917532 WLU917531:WLU917532 WVQ917531:WVQ917532 JE983067:JE983068 TA983067:TA983068 ACW983067:ACW983068 AMS983067:AMS983068 AWO983067:AWO983068 BGK983067:BGK983068 BQG983067:BQG983068 CAC983067:CAC983068 CJY983067:CJY983068 CTU983067:CTU983068 DDQ983067:DDQ983068 DNM983067:DNM983068 DXI983067:DXI983068 EHE983067:EHE983068 ERA983067:ERA983068 FAW983067:FAW983068 FKS983067:FKS983068 FUO983067:FUO983068 GEK983067:GEK983068 GOG983067:GOG983068 GYC983067:GYC983068 HHY983067:HHY983068 HRU983067:HRU983068 IBQ983067:IBQ983068 ILM983067:ILM983068 IVI983067:IVI983068 JFE983067:JFE983068 JPA983067:JPA983068 JYW983067:JYW983068 KIS983067:KIS983068 KSO983067:KSO983068 LCK983067:LCK983068 LMG983067:LMG983068 LWC983067:LWC983068 MFY983067:MFY983068 MPU983067:MPU983068 MZQ983067:MZQ983068 NJM983067:NJM983068 NTI983067:NTI983068 ODE983067:ODE983068 ONA983067:ONA983068 OWW983067:OWW983068 PGS983067:PGS983068 PQO983067:PQO983068 QAK983067:QAK983068 QKG983067:QKG983068 QUC983067:QUC983068 RDY983067:RDY983068 RNU983067:RNU983068 RXQ983067:RXQ983068 SHM983067:SHM983068 SRI983067:SRI983068 TBE983067:TBE983068 TLA983067:TLA983068 TUW983067:TUW983068 UES983067:UES983068 UOO983067:UOO983068 UYK983067:UYK983068 VIG983067:VIG983068 VSC983067:VSC983068 WBY983067:WBY983068 WLU983067:WLU983068 WVQ983067:WVQ983068 I983065:I983066 I917529:I917530 I851993:I851994 I786457:I786458 I720921:I720922 I655385:I655386 I589849:I589850 I524313:I524314 I458777:I458778 I393241:I393242 I327705:I327706 I262169:I262170 I196633:I196634 I131097:I131098 I65561:I65562 H983063:I983064 H917527:I917528 H851991:I851992 H786455:I786456 H720919:I720920 H655383:I655384 H589847:I589848 H524311:I524312 H458775:I458776 H393239:I393240 H327703:I327704 H262167:I262168 H196631:I196632 H131095:I131096 H65559:I65560 I23:I26 H983061 H917525 H851989 H786453 H720917 H655381 H589845 H524309 H458773 H393237 H327701 H262165 H196629 H131093 H65557 H983066 H917530 H851994 H786458 H720922 H655386 H589850 H524314 H458778 H393242 H327706 H262170 H196634 H131098 H65562 H26">
      <formula1>$N$30:$N$33</formula1>
    </dataValidation>
  </dataValidations>
  <hyperlinks>
    <hyperlink ref="A1" location="'T&amp;V TOC'!A1" display="TOC"/>
  </hyperlinks>
  <pageMargins left="0.25" right="0.25" top="0.75" bottom="0.75" header="0.3" footer="0.3"/>
  <pageSetup scale="47" orientation="portrait" r:id="rId1"/>
  <headerFooter alignWithMargins="0"/>
  <legacyDrawingHF r:id="rId2"/>
</worksheet>
</file>

<file path=xl/worksheets/sheet29.xml><?xml version="1.0" encoding="utf-8"?>
<worksheet xmlns="http://schemas.openxmlformats.org/spreadsheetml/2006/main" xmlns:r="http://schemas.openxmlformats.org/officeDocument/2006/relationships">
  <sheetPr>
    <tabColor theme="3" tint="0.59999389629810485"/>
  </sheetPr>
  <dimension ref="A1:BR84"/>
  <sheetViews>
    <sheetView showGridLines="0" view="pageBreakPreview" zoomScaleNormal="100" zoomScaleSheetLayoutView="100" workbookViewId="0"/>
  </sheetViews>
  <sheetFormatPr defaultRowHeight="12"/>
  <cols>
    <col min="1" max="1" width="5.140625" style="1121" customWidth="1"/>
    <col min="2" max="2" width="11.5703125" style="1119" customWidth="1"/>
    <col min="3" max="3" width="29.5703125" style="1119" customWidth="1"/>
    <col min="4" max="4" width="20.28515625" style="1119" customWidth="1"/>
    <col min="5" max="5" width="12.42578125" style="1119" customWidth="1"/>
    <col min="6" max="6" width="16" style="1119" customWidth="1"/>
    <col min="7" max="7" width="12.5703125" style="1119" customWidth="1"/>
    <col min="8" max="8" width="8" style="1119" customWidth="1"/>
    <col min="9" max="9" width="10.140625" style="1119" customWidth="1"/>
    <col min="10" max="10" width="11.28515625" style="1119" customWidth="1"/>
    <col min="11" max="11" width="10.28515625" style="1119" customWidth="1"/>
    <col min="12" max="12" width="14.5703125" style="1119" customWidth="1"/>
    <col min="13" max="13" width="4.85546875" style="1119" customWidth="1"/>
    <col min="14" max="14" width="31.7109375" style="1119" customWidth="1"/>
    <col min="15" max="16" width="9.140625" style="1121"/>
    <col min="17" max="17" width="9.140625" style="1121" customWidth="1"/>
    <col min="18" max="18" width="9.140625" style="1121" hidden="1" customWidth="1"/>
    <col min="19" max="254" width="9.140625" style="1121"/>
    <col min="255" max="255" width="16.85546875" style="1121" customWidth="1"/>
    <col min="256" max="256" width="20" style="1121" customWidth="1"/>
    <col min="257" max="257" width="29.5703125" style="1121" customWidth="1"/>
    <col min="258" max="258" width="20.28515625" style="1121" customWidth="1"/>
    <col min="259" max="259" width="12.42578125" style="1121" customWidth="1"/>
    <col min="260" max="260" width="8.5703125" style="1121" customWidth="1"/>
    <col min="261" max="261" width="9" style="1121" customWidth="1"/>
    <col min="262" max="262" width="12.85546875" style="1121" customWidth="1"/>
    <col min="263" max="263" width="11" style="1121" customWidth="1"/>
    <col min="264" max="264" width="14.5703125" style="1121" customWidth="1"/>
    <col min="265" max="265" width="7.7109375" style="1121" customWidth="1"/>
    <col min="266" max="266" width="11.42578125" style="1121" customWidth="1"/>
    <col min="267" max="267" width="12.28515625" style="1121" customWidth="1"/>
    <col min="268" max="268" width="5.7109375" style="1121" customWidth="1"/>
    <col min="269" max="269" width="7.28515625" style="1121" customWidth="1"/>
    <col min="270" max="270" width="33" style="1121" customWidth="1"/>
    <col min="271" max="272" width="9.140625" style="1121"/>
    <col min="273" max="273" width="9.140625" style="1121" customWidth="1"/>
    <col min="274" max="274" width="0" style="1121" hidden="1" customWidth="1"/>
    <col min="275" max="510" width="9.140625" style="1121"/>
    <col min="511" max="511" width="16.85546875" style="1121" customWidth="1"/>
    <col min="512" max="512" width="20" style="1121" customWidth="1"/>
    <col min="513" max="513" width="29.5703125" style="1121" customWidth="1"/>
    <col min="514" max="514" width="20.28515625" style="1121" customWidth="1"/>
    <col min="515" max="515" width="12.42578125" style="1121" customWidth="1"/>
    <col min="516" max="516" width="8.5703125" style="1121" customWidth="1"/>
    <col min="517" max="517" width="9" style="1121" customWidth="1"/>
    <col min="518" max="518" width="12.85546875" style="1121" customWidth="1"/>
    <col min="519" max="519" width="11" style="1121" customWidth="1"/>
    <col min="520" max="520" width="14.5703125" style="1121" customWidth="1"/>
    <col min="521" max="521" width="7.7109375" style="1121" customWidth="1"/>
    <col min="522" max="522" width="11.42578125" style="1121" customWidth="1"/>
    <col min="523" max="523" width="12.28515625" style="1121" customWidth="1"/>
    <col min="524" max="524" width="5.7109375" style="1121" customWidth="1"/>
    <col min="525" max="525" width="7.28515625" style="1121" customWidth="1"/>
    <col min="526" max="526" width="33" style="1121" customWidth="1"/>
    <col min="527" max="528" width="9.140625" style="1121"/>
    <col min="529" max="529" width="9.140625" style="1121" customWidth="1"/>
    <col min="530" max="530" width="0" style="1121" hidden="1" customWidth="1"/>
    <col min="531" max="766" width="9.140625" style="1121"/>
    <col min="767" max="767" width="16.85546875" style="1121" customWidth="1"/>
    <col min="768" max="768" width="20" style="1121" customWidth="1"/>
    <col min="769" max="769" width="29.5703125" style="1121" customWidth="1"/>
    <col min="770" max="770" width="20.28515625" style="1121" customWidth="1"/>
    <col min="771" max="771" width="12.42578125" style="1121" customWidth="1"/>
    <col min="772" max="772" width="8.5703125" style="1121" customWidth="1"/>
    <col min="773" max="773" width="9" style="1121" customWidth="1"/>
    <col min="774" max="774" width="12.85546875" style="1121" customWidth="1"/>
    <col min="775" max="775" width="11" style="1121" customWidth="1"/>
    <col min="776" max="776" width="14.5703125" style="1121" customWidth="1"/>
    <col min="777" max="777" width="7.7109375" style="1121" customWidth="1"/>
    <col min="778" max="778" width="11.42578125" style="1121" customWidth="1"/>
    <col min="779" max="779" width="12.28515625" style="1121" customWidth="1"/>
    <col min="780" max="780" width="5.7109375" style="1121" customWidth="1"/>
    <col min="781" max="781" width="7.28515625" style="1121" customWidth="1"/>
    <col min="782" max="782" width="33" style="1121" customWidth="1"/>
    <col min="783" max="784" width="9.140625" style="1121"/>
    <col min="785" max="785" width="9.140625" style="1121" customWidth="1"/>
    <col min="786" max="786" width="0" style="1121" hidden="1" customWidth="1"/>
    <col min="787" max="1022" width="9.140625" style="1121"/>
    <col min="1023" max="1023" width="16.85546875" style="1121" customWidth="1"/>
    <col min="1024" max="1024" width="20" style="1121" customWidth="1"/>
    <col min="1025" max="1025" width="29.5703125" style="1121" customWidth="1"/>
    <col min="1026" max="1026" width="20.28515625" style="1121" customWidth="1"/>
    <col min="1027" max="1027" width="12.42578125" style="1121" customWidth="1"/>
    <col min="1028" max="1028" width="8.5703125" style="1121" customWidth="1"/>
    <col min="1029" max="1029" width="9" style="1121" customWidth="1"/>
    <col min="1030" max="1030" width="12.85546875" style="1121" customWidth="1"/>
    <col min="1031" max="1031" width="11" style="1121" customWidth="1"/>
    <col min="1032" max="1032" width="14.5703125" style="1121" customWidth="1"/>
    <col min="1033" max="1033" width="7.7109375" style="1121" customWidth="1"/>
    <col min="1034" max="1034" width="11.42578125" style="1121" customWidth="1"/>
    <col min="1035" max="1035" width="12.28515625" style="1121" customWidth="1"/>
    <col min="1036" max="1036" width="5.7109375" style="1121" customWidth="1"/>
    <col min="1037" max="1037" width="7.28515625" style="1121" customWidth="1"/>
    <col min="1038" max="1038" width="33" style="1121" customWidth="1"/>
    <col min="1039" max="1040" width="9.140625" style="1121"/>
    <col min="1041" max="1041" width="9.140625" style="1121" customWidth="1"/>
    <col min="1042" max="1042" width="0" style="1121" hidden="1" customWidth="1"/>
    <col min="1043" max="1278" width="9.140625" style="1121"/>
    <col min="1279" max="1279" width="16.85546875" style="1121" customWidth="1"/>
    <col min="1280" max="1280" width="20" style="1121" customWidth="1"/>
    <col min="1281" max="1281" width="29.5703125" style="1121" customWidth="1"/>
    <col min="1282" max="1282" width="20.28515625" style="1121" customWidth="1"/>
    <col min="1283" max="1283" width="12.42578125" style="1121" customWidth="1"/>
    <col min="1284" max="1284" width="8.5703125" style="1121" customWidth="1"/>
    <col min="1285" max="1285" width="9" style="1121" customWidth="1"/>
    <col min="1286" max="1286" width="12.85546875" style="1121" customWidth="1"/>
    <col min="1287" max="1287" width="11" style="1121" customWidth="1"/>
    <col min="1288" max="1288" width="14.5703125" style="1121" customWidth="1"/>
    <col min="1289" max="1289" width="7.7109375" style="1121" customWidth="1"/>
    <col min="1290" max="1290" width="11.42578125" style="1121" customWidth="1"/>
    <col min="1291" max="1291" width="12.28515625" style="1121" customWidth="1"/>
    <col min="1292" max="1292" width="5.7109375" style="1121" customWidth="1"/>
    <col min="1293" max="1293" width="7.28515625" style="1121" customWidth="1"/>
    <col min="1294" max="1294" width="33" style="1121" customWidth="1"/>
    <col min="1295" max="1296" width="9.140625" style="1121"/>
    <col min="1297" max="1297" width="9.140625" style="1121" customWidth="1"/>
    <col min="1298" max="1298" width="0" style="1121" hidden="1" customWidth="1"/>
    <col min="1299" max="1534" width="9.140625" style="1121"/>
    <col min="1535" max="1535" width="16.85546875" style="1121" customWidth="1"/>
    <col min="1536" max="1536" width="20" style="1121" customWidth="1"/>
    <col min="1537" max="1537" width="29.5703125" style="1121" customWidth="1"/>
    <col min="1538" max="1538" width="20.28515625" style="1121" customWidth="1"/>
    <col min="1539" max="1539" width="12.42578125" style="1121" customWidth="1"/>
    <col min="1540" max="1540" width="8.5703125" style="1121" customWidth="1"/>
    <col min="1541" max="1541" width="9" style="1121" customWidth="1"/>
    <col min="1542" max="1542" width="12.85546875" style="1121" customWidth="1"/>
    <col min="1543" max="1543" width="11" style="1121" customWidth="1"/>
    <col min="1544" max="1544" width="14.5703125" style="1121" customWidth="1"/>
    <col min="1545" max="1545" width="7.7109375" style="1121" customWidth="1"/>
    <col min="1546" max="1546" width="11.42578125" style="1121" customWidth="1"/>
    <col min="1547" max="1547" width="12.28515625" style="1121" customWidth="1"/>
    <col min="1548" max="1548" width="5.7109375" style="1121" customWidth="1"/>
    <col min="1549" max="1549" width="7.28515625" style="1121" customWidth="1"/>
    <col min="1550" max="1550" width="33" style="1121" customWidth="1"/>
    <col min="1551" max="1552" width="9.140625" style="1121"/>
    <col min="1553" max="1553" width="9.140625" style="1121" customWidth="1"/>
    <col min="1554" max="1554" width="0" style="1121" hidden="1" customWidth="1"/>
    <col min="1555" max="1790" width="9.140625" style="1121"/>
    <col min="1791" max="1791" width="16.85546875" style="1121" customWidth="1"/>
    <col min="1792" max="1792" width="20" style="1121" customWidth="1"/>
    <col min="1793" max="1793" width="29.5703125" style="1121" customWidth="1"/>
    <col min="1794" max="1794" width="20.28515625" style="1121" customWidth="1"/>
    <col min="1795" max="1795" width="12.42578125" style="1121" customWidth="1"/>
    <col min="1796" max="1796" width="8.5703125" style="1121" customWidth="1"/>
    <col min="1797" max="1797" width="9" style="1121" customWidth="1"/>
    <col min="1798" max="1798" width="12.85546875" style="1121" customWidth="1"/>
    <col min="1799" max="1799" width="11" style="1121" customWidth="1"/>
    <col min="1800" max="1800" width="14.5703125" style="1121" customWidth="1"/>
    <col min="1801" max="1801" width="7.7109375" style="1121" customWidth="1"/>
    <col min="1802" max="1802" width="11.42578125" style="1121" customWidth="1"/>
    <col min="1803" max="1803" width="12.28515625" style="1121" customWidth="1"/>
    <col min="1804" max="1804" width="5.7109375" style="1121" customWidth="1"/>
    <col min="1805" max="1805" width="7.28515625" style="1121" customWidth="1"/>
    <col min="1806" max="1806" width="33" style="1121" customWidth="1"/>
    <col min="1807" max="1808" width="9.140625" style="1121"/>
    <col min="1809" max="1809" width="9.140625" style="1121" customWidth="1"/>
    <col min="1810" max="1810" width="0" style="1121" hidden="1" customWidth="1"/>
    <col min="1811" max="2046" width="9.140625" style="1121"/>
    <col min="2047" max="2047" width="16.85546875" style="1121" customWidth="1"/>
    <col min="2048" max="2048" width="20" style="1121" customWidth="1"/>
    <col min="2049" max="2049" width="29.5703125" style="1121" customWidth="1"/>
    <col min="2050" max="2050" width="20.28515625" style="1121" customWidth="1"/>
    <col min="2051" max="2051" width="12.42578125" style="1121" customWidth="1"/>
    <col min="2052" max="2052" width="8.5703125" style="1121" customWidth="1"/>
    <col min="2053" max="2053" width="9" style="1121" customWidth="1"/>
    <col min="2054" max="2054" width="12.85546875" style="1121" customWidth="1"/>
    <col min="2055" max="2055" width="11" style="1121" customWidth="1"/>
    <col min="2056" max="2056" width="14.5703125" style="1121" customWidth="1"/>
    <col min="2057" max="2057" width="7.7109375" style="1121" customWidth="1"/>
    <col min="2058" max="2058" width="11.42578125" style="1121" customWidth="1"/>
    <col min="2059" max="2059" width="12.28515625" style="1121" customWidth="1"/>
    <col min="2060" max="2060" width="5.7109375" style="1121" customWidth="1"/>
    <col min="2061" max="2061" width="7.28515625" style="1121" customWidth="1"/>
    <col min="2062" max="2062" width="33" style="1121" customWidth="1"/>
    <col min="2063" max="2064" width="9.140625" style="1121"/>
    <col min="2065" max="2065" width="9.140625" style="1121" customWidth="1"/>
    <col min="2066" max="2066" width="0" style="1121" hidden="1" customWidth="1"/>
    <col min="2067" max="2302" width="9.140625" style="1121"/>
    <col min="2303" max="2303" width="16.85546875" style="1121" customWidth="1"/>
    <col min="2304" max="2304" width="20" style="1121" customWidth="1"/>
    <col min="2305" max="2305" width="29.5703125" style="1121" customWidth="1"/>
    <col min="2306" max="2306" width="20.28515625" style="1121" customWidth="1"/>
    <col min="2307" max="2307" width="12.42578125" style="1121" customWidth="1"/>
    <col min="2308" max="2308" width="8.5703125" style="1121" customWidth="1"/>
    <col min="2309" max="2309" width="9" style="1121" customWidth="1"/>
    <col min="2310" max="2310" width="12.85546875" style="1121" customWidth="1"/>
    <col min="2311" max="2311" width="11" style="1121" customWidth="1"/>
    <col min="2312" max="2312" width="14.5703125" style="1121" customWidth="1"/>
    <col min="2313" max="2313" width="7.7109375" style="1121" customWidth="1"/>
    <col min="2314" max="2314" width="11.42578125" style="1121" customWidth="1"/>
    <col min="2315" max="2315" width="12.28515625" style="1121" customWidth="1"/>
    <col min="2316" max="2316" width="5.7109375" style="1121" customWidth="1"/>
    <col min="2317" max="2317" width="7.28515625" style="1121" customWidth="1"/>
    <col min="2318" max="2318" width="33" style="1121" customWidth="1"/>
    <col min="2319" max="2320" width="9.140625" style="1121"/>
    <col min="2321" max="2321" width="9.140625" style="1121" customWidth="1"/>
    <col min="2322" max="2322" width="0" style="1121" hidden="1" customWidth="1"/>
    <col min="2323" max="2558" width="9.140625" style="1121"/>
    <col min="2559" max="2559" width="16.85546875" style="1121" customWidth="1"/>
    <col min="2560" max="2560" width="20" style="1121" customWidth="1"/>
    <col min="2561" max="2561" width="29.5703125" style="1121" customWidth="1"/>
    <col min="2562" max="2562" width="20.28515625" style="1121" customWidth="1"/>
    <col min="2563" max="2563" width="12.42578125" style="1121" customWidth="1"/>
    <col min="2564" max="2564" width="8.5703125" style="1121" customWidth="1"/>
    <col min="2565" max="2565" width="9" style="1121" customWidth="1"/>
    <col min="2566" max="2566" width="12.85546875" style="1121" customWidth="1"/>
    <col min="2567" max="2567" width="11" style="1121" customWidth="1"/>
    <col min="2568" max="2568" width="14.5703125" style="1121" customWidth="1"/>
    <col min="2569" max="2569" width="7.7109375" style="1121" customWidth="1"/>
    <col min="2570" max="2570" width="11.42578125" style="1121" customWidth="1"/>
    <col min="2571" max="2571" width="12.28515625" style="1121" customWidth="1"/>
    <col min="2572" max="2572" width="5.7109375" style="1121" customWidth="1"/>
    <col min="2573" max="2573" width="7.28515625" style="1121" customWidth="1"/>
    <col min="2574" max="2574" width="33" style="1121" customWidth="1"/>
    <col min="2575" max="2576" width="9.140625" style="1121"/>
    <col min="2577" max="2577" width="9.140625" style="1121" customWidth="1"/>
    <col min="2578" max="2578" width="0" style="1121" hidden="1" customWidth="1"/>
    <col min="2579" max="2814" width="9.140625" style="1121"/>
    <col min="2815" max="2815" width="16.85546875" style="1121" customWidth="1"/>
    <col min="2816" max="2816" width="20" style="1121" customWidth="1"/>
    <col min="2817" max="2817" width="29.5703125" style="1121" customWidth="1"/>
    <col min="2818" max="2818" width="20.28515625" style="1121" customWidth="1"/>
    <col min="2819" max="2819" width="12.42578125" style="1121" customWidth="1"/>
    <col min="2820" max="2820" width="8.5703125" style="1121" customWidth="1"/>
    <col min="2821" max="2821" width="9" style="1121" customWidth="1"/>
    <col min="2822" max="2822" width="12.85546875" style="1121" customWidth="1"/>
    <col min="2823" max="2823" width="11" style="1121" customWidth="1"/>
    <col min="2824" max="2824" width="14.5703125" style="1121" customWidth="1"/>
    <col min="2825" max="2825" width="7.7109375" style="1121" customWidth="1"/>
    <col min="2826" max="2826" width="11.42578125" style="1121" customWidth="1"/>
    <col min="2827" max="2827" width="12.28515625" style="1121" customWidth="1"/>
    <col min="2828" max="2828" width="5.7109375" style="1121" customWidth="1"/>
    <col min="2829" max="2829" width="7.28515625" style="1121" customWidth="1"/>
    <col min="2830" max="2830" width="33" style="1121" customWidth="1"/>
    <col min="2831" max="2832" width="9.140625" style="1121"/>
    <col min="2833" max="2833" width="9.140625" style="1121" customWidth="1"/>
    <col min="2834" max="2834" width="0" style="1121" hidden="1" customWidth="1"/>
    <col min="2835" max="3070" width="9.140625" style="1121"/>
    <col min="3071" max="3071" width="16.85546875" style="1121" customWidth="1"/>
    <col min="3072" max="3072" width="20" style="1121" customWidth="1"/>
    <col min="3073" max="3073" width="29.5703125" style="1121" customWidth="1"/>
    <col min="3074" max="3074" width="20.28515625" style="1121" customWidth="1"/>
    <col min="3075" max="3075" width="12.42578125" style="1121" customWidth="1"/>
    <col min="3076" max="3076" width="8.5703125" style="1121" customWidth="1"/>
    <col min="3077" max="3077" width="9" style="1121" customWidth="1"/>
    <col min="3078" max="3078" width="12.85546875" style="1121" customWidth="1"/>
    <col min="3079" max="3079" width="11" style="1121" customWidth="1"/>
    <col min="3080" max="3080" width="14.5703125" style="1121" customWidth="1"/>
    <col min="3081" max="3081" width="7.7109375" style="1121" customWidth="1"/>
    <col min="3082" max="3082" width="11.42578125" style="1121" customWidth="1"/>
    <col min="3083" max="3083" width="12.28515625" style="1121" customWidth="1"/>
    <col min="3084" max="3084" width="5.7109375" style="1121" customWidth="1"/>
    <col min="3085" max="3085" width="7.28515625" style="1121" customWidth="1"/>
    <col min="3086" max="3086" width="33" style="1121" customWidth="1"/>
    <col min="3087" max="3088" width="9.140625" style="1121"/>
    <col min="3089" max="3089" width="9.140625" style="1121" customWidth="1"/>
    <col min="3090" max="3090" width="0" style="1121" hidden="1" customWidth="1"/>
    <col min="3091" max="3326" width="9.140625" style="1121"/>
    <col min="3327" max="3327" width="16.85546875" style="1121" customWidth="1"/>
    <col min="3328" max="3328" width="20" style="1121" customWidth="1"/>
    <col min="3329" max="3329" width="29.5703125" style="1121" customWidth="1"/>
    <col min="3330" max="3330" width="20.28515625" style="1121" customWidth="1"/>
    <col min="3331" max="3331" width="12.42578125" style="1121" customWidth="1"/>
    <col min="3332" max="3332" width="8.5703125" style="1121" customWidth="1"/>
    <col min="3333" max="3333" width="9" style="1121" customWidth="1"/>
    <col min="3334" max="3334" width="12.85546875" style="1121" customWidth="1"/>
    <col min="3335" max="3335" width="11" style="1121" customWidth="1"/>
    <col min="3336" max="3336" width="14.5703125" style="1121" customWidth="1"/>
    <col min="3337" max="3337" width="7.7109375" style="1121" customWidth="1"/>
    <col min="3338" max="3338" width="11.42578125" style="1121" customWidth="1"/>
    <col min="3339" max="3339" width="12.28515625" style="1121" customWidth="1"/>
    <col min="3340" max="3340" width="5.7109375" style="1121" customWidth="1"/>
    <col min="3341" max="3341" width="7.28515625" style="1121" customWidth="1"/>
    <col min="3342" max="3342" width="33" style="1121" customWidth="1"/>
    <col min="3343" max="3344" width="9.140625" style="1121"/>
    <col min="3345" max="3345" width="9.140625" style="1121" customWidth="1"/>
    <col min="3346" max="3346" width="0" style="1121" hidden="1" customWidth="1"/>
    <col min="3347" max="3582" width="9.140625" style="1121"/>
    <col min="3583" max="3583" width="16.85546875" style="1121" customWidth="1"/>
    <col min="3584" max="3584" width="20" style="1121" customWidth="1"/>
    <col min="3585" max="3585" width="29.5703125" style="1121" customWidth="1"/>
    <col min="3586" max="3586" width="20.28515625" style="1121" customWidth="1"/>
    <col min="3587" max="3587" width="12.42578125" style="1121" customWidth="1"/>
    <col min="3588" max="3588" width="8.5703125" style="1121" customWidth="1"/>
    <col min="3589" max="3589" width="9" style="1121" customWidth="1"/>
    <col min="3590" max="3590" width="12.85546875" style="1121" customWidth="1"/>
    <col min="3591" max="3591" width="11" style="1121" customWidth="1"/>
    <col min="3592" max="3592" width="14.5703125" style="1121" customWidth="1"/>
    <col min="3593" max="3593" width="7.7109375" style="1121" customWidth="1"/>
    <col min="3594" max="3594" width="11.42578125" style="1121" customWidth="1"/>
    <col min="3595" max="3595" width="12.28515625" style="1121" customWidth="1"/>
    <col min="3596" max="3596" width="5.7109375" style="1121" customWidth="1"/>
    <col min="3597" max="3597" width="7.28515625" style="1121" customWidth="1"/>
    <col min="3598" max="3598" width="33" style="1121" customWidth="1"/>
    <col min="3599" max="3600" width="9.140625" style="1121"/>
    <col min="3601" max="3601" width="9.140625" style="1121" customWidth="1"/>
    <col min="3602" max="3602" width="0" style="1121" hidden="1" customWidth="1"/>
    <col min="3603" max="3838" width="9.140625" style="1121"/>
    <col min="3839" max="3839" width="16.85546875" style="1121" customWidth="1"/>
    <col min="3840" max="3840" width="20" style="1121" customWidth="1"/>
    <col min="3841" max="3841" width="29.5703125" style="1121" customWidth="1"/>
    <col min="3842" max="3842" width="20.28515625" style="1121" customWidth="1"/>
    <col min="3843" max="3843" width="12.42578125" style="1121" customWidth="1"/>
    <col min="3844" max="3844" width="8.5703125" style="1121" customWidth="1"/>
    <col min="3845" max="3845" width="9" style="1121" customWidth="1"/>
    <col min="3846" max="3846" width="12.85546875" style="1121" customWidth="1"/>
    <col min="3847" max="3847" width="11" style="1121" customWidth="1"/>
    <col min="3848" max="3848" width="14.5703125" style="1121" customWidth="1"/>
    <col min="3849" max="3849" width="7.7109375" style="1121" customWidth="1"/>
    <col min="3850" max="3850" width="11.42578125" style="1121" customWidth="1"/>
    <col min="3851" max="3851" width="12.28515625" style="1121" customWidth="1"/>
    <col min="3852" max="3852" width="5.7109375" style="1121" customWidth="1"/>
    <col min="3853" max="3853" width="7.28515625" style="1121" customWidth="1"/>
    <col min="3854" max="3854" width="33" style="1121" customWidth="1"/>
    <col min="3855" max="3856" width="9.140625" style="1121"/>
    <col min="3857" max="3857" width="9.140625" style="1121" customWidth="1"/>
    <col min="3858" max="3858" width="0" style="1121" hidden="1" customWidth="1"/>
    <col min="3859" max="4094" width="9.140625" style="1121"/>
    <col min="4095" max="4095" width="16.85546875" style="1121" customWidth="1"/>
    <col min="4096" max="4096" width="20" style="1121" customWidth="1"/>
    <col min="4097" max="4097" width="29.5703125" style="1121" customWidth="1"/>
    <col min="4098" max="4098" width="20.28515625" style="1121" customWidth="1"/>
    <col min="4099" max="4099" width="12.42578125" style="1121" customWidth="1"/>
    <col min="4100" max="4100" width="8.5703125" style="1121" customWidth="1"/>
    <col min="4101" max="4101" width="9" style="1121" customWidth="1"/>
    <col min="4102" max="4102" width="12.85546875" style="1121" customWidth="1"/>
    <col min="4103" max="4103" width="11" style="1121" customWidth="1"/>
    <col min="4104" max="4104" width="14.5703125" style="1121" customWidth="1"/>
    <col min="4105" max="4105" width="7.7109375" style="1121" customWidth="1"/>
    <col min="4106" max="4106" width="11.42578125" style="1121" customWidth="1"/>
    <col min="4107" max="4107" width="12.28515625" style="1121" customWidth="1"/>
    <col min="4108" max="4108" width="5.7109375" style="1121" customWidth="1"/>
    <col min="4109" max="4109" width="7.28515625" style="1121" customWidth="1"/>
    <col min="4110" max="4110" width="33" style="1121" customWidth="1"/>
    <col min="4111" max="4112" width="9.140625" style="1121"/>
    <col min="4113" max="4113" width="9.140625" style="1121" customWidth="1"/>
    <col min="4114" max="4114" width="0" style="1121" hidden="1" customWidth="1"/>
    <col min="4115" max="4350" width="9.140625" style="1121"/>
    <col min="4351" max="4351" width="16.85546875" style="1121" customWidth="1"/>
    <col min="4352" max="4352" width="20" style="1121" customWidth="1"/>
    <col min="4353" max="4353" width="29.5703125" style="1121" customWidth="1"/>
    <col min="4354" max="4354" width="20.28515625" style="1121" customWidth="1"/>
    <col min="4355" max="4355" width="12.42578125" style="1121" customWidth="1"/>
    <col min="4356" max="4356" width="8.5703125" style="1121" customWidth="1"/>
    <col min="4357" max="4357" width="9" style="1121" customWidth="1"/>
    <col min="4358" max="4358" width="12.85546875" style="1121" customWidth="1"/>
    <col min="4359" max="4359" width="11" style="1121" customWidth="1"/>
    <col min="4360" max="4360" width="14.5703125" style="1121" customWidth="1"/>
    <col min="4361" max="4361" width="7.7109375" style="1121" customWidth="1"/>
    <col min="4362" max="4362" width="11.42578125" style="1121" customWidth="1"/>
    <col min="4363" max="4363" width="12.28515625" style="1121" customWidth="1"/>
    <col min="4364" max="4364" width="5.7109375" style="1121" customWidth="1"/>
    <col min="4365" max="4365" width="7.28515625" style="1121" customWidth="1"/>
    <col min="4366" max="4366" width="33" style="1121" customWidth="1"/>
    <col min="4367" max="4368" width="9.140625" style="1121"/>
    <col min="4369" max="4369" width="9.140625" style="1121" customWidth="1"/>
    <col min="4370" max="4370" width="0" style="1121" hidden="1" customWidth="1"/>
    <col min="4371" max="4606" width="9.140625" style="1121"/>
    <col min="4607" max="4607" width="16.85546875" style="1121" customWidth="1"/>
    <col min="4608" max="4608" width="20" style="1121" customWidth="1"/>
    <col min="4609" max="4609" width="29.5703125" style="1121" customWidth="1"/>
    <col min="4610" max="4610" width="20.28515625" style="1121" customWidth="1"/>
    <col min="4611" max="4611" width="12.42578125" style="1121" customWidth="1"/>
    <col min="4612" max="4612" width="8.5703125" style="1121" customWidth="1"/>
    <col min="4613" max="4613" width="9" style="1121" customWidth="1"/>
    <col min="4614" max="4614" width="12.85546875" style="1121" customWidth="1"/>
    <col min="4615" max="4615" width="11" style="1121" customWidth="1"/>
    <col min="4616" max="4616" width="14.5703125" style="1121" customWidth="1"/>
    <col min="4617" max="4617" width="7.7109375" style="1121" customWidth="1"/>
    <col min="4618" max="4618" width="11.42578125" style="1121" customWidth="1"/>
    <col min="4619" max="4619" width="12.28515625" style="1121" customWidth="1"/>
    <col min="4620" max="4620" width="5.7109375" style="1121" customWidth="1"/>
    <col min="4621" max="4621" width="7.28515625" style="1121" customWidth="1"/>
    <col min="4622" max="4622" width="33" style="1121" customWidth="1"/>
    <col min="4623" max="4624" width="9.140625" style="1121"/>
    <col min="4625" max="4625" width="9.140625" style="1121" customWidth="1"/>
    <col min="4626" max="4626" width="0" style="1121" hidden="1" customWidth="1"/>
    <col min="4627" max="4862" width="9.140625" style="1121"/>
    <col min="4863" max="4863" width="16.85546875" style="1121" customWidth="1"/>
    <col min="4864" max="4864" width="20" style="1121" customWidth="1"/>
    <col min="4865" max="4865" width="29.5703125" style="1121" customWidth="1"/>
    <col min="4866" max="4866" width="20.28515625" style="1121" customWidth="1"/>
    <col min="4867" max="4867" width="12.42578125" style="1121" customWidth="1"/>
    <col min="4868" max="4868" width="8.5703125" style="1121" customWidth="1"/>
    <col min="4869" max="4869" width="9" style="1121" customWidth="1"/>
    <col min="4870" max="4870" width="12.85546875" style="1121" customWidth="1"/>
    <col min="4871" max="4871" width="11" style="1121" customWidth="1"/>
    <col min="4872" max="4872" width="14.5703125" style="1121" customWidth="1"/>
    <col min="4873" max="4873" width="7.7109375" style="1121" customWidth="1"/>
    <col min="4874" max="4874" width="11.42578125" style="1121" customWidth="1"/>
    <col min="4875" max="4875" width="12.28515625" style="1121" customWidth="1"/>
    <col min="4876" max="4876" width="5.7109375" style="1121" customWidth="1"/>
    <col min="4877" max="4877" width="7.28515625" style="1121" customWidth="1"/>
    <col min="4878" max="4878" width="33" style="1121" customWidth="1"/>
    <col min="4879" max="4880" width="9.140625" style="1121"/>
    <col min="4881" max="4881" width="9.140625" style="1121" customWidth="1"/>
    <col min="4882" max="4882" width="0" style="1121" hidden="1" customWidth="1"/>
    <col min="4883" max="5118" width="9.140625" style="1121"/>
    <col min="5119" max="5119" width="16.85546875" style="1121" customWidth="1"/>
    <col min="5120" max="5120" width="20" style="1121" customWidth="1"/>
    <col min="5121" max="5121" width="29.5703125" style="1121" customWidth="1"/>
    <col min="5122" max="5122" width="20.28515625" style="1121" customWidth="1"/>
    <col min="5123" max="5123" width="12.42578125" style="1121" customWidth="1"/>
    <col min="5124" max="5124" width="8.5703125" style="1121" customWidth="1"/>
    <col min="5125" max="5125" width="9" style="1121" customWidth="1"/>
    <col min="5126" max="5126" width="12.85546875" style="1121" customWidth="1"/>
    <col min="5127" max="5127" width="11" style="1121" customWidth="1"/>
    <col min="5128" max="5128" width="14.5703125" style="1121" customWidth="1"/>
    <col min="5129" max="5129" width="7.7109375" style="1121" customWidth="1"/>
    <col min="5130" max="5130" width="11.42578125" style="1121" customWidth="1"/>
    <col min="5131" max="5131" width="12.28515625" style="1121" customWidth="1"/>
    <col min="5132" max="5132" width="5.7109375" style="1121" customWidth="1"/>
    <col min="5133" max="5133" width="7.28515625" style="1121" customWidth="1"/>
    <col min="5134" max="5134" width="33" style="1121" customWidth="1"/>
    <col min="5135" max="5136" width="9.140625" style="1121"/>
    <col min="5137" max="5137" width="9.140625" style="1121" customWidth="1"/>
    <col min="5138" max="5138" width="0" style="1121" hidden="1" customWidth="1"/>
    <col min="5139" max="5374" width="9.140625" style="1121"/>
    <col min="5375" max="5375" width="16.85546875" style="1121" customWidth="1"/>
    <col min="5376" max="5376" width="20" style="1121" customWidth="1"/>
    <col min="5377" max="5377" width="29.5703125" style="1121" customWidth="1"/>
    <col min="5378" max="5378" width="20.28515625" style="1121" customWidth="1"/>
    <col min="5379" max="5379" width="12.42578125" style="1121" customWidth="1"/>
    <col min="5380" max="5380" width="8.5703125" style="1121" customWidth="1"/>
    <col min="5381" max="5381" width="9" style="1121" customWidth="1"/>
    <col min="5382" max="5382" width="12.85546875" style="1121" customWidth="1"/>
    <col min="5383" max="5383" width="11" style="1121" customWidth="1"/>
    <col min="5384" max="5384" width="14.5703125" style="1121" customWidth="1"/>
    <col min="5385" max="5385" width="7.7109375" style="1121" customWidth="1"/>
    <col min="5386" max="5386" width="11.42578125" style="1121" customWidth="1"/>
    <col min="5387" max="5387" width="12.28515625" style="1121" customWidth="1"/>
    <col min="5388" max="5388" width="5.7109375" style="1121" customWidth="1"/>
    <col min="5389" max="5389" width="7.28515625" style="1121" customWidth="1"/>
    <col min="5390" max="5390" width="33" style="1121" customWidth="1"/>
    <col min="5391" max="5392" width="9.140625" style="1121"/>
    <col min="5393" max="5393" width="9.140625" style="1121" customWidth="1"/>
    <col min="5394" max="5394" width="0" style="1121" hidden="1" customWidth="1"/>
    <col min="5395" max="5630" width="9.140625" style="1121"/>
    <col min="5631" max="5631" width="16.85546875" style="1121" customWidth="1"/>
    <col min="5632" max="5632" width="20" style="1121" customWidth="1"/>
    <col min="5633" max="5633" width="29.5703125" style="1121" customWidth="1"/>
    <col min="5634" max="5634" width="20.28515625" style="1121" customWidth="1"/>
    <col min="5635" max="5635" width="12.42578125" style="1121" customWidth="1"/>
    <col min="5636" max="5636" width="8.5703125" style="1121" customWidth="1"/>
    <col min="5637" max="5637" width="9" style="1121" customWidth="1"/>
    <col min="5638" max="5638" width="12.85546875" style="1121" customWidth="1"/>
    <col min="5639" max="5639" width="11" style="1121" customWidth="1"/>
    <col min="5640" max="5640" width="14.5703125" style="1121" customWidth="1"/>
    <col min="5641" max="5641" width="7.7109375" style="1121" customWidth="1"/>
    <col min="5642" max="5642" width="11.42578125" style="1121" customWidth="1"/>
    <col min="5643" max="5643" width="12.28515625" style="1121" customWidth="1"/>
    <col min="5644" max="5644" width="5.7109375" style="1121" customWidth="1"/>
    <col min="5645" max="5645" width="7.28515625" style="1121" customWidth="1"/>
    <col min="5646" max="5646" width="33" style="1121" customWidth="1"/>
    <col min="5647" max="5648" width="9.140625" style="1121"/>
    <col min="5649" max="5649" width="9.140625" style="1121" customWidth="1"/>
    <col min="5650" max="5650" width="0" style="1121" hidden="1" customWidth="1"/>
    <col min="5651" max="5886" width="9.140625" style="1121"/>
    <col min="5887" max="5887" width="16.85546875" style="1121" customWidth="1"/>
    <col min="5888" max="5888" width="20" style="1121" customWidth="1"/>
    <col min="5889" max="5889" width="29.5703125" style="1121" customWidth="1"/>
    <col min="5890" max="5890" width="20.28515625" style="1121" customWidth="1"/>
    <col min="5891" max="5891" width="12.42578125" style="1121" customWidth="1"/>
    <col min="5892" max="5892" width="8.5703125" style="1121" customWidth="1"/>
    <col min="5893" max="5893" width="9" style="1121" customWidth="1"/>
    <col min="5894" max="5894" width="12.85546875" style="1121" customWidth="1"/>
    <col min="5895" max="5895" width="11" style="1121" customWidth="1"/>
    <col min="5896" max="5896" width="14.5703125" style="1121" customWidth="1"/>
    <col min="5897" max="5897" width="7.7109375" style="1121" customWidth="1"/>
    <col min="5898" max="5898" width="11.42578125" style="1121" customWidth="1"/>
    <col min="5899" max="5899" width="12.28515625" style="1121" customWidth="1"/>
    <col min="5900" max="5900" width="5.7109375" style="1121" customWidth="1"/>
    <col min="5901" max="5901" width="7.28515625" style="1121" customWidth="1"/>
    <col min="5902" max="5902" width="33" style="1121" customWidth="1"/>
    <col min="5903" max="5904" width="9.140625" style="1121"/>
    <col min="5905" max="5905" width="9.140625" style="1121" customWidth="1"/>
    <col min="5906" max="5906" width="0" style="1121" hidden="1" customWidth="1"/>
    <col min="5907" max="6142" width="9.140625" style="1121"/>
    <col min="6143" max="6143" width="16.85546875" style="1121" customWidth="1"/>
    <col min="6144" max="6144" width="20" style="1121" customWidth="1"/>
    <col min="6145" max="6145" width="29.5703125" style="1121" customWidth="1"/>
    <col min="6146" max="6146" width="20.28515625" style="1121" customWidth="1"/>
    <col min="6147" max="6147" width="12.42578125" style="1121" customWidth="1"/>
    <col min="6148" max="6148" width="8.5703125" style="1121" customWidth="1"/>
    <col min="6149" max="6149" width="9" style="1121" customWidth="1"/>
    <col min="6150" max="6150" width="12.85546875" style="1121" customWidth="1"/>
    <col min="6151" max="6151" width="11" style="1121" customWidth="1"/>
    <col min="6152" max="6152" width="14.5703125" style="1121" customWidth="1"/>
    <col min="6153" max="6153" width="7.7109375" style="1121" customWidth="1"/>
    <col min="6154" max="6154" width="11.42578125" style="1121" customWidth="1"/>
    <col min="6155" max="6155" width="12.28515625" style="1121" customWidth="1"/>
    <col min="6156" max="6156" width="5.7109375" style="1121" customWidth="1"/>
    <col min="6157" max="6157" width="7.28515625" style="1121" customWidth="1"/>
    <col min="6158" max="6158" width="33" style="1121" customWidth="1"/>
    <col min="6159" max="6160" width="9.140625" style="1121"/>
    <col min="6161" max="6161" width="9.140625" style="1121" customWidth="1"/>
    <col min="6162" max="6162" width="0" style="1121" hidden="1" customWidth="1"/>
    <col min="6163" max="6398" width="9.140625" style="1121"/>
    <col min="6399" max="6399" width="16.85546875" style="1121" customWidth="1"/>
    <col min="6400" max="6400" width="20" style="1121" customWidth="1"/>
    <col min="6401" max="6401" width="29.5703125" style="1121" customWidth="1"/>
    <col min="6402" max="6402" width="20.28515625" style="1121" customWidth="1"/>
    <col min="6403" max="6403" width="12.42578125" style="1121" customWidth="1"/>
    <col min="6404" max="6404" width="8.5703125" style="1121" customWidth="1"/>
    <col min="6405" max="6405" width="9" style="1121" customWidth="1"/>
    <col min="6406" max="6406" width="12.85546875" style="1121" customWidth="1"/>
    <col min="6407" max="6407" width="11" style="1121" customWidth="1"/>
    <col min="6408" max="6408" width="14.5703125" style="1121" customWidth="1"/>
    <col min="6409" max="6409" width="7.7109375" style="1121" customWidth="1"/>
    <col min="6410" max="6410" width="11.42578125" style="1121" customWidth="1"/>
    <col min="6411" max="6411" width="12.28515625" style="1121" customWidth="1"/>
    <col min="6412" max="6412" width="5.7109375" style="1121" customWidth="1"/>
    <col min="6413" max="6413" width="7.28515625" style="1121" customWidth="1"/>
    <col min="6414" max="6414" width="33" style="1121" customWidth="1"/>
    <col min="6415" max="6416" width="9.140625" style="1121"/>
    <col min="6417" max="6417" width="9.140625" style="1121" customWidth="1"/>
    <col min="6418" max="6418" width="0" style="1121" hidden="1" customWidth="1"/>
    <col min="6419" max="6654" width="9.140625" style="1121"/>
    <col min="6655" max="6655" width="16.85546875" style="1121" customWidth="1"/>
    <col min="6656" max="6656" width="20" style="1121" customWidth="1"/>
    <col min="6657" max="6657" width="29.5703125" style="1121" customWidth="1"/>
    <col min="6658" max="6658" width="20.28515625" style="1121" customWidth="1"/>
    <col min="6659" max="6659" width="12.42578125" style="1121" customWidth="1"/>
    <col min="6660" max="6660" width="8.5703125" style="1121" customWidth="1"/>
    <col min="6661" max="6661" width="9" style="1121" customWidth="1"/>
    <col min="6662" max="6662" width="12.85546875" style="1121" customWidth="1"/>
    <col min="6663" max="6663" width="11" style="1121" customWidth="1"/>
    <col min="6664" max="6664" width="14.5703125" style="1121" customWidth="1"/>
    <col min="6665" max="6665" width="7.7109375" style="1121" customWidth="1"/>
    <col min="6666" max="6666" width="11.42578125" style="1121" customWidth="1"/>
    <col min="6667" max="6667" width="12.28515625" style="1121" customWidth="1"/>
    <col min="6668" max="6668" width="5.7109375" style="1121" customWidth="1"/>
    <col min="6669" max="6669" width="7.28515625" style="1121" customWidth="1"/>
    <col min="6670" max="6670" width="33" style="1121" customWidth="1"/>
    <col min="6671" max="6672" width="9.140625" style="1121"/>
    <col min="6673" max="6673" width="9.140625" style="1121" customWidth="1"/>
    <col min="6674" max="6674" width="0" style="1121" hidden="1" customWidth="1"/>
    <col min="6675" max="6910" width="9.140625" style="1121"/>
    <col min="6911" max="6911" width="16.85546875" style="1121" customWidth="1"/>
    <col min="6912" max="6912" width="20" style="1121" customWidth="1"/>
    <col min="6913" max="6913" width="29.5703125" style="1121" customWidth="1"/>
    <col min="6914" max="6914" width="20.28515625" style="1121" customWidth="1"/>
    <col min="6915" max="6915" width="12.42578125" style="1121" customWidth="1"/>
    <col min="6916" max="6916" width="8.5703125" style="1121" customWidth="1"/>
    <col min="6917" max="6917" width="9" style="1121" customWidth="1"/>
    <col min="6918" max="6918" width="12.85546875" style="1121" customWidth="1"/>
    <col min="6919" max="6919" width="11" style="1121" customWidth="1"/>
    <col min="6920" max="6920" width="14.5703125" style="1121" customWidth="1"/>
    <col min="6921" max="6921" width="7.7109375" style="1121" customWidth="1"/>
    <col min="6922" max="6922" width="11.42578125" style="1121" customWidth="1"/>
    <col min="6923" max="6923" width="12.28515625" style="1121" customWidth="1"/>
    <col min="6924" max="6924" width="5.7109375" style="1121" customWidth="1"/>
    <col min="6925" max="6925" width="7.28515625" style="1121" customWidth="1"/>
    <col min="6926" max="6926" width="33" style="1121" customWidth="1"/>
    <col min="6927" max="6928" width="9.140625" style="1121"/>
    <col min="6929" max="6929" width="9.140625" style="1121" customWidth="1"/>
    <col min="6930" max="6930" width="0" style="1121" hidden="1" customWidth="1"/>
    <col min="6931" max="7166" width="9.140625" style="1121"/>
    <col min="7167" max="7167" width="16.85546875" style="1121" customWidth="1"/>
    <col min="7168" max="7168" width="20" style="1121" customWidth="1"/>
    <col min="7169" max="7169" width="29.5703125" style="1121" customWidth="1"/>
    <col min="7170" max="7170" width="20.28515625" style="1121" customWidth="1"/>
    <col min="7171" max="7171" width="12.42578125" style="1121" customWidth="1"/>
    <col min="7172" max="7172" width="8.5703125" style="1121" customWidth="1"/>
    <col min="7173" max="7173" width="9" style="1121" customWidth="1"/>
    <col min="7174" max="7174" width="12.85546875" style="1121" customWidth="1"/>
    <col min="7175" max="7175" width="11" style="1121" customWidth="1"/>
    <col min="7176" max="7176" width="14.5703125" style="1121" customWidth="1"/>
    <col min="7177" max="7177" width="7.7109375" style="1121" customWidth="1"/>
    <col min="7178" max="7178" width="11.42578125" style="1121" customWidth="1"/>
    <col min="7179" max="7179" width="12.28515625" style="1121" customWidth="1"/>
    <col min="7180" max="7180" width="5.7109375" style="1121" customWidth="1"/>
    <col min="7181" max="7181" width="7.28515625" style="1121" customWidth="1"/>
    <col min="7182" max="7182" width="33" style="1121" customWidth="1"/>
    <col min="7183" max="7184" width="9.140625" style="1121"/>
    <col min="7185" max="7185" width="9.140625" style="1121" customWidth="1"/>
    <col min="7186" max="7186" width="0" style="1121" hidden="1" customWidth="1"/>
    <col min="7187" max="7422" width="9.140625" style="1121"/>
    <col min="7423" max="7423" width="16.85546875" style="1121" customWidth="1"/>
    <col min="7424" max="7424" width="20" style="1121" customWidth="1"/>
    <col min="7425" max="7425" width="29.5703125" style="1121" customWidth="1"/>
    <col min="7426" max="7426" width="20.28515625" style="1121" customWidth="1"/>
    <col min="7427" max="7427" width="12.42578125" style="1121" customWidth="1"/>
    <col min="7428" max="7428" width="8.5703125" style="1121" customWidth="1"/>
    <col min="7429" max="7429" width="9" style="1121" customWidth="1"/>
    <col min="7430" max="7430" width="12.85546875" style="1121" customWidth="1"/>
    <col min="7431" max="7431" width="11" style="1121" customWidth="1"/>
    <col min="7432" max="7432" width="14.5703125" style="1121" customWidth="1"/>
    <col min="7433" max="7433" width="7.7109375" style="1121" customWidth="1"/>
    <col min="7434" max="7434" width="11.42578125" style="1121" customWidth="1"/>
    <col min="7435" max="7435" width="12.28515625" style="1121" customWidth="1"/>
    <col min="7436" max="7436" width="5.7109375" style="1121" customWidth="1"/>
    <col min="7437" max="7437" width="7.28515625" style="1121" customWidth="1"/>
    <col min="7438" max="7438" width="33" style="1121" customWidth="1"/>
    <col min="7439" max="7440" width="9.140625" style="1121"/>
    <col min="7441" max="7441" width="9.140625" style="1121" customWidth="1"/>
    <col min="7442" max="7442" width="0" style="1121" hidden="1" customWidth="1"/>
    <col min="7443" max="7678" width="9.140625" style="1121"/>
    <col min="7679" max="7679" width="16.85546875" style="1121" customWidth="1"/>
    <col min="7680" max="7680" width="20" style="1121" customWidth="1"/>
    <col min="7681" max="7681" width="29.5703125" style="1121" customWidth="1"/>
    <col min="7682" max="7682" width="20.28515625" style="1121" customWidth="1"/>
    <col min="7683" max="7683" width="12.42578125" style="1121" customWidth="1"/>
    <col min="7684" max="7684" width="8.5703125" style="1121" customWidth="1"/>
    <col min="7685" max="7685" width="9" style="1121" customWidth="1"/>
    <col min="7686" max="7686" width="12.85546875" style="1121" customWidth="1"/>
    <col min="7687" max="7687" width="11" style="1121" customWidth="1"/>
    <col min="7688" max="7688" width="14.5703125" style="1121" customWidth="1"/>
    <col min="7689" max="7689" width="7.7109375" style="1121" customWidth="1"/>
    <col min="7690" max="7690" width="11.42578125" style="1121" customWidth="1"/>
    <col min="7691" max="7691" width="12.28515625" style="1121" customWidth="1"/>
    <col min="7692" max="7692" width="5.7109375" style="1121" customWidth="1"/>
    <col min="7693" max="7693" width="7.28515625" style="1121" customWidth="1"/>
    <col min="7694" max="7694" width="33" style="1121" customWidth="1"/>
    <col min="7695" max="7696" width="9.140625" style="1121"/>
    <col min="7697" max="7697" width="9.140625" style="1121" customWidth="1"/>
    <col min="7698" max="7698" width="0" style="1121" hidden="1" customWidth="1"/>
    <col min="7699" max="7934" width="9.140625" style="1121"/>
    <col min="7935" max="7935" width="16.85546875" style="1121" customWidth="1"/>
    <col min="7936" max="7936" width="20" style="1121" customWidth="1"/>
    <col min="7937" max="7937" width="29.5703125" style="1121" customWidth="1"/>
    <col min="7938" max="7938" width="20.28515625" style="1121" customWidth="1"/>
    <col min="7939" max="7939" width="12.42578125" style="1121" customWidth="1"/>
    <col min="7940" max="7940" width="8.5703125" style="1121" customWidth="1"/>
    <col min="7941" max="7941" width="9" style="1121" customWidth="1"/>
    <col min="7942" max="7942" width="12.85546875" style="1121" customWidth="1"/>
    <col min="7943" max="7943" width="11" style="1121" customWidth="1"/>
    <col min="7944" max="7944" width="14.5703125" style="1121" customWidth="1"/>
    <col min="7945" max="7945" width="7.7109375" style="1121" customWidth="1"/>
    <col min="7946" max="7946" width="11.42578125" style="1121" customWidth="1"/>
    <col min="7947" max="7947" width="12.28515625" style="1121" customWidth="1"/>
    <col min="7948" max="7948" width="5.7109375" style="1121" customWidth="1"/>
    <col min="7949" max="7949" width="7.28515625" style="1121" customWidth="1"/>
    <col min="7950" max="7950" width="33" style="1121" customWidth="1"/>
    <col min="7951" max="7952" width="9.140625" style="1121"/>
    <col min="7953" max="7953" width="9.140625" style="1121" customWidth="1"/>
    <col min="7954" max="7954" width="0" style="1121" hidden="1" customWidth="1"/>
    <col min="7955" max="8190" width="9.140625" style="1121"/>
    <col min="8191" max="8191" width="16.85546875" style="1121" customWidth="1"/>
    <col min="8192" max="8192" width="20" style="1121" customWidth="1"/>
    <col min="8193" max="8193" width="29.5703125" style="1121" customWidth="1"/>
    <col min="8194" max="8194" width="20.28515625" style="1121" customWidth="1"/>
    <col min="8195" max="8195" width="12.42578125" style="1121" customWidth="1"/>
    <col min="8196" max="8196" width="8.5703125" style="1121" customWidth="1"/>
    <col min="8197" max="8197" width="9" style="1121" customWidth="1"/>
    <col min="8198" max="8198" width="12.85546875" style="1121" customWidth="1"/>
    <col min="8199" max="8199" width="11" style="1121" customWidth="1"/>
    <col min="8200" max="8200" width="14.5703125" style="1121" customWidth="1"/>
    <col min="8201" max="8201" width="7.7109375" style="1121" customWidth="1"/>
    <col min="8202" max="8202" width="11.42578125" style="1121" customWidth="1"/>
    <col min="8203" max="8203" width="12.28515625" style="1121" customWidth="1"/>
    <col min="8204" max="8204" width="5.7109375" style="1121" customWidth="1"/>
    <col min="8205" max="8205" width="7.28515625" style="1121" customWidth="1"/>
    <col min="8206" max="8206" width="33" style="1121" customWidth="1"/>
    <col min="8207" max="8208" width="9.140625" style="1121"/>
    <col min="8209" max="8209" width="9.140625" style="1121" customWidth="1"/>
    <col min="8210" max="8210" width="0" style="1121" hidden="1" customWidth="1"/>
    <col min="8211" max="8446" width="9.140625" style="1121"/>
    <col min="8447" max="8447" width="16.85546875" style="1121" customWidth="1"/>
    <col min="8448" max="8448" width="20" style="1121" customWidth="1"/>
    <col min="8449" max="8449" width="29.5703125" style="1121" customWidth="1"/>
    <col min="8450" max="8450" width="20.28515625" style="1121" customWidth="1"/>
    <col min="8451" max="8451" width="12.42578125" style="1121" customWidth="1"/>
    <col min="8452" max="8452" width="8.5703125" style="1121" customWidth="1"/>
    <col min="8453" max="8453" width="9" style="1121" customWidth="1"/>
    <col min="8454" max="8454" width="12.85546875" style="1121" customWidth="1"/>
    <col min="8455" max="8455" width="11" style="1121" customWidth="1"/>
    <col min="8456" max="8456" width="14.5703125" style="1121" customWidth="1"/>
    <col min="8457" max="8457" width="7.7109375" style="1121" customWidth="1"/>
    <col min="8458" max="8458" width="11.42578125" style="1121" customWidth="1"/>
    <col min="8459" max="8459" width="12.28515625" style="1121" customWidth="1"/>
    <col min="8460" max="8460" width="5.7109375" style="1121" customWidth="1"/>
    <col min="8461" max="8461" width="7.28515625" style="1121" customWidth="1"/>
    <col min="8462" max="8462" width="33" style="1121" customWidth="1"/>
    <col min="8463" max="8464" width="9.140625" style="1121"/>
    <col min="8465" max="8465" width="9.140625" style="1121" customWidth="1"/>
    <col min="8466" max="8466" width="0" style="1121" hidden="1" customWidth="1"/>
    <col min="8467" max="8702" width="9.140625" style="1121"/>
    <col min="8703" max="8703" width="16.85546875" style="1121" customWidth="1"/>
    <col min="8704" max="8704" width="20" style="1121" customWidth="1"/>
    <col min="8705" max="8705" width="29.5703125" style="1121" customWidth="1"/>
    <col min="8706" max="8706" width="20.28515625" style="1121" customWidth="1"/>
    <col min="8707" max="8707" width="12.42578125" style="1121" customWidth="1"/>
    <col min="8708" max="8708" width="8.5703125" style="1121" customWidth="1"/>
    <col min="8709" max="8709" width="9" style="1121" customWidth="1"/>
    <col min="8710" max="8710" width="12.85546875" style="1121" customWidth="1"/>
    <col min="8711" max="8711" width="11" style="1121" customWidth="1"/>
    <col min="8712" max="8712" width="14.5703125" style="1121" customWidth="1"/>
    <col min="8713" max="8713" width="7.7109375" style="1121" customWidth="1"/>
    <col min="8714" max="8714" width="11.42578125" style="1121" customWidth="1"/>
    <col min="8715" max="8715" width="12.28515625" style="1121" customWidth="1"/>
    <col min="8716" max="8716" width="5.7109375" style="1121" customWidth="1"/>
    <col min="8717" max="8717" width="7.28515625" style="1121" customWidth="1"/>
    <col min="8718" max="8718" width="33" style="1121" customWidth="1"/>
    <col min="8719" max="8720" width="9.140625" style="1121"/>
    <col min="8721" max="8721" width="9.140625" style="1121" customWidth="1"/>
    <col min="8722" max="8722" width="0" style="1121" hidden="1" customWidth="1"/>
    <col min="8723" max="8958" width="9.140625" style="1121"/>
    <col min="8959" max="8959" width="16.85546875" style="1121" customWidth="1"/>
    <col min="8960" max="8960" width="20" style="1121" customWidth="1"/>
    <col min="8961" max="8961" width="29.5703125" style="1121" customWidth="1"/>
    <col min="8962" max="8962" width="20.28515625" style="1121" customWidth="1"/>
    <col min="8963" max="8963" width="12.42578125" style="1121" customWidth="1"/>
    <col min="8964" max="8964" width="8.5703125" style="1121" customWidth="1"/>
    <col min="8965" max="8965" width="9" style="1121" customWidth="1"/>
    <col min="8966" max="8966" width="12.85546875" style="1121" customWidth="1"/>
    <col min="8967" max="8967" width="11" style="1121" customWidth="1"/>
    <col min="8968" max="8968" width="14.5703125" style="1121" customWidth="1"/>
    <col min="8969" max="8969" width="7.7109375" style="1121" customWidth="1"/>
    <col min="8970" max="8970" width="11.42578125" style="1121" customWidth="1"/>
    <col min="8971" max="8971" width="12.28515625" style="1121" customWidth="1"/>
    <col min="8972" max="8972" width="5.7109375" style="1121" customWidth="1"/>
    <col min="8973" max="8973" width="7.28515625" style="1121" customWidth="1"/>
    <col min="8974" max="8974" width="33" style="1121" customWidth="1"/>
    <col min="8975" max="8976" width="9.140625" style="1121"/>
    <col min="8977" max="8977" width="9.140625" style="1121" customWidth="1"/>
    <col min="8978" max="8978" width="0" style="1121" hidden="1" customWidth="1"/>
    <col min="8979" max="9214" width="9.140625" style="1121"/>
    <col min="9215" max="9215" width="16.85546875" style="1121" customWidth="1"/>
    <col min="9216" max="9216" width="20" style="1121" customWidth="1"/>
    <col min="9217" max="9217" width="29.5703125" style="1121" customWidth="1"/>
    <col min="9218" max="9218" width="20.28515625" style="1121" customWidth="1"/>
    <col min="9219" max="9219" width="12.42578125" style="1121" customWidth="1"/>
    <col min="9220" max="9220" width="8.5703125" style="1121" customWidth="1"/>
    <col min="9221" max="9221" width="9" style="1121" customWidth="1"/>
    <col min="9222" max="9222" width="12.85546875" style="1121" customWidth="1"/>
    <col min="9223" max="9223" width="11" style="1121" customWidth="1"/>
    <col min="9224" max="9224" width="14.5703125" style="1121" customWidth="1"/>
    <col min="9225" max="9225" width="7.7109375" style="1121" customWidth="1"/>
    <col min="9226" max="9226" width="11.42578125" style="1121" customWidth="1"/>
    <col min="9227" max="9227" width="12.28515625" style="1121" customWidth="1"/>
    <col min="9228" max="9228" width="5.7109375" style="1121" customWidth="1"/>
    <col min="9229" max="9229" width="7.28515625" style="1121" customWidth="1"/>
    <col min="9230" max="9230" width="33" style="1121" customWidth="1"/>
    <col min="9231" max="9232" width="9.140625" style="1121"/>
    <col min="9233" max="9233" width="9.140625" style="1121" customWidth="1"/>
    <col min="9234" max="9234" width="0" style="1121" hidden="1" customWidth="1"/>
    <col min="9235" max="9470" width="9.140625" style="1121"/>
    <col min="9471" max="9471" width="16.85546875" style="1121" customWidth="1"/>
    <col min="9472" max="9472" width="20" style="1121" customWidth="1"/>
    <col min="9473" max="9473" width="29.5703125" style="1121" customWidth="1"/>
    <col min="9474" max="9474" width="20.28515625" style="1121" customWidth="1"/>
    <col min="9475" max="9475" width="12.42578125" style="1121" customWidth="1"/>
    <col min="9476" max="9476" width="8.5703125" style="1121" customWidth="1"/>
    <col min="9477" max="9477" width="9" style="1121" customWidth="1"/>
    <col min="9478" max="9478" width="12.85546875" style="1121" customWidth="1"/>
    <col min="9479" max="9479" width="11" style="1121" customWidth="1"/>
    <col min="9480" max="9480" width="14.5703125" style="1121" customWidth="1"/>
    <col min="9481" max="9481" width="7.7109375" style="1121" customWidth="1"/>
    <col min="9482" max="9482" width="11.42578125" style="1121" customWidth="1"/>
    <col min="9483" max="9483" width="12.28515625" style="1121" customWidth="1"/>
    <col min="9484" max="9484" width="5.7109375" style="1121" customWidth="1"/>
    <col min="9485" max="9485" width="7.28515625" style="1121" customWidth="1"/>
    <col min="9486" max="9486" width="33" style="1121" customWidth="1"/>
    <col min="9487" max="9488" width="9.140625" style="1121"/>
    <col min="9489" max="9489" width="9.140625" style="1121" customWidth="1"/>
    <col min="9490" max="9490" width="0" style="1121" hidden="1" customWidth="1"/>
    <col min="9491" max="9726" width="9.140625" style="1121"/>
    <col min="9727" max="9727" width="16.85546875" style="1121" customWidth="1"/>
    <col min="9728" max="9728" width="20" style="1121" customWidth="1"/>
    <col min="9729" max="9729" width="29.5703125" style="1121" customWidth="1"/>
    <col min="9730" max="9730" width="20.28515625" style="1121" customWidth="1"/>
    <col min="9731" max="9731" width="12.42578125" style="1121" customWidth="1"/>
    <col min="9732" max="9732" width="8.5703125" style="1121" customWidth="1"/>
    <col min="9733" max="9733" width="9" style="1121" customWidth="1"/>
    <col min="9734" max="9734" width="12.85546875" style="1121" customWidth="1"/>
    <col min="9735" max="9735" width="11" style="1121" customWidth="1"/>
    <col min="9736" max="9736" width="14.5703125" style="1121" customWidth="1"/>
    <col min="9737" max="9737" width="7.7109375" style="1121" customWidth="1"/>
    <col min="9738" max="9738" width="11.42578125" style="1121" customWidth="1"/>
    <col min="9739" max="9739" width="12.28515625" style="1121" customWidth="1"/>
    <col min="9740" max="9740" width="5.7109375" style="1121" customWidth="1"/>
    <col min="9741" max="9741" width="7.28515625" style="1121" customWidth="1"/>
    <col min="9742" max="9742" width="33" style="1121" customWidth="1"/>
    <col min="9743" max="9744" width="9.140625" style="1121"/>
    <col min="9745" max="9745" width="9.140625" style="1121" customWidth="1"/>
    <col min="9746" max="9746" width="0" style="1121" hidden="1" customWidth="1"/>
    <col min="9747" max="9982" width="9.140625" style="1121"/>
    <col min="9983" max="9983" width="16.85546875" style="1121" customWidth="1"/>
    <col min="9984" max="9984" width="20" style="1121" customWidth="1"/>
    <col min="9985" max="9985" width="29.5703125" style="1121" customWidth="1"/>
    <col min="9986" max="9986" width="20.28515625" style="1121" customWidth="1"/>
    <col min="9987" max="9987" width="12.42578125" style="1121" customWidth="1"/>
    <col min="9988" max="9988" width="8.5703125" style="1121" customWidth="1"/>
    <col min="9989" max="9989" width="9" style="1121" customWidth="1"/>
    <col min="9990" max="9990" width="12.85546875" style="1121" customWidth="1"/>
    <col min="9991" max="9991" width="11" style="1121" customWidth="1"/>
    <col min="9992" max="9992" width="14.5703125" style="1121" customWidth="1"/>
    <col min="9993" max="9993" width="7.7109375" style="1121" customWidth="1"/>
    <col min="9994" max="9994" width="11.42578125" style="1121" customWidth="1"/>
    <col min="9995" max="9995" width="12.28515625" style="1121" customWidth="1"/>
    <col min="9996" max="9996" width="5.7109375" style="1121" customWidth="1"/>
    <col min="9997" max="9997" width="7.28515625" style="1121" customWidth="1"/>
    <col min="9998" max="9998" width="33" style="1121" customWidth="1"/>
    <col min="9999" max="10000" width="9.140625" style="1121"/>
    <col min="10001" max="10001" width="9.140625" style="1121" customWidth="1"/>
    <col min="10002" max="10002" width="0" style="1121" hidden="1" customWidth="1"/>
    <col min="10003" max="10238" width="9.140625" style="1121"/>
    <col min="10239" max="10239" width="16.85546875" style="1121" customWidth="1"/>
    <col min="10240" max="10240" width="20" style="1121" customWidth="1"/>
    <col min="10241" max="10241" width="29.5703125" style="1121" customWidth="1"/>
    <col min="10242" max="10242" width="20.28515625" style="1121" customWidth="1"/>
    <col min="10243" max="10243" width="12.42578125" style="1121" customWidth="1"/>
    <col min="10244" max="10244" width="8.5703125" style="1121" customWidth="1"/>
    <col min="10245" max="10245" width="9" style="1121" customWidth="1"/>
    <col min="10246" max="10246" width="12.85546875" style="1121" customWidth="1"/>
    <col min="10247" max="10247" width="11" style="1121" customWidth="1"/>
    <col min="10248" max="10248" width="14.5703125" style="1121" customWidth="1"/>
    <col min="10249" max="10249" width="7.7109375" style="1121" customWidth="1"/>
    <col min="10250" max="10250" width="11.42578125" style="1121" customWidth="1"/>
    <col min="10251" max="10251" width="12.28515625" style="1121" customWidth="1"/>
    <col min="10252" max="10252" width="5.7109375" style="1121" customWidth="1"/>
    <col min="10253" max="10253" width="7.28515625" style="1121" customWidth="1"/>
    <col min="10254" max="10254" width="33" style="1121" customWidth="1"/>
    <col min="10255" max="10256" width="9.140625" style="1121"/>
    <col min="10257" max="10257" width="9.140625" style="1121" customWidth="1"/>
    <col min="10258" max="10258" width="0" style="1121" hidden="1" customWidth="1"/>
    <col min="10259" max="10494" width="9.140625" style="1121"/>
    <col min="10495" max="10495" width="16.85546875" style="1121" customWidth="1"/>
    <col min="10496" max="10496" width="20" style="1121" customWidth="1"/>
    <col min="10497" max="10497" width="29.5703125" style="1121" customWidth="1"/>
    <col min="10498" max="10498" width="20.28515625" style="1121" customWidth="1"/>
    <col min="10499" max="10499" width="12.42578125" style="1121" customWidth="1"/>
    <col min="10500" max="10500" width="8.5703125" style="1121" customWidth="1"/>
    <col min="10501" max="10501" width="9" style="1121" customWidth="1"/>
    <col min="10502" max="10502" width="12.85546875" style="1121" customWidth="1"/>
    <col min="10503" max="10503" width="11" style="1121" customWidth="1"/>
    <col min="10504" max="10504" width="14.5703125" style="1121" customWidth="1"/>
    <col min="10505" max="10505" width="7.7109375" style="1121" customWidth="1"/>
    <col min="10506" max="10506" width="11.42578125" style="1121" customWidth="1"/>
    <col min="10507" max="10507" width="12.28515625" style="1121" customWidth="1"/>
    <col min="10508" max="10508" width="5.7109375" style="1121" customWidth="1"/>
    <col min="10509" max="10509" width="7.28515625" style="1121" customWidth="1"/>
    <col min="10510" max="10510" width="33" style="1121" customWidth="1"/>
    <col min="10511" max="10512" width="9.140625" style="1121"/>
    <col min="10513" max="10513" width="9.140625" style="1121" customWidth="1"/>
    <col min="10514" max="10514" width="0" style="1121" hidden="1" customWidth="1"/>
    <col min="10515" max="10750" width="9.140625" style="1121"/>
    <col min="10751" max="10751" width="16.85546875" style="1121" customWidth="1"/>
    <col min="10752" max="10752" width="20" style="1121" customWidth="1"/>
    <col min="10753" max="10753" width="29.5703125" style="1121" customWidth="1"/>
    <col min="10754" max="10754" width="20.28515625" style="1121" customWidth="1"/>
    <col min="10755" max="10755" width="12.42578125" style="1121" customWidth="1"/>
    <col min="10756" max="10756" width="8.5703125" style="1121" customWidth="1"/>
    <col min="10757" max="10757" width="9" style="1121" customWidth="1"/>
    <col min="10758" max="10758" width="12.85546875" style="1121" customWidth="1"/>
    <col min="10759" max="10759" width="11" style="1121" customWidth="1"/>
    <col min="10760" max="10760" width="14.5703125" style="1121" customWidth="1"/>
    <col min="10761" max="10761" width="7.7109375" style="1121" customWidth="1"/>
    <col min="10762" max="10762" width="11.42578125" style="1121" customWidth="1"/>
    <col min="10763" max="10763" width="12.28515625" style="1121" customWidth="1"/>
    <col min="10764" max="10764" width="5.7109375" style="1121" customWidth="1"/>
    <col min="10765" max="10765" width="7.28515625" style="1121" customWidth="1"/>
    <col min="10766" max="10766" width="33" style="1121" customWidth="1"/>
    <col min="10767" max="10768" width="9.140625" style="1121"/>
    <col min="10769" max="10769" width="9.140625" style="1121" customWidth="1"/>
    <col min="10770" max="10770" width="0" style="1121" hidden="1" customWidth="1"/>
    <col min="10771" max="11006" width="9.140625" style="1121"/>
    <col min="11007" max="11007" width="16.85546875" style="1121" customWidth="1"/>
    <col min="11008" max="11008" width="20" style="1121" customWidth="1"/>
    <col min="11009" max="11009" width="29.5703125" style="1121" customWidth="1"/>
    <col min="11010" max="11010" width="20.28515625" style="1121" customWidth="1"/>
    <col min="11011" max="11011" width="12.42578125" style="1121" customWidth="1"/>
    <col min="11012" max="11012" width="8.5703125" style="1121" customWidth="1"/>
    <col min="11013" max="11013" width="9" style="1121" customWidth="1"/>
    <col min="11014" max="11014" width="12.85546875" style="1121" customWidth="1"/>
    <col min="11015" max="11015" width="11" style="1121" customWidth="1"/>
    <col min="11016" max="11016" width="14.5703125" style="1121" customWidth="1"/>
    <col min="11017" max="11017" width="7.7109375" style="1121" customWidth="1"/>
    <col min="11018" max="11018" width="11.42578125" style="1121" customWidth="1"/>
    <col min="11019" max="11019" width="12.28515625" style="1121" customWidth="1"/>
    <col min="11020" max="11020" width="5.7109375" style="1121" customWidth="1"/>
    <col min="11021" max="11021" width="7.28515625" style="1121" customWidth="1"/>
    <col min="11022" max="11022" width="33" style="1121" customWidth="1"/>
    <col min="11023" max="11024" width="9.140625" style="1121"/>
    <col min="11025" max="11025" width="9.140625" style="1121" customWidth="1"/>
    <col min="11026" max="11026" width="0" style="1121" hidden="1" customWidth="1"/>
    <col min="11027" max="11262" width="9.140625" style="1121"/>
    <col min="11263" max="11263" width="16.85546875" style="1121" customWidth="1"/>
    <col min="11264" max="11264" width="20" style="1121" customWidth="1"/>
    <col min="11265" max="11265" width="29.5703125" style="1121" customWidth="1"/>
    <col min="11266" max="11266" width="20.28515625" style="1121" customWidth="1"/>
    <col min="11267" max="11267" width="12.42578125" style="1121" customWidth="1"/>
    <col min="11268" max="11268" width="8.5703125" style="1121" customWidth="1"/>
    <col min="11269" max="11269" width="9" style="1121" customWidth="1"/>
    <col min="11270" max="11270" width="12.85546875" style="1121" customWidth="1"/>
    <col min="11271" max="11271" width="11" style="1121" customWidth="1"/>
    <col min="11272" max="11272" width="14.5703125" style="1121" customWidth="1"/>
    <col min="11273" max="11273" width="7.7109375" style="1121" customWidth="1"/>
    <col min="11274" max="11274" width="11.42578125" style="1121" customWidth="1"/>
    <col min="11275" max="11275" width="12.28515625" style="1121" customWidth="1"/>
    <col min="11276" max="11276" width="5.7109375" style="1121" customWidth="1"/>
    <col min="11277" max="11277" width="7.28515625" style="1121" customWidth="1"/>
    <col min="11278" max="11278" width="33" style="1121" customWidth="1"/>
    <col min="11279" max="11280" width="9.140625" style="1121"/>
    <col min="11281" max="11281" width="9.140625" style="1121" customWidth="1"/>
    <col min="11282" max="11282" width="0" style="1121" hidden="1" customWidth="1"/>
    <col min="11283" max="11518" width="9.140625" style="1121"/>
    <col min="11519" max="11519" width="16.85546875" style="1121" customWidth="1"/>
    <col min="11520" max="11520" width="20" style="1121" customWidth="1"/>
    <col min="11521" max="11521" width="29.5703125" style="1121" customWidth="1"/>
    <col min="11522" max="11522" width="20.28515625" style="1121" customWidth="1"/>
    <col min="11523" max="11523" width="12.42578125" style="1121" customWidth="1"/>
    <col min="11524" max="11524" width="8.5703125" style="1121" customWidth="1"/>
    <col min="11525" max="11525" width="9" style="1121" customWidth="1"/>
    <col min="11526" max="11526" width="12.85546875" style="1121" customWidth="1"/>
    <col min="11527" max="11527" width="11" style="1121" customWidth="1"/>
    <col min="11528" max="11528" width="14.5703125" style="1121" customWidth="1"/>
    <col min="11529" max="11529" width="7.7109375" style="1121" customWidth="1"/>
    <col min="11530" max="11530" width="11.42578125" style="1121" customWidth="1"/>
    <col min="11531" max="11531" width="12.28515625" style="1121" customWidth="1"/>
    <col min="11532" max="11532" width="5.7109375" style="1121" customWidth="1"/>
    <col min="11533" max="11533" width="7.28515625" style="1121" customWidth="1"/>
    <col min="11534" max="11534" width="33" style="1121" customWidth="1"/>
    <col min="11535" max="11536" width="9.140625" style="1121"/>
    <col min="11537" max="11537" width="9.140625" style="1121" customWidth="1"/>
    <col min="11538" max="11538" width="0" style="1121" hidden="1" customWidth="1"/>
    <col min="11539" max="11774" width="9.140625" style="1121"/>
    <col min="11775" max="11775" width="16.85546875" style="1121" customWidth="1"/>
    <col min="11776" max="11776" width="20" style="1121" customWidth="1"/>
    <col min="11777" max="11777" width="29.5703125" style="1121" customWidth="1"/>
    <col min="11778" max="11778" width="20.28515625" style="1121" customWidth="1"/>
    <col min="11779" max="11779" width="12.42578125" style="1121" customWidth="1"/>
    <col min="11780" max="11780" width="8.5703125" style="1121" customWidth="1"/>
    <col min="11781" max="11781" width="9" style="1121" customWidth="1"/>
    <col min="11782" max="11782" width="12.85546875" style="1121" customWidth="1"/>
    <col min="11783" max="11783" width="11" style="1121" customWidth="1"/>
    <col min="11784" max="11784" width="14.5703125" style="1121" customWidth="1"/>
    <col min="11785" max="11785" width="7.7109375" style="1121" customWidth="1"/>
    <col min="11786" max="11786" width="11.42578125" style="1121" customWidth="1"/>
    <col min="11787" max="11787" width="12.28515625" style="1121" customWidth="1"/>
    <col min="11788" max="11788" width="5.7109375" style="1121" customWidth="1"/>
    <col min="11789" max="11789" width="7.28515625" style="1121" customWidth="1"/>
    <col min="11790" max="11790" width="33" style="1121" customWidth="1"/>
    <col min="11791" max="11792" width="9.140625" style="1121"/>
    <col min="11793" max="11793" width="9.140625" style="1121" customWidth="1"/>
    <col min="11794" max="11794" width="0" style="1121" hidden="1" customWidth="1"/>
    <col min="11795" max="12030" width="9.140625" style="1121"/>
    <col min="12031" max="12031" width="16.85546875" style="1121" customWidth="1"/>
    <col min="12032" max="12032" width="20" style="1121" customWidth="1"/>
    <col min="12033" max="12033" width="29.5703125" style="1121" customWidth="1"/>
    <col min="12034" max="12034" width="20.28515625" style="1121" customWidth="1"/>
    <col min="12035" max="12035" width="12.42578125" style="1121" customWidth="1"/>
    <col min="12036" max="12036" width="8.5703125" style="1121" customWidth="1"/>
    <col min="12037" max="12037" width="9" style="1121" customWidth="1"/>
    <col min="12038" max="12038" width="12.85546875" style="1121" customWidth="1"/>
    <col min="12039" max="12039" width="11" style="1121" customWidth="1"/>
    <col min="12040" max="12040" width="14.5703125" style="1121" customWidth="1"/>
    <col min="12041" max="12041" width="7.7109375" style="1121" customWidth="1"/>
    <col min="12042" max="12042" width="11.42578125" style="1121" customWidth="1"/>
    <col min="12043" max="12043" width="12.28515625" style="1121" customWidth="1"/>
    <col min="12044" max="12044" width="5.7109375" style="1121" customWidth="1"/>
    <col min="12045" max="12045" width="7.28515625" style="1121" customWidth="1"/>
    <col min="12046" max="12046" width="33" style="1121" customWidth="1"/>
    <col min="12047" max="12048" width="9.140625" style="1121"/>
    <col min="12049" max="12049" width="9.140625" style="1121" customWidth="1"/>
    <col min="12050" max="12050" width="0" style="1121" hidden="1" customWidth="1"/>
    <col min="12051" max="12286" width="9.140625" style="1121"/>
    <col min="12287" max="12287" width="16.85546875" style="1121" customWidth="1"/>
    <col min="12288" max="12288" width="20" style="1121" customWidth="1"/>
    <col min="12289" max="12289" width="29.5703125" style="1121" customWidth="1"/>
    <col min="12290" max="12290" width="20.28515625" style="1121" customWidth="1"/>
    <col min="12291" max="12291" width="12.42578125" style="1121" customWidth="1"/>
    <col min="12292" max="12292" width="8.5703125" style="1121" customWidth="1"/>
    <col min="12293" max="12293" width="9" style="1121" customWidth="1"/>
    <col min="12294" max="12294" width="12.85546875" style="1121" customWidth="1"/>
    <col min="12295" max="12295" width="11" style="1121" customWidth="1"/>
    <col min="12296" max="12296" width="14.5703125" style="1121" customWidth="1"/>
    <col min="12297" max="12297" width="7.7109375" style="1121" customWidth="1"/>
    <col min="12298" max="12298" width="11.42578125" style="1121" customWidth="1"/>
    <col min="12299" max="12299" width="12.28515625" style="1121" customWidth="1"/>
    <col min="12300" max="12300" width="5.7109375" style="1121" customWidth="1"/>
    <col min="12301" max="12301" width="7.28515625" style="1121" customWidth="1"/>
    <col min="12302" max="12302" width="33" style="1121" customWidth="1"/>
    <col min="12303" max="12304" width="9.140625" style="1121"/>
    <col min="12305" max="12305" width="9.140625" style="1121" customWidth="1"/>
    <col min="12306" max="12306" width="0" style="1121" hidden="1" customWidth="1"/>
    <col min="12307" max="12542" width="9.140625" style="1121"/>
    <col min="12543" max="12543" width="16.85546875" style="1121" customWidth="1"/>
    <col min="12544" max="12544" width="20" style="1121" customWidth="1"/>
    <col min="12545" max="12545" width="29.5703125" style="1121" customWidth="1"/>
    <col min="12546" max="12546" width="20.28515625" style="1121" customWidth="1"/>
    <col min="12547" max="12547" width="12.42578125" style="1121" customWidth="1"/>
    <col min="12548" max="12548" width="8.5703125" style="1121" customWidth="1"/>
    <col min="12549" max="12549" width="9" style="1121" customWidth="1"/>
    <col min="12550" max="12550" width="12.85546875" style="1121" customWidth="1"/>
    <col min="12551" max="12551" width="11" style="1121" customWidth="1"/>
    <col min="12552" max="12552" width="14.5703125" style="1121" customWidth="1"/>
    <col min="12553" max="12553" width="7.7109375" style="1121" customWidth="1"/>
    <col min="12554" max="12554" width="11.42578125" style="1121" customWidth="1"/>
    <col min="12555" max="12555" width="12.28515625" style="1121" customWidth="1"/>
    <col min="12556" max="12556" width="5.7109375" style="1121" customWidth="1"/>
    <col min="12557" max="12557" width="7.28515625" style="1121" customWidth="1"/>
    <col min="12558" max="12558" width="33" style="1121" customWidth="1"/>
    <col min="12559" max="12560" width="9.140625" style="1121"/>
    <col min="12561" max="12561" width="9.140625" style="1121" customWidth="1"/>
    <col min="12562" max="12562" width="0" style="1121" hidden="1" customWidth="1"/>
    <col min="12563" max="12798" width="9.140625" style="1121"/>
    <col min="12799" max="12799" width="16.85546875" style="1121" customWidth="1"/>
    <col min="12800" max="12800" width="20" style="1121" customWidth="1"/>
    <col min="12801" max="12801" width="29.5703125" style="1121" customWidth="1"/>
    <col min="12802" max="12802" width="20.28515625" style="1121" customWidth="1"/>
    <col min="12803" max="12803" width="12.42578125" style="1121" customWidth="1"/>
    <col min="12804" max="12804" width="8.5703125" style="1121" customWidth="1"/>
    <col min="12805" max="12805" width="9" style="1121" customWidth="1"/>
    <col min="12806" max="12806" width="12.85546875" style="1121" customWidth="1"/>
    <col min="12807" max="12807" width="11" style="1121" customWidth="1"/>
    <col min="12808" max="12808" width="14.5703125" style="1121" customWidth="1"/>
    <col min="12809" max="12809" width="7.7109375" style="1121" customWidth="1"/>
    <col min="12810" max="12810" width="11.42578125" style="1121" customWidth="1"/>
    <col min="12811" max="12811" width="12.28515625" style="1121" customWidth="1"/>
    <col min="12812" max="12812" width="5.7109375" style="1121" customWidth="1"/>
    <col min="12813" max="12813" width="7.28515625" style="1121" customWidth="1"/>
    <col min="12814" max="12814" width="33" style="1121" customWidth="1"/>
    <col min="12815" max="12816" width="9.140625" style="1121"/>
    <col min="12817" max="12817" width="9.140625" style="1121" customWidth="1"/>
    <col min="12818" max="12818" width="0" style="1121" hidden="1" customWidth="1"/>
    <col min="12819" max="13054" width="9.140625" style="1121"/>
    <col min="13055" max="13055" width="16.85546875" style="1121" customWidth="1"/>
    <col min="13056" max="13056" width="20" style="1121" customWidth="1"/>
    <col min="13057" max="13057" width="29.5703125" style="1121" customWidth="1"/>
    <col min="13058" max="13058" width="20.28515625" style="1121" customWidth="1"/>
    <col min="13059" max="13059" width="12.42578125" style="1121" customWidth="1"/>
    <col min="13060" max="13060" width="8.5703125" style="1121" customWidth="1"/>
    <col min="13061" max="13061" width="9" style="1121" customWidth="1"/>
    <col min="13062" max="13062" width="12.85546875" style="1121" customWidth="1"/>
    <col min="13063" max="13063" width="11" style="1121" customWidth="1"/>
    <col min="13064" max="13064" width="14.5703125" style="1121" customWidth="1"/>
    <col min="13065" max="13065" width="7.7109375" style="1121" customWidth="1"/>
    <col min="13066" max="13066" width="11.42578125" style="1121" customWidth="1"/>
    <col min="13067" max="13067" width="12.28515625" style="1121" customWidth="1"/>
    <col min="13068" max="13068" width="5.7109375" style="1121" customWidth="1"/>
    <col min="13069" max="13069" width="7.28515625" style="1121" customWidth="1"/>
    <col min="13070" max="13070" width="33" style="1121" customWidth="1"/>
    <col min="13071" max="13072" width="9.140625" style="1121"/>
    <col min="13073" max="13073" width="9.140625" style="1121" customWidth="1"/>
    <col min="13074" max="13074" width="0" style="1121" hidden="1" customWidth="1"/>
    <col min="13075" max="13310" width="9.140625" style="1121"/>
    <col min="13311" max="13311" width="16.85546875" style="1121" customWidth="1"/>
    <col min="13312" max="13312" width="20" style="1121" customWidth="1"/>
    <col min="13313" max="13313" width="29.5703125" style="1121" customWidth="1"/>
    <col min="13314" max="13314" width="20.28515625" style="1121" customWidth="1"/>
    <col min="13315" max="13315" width="12.42578125" style="1121" customWidth="1"/>
    <col min="13316" max="13316" width="8.5703125" style="1121" customWidth="1"/>
    <col min="13317" max="13317" width="9" style="1121" customWidth="1"/>
    <col min="13318" max="13318" width="12.85546875" style="1121" customWidth="1"/>
    <col min="13319" max="13319" width="11" style="1121" customWidth="1"/>
    <col min="13320" max="13320" width="14.5703125" style="1121" customWidth="1"/>
    <col min="13321" max="13321" width="7.7109375" style="1121" customWidth="1"/>
    <col min="13322" max="13322" width="11.42578125" style="1121" customWidth="1"/>
    <col min="13323" max="13323" width="12.28515625" style="1121" customWidth="1"/>
    <col min="13324" max="13324" width="5.7109375" style="1121" customWidth="1"/>
    <col min="13325" max="13325" width="7.28515625" style="1121" customWidth="1"/>
    <col min="13326" max="13326" width="33" style="1121" customWidth="1"/>
    <col min="13327" max="13328" width="9.140625" style="1121"/>
    <col min="13329" max="13329" width="9.140625" style="1121" customWidth="1"/>
    <col min="13330" max="13330" width="0" style="1121" hidden="1" customWidth="1"/>
    <col min="13331" max="13566" width="9.140625" style="1121"/>
    <col min="13567" max="13567" width="16.85546875" style="1121" customWidth="1"/>
    <col min="13568" max="13568" width="20" style="1121" customWidth="1"/>
    <col min="13569" max="13569" width="29.5703125" style="1121" customWidth="1"/>
    <col min="13570" max="13570" width="20.28515625" style="1121" customWidth="1"/>
    <col min="13571" max="13571" width="12.42578125" style="1121" customWidth="1"/>
    <col min="13572" max="13572" width="8.5703125" style="1121" customWidth="1"/>
    <col min="13573" max="13573" width="9" style="1121" customWidth="1"/>
    <col min="13574" max="13574" width="12.85546875" style="1121" customWidth="1"/>
    <col min="13575" max="13575" width="11" style="1121" customWidth="1"/>
    <col min="13576" max="13576" width="14.5703125" style="1121" customWidth="1"/>
    <col min="13577" max="13577" width="7.7109375" style="1121" customWidth="1"/>
    <col min="13578" max="13578" width="11.42578125" style="1121" customWidth="1"/>
    <col min="13579" max="13579" width="12.28515625" style="1121" customWidth="1"/>
    <col min="13580" max="13580" width="5.7109375" style="1121" customWidth="1"/>
    <col min="13581" max="13581" width="7.28515625" style="1121" customWidth="1"/>
    <col min="13582" max="13582" width="33" style="1121" customWidth="1"/>
    <col min="13583" max="13584" width="9.140625" style="1121"/>
    <col min="13585" max="13585" width="9.140625" style="1121" customWidth="1"/>
    <col min="13586" max="13586" width="0" style="1121" hidden="1" customWidth="1"/>
    <col min="13587" max="13822" width="9.140625" style="1121"/>
    <col min="13823" max="13823" width="16.85546875" style="1121" customWidth="1"/>
    <col min="13824" max="13824" width="20" style="1121" customWidth="1"/>
    <col min="13825" max="13825" width="29.5703125" style="1121" customWidth="1"/>
    <col min="13826" max="13826" width="20.28515625" style="1121" customWidth="1"/>
    <col min="13827" max="13827" width="12.42578125" style="1121" customWidth="1"/>
    <col min="13828" max="13828" width="8.5703125" style="1121" customWidth="1"/>
    <col min="13829" max="13829" width="9" style="1121" customWidth="1"/>
    <col min="13830" max="13830" width="12.85546875" style="1121" customWidth="1"/>
    <col min="13831" max="13831" width="11" style="1121" customWidth="1"/>
    <col min="13832" max="13832" width="14.5703125" style="1121" customWidth="1"/>
    <col min="13833" max="13833" width="7.7109375" style="1121" customWidth="1"/>
    <col min="13834" max="13834" width="11.42578125" style="1121" customWidth="1"/>
    <col min="13835" max="13835" width="12.28515625" style="1121" customWidth="1"/>
    <col min="13836" max="13836" width="5.7109375" style="1121" customWidth="1"/>
    <col min="13837" max="13837" width="7.28515625" style="1121" customWidth="1"/>
    <col min="13838" max="13838" width="33" style="1121" customWidth="1"/>
    <col min="13839" max="13840" width="9.140625" style="1121"/>
    <col min="13841" max="13841" width="9.140625" style="1121" customWidth="1"/>
    <col min="13842" max="13842" width="0" style="1121" hidden="1" customWidth="1"/>
    <col min="13843" max="14078" width="9.140625" style="1121"/>
    <col min="14079" max="14079" width="16.85546875" style="1121" customWidth="1"/>
    <col min="14080" max="14080" width="20" style="1121" customWidth="1"/>
    <col min="14081" max="14081" width="29.5703125" style="1121" customWidth="1"/>
    <col min="14082" max="14082" width="20.28515625" style="1121" customWidth="1"/>
    <col min="14083" max="14083" width="12.42578125" style="1121" customWidth="1"/>
    <col min="14084" max="14084" width="8.5703125" style="1121" customWidth="1"/>
    <col min="14085" max="14085" width="9" style="1121" customWidth="1"/>
    <col min="14086" max="14086" width="12.85546875" style="1121" customWidth="1"/>
    <col min="14087" max="14087" width="11" style="1121" customWidth="1"/>
    <col min="14088" max="14088" width="14.5703125" style="1121" customWidth="1"/>
    <col min="14089" max="14089" width="7.7109375" style="1121" customWidth="1"/>
    <col min="14090" max="14090" width="11.42578125" style="1121" customWidth="1"/>
    <col min="14091" max="14091" width="12.28515625" style="1121" customWidth="1"/>
    <col min="14092" max="14092" width="5.7109375" style="1121" customWidth="1"/>
    <col min="14093" max="14093" width="7.28515625" style="1121" customWidth="1"/>
    <col min="14094" max="14094" width="33" style="1121" customWidth="1"/>
    <col min="14095" max="14096" width="9.140625" style="1121"/>
    <col min="14097" max="14097" width="9.140625" style="1121" customWidth="1"/>
    <col min="14098" max="14098" width="0" style="1121" hidden="1" customWidth="1"/>
    <col min="14099" max="14334" width="9.140625" style="1121"/>
    <col min="14335" max="14335" width="16.85546875" style="1121" customWidth="1"/>
    <col min="14336" max="14336" width="20" style="1121" customWidth="1"/>
    <col min="14337" max="14337" width="29.5703125" style="1121" customWidth="1"/>
    <col min="14338" max="14338" width="20.28515625" style="1121" customWidth="1"/>
    <col min="14339" max="14339" width="12.42578125" style="1121" customWidth="1"/>
    <col min="14340" max="14340" width="8.5703125" style="1121" customWidth="1"/>
    <col min="14341" max="14341" width="9" style="1121" customWidth="1"/>
    <col min="14342" max="14342" width="12.85546875" style="1121" customWidth="1"/>
    <col min="14343" max="14343" width="11" style="1121" customWidth="1"/>
    <col min="14344" max="14344" width="14.5703125" style="1121" customWidth="1"/>
    <col min="14345" max="14345" width="7.7109375" style="1121" customWidth="1"/>
    <col min="14346" max="14346" width="11.42578125" style="1121" customWidth="1"/>
    <col min="14347" max="14347" width="12.28515625" style="1121" customWidth="1"/>
    <col min="14348" max="14348" width="5.7109375" style="1121" customWidth="1"/>
    <col min="14349" max="14349" width="7.28515625" style="1121" customWidth="1"/>
    <col min="14350" max="14350" width="33" style="1121" customWidth="1"/>
    <col min="14351" max="14352" width="9.140625" style="1121"/>
    <col min="14353" max="14353" width="9.140625" style="1121" customWidth="1"/>
    <col min="14354" max="14354" width="0" style="1121" hidden="1" customWidth="1"/>
    <col min="14355" max="14590" width="9.140625" style="1121"/>
    <col min="14591" max="14591" width="16.85546875" style="1121" customWidth="1"/>
    <col min="14592" max="14592" width="20" style="1121" customWidth="1"/>
    <col min="14593" max="14593" width="29.5703125" style="1121" customWidth="1"/>
    <col min="14594" max="14594" width="20.28515625" style="1121" customWidth="1"/>
    <col min="14595" max="14595" width="12.42578125" style="1121" customWidth="1"/>
    <col min="14596" max="14596" width="8.5703125" style="1121" customWidth="1"/>
    <col min="14597" max="14597" width="9" style="1121" customWidth="1"/>
    <col min="14598" max="14598" width="12.85546875" style="1121" customWidth="1"/>
    <col min="14599" max="14599" width="11" style="1121" customWidth="1"/>
    <col min="14600" max="14600" width="14.5703125" style="1121" customWidth="1"/>
    <col min="14601" max="14601" width="7.7109375" style="1121" customWidth="1"/>
    <col min="14602" max="14602" width="11.42578125" style="1121" customWidth="1"/>
    <col min="14603" max="14603" width="12.28515625" style="1121" customWidth="1"/>
    <col min="14604" max="14604" width="5.7109375" style="1121" customWidth="1"/>
    <col min="14605" max="14605" width="7.28515625" style="1121" customWidth="1"/>
    <col min="14606" max="14606" width="33" style="1121" customWidth="1"/>
    <col min="14607" max="14608" width="9.140625" style="1121"/>
    <col min="14609" max="14609" width="9.140625" style="1121" customWidth="1"/>
    <col min="14610" max="14610" width="0" style="1121" hidden="1" customWidth="1"/>
    <col min="14611" max="14846" width="9.140625" style="1121"/>
    <col min="14847" max="14847" width="16.85546875" style="1121" customWidth="1"/>
    <col min="14848" max="14848" width="20" style="1121" customWidth="1"/>
    <col min="14849" max="14849" width="29.5703125" style="1121" customWidth="1"/>
    <col min="14850" max="14850" width="20.28515625" style="1121" customWidth="1"/>
    <col min="14851" max="14851" width="12.42578125" style="1121" customWidth="1"/>
    <col min="14852" max="14852" width="8.5703125" style="1121" customWidth="1"/>
    <col min="14853" max="14853" width="9" style="1121" customWidth="1"/>
    <col min="14854" max="14854" width="12.85546875" style="1121" customWidth="1"/>
    <col min="14855" max="14855" width="11" style="1121" customWidth="1"/>
    <col min="14856" max="14856" width="14.5703125" style="1121" customWidth="1"/>
    <col min="14857" max="14857" width="7.7109375" style="1121" customWidth="1"/>
    <col min="14858" max="14858" width="11.42578125" style="1121" customWidth="1"/>
    <col min="14859" max="14859" width="12.28515625" style="1121" customWidth="1"/>
    <col min="14860" max="14860" width="5.7109375" style="1121" customWidth="1"/>
    <col min="14861" max="14861" width="7.28515625" style="1121" customWidth="1"/>
    <col min="14862" max="14862" width="33" style="1121" customWidth="1"/>
    <col min="14863" max="14864" width="9.140625" style="1121"/>
    <col min="14865" max="14865" width="9.140625" style="1121" customWidth="1"/>
    <col min="14866" max="14866" width="0" style="1121" hidden="1" customWidth="1"/>
    <col min="14867" max="15102" width="9.140625" style="1121"/>
    <col min="15103" max="15103" width="16.85546875" style="1121" customWidth="1"/>
    <col min="15104" max="15104" width="20" style="1121" customWidth="1"/>
    <col min="15105" max="15105" width="29.5703125" style="1121" customWidth="1"/>
    <col min="15106" max="15106" width="20.28515625" style="1121" customWidth="1"/>
    <col min="15107" max="15107" width="12.42578125" style="1121" customWidth="1"/>
    <col min="15108" max="15108" width="8.5703125" style="1121" customWidth="1"/>
    <col min="15109" max="15109" width="9" style="1121" customWidth="1"/>
    <col min="15110" max="15110" width="12.85546875" style="1121" customWidth="1"/>
    <col min="15111" max="15111" width="11" style="1121" customWidth="1"/>
    <col min="15112" max="15112" width="14.5703125" style="1121" customWidth="1"/>
    <col min="15113" max="15113" width="7.7109375" style="1121" customWidth="1"/>
    <col min="15114" max="15114" width="11.42578125" style="1121" customWidth="1"/>
    <col min="15115" max="15115" width="12.28515625" style="1121" customWidth="1"/>
    <col min="15116" max="15116" width="5.7109375" style="1121" customWidth="1"/>
    <col min="15117" max="15117" width="7.28515625" style="1121" customWidth="1"/>
    <col min="15118" max="15118" width="33" style="1121" customWidth="1"/>
    <col min="15119" max="15120" width="9.140625" style="1121"/>
    <col min="15121" max="15121" width="9.140625" style="1121" customWidth="1"/>
    <col min="15122" max="15122" width="0" style="1121" hidden="1" customWidth="1"/>
    <col min="15123" max="15358" width="9.140625" style="1121"/>
    <col min="15359" max="15359" width="16.85546875" style="1121" customWidth="1"/>
    <col min="15360" max="15360" width="20" style="1121" customWidth="1"/>
    <col min="15361" max="15361" width="29.5703125" style="1121" customWidth="1"/>
    <col min="15362" max="15362" width="20.28515625" style="1121" customWidth="1"/>
    <col min="15363" max="15363" width="12.42578125" style="1121" customWidth="1"/>
    <col min="15364" max="15364" width="8.5703125" style="1121" customWidth="1"/>
    <col min="15365" max="15365" width="9" style="1121" customWidth="1"/>
    <col min="15366" max="15366" width="12.85546875" style="1121" customWidth="1"/>
    <col min="15367" max="15367" width="11" style="1121" customWidth="1"/>
    <col min="15368" max="15368" width="14.5703125" style="1121" customWidth="1"/>
    <col min="15369" max="15369" width="7.7109375" style="1121" customWidth="1"/>
    <col min="15370" max="15370" width="11.42578125" style="1121" customWidth="1"/>
    <col min="15371" max="15371" width="12.28515625" style="1121" customWidth="1"/>
    <col min="15372" max="15372" width="5.7109375" style="1121" customWidth="1"/>
    <col min="15373" max="15373" width="7.28515625" style="1121" customWidth="1"/>
    <col min="15374" max="15374" width="33" style="1121" customWidth="1"/>
    <col min="15375" max="15376" width="9.140625" style="1121"/>
    <col min="15377" max="15377" width="9.140625" style="1121" customWidth="1"/>
    <col min="15378" max="15378" width="0" style="1121" hidden="1" customWidth="1"/>
    <col min="15379" max="15614" width="9.140625" style="1121"/>
    <col min="15615" max="15615" width="16.85546875" style="1121" customWidth="1"/>
    <col min="15616" max="15616" width="20" style="1121" customWidth="1"/>
    <col min="15617" max="15617" width="29.5703125" style="1121" customWidth="1"/>
    <col min="15618" max="15618" width="20.28515625" style="1121" customWidth="1"/>
    <col min="15619" max="15619" width="12.42578125" style="1121" customWidth="1"/>
    <col min="15620" max="15620" width="8.5703125" style="1121" customWidth="1"/>
    <col min="15621" max="15621" width="9" style="1121" customWidth="1"/>
    <col min="15622" max="15622" width="12.85546875" style="1121" customWidth="1"/>
    <col min="15623" max="15623" width="11" style="1121" customWidth="1"/>
    <col min="15624" max="15624" width="14.5703125" style="1121" customWidth="1"/>
    <col min="15625" max="15625" width="7.7109375" style="1121" customWidth="1"/>
    <col min="15626" max="15626" width="11.42578125" style="1121" customWidth="1"/>
    <col min="15627" max="15627" width="12.28515625" style="1121" customWidth="1"/>
    <col min="15628" max="15628" width="5.7109375" style="1121" customWidth="1"/>
    <col min="15629" max="15629" width="7.28515625" style="1121" customWidth="1"/>
    <col min="15630" max="15630" width="33" style="1121" customWidth="1"/>
    <col min="15631" max="15632" width="9.140625" style="1121"/>
    <col min="15633" max="15633" width="9.140625" style="1121" customWidth="1"/>
    <col min="15634" max="15634" width="0" style="1121" hidden="1" customWidth="1"/>
    <col min="15635" max="15870" width="9.140625" style="1121"/>
    <col min="15871" max="15871" width="16.85546875" style="1121" customWidth="1"/>
    <col min="15872" max="15872" width="20" style="1121" customWidth="1"/>
    <col min="15873" max="15873" width="29.5703125" style="1121" customWidth="1"/>
    <col min="15874" max="15874" width="20.28515625" style="1121" customWidth="1"/>
    <col min="15875" max="15875" width="12.42578125" style="1121" customWidth="1"/>
    <col min="15876" max="15876" width="8.5703125" style="1121" customWidth="1"/>
    <col min="15877" max="15877" width="9" style="1121" customWidth="1"/>
    <col min="15878" max="15878" width="12.85546875" style="1121" customWidth="1"/>
    <col min="15879" max="15879" width="11" style="1121" customWidth="1"/>
    <col min="15880" max="15880" width="14.5703125" style="1121" customWidth="1"/>
    <col min="15881" max="15881" width="7.7109375" style="1121" customWidth="1"/>
    <col min="15882" max="15882" width="11.42578125" style="1121" customWidth="1"/>
    <col min="15883" max="15883" width="12.28515625" style="1121" customWidth="1"/>
    <col min="15884" max="15884" width="5.7109375" style="1121" customWidth="1"/>
    <col min="15885" max="15885" width="7.28515625" style="1121" customWidth="1"/>
    <col min="15886" max="15886" width="33" style="1121" customWidth="1"/>
    <col min="15887" max="15888" width="9.140625" style="1121"/>
    <col min="15889" max="15889" width="9.140625" style="1121" customWidth="1"/>
    <col min="15890" max="15890" width="0" style="1121" hidden="1" customWidth="1"/>
    <col min="15891" max="16126" width="9.140625" style="1121"/>
    <col min="16127" max="16127" width="16.85546875" style="1121" customWidth="1"/>
    <col min="16128" max="16128" width="20" style="1121" customWidth="1"/>
    <col min="16129" max="16129" width="29.5703125" style="1121" customWidth="1"/>
    <col min="16130" max="16130" width="20.28515625" style="1121" customWidth="1"/>
    <col min="16131" max="16131" width="12.42578125" style="1121" customWidth="1"/>
    <col min="16132" max="16132" width="8.5703125" style="1121" customWidth="1"/>
    <col min="16133" max="16133" width="9" style="1121" customWidth="1"/>
    <col min="16134" max="16134" width="12.85546875" style="1121" customWidth="1"/>
    <col min="16135" max="16135" width="11" style="1121" customWidth="1"/>
    <col min="16136" max="16136" width="14.5703125" style="1121" customWidth="1"/>
    <col min="16137" max="16137" width="7.7109375" style="1121" customWidth="1"/>
    <col min="16138" max="16138" width="11.42578125" style="1121" customWidth="1"/>
    <col min="16139" max="16139" width="12.28515625" style="1121" customWidth="1"/>
    <col min="16140" max="16140" width="5.7109375" style="1121" customWidth="1"/>
    <col min="16141" max="16141" width="7.28515625" style="1121" customWidth="1"/>
    <col min="16142" max="16142" width="33" style="1121" customWidth="1"/>
    <col min="16143" max="16144" width="9.140625" style="1121"/>
    <col min="16145" max="16145" width="9.140625" style="1121" customWidth="1"/>
    <col min="16146" max="16146" width="0" style="1121" hidden="1" customWidth="1"/>
    <col min="16147" max="16384" width="9.140625" style="1121"/>
  </cols>
  <sheetData>
    <row r="1" spans="1:63" s="1119" customFormat="1" ht="18.75">
      <c r="A1" s="1881" t="s">
        <v>3609</v>
      </c>
      <c r="B1" s="1092" t="s">
        <v>4095</v>
      </c>
      <c r="C1" s="1058"/>
      <c r="D1" s="1231"/>
      <c r="E1" s="1058"/>
      <c r="F1" s="1058"/>
      <c r="G1" s="1058"/>
      <c r="H1" s="1058"/>
      <c r="I1" s="1058"/>
      <c r="J1" s="1058"/>
      <c r="K1" s="2472" t="s">
        <v>2595</v>
      </c>
      <c r="L1" s="2472"/>
      <c r="M1" s="2472" t="s">
        <v>3610</v>
      </c>
      <c r="N1" s="2472"/>
    </row>
    <row r="2" spans="1:63" s="1119" customFormat="1">
      <c r="B2" s="1034" t="s">
        <v>3198</v>
      </c>
      <c r="C2" s="1035">
        <f>'Basic Info'!C29:D29</f>
        <v>0</v>
      </c>
      <c r="D2" s="913"/>
      <c r="E2" s="913"/>
      <c r="F2" s="923"/>
      <c r="G2" s="923"/>
      <c r="H2" s="923"/>
      <c r="I2" s="2531"/>
      <c r="J2" s="2531"/>
      <c r="K2" s="2502"/>
      <c r="L2" s="2502"/>
      <c r="M2" s="2570"/>
      <c r="N2" s="2570"/>
    </row>
    <row r="3" spans="1:63" s="1119" customFormat="1">
      <c r="F3" s="923"/>
      <c r="G3" s="923"/>
      <c r="H3" s="923"/>
      <c r="I3" s="2531"/>
      <c r="J3" s="2531"/>
      <c r="K3" s="2502"/>
      <c r="L3" s="2502"/>
      <c r="M3" s="2570"/>
      <c r="N3" s="2570"/>
    </row>
    <row r="4" spans="1:63">
      <c r="A4" s="1195"/>
      <c r="K4" s="2502"/>
      <c r="L4" s="2502"/>
      <c r="M4" s="2420"/>
      <c r="N4" s="2420"/>
    </row>
    <row r="5" spans="1:63" s="1285" customFormat="1">
      <c r="A5" s="1198"/>
      <c r="B5" s="2532" t="s">
        <v>3981</v>
      </c>
      <c r="C5" s="2533"/>
      <c r="D5" s="2534"/>
      <c r="E5" s="2534"/>
      <c r="F5" s="1198"/>
      <c r="G5" s="1198"/>
      <c r="H5" s="1198"/>
      <c r="I5" s="1198"/>
      <c r="J5" s="1198"/>
      <c r="K5" s="2569"/>
      <c r="L5" s="2569"/>
      <c r="M5" s="2571"/>
      <c r="N5" s="2571"/>
      <c r="O5" s="1198"/>
      <c r="P5" s="1198"/>
      <c r="Q5" s="1198"/>
      <c r="R5" s="1198"/>
      <c r="S5" s="1198"/>
      <c r="T5" s="1198"/>
      <c r="U5" s="1198"/>
      <c r="V5" s="1198"/>
      <c r="W5" s="1198"/>
      <c r="X5" s="1198"/>
      <c r="Y5" s="1198"/>
      <c r="Z5" s="1198"/>
      <c r="AA5" s="1198"/>
      <c r="AB5" s="1198"/>
      <c r="AC5" s="1198"/>
      <c r="AD5" s="1198"/>
      <c r="AE5" s="1198"/>
      <c r="AF5" s="1198"/>
      <c r="AG5" s="1198"/>
      <c r="AH5" s="1198"/>
      <c r="AI5" s="1198"/>
      <c r="AJ5" s="1198"/>
      <c r="AK5" s="1198"/>
      <c r="AL5" s="1198"/>
      <c r="AM5" s="1198"/>
      <c r="AN5" s="1198"/>
      <c r="AO5" s="1198"/>
      <c r="AP5" s="1198"/>
      <c r="AQ5" s="1198"/>
      <c r="AR5" s="1198"/>
      <c r="AS5" s="1198"/>
      <c r="AT5" s="1198"/>
      <c r="AU5" s="1198"/>
      <c r="AV5" s="1198"/>
      <c r="AW5" s="1198"/>
      <c r="AX5" s="1198"/>
      <c r="AY5" s="1198"/>
      <c r="AZ5" s="1198"/>
      <c r="BA5" s="1198"/>
      <c r="BB5" s="1198"/>
      <c r="BC5" s="1198"/>
      <c r="BD5" s="1198"/>
      <c r="BE5" s="1198"/>
      <c r="BF5" s="1198"/>
      <c r="BG5" s="1198"/>
      <c r="BH5" s="1198"/>
      <c r="BI5" s="1198"/>
      <c r="BJ5" s="1198"/>
      <c r="BK5" s="1198"/>
    </row>
    <row r="6" spans="1:63" ht="12.75" customHeight="1">
      <c r="B6" s="2536" t="s">
        <v>3643</v>
      </c>
      <c r="C6" s="2536"/>
      <c r="D6" s="2536"/>
      <c r="E6" s="2536"/>
      <c r="F6" s="2536"/>
      <c r="G6" s="2536"/>
      <c r="H6" s="2536"/>
      <c r="I6" s="2536"/>
      <c r="J6" s="2536"/>
      <c r="K6" s="2536"/>
      <c r="L6" s="2536"/>
      <c r="M6" s="2536"/>
      <c r="N6" s="2536"/>
    </row>
    <row r="7" spans="1:63" ht="12" customHeight="1">
      <c r="B7" s="2536" t="s">
        <v>3644</v>
      </c>
      <c r="C7" s="2536"/>
      <c r="D7" s="2536"/>
      <c r="E7" s="2536"/>
      <c r="F7" s="2536"/>
      <c r="G7" s="2536"/>
      <c r="H7" s="2536"/>
      <c r="I7" s="2536"/>
      <c r="J7" s="2536"/>
      <c r="K7" s="2536"/>
      <c r="L7" s="2536"/>
      <c r="M7" s="2536"/>
      <c r="N7" s="2536"/>
    </row>
    <row r="8" spans="1:63">
      <c r="B8" s="2536" t="s">
        <v>3645</v>
      </c>
      <c r="C8" s="2536"/>
      <c r="D8" s="2536"/>
      <c r="E8" s="2536"/>
      <c r="F8" s="2536"/>
      <c r="G8" s="2536"/>
      <c r="H8" s="2536"/>
      <c r="I8" s="2536"/>
      <c r="J8" s="2536"/>
      <c r="K8" s="2536"/>
      <c r="L8" s="2536"/>
      <c r="M8" s="2536"/>
      <c r="N8" s="2536"/>
    </row>
    <row r="9" spans="1:63">
      <c r="B9" s="1131"/>
      <c r="C9" s="1131"/>
      <c r="D9" s="1131"/>
      <c r="E9" s="1131"/>
      <c r="F9" s="1131"/>
      <c r="G9" s="1131"/>
      <c r="H9" s="1131"/>
      <c r="I9" s="1131"/>
      <c r="J9" s="1131"/>
      <c r="K9" s="1057"/>
      <c r="L9" s="1057"/>
      <c r="M9" s="1057"/>
      <c r="N9" s="1057"/>
    </row>
    <row r="10" spans="1:63">
      <c r="A10" s="1124"/>
      <c r="B10" s="1239" t="s">
        <v>3927</v>
      </c>
      <c r="C10" s="923"/>
      <c r="D10" s="923"/>
      <c r="E10" s="923"/>
      <c r="F10" s="923"/>
      <c r="G10" s="923"/>
      <c r="H10" s="923"/>
      <c r="I10" s="2531"/>
      <c r="J10" s="2531"/>
      <c r="K10" s="2569"/>
      <c r="L10" s="2569"/>
      <c r="M10" s="923"/>
      <c r="N10" s="923"/>
    </row>
    <row r="11" spans="1:63" ht="12.75" customHeight="1">
      <c r="A11" s="1124"/>
      <c r="B11" s="923" t="s">
        <v>3734</v>
      </c>
      <c r="C11" s="923"/>
      <c r="D11" s="923"/>
      <c r="E11" s="923"/>
      <c r="F11" s="923"/>
      <c r="G11" s="923"/>
      <c r="H11" s="923"/>
      <c r="I11" s="923"/>
      <c r="J11" s="923"/>
      <c r="K11" s="923"/>
      <c r="L11" s="923"/>
      <c r="M11" s="923"/>
      <c r="N11" s="923"/>
    </row>
    <row r="12" spans="1:63" ht="12.75" customHeight="1">
      <c r="A12" s="1124"/>
      <c r="B12" s="923" t="s">
        <v>3647</v>
      </c>
      <c r="C12" s="923"/>
      <c r="D12" s="923"/>
      <c r="E12" s="923"/>
      <c r="F12" s="923"/>
      <c r="G12" s="923"/>
      <c r="H12" s="923"/>
      <c r="I12" s="923"/>
      <c r="J12" s="923"/>
      <c r="K12" s="923"/>
      <c r="L12" s="923"/>
      <c r="M12" s="923"/>
      <c r="N12" s="923"/>
      <c r="O12" s="1124"/>
    </row>
    <row r="13" spans="1:63">
      <c r="A13" s="1124"/>
      <c r="B13" s="923"/>
      <c r="C13" s="923"/>
      <c r="D13" s="923"/>
      <c r="E13" s="923"/>
      <c r="F13" s="923"/>
      <c r="G13" s="923"/>
      <c r="H13" s="923"/>
      <c r="I13" s="923"/>
      <c r="J13" s="923"/>
      <c r="K13" s="923"/>
      <c r="L13" s="923"/>
      <c r="M13" s="923"/>
      <c r="N13" s="923"/>
      <c r="O13" s="1124"/>
    </row>
    <row r="14" spans="1:63">
      <c r="A14" s="1124"/>
      <c r="B14" s="1011" t="s">
        <v>3982</v>
      </c>
      <c r="C14" s="923"/>
      <c r="D14" s="923"/>
      <c r="E14" s="923"/>
      <c r="F14" s="923"/>
      <c r="G14" s="923"/>
      <c r="H14" s="923"/>
      <c r="I14" s="923"/>
      <c r="J14" s="923"/>
      <c r="K14" s="923"/>
      <c r="L14" s="923"/>
      <c r="M14" s="923"/>
      <c r="N14" s="923"/>
      <c r="O14" s="1124"/>
    </row>
    <row r="15" spans="1:63">
      <c r="A15" s="1124"/>
      <c r="B15" s="923" t="s">
        <v>3735</v>
      </c>
      <c r="C15" s="923"/>
      <c r="D15" s="923"/>
      <c r="E15" s="923"/>
      <c r="F15" s="923"/>
      <c r="G15" s="923"/>
      <c r="H15" s="923"/>
      <c r="I15" s="923"/>
      <c r="J15" s="923"/>
      <c r="K15" s="923"/>
      <c r="L15" s="923"/>
      <c r="M15" s="923"/>
      <c r="N15" s="923"/>
    </row>
    <row r="16" spans="1:63" ht="23.25" customHeight="1">
      <c r="A16" s="1124"/>
      <c r="B16" s="2394" t="s">
        <v>4076</v>
      </c>
      <c r="C16" s="2394"/>
      <c r="D16" s="2394"/>
      <c r="E16" s="2394"/>
      <c r="F16" s="2394"/>
      <c r="G16" s="2394"/>
      <c r="H16" s="2394"/>
      <c r="I16" s="2394"/>
      <c r="J16" s="2394"/>
      <c r="K16" s="2394"/>
      <c r="L16" s="2394"/>
      <c r="M16" s="2394"/>
      <c r="N16" s="2394"/>
    </row>
    <row r="17" spans="1:14">
      <c r="A17" s="1124"/>
      <c r="B17" s="923" t="s">
        <v>4069</v>
      </c>
      <c r="C17" s="923"/>
      <c r="D17" s="923"/>
      <c r="E17" s="923"/>
      <c r="F17" s="923"/>
      <c r="G17" s="923"/>
      <c r="H17" s="923"/>
      <c r="I17" s="923"/>
      <c r="J17" s="923"/>
      <c r="K17" s="923"/>
      <c r="L17" s="923"/>
      <c r="M17" s="923"/>
      <c r="N17" s="923"/>
    </row>
    <row r="18" spans="1:14">
      <c r="A18" s="1124"/>
      <c r="B18" s="1286" t="s">
        <v>3736</v>
      </c>
      <c r="C18" s="923"/>
      <c r="D18" s="923"/>
      <c r="E18" s="923"/>
      <c r="F18" s="923"/>
      <c r="G18" s="923"/>
      <c r="H18" s="923"/>
      <c r="I18" s="923"/>
      <c r="J18" s="923"/>
      <c r="K18" s="923"/>
      <c r="L18" s="923"/>
      <c r="M18" s="923"/>
      <c r="N18" s="923"/>
    </row>
    <row r="19" spans="1:14">
      <c r="A19" s="1124"/>
      <c r="B19" s="1286"/>
      <c r="C19" s="923"/>
      <c r="D19" s="923"/>
      <c r="E19" s="923"/>
      <c r="F19" s="923"/>
      <c r="G19" s="923"/>
      <c r="H19" s="923"/>
      <c r="I19" s="923"/>
      <c r="J19" s="923"/>
      <c r="K19" s="923"/>
      <c r="L19" s="923"/>
      <c r="M19" s="923"/>
      <c r="N19" s="923"/>
    </row>
    <row r="20" spans="1:14" ht="51.75">
      <c r="A20" s="1124"/>
      <c r="B20" s="1241" t="s">
        <v>2292</v>
      </c>
      <c r="C20" s="1241" t="s">
        <v>3648</v>
      </c>
      <c r="D20" s="1241" t="s">
        <v>3624</v>
      </c>
      <c r="E20" s="1241" t="s">
        <v>3623</v>
      </c>
      <c r="F20" s="1162" t="s">
        <v>3621</v>
      </c>
      <c r="G20" s="1162" t="s">
        <v>3622</v>
      </c>
      <c r="H20" s="1162" t="s">
        <v>3737</v>
      </c>
      <c r="I20" s="1241" t="s">
        <v>3738</v>
      </c>
      <c r="J20" s="1241" t="s">
        <v>3649</v>
      </c>
      <c r="K20" s="1241" t="s">
        <v>3739</v>
      </c>
      <c r="L20" s="1085" t="s">
        <v>3740</v>
      </c>
      <c r="M20" s="1083" t="s">
        <v>3627</v>
      </c>
      <c r="N20" s="1162" t="s">
        <v>3975</v>
      </c>
    </row>
    <row r="21" spans="1:14">
      <c r="A21" s="1124"/>
      <c r="B21" s="1071"/>
      <c r="C21" s="1071"/>
      <c r="D21" s="1071"/>
      <c r="E21" s="1071"/>
      <c r="F21" s="1071"/>
      <c r="G21" s="1071"/>
      <c r="H21" s="1291"/>
      <c r="I21" s="1071"/>
      <c r="J21" s="1292"/>
      <c r="K21" s="1293"/>
      <c r="L21" s="1071"/>
      <c r="M21" s="1076"/>
      <c r="N21" s="1076"/>
    </row>
    <row r="22" spans="1:14">
      <c r="A22" s="1124"/>
      <c r="B22" s="1071"/>
      <c r="C22" s="1071"/>
      <c r="D22" s="1071"/>
      <c r="E22" s="1071"/>
      <c r="F22" s="1071"/>
      <c r="G22" s="1071"/>
      <c r="H22" s="1291"/>
      <c r="I22" s="1071"/>
      <c r="J22" s="1071"/>
      <c r="K22" s="1293"/>
      <c r="L22" s="1071"/>
      <c r="M22" s="1076"/>
      <c r="N22" s="1076"/>
    </row>
    <row r="23" spans="1:14">
      <c r="A23" s="1124"/>
      <c r="B23" s="1071"/>
      <c r="C23" s="1071"/>
      <c r="D23" s="1071"/>
      <c r="E23" s="1071"/>
      <c r="F23" s="1071"/>
      <c r="G23" s="1071"/>
      <c r="H23" s="1071"/>
      <c r="I23" s="1071"/>
      <c r="J23" s="1071"/>
      <c r="K23" s="1293"/>
      <c r="L23" s="1071"/>
      <c r="M23" s="1076"/>
      <c r="N23" s="1076"/>
    </row>
    <row r="24" spans="1:14">
      <c r="B24" s="1071"/>
      <c r="C24" s="1071"/>
      <c r="D24" s="1071"/>
      <c r="E24" s="1071"/>
      <c r="F24" s="1071"/>
      <c r="G24" s="1071"/>
      <c r="H24" s="1071"/>
      <c r="I24" s="1071"/>
      <c r="J24" s="1071"/>
      <c r="K24" s="1293"/>
      <c r="L24" s="1071"/>
      <c r="M24" s="1076"/>
      <c r="N24" s="1076"/>
    </row>
    <row r="25" spans="1:14">
      <c r="B25" s="1071"/>
      <c r="C25" s="1071"/>
      <c r="D25" s="1071"/>
      <c r="E25" s="1071"/>
      <c r="F25" s="1071"/>
      <c r="G25" s="1071"/>
      <c r="H25" s="1071"/>
      <c r="I25" s="1071"/>
      <c r="J25" s="1071"/>
      <c r="K25" s="1293"/>
      <c r="L25" s="1071"/>
      <c r="M25" s="1076"/>
      <c r="N25" s="1076"/>
    </row>
    <row r="26" spans="1:14">
      <c r="B26" s="1071"/>
      <c r="C26" s="1071"/>
      <c r="D26" s="1071"/>
      <c r="E26" s="1071"/>
      <c r="F26" s="1071"/>
      <c r="G26" s="1071"/>
      <c r="H26" s="1071"/>
      <c r="I26" s="1071"/>
      <c r="J26" s="1071"/>
      <c r="K26" s="1293"/>
      <c r="L26" s="1071"/>
      <c r="M26" s="1076"/>
      <c r="N26" s="1076"/>
    </row>
    <row r="27" spans="1:14">
      <c r="B27" s="1071"/>
      <c r="C27" s="1071"/>
      <c r="D27" s="1071"/>
      <c r="E27" s="1071"/>
      <c r="F27" s="1071"/>
      <c r="G27" s="1071"/>
      <c r="H27" s="1071"/>
      <c r="I27" s="1071"/>
      <c r="J27" s="1071"/>
      <c r="K27" s="1293"/>
      <c r="L27" s="1071"/>
      <c r="M27" s="1076"/>
      <c r="N27" s="1076"/>
    </row>
    <row r="28" spans="1:14">
      <c r="B28" s="1071"/>
      <c r="C28" s="1071"/>
      <c r="D28" s="1071"/>
      <c r="E28" s="1071"/>
      <c r="F28" s="1071"/>
      <c r="G28" s="1071"/>
      <c r="H28" s="1071"/>
      <c r="I28" s="1071"/>
      <c r="J28" s="1071"/>
      <c r="K28" s="1293"/>
      <c r="L28" s="1071"/>
      <c r="M28" s="1076"/>
      <c r="N28" s="1076"/>
    </row>
    <row r="29" spans="1:14">
      <c r="B29" s="1071"/>
      <c r="C29" s="1071"/>
      <c r="D29" s="1071"/>
      <c r="E29" s="1071"/>
      <c r="F29" s="1071"/>
      <c r="G29" s="1071"/>
      <c r="H29" s="1071"/>
      <c r="I29" s="1071"/>
      <c r="J29" s="1071"/>
      <c r="K29" s="1293"/>
      <c r="L29" s="1071"/>
      <c r="M29" s="1076"/>
      <c r="N29" s="1076"/>
    </row>
    <row r="30" spans="1:14">
      <c r="B30" s="1071"/>
      <c r="C30" s="1071"/>
      <c r="D30" s="1071"/>
      <c r="E30" s="1071"/>
      <c r="F30" s="1071"/>
      <c r="G30" s="1071"/>
      <c r="H30" s="1071"/>
      <c r="I30" s="1071"/>
      <c r="J30" s="1071"/>
      <c r="K30" s="1293"/>
      <c r="L30" s="1071"/>
      <c r="M30" s="1076"/>
      <c r="N30" s="1076"/>
    </row>
    <row r="31" spans="1:14">
      <c r="B31" s="1278"/>
      <c r="C31" s="1278"/>
      <c r="D31" s="1278"/>
      <c r="E31" s="1278"/>
      <c r="F31" s="1278"/>
      <c r="G31" s="1278"/>
      <c r="H31" s="1278"/>
      <c r="I31" s="1278"/>
      <c r="J31" s="1278"/>
      <c r="K31" s="1294"/>
      <c r="L31" s="1278"/>
      <c r="M31" s="1263"/>
      <c r="N31" s="1263"/>
    </row>
    <row r="32" spans="1:14" ht="51.75">
      <c r="B32" s="2443"/>
      <c r="C32" s="2443"/>
      <c r="D32" s="2443"/>
      <c r="E32" s="2443"/>
      <c r="F32" s="2443" t="s">
        <v>4096</v>
      </c>
      <c r="G32" s="2443"/>
      <c r="H32" s="2443"/>
      <c r="I32" s="2443" t="s">
        <v>3619</v>
      </c>
      <c r="J32" s="2443"/>
      <c r="K32" s="2443" t="s">
        <v>3620</v>
      </c>
      <c r="L32" s="2443"/>
      <c r="M32" s="1083" t="s">
        <v>3627</v>
      </c>
      <c r="N32" s="1162" t="s">
        <v>3975</v>
      </c>
    </row>
    <row r="33" spans="1:63" ht="36" customHeight="1" thickBot="1">
      <c r="B33" s="2509" t="s">
        <v>4077</v>
      </c>
      <c r="C33" s="2510"/>
      <c r="D33" s="2510"/>
      <c r="E33" s="2564"/>
      <c r="F33" s="2414" t="s">
        <v>3597</v>
      </c>
      <c r="G33" s="2395"/>
      <c r="H33" s="2415"/>
      <c r="I33" s="2565" t="s">
        <v>3652</v>
      </c>
      <c r="J33" s="2566"/>
      <c r="K33" s="2568" t="s">
        <v>3652</v>
      </c>
      <c r="L33" s="2565"/>
      <c r="M33" s="1297"/>
      <c r="N33" s="1297"/>
    </row>
    <row r="34" spans="1:63" ht="12.75" thickBot="1">
      <c r="B34" s="2551" t="s">
        <v>3219</v>
      </c>
      <c r="C34" s="2552"/>
      <c r="D34" s="2552"/>
      <c r="E34" s="2552"/>
      <c r="F34" s="2552"/>
      <c r="G34" s="2552"/>
      <c r="H34" s="2552"/>
      <c r="I34" s="2552"/>
      <c r="J34" s="2552"/>
      <c r="K34" s="2552"/>
      <c r="L34" s="2552"/>
      <c r="M34" s="2552"/>
      <c r="N34" s="2553"/>
    </row>
    <row r="35" spans="1:63" ht="78" customHeight="1">
      <c r="B35" s="2381" t="s">
        <v>4078</v>
      </c>
      <c r="C35" s="2382"/>
      <c r="D35" s="2382"/>
      <c r="E35" s="2416"/>
      <c r="F35" s="2427" t="s">
        <v>4510</v>
      </c>
      <c r="G35" s="2427"/>
      <c r="H35" s="2427"/>
      <c r="I35" s="2567" t="str">
        <f>ERMs!C48</f>
        <v>Primary System:   serving ,  SEER 
Secondary system:   serving ,  SEER</v>
      </c>
      <c r="J35" s="2567"/>
      <c r="K35" s="2567" t="str">
        <f>ERMs!D48</f>
        <v>Baseline:  SEER
Proposed (Primary):  SEER
Proposed (Secondary):  SEER</v>
      </c>
      <c r="L35" s="2567"/>
      <c r="M35" s="1107"/>
      <c r="N35" s="1107"/>
    </row>
    <row r="36" spans="1:63" s="1175" customFormat="1" ht="99" customHeight="1">
      <c r="A36" s="1148"/>
      <c r="B36" s="2391" t="s">
        <v>4079</v>
      </c>
      <c r="C36" s="2400"/>
      <c r="D36" s="2400"/>
      <c r="E36" s="2417"/>
      <c r="F36" s="2398" t="s">
        <v>3600</v>
      </c>
      <c r="G36" s="2398"/>
      <c r="H36" s="2398"/>
      <c r="I36" s="2559" t="str">
        <f>ERMs!C51</f>
        <v>Primary system:  tons
Secondary system:  tons</v>
      </c>
      <c r="J36" s="2559"/>
      <c r="K36" s="2559" t="str">
        <f>ERMs!D51</f>
        <v>Baseline:  tons
Proposed (primary):  tons
Proposed (secondary):  tons</v>
      </c>
      <c r="L36" s="2537"/>
      <c r="M36" s="1101"/>
      <c r="N36" s="1101"/>
    </row>
    <row r="37" spans="1:63" ht="60" customHeight="1" thickBot="1">
      <c r="A37" s="1287"/>
      <c r="B37" s="2407" t="s">
        <v>4080</v>
      </c>
      <c r="C37" s="2408"/>
      <c r="D37" s="2408"/>
      <c r="E37" s="2408"/>
      <c r="F37" s="2408"/>
      <c r="G37" s="2408"/>
      <c r="H37" s="2409"/>
      <c r="I37" s="2560" t="str">
        <f>ERMs!C52</f>
        <v>None</v>
      </c>
      <c r="J37" s="2560"/>
      <c r="K37" s="2560" t="str">
        <f>ERMs!D52</f>
        <v xml:space="preserve">Baseline: None
Proposed: </v>
      </c>
      <c r="L37" s="2561"/>
      <c r="M37" s="1097"/>
      <c r="N37" s="1097"/>
    </row>
    <row r="38" spans="1:63" s="1285" customFormat="1" ht="12.75" thickBot="1">
      <c r="A38" s="1198"/>
      <c r="B38" s="2551" t="s">
        <v>3243</v>
      </c>
      <c r="C38" s="2552"/>
      <c r="D38" s="2552"/>
      <c r="E38" s="2552"/>
      <c r="F38" s="2552"/>
      <c r="G38" s="2552"/>
      <c r="H38" s="2552"/>
      <c r="I38" s="2552"/>
      <c r="J38" s="2552"/>
      <c r="K38" s="2552"/>
      <c r="L38" s="2552"/>
      <c r="M38" s="2552"/>
      <c r="N38" s="2553"/>
      <c r="O38" s="1198"/>
      <c r="P38" s="1198"/>
      <c r="Q38" s="1198"/>
      <c r="R38" s="1198"/>
      <c r="S38" s="1198"/>
      <c r="T38" s="1198"/>
      <c r="U38" s="1198"/>
      <c r="V38" s="1198"/>
      <c r="W38" s="1198"/>
      <c r="X38" s="1198"/>
      <c r="Y38" s="1198"/>
      <c r="Z38" s="1198"/>
      <c r="AA38" s="1198"/>
      <c r="AB38" s="1198"/>
      <c r="AC38" s="1198"/>
      <c r="AD38" s="1198"/>
      <c r="AE38" s="1198"/>
      <c r="AF38" s="1198"/>
      <c r="AG38" s="1198"/>
      <c r="AH38" s="1198"/>
      <c r="AI38" s="1198"/>
      <c r="AJ38" s="1198"/>
      <c r="AK38" s="1198"/>
      <c r="AL38" s="1198"/>
      <c r="AM38" s="1198"/>
      <c r="AN38" s="1198"/>
      <c r="AO38" s="1198"/>
      <c r="AP38" s="1198"/>
      <c r="AQ38" s="1198"/>
      <c r="AR38" s="1198"/>
      <c r="AS38" s="1198"/>
      <c r="AT38" s="1198"/>
      <c r="AU38" s="1198"/>
      <c r="AV38" s="1198"/>
      <c r="AW38" s="1198"/>
      <c r="AX38" s="1198"/>
      <c r="AY38" s="1198"/>
      <c r="AZ38" s="1198"/>
      <c r="BA38" s="1198"/>
      <c r="BB38" s="1198"/>
      <c r="BC38" s="1198"/>
      <c r="BD38" s="1198"/>
      <c r="BE38" s="1198"/>
      <c r="BF38" s="1198"/>
      <c r="BG38" s="1198"/>
      <c r="BH38" s="1198"/>
      <c r="BI38" s="1198"/>
      <c r="BJ38" s="1198"/>
      <c r="BK38" s="1198"/>
    </row>
    <row r="39" spans="1:63" ht="76.5" customHeight="1">
      <c r="A39" s="1287"/>
      <c r="B39" s="2381" t="s">
        <v>4081</v>
      </c>
      <c r="C39" s="2382"/>
      <c r="D39" s="2382"/>
      <c r="E39" s="2382"/>
      <c r="F39" s="2382"/>
      <c r="G39" s="2382"/>
      <c r="H39" s="2382"/>
      <c r="I39" s="2382"/>
      <c r="J39" s="2382"/>
      <c r="K39" s="2382"/>
      <c r="L39" s="2558"/>
      <c r="M39" s="1107"/>
      <c r="N39" s="1107"/>
    </row>
    <row r="40" spans="1:63" ht="28.5" customHeight="1">
      <c r="A40" s="1287"/>
      <c r="B40" s="2391" t="s">
        <v>4082</v>
      </c>
      <c r="C40" s="2400"/>
      <c r="D40" s="2400"/>
      <c r="E40" s="2400"/>
      <c r="F40" s="2400"/>
      <c r="G40" s="2400"/>
      <c r="H40" s="2400"/>
      <c r="I40" s="2400"/>
      <c r="J40" s="2400"/>
      <c r="K40" s="2400"/>
      <c r="L40" s="2401"/>
      <c r="M40" s="1101"/>
      <c r="N40" s="1101"/>
      <c r="O40" s="1287"/>
    </row>
    <row r="41" spans="1:63" ht="39" customHeight="1">
      <c r="A41" s="1175"/>
      <c r="B41" s="2391" t="s">
        <v>4083</v>
      </c>
      <c r="C41" s="2400"/>
      <c r="D41" s="2400"/>
      <c r="E41" s="2400"/>
      <c r="F41" s="2400"/>
      <c r="G41" s="2400"/>
      <c r="H41" s="2400"/>
      <c r="I41" s="2400"/>
      <c r="J41" s="2400"/>
      <c r="K41" s="2400"/>
      <c r="L41" s="2401"/>
      <c r="M41" s="1101"/>
      <c r="N41" s="1101"/>
    </row>
    <row r="42" spans="1:63" s="1285" customFormat="1" ht="27" customHeight="1">
      <c r="A42" s="1198"/>
      <c r="B42" s="2391" t="s">
        <v>4582</v>
      </c>
      <c r="C42" s="2400"/>
      <c r="D42" s="2400"/>
      <c r="E42" s="2400"/>
      <c r="F42" s="2400"/>
      <c r="G42" s="2400"/>
      <c r="H42" s="2400"/>
      <c r="I42" s="2400"/>
      <c r="J42" s="2400"/>
      <c r="K42" s="2400"/>
      <c r="L42" s="2401"/>
      <c r="M42" s="1101"/>
      <c r="N42" s="1101"/>
      <c r="O42" s="1198"/>
      <c r="P42" s="1198"/>
      <c r="Q42" s="1198"/>
      <c r="R42" s="1198"/>
      <c r="S42" s="1198"/>
      <c r="T42" s="1198"/>
      <c r="U42" s="1198"/>
      <c r="V42" s="1198"/>
      <c r="W42" s="1198"/>
      <c r="X42" s="1198"/>
      <c r="Y42" s="1198"/>
      <c r="Z42" s="1198"/>
      <c r="AA42" s="1198"/>
      <c r="AB42" s="1198"/>
      <c r="AC42" s="1198"/>
      <c r="AD42" s="1198"/>
      <c r="AE42" s="1198"/>
      <c r="AF42" s="1198"/>
      <c r="AG42" s="1198"/>
      <c r="AH42" s="1198"/>
      <c r="AI42" s="1198"/>
      <c r="AJ42" s="1198"/>
      <c r="AK42" s="1198"/>
      <c r="AL42" s="1198"/>
      <c r="AM42" s="1198"/>
      <c r="AN42" s="1198"/>
      <c r="AO42" s="1198"/>
      <c r="AP42" s="1198"/>
      <c r="AQ42" s="1198"/>
      <c r="AR42" s="1198"/>
      <c r="AS42" s="1198"/>
      <c r="AT42" s="1198"/>
      <c r="AU42" s="1198"/>
      <c r="AV42" s="1198"/>
      <c r="AW42" s="1198"/>
      <c r="AX42" s="1198"/>
      <c r="AY42" s="1198"/>
      <c r="AZ42" s="1198"/>
      <c r="BA42" s="1198"/>
      <c r="BB42" s="1198"/>
      <c r="BC42" s="1198"/>
      <c r="BD42" s="1198"/>
      <c r="BE42" s="1198"/>
      <c r="BF42" s="1198"/>
      <c r="BG42" s="1198"/>
      <c r="BH42" s="1198"/>
      <c r="BI42" s="1198"/>
    </row>
    <row r="43" spans="1:63" ht="40.5" customHeight="1">
      <c r="A43" s="1175"/>
      <c r="B43" s="2391" t="s">
        <v>4084</v>
      </c>
      <c r="C43" s="2400"/>
      <c r="D43" s="2400"/>
      <c r="E43" s="2400"/>
      <c r="F43" s="2400"/>
      <c r="G43" s="2400"/>
      <c r="H43" s="2400"/>
      <c r="I43" s="2400"/>
      <c r="J43" s="2400"/>
      <c r="K43" s="2400"/>
      <c r="L43" s="2401"/>
      <c r="M43" s="1101"/>
      <c r="N43" s="1101"/>
    </row>
    <row r="44" spans="1:63" ht="27" customHeight="1" thickBot="1">
      <c r="A44" s="1175"/>
      <c r="B44" s="2407" t="s">
        <v>4085</v>
      </c>
      <c r="C44" s="2408"/>
      <c r="D44" s="2408"/>
      <c r="E44" s="2408"/>
      <c r="F44" s="2408"/>
      <c r="G44" s="2408"/>
      <c r="H44" s="2408"/>
      <c r="I44" s="2408"/>
      <c r="J44" s="2408"/>
      <c r="K44" s="2408"/>
      <c r="L44" s="2554"/>
      <c r="M44" s="1097"/>
      <c r="N44" s="1097"/>
    </row>
    <row r="45" spans="1:63" ht="12.75" thickBot="1">
      <c r="B45" s="2551" t="s">
        <v>3376</v>
      </c>
      <c r="C45" s="2552"/>
      <c r="D45" s="2552"/>
      <c r="E45" s="2552"/>
      <c r="F45" s="2552"/>
      <c r="G45" s="2552"/>
      <c r="H45" s="2552"/>
      <c r="I45" s="2552"/>
      <c r="J45" s="2552"/>
      <c r="K45" s="2552"/>
      <c r="L45" s="2552"/>
      <c r="M45" s="2552"/>
      <c r="N45" s="2553"/>
    </row>
    <row r="46" spans="1:63" ht="38.25" customHeight="1">
      <c r="B46" s="2555" t="s">
        <v>4086</v>
      </c>
      <c r="C46" s="2556"/>
      <c r="D46" s="2556"/>
      <c r="E46" s="2556"/>
      <c r="F46" s="2556"/>
      <c r="G46" s="2556"/>
      <c r="H46" s="2556"/>
      <c r="I46" s="2556"/>
      <c r="J46" s="2556"/>
      <c r="K46" s="2556"/>
      <c r="L46" s="2557"/>
      <c r="M46" s="1107"/>
      <c r="N46" s="1107"/>
    </row>
    <row r="47" spans="1:63" ht="66" customHeight="1">
      <c r="B47" s="2391" t="s">
        <v>4573</v>
      </c>
      <c r="C47" s="2392"/>
      <c r="D47" s="2392"/>
      <c r="E47" s="2392"/>
      <c r="F47" s="2392"/>
      <c r="G47" s="2392"/>
      <c r="H47" s="2392"/>
      <c r="I47" s="2392"/>
      <c r="J47" s="2392"/>
      <c r="K47" s="2392"/>
      <c r="L47" s="2402"/>
      <c r="M47" s="1824"/>
      <c r="N47" s="1824"/>
    </row>
    <row r="48" spans="1:63" ht="37.5" customHeight="1">
      <c r="B48" s="2391" t="s">
        <v>4580</v>
      </c>
      <c r="C48" s="2400"/>
      <c r="D48" s="2400"/>
      <c r="E48" s="2400"/>
      <c r="F48" s="2400"/>
      <c r="G48" s="2400"/>
      <c r="H48" s="2400"/>
      <c r="I48" s="2400"/>
      <c r="J48" s="2400"/>
      <c r="K48" s="2400"/>
      <c r="L48" s="2401"/>
      <c r="M48" s="1101"/>
      <c r="N48" s="1101"/>
    </row>
    <row r="49" spans="1:61" ht="40.5" customHeight="1">
      <c r="A49" s="1175"/>
      <c r="B49" s="2391" t="s">
        <v>4482</v>
      </c>
      <c r="C49" s="2400"/>
      <c r="D49" s="2400"/>
      <c r="E49" s="2400"/>
      <c r="F49" s="2400"/>
      <c r="G49" s="2400"/>
      <c r="H49" s="2400"/>
      <c r="I49" s="2400"/>
      <c r="J49" s="2400"/>
      <c r="K49" s="2400"/>
      <c r="L49" s="2401"/>
      <c r="M49" s="1101"/>
      <c r="N49" s="1101"/>
    </row>
    <row r="50" spans="1:61" s="1285" customFormat="1" ht="75" customHeight="1">
      <c r="A50" s="1198"/>
      <c r="B50" s="2391" t="s">
        <v>4087</v>
      </c>
      <c r="C50" s="2400"/>
      <c r="D50" s="2400"/>
      <c r="E50" s="2400"/>
      <c r="F50" s="2400"/>
      <c r="G50" s="2400"/>
      <c r="H50" s="2400"/>
      <c r="I50" s="2400"/>
      <c r="J50" s="2400"/>
      <c r="K50" s="2400"/>
      <c r="L50" s="2401"/>
      <c r="M50" s="1101"/>
      <c r="N50" s="1101"/>
      <c r="O50" s="1198"/>
      <c r="P50" s="1198"/>
      <c r="Q50" s="1198"/>
      <c r="R50" s="1198"/>
      <c r="S50" s="1198"/>
      <c r="T50" s="1198"/>
      <c r="U50" s="1198"/>
      <c r="V50" s="1198"/>
      <c r="W50" s="1198"/>
      <c r="X50" s="1198"/>
      <c r="Y50" s="1198"/>
      <c r="Z50" s="1198"/>
      <c r="AA50" s="1198"/>
      <c r="AB50" s="1198"/>
      <c r="AC50" s="1198"/>
      <c r="AD50" s="1198"/>
      <c r="AE50" s="1198"/>
      <c r="AF50" s="1198"/>
      <c r="AG50" s="1198"/>
      <c r="AH50" s="1198"/>
      <c r="AI50" s="1198"/>
      <c r="AJ50" s="1198"/>
      <c r="AK50" s="1198"/>
      <c r="AL50" s="1198"/>
      <c r="AM50" s="1198"/>
      <c r="AN50" s="1198"/>
      <c r="AO50" s="1198"/>
      <c r="AP50" s="1198"/>
      <c r="AQ50" s="1198"/>
      <c r="AR50" s="1198"/>
      <c r="AS50" s="1198"/>
      <c r="AT50" s="1198"/>
      <c r="AU50" s="1198"/>
      <c r="AV50" s="1198"/>
      <c r="AW50" s="1198"/>
      <c r="AX50" s="1198"/>
      <c r="AY50" s="1198"/>
      <c r="AZ50" s="1198"/>
      <c r="BA50" s="1198"/>
      <c r="BB50" s="1198"/>
      <c r="BC50" s="1198"/>
      <c r="BD50" s="1198"/>
      <c r="BE50" s="1198"/>
      <c r="BF50" s="1198"/>
      <c r="BG50" s="1198"/>
      <c r="BH50" s="1198"/>
      <c r="BI50" s="1198"/>
    </row>
    <row r="51" spans="1:61" ht="39.75" customHeight="1">
      <c r="A51" s="1175"/>
      <c r="B51" s="2391" t="s">
        <v>4088</v>
      </c>
      <c r="C51" s="2400"/>
      <c r="D51" s="2400"/>
      <c r="E51" s="2400"/>
      <c r="F51" s="2400"/>
      <c r="G51" s="2400"/>
      <c r="H51" s="2400"/>
      <c r="I51" s="2400"/>
      <c r="J51" s="2400"/>
      <c r="K51" s="2400"/>
      <c r="L51" s="2401"/>
      <c r="M51" s="1101"/>
      <c r="N51" s="1101"/>
    </row>
    <row r="52" spans="1:61" ht="43.5" customHeight="1">
      <c r="B52" s="2391" t="s">
        <v>4089</v>
      </c>
      <c r="C52" s="2400"/>
      <c r="D52" s="2400"/>
      <c r="E52" s="2400"/>
      <c r="F52" s="2400"/>
      <c r="G52" s="2400"/>
      <c r="H52" s="2400"/>
      <c r="I52" s="2400"/>
      <c r="J52" s="2400"/>
      <c r="K52" s="2400"/>
      <c r="L52" s="2401"/>
      <c r="M52" s="1101"/>
      <c r="N52" s="1101"/>
    </row>
    <row r="53" spans="1:61" ht="89.25" customHeight="1">
      <c r="B53" s="2391" t="s">
        <v>4579</v>
      </c>
      <c r="C53" s="2400"/>
      <c r="D53" s="2400"/>
      <c r="E53" s="2400"/>
      <c r="F53" s="2400"/>
      <c r="G53" s="2400"/>
      <c r="H53" s="2400"/>
      <c r="I53" s="2400"/>
      <c r="J53" s="2400"/>
      <c r="K53" s="2400"/>
      <c r="L53" s="2401"/>
      <c r="M53" s="1101"/>
      <c r="N53" s="1101"/>
    </row>
    <row r="54" spans="1:61" ht="30" customHeight="1" thickBot="1">
      <c r="B54" s="2407" t="s">
        <v>4090</v>
      </c>
      <c r="C54" s="2408"/>
      <c r="D54" s="2408"/>
      <c r="E54" s="2408"/>
      <c r="F54" s="2408"/>
      <c r="G54" s="2408"/>
      <c r="H54" s="2408"/>
      <c r="I54" s="2408"/>
      <c r="J54" s="2408"/>
      <c r="K54" s="2408"/>
      <c r="L54" s="2554"/>
      <c r="M54" s="1097"/>
      <c r="N54" s="1097"/>
    </row>
    <row r="55" spans="1:61" ht="12.75" thickBot="1">
      <c r="B55" s="2551" t="s">
        <v>3393</v>
      </c>
      <c r="C55" s="2552"/>
      <c r="D55" s="2552"/>
      <c r="E55" s="2552"/>
      <c r="F55" s="2552"/>
      <c r="G55" s="2552"/>
      <c r="H55" s="2552"/>
      <c r="I55" s="2552"/>
      <c r="J55" s="2552"/>
      <c r="K55" s="2552"/>
      <c r="L55" s="2552"/>
      <c r="M55" s="2552"/>
      <c r="N55" s="2553"/>
    </row>
    <row r="56" spans="1:61" ht="39.75" customHeight="1">
      <c r="A56" s="1287"/>
      <c r="B56" s="2381" t="s">
        <v>4091</v>
      </c>
      <c r="C56" s="2382"/>
      <c r="D56" s="2382"/>
      <c r="E56" s="2382"/>
      <c r="F56" s="2382"/>
      <c r="G56" s="2382"/>
      <c r="H56" s="2382"/>
      <c r="I56" s="2382"/>
      <c r="J56" s="2382"/>
      <c r="K56" s="2382"/>
      <c r="L56" s="2558"/>
      <c r="M56" s="1107"/>
      <c r="N56" s="1107"/>
    </row>
    <row r="57" spans="1:61" ht="27" customHeight="1">
      <c r="A57" s="1175"/>
      <c r="B57" s="2391" t="s">
        <v>4092</v>
      </c>
      <c r="C57" s="2400"/>
      <c r="D57" s="2400"/>
      <c r="E57" s="2400"/>
      <c r="F57" s="2400"/>
      <c r="G57" s="2400"/>
      <c r="H57" s="2400"/>
      <c r="I57" s="2400"/>
      <c r="J57" s="2400"/>
      <c r="K57" s="2400"/>
      <c r="L57" s="2401"/>
      <c r="M57" s="1101"/>
      <c r="N57" s="1101"/>
    </row>
    <row r="58" spans="1:61" ht="37.5" customHeight="1">
      <c r="B58" s="2391" t="s">
        <v>4093</v>
      </c>
      <c r="C58" s="2400"/>
      <c r="D58" s="2400"/>
      <c r="E58" s="2400"/>
      <c r="F58" s="2400"/>
      <c r="G58" s="2400"/>
      <c r="H58" s="2400"/>
      <c r="I58" s="2400"/>
      <c r="J58" s="2400"/>
      <c r="K58" s="2400"/>
      <c r="L58" s="2401"/>
      <c r="M58" s="1101"/>
      <c r="N58" s="1101"/>
    </row>
    <row r="59" spans="1:61" s="1285" customFormat="1" ht="36" customHeight="1">
      <c r="A59" s="1198"/>
      <c r="B59" s="2391" t="s">
        <v>4094</v>
      </c>
      <c r="C59" s="2400"/>
      <c r="D59" s="2400"/>
      <c r="E59" s="2400"/>
      <c r="F59" s="2400"/>
      <c r="G59" s="2400"/>
      <c r="H59" s="2400"/>
      <c r="I59" s="2400"/>
      <c r="J59" s="2400"/>
      <c r="K59" s="2400"/>
      <c r="L59" s="2401"/>
      <c r="M59" s="1101"/>
      <c r="N59" s="1101"/>
      <c r="O59" s="1198"/>
      <c r="P59" s="1198"/>
      <c r="Q59" s="1198"/>
      <c r="R59" s="1198"/>
      <c r="S59" s="1198"/>
      <c r="T59" s="1198"/>
      <c r="U59" s="1198"/>
      <c r="V59" s="1198"/>
      <c r="W59" s="1198"/>
      <c r="X59" s="1198"/>
      <c r="Y59" s="1198"/>
      <c r="Z59" s="1198"/>
      <c r="AA59" s="1198"/>
      <c r="AB59" s="1198"/>
      <c r="AC59" s="1198"/>
      <c r="AD59" s="1198"/>
      <c r="AE59" s="1198"/>
      <c r="AF59" s="1198"/>
      <c r="AG59" s="1198"/>
      <c r="AH59" s="1198"/>
      <c r="AI59" s="1198"/>
      <c r="AJ59" s="1198"/>
      <c r="AK59" s="1198"/>
      <c r="AL59" s="1198"/>
      <c r="AM59" s="1198"/>
      <c r="AN59" s="1198"/>
      <c r="AO59" s="1198"/>
      <c r="AP59" s="1198"/>
      <c r="AQ59" s="1198"/>
      <c r="AR59" s="1198"/>
      <c r="AS59" s="1198"/>
      <c r="AT59" s="1198"/>
      <c r="AU59" s="1198"/>
      <c r="AV59" s="1198"/>
      <c r="AW59" s="1198"/>
      <c r="AX59" s="1198"/>
      <c r="AY59" s="1198"/>
      <c r="AZ59" s="1198"/>
      <c r="BA59" s="1198"/>
      <c r="BB59" s="1198"/>
      <c r="BC59" s="1198"/>
      <c r="BD59" s="1198"/>
      <c r="BE59" s="1198"/>
      <c r="BF59" s="1198"/>
      <c r="BG59" s="1198"/>
      <c r="BH59" s="1198"/>
      <c r="BI59" s="1198"/>
    </row>
    <row r="60" spans="1:61" ht="51.75" customHeight="1">
      <c r="B60" s="2440" t="s">
        <v>3961</v>
      </c>
      <c r="C60" s="2441"/>
      <c r="D60" s="2441"/>
      <c r="E60" s="2441"/>
      <c r="F60" s="2441"/>
      <c r="G60" s="2441"/>
      <c r="H60" s="2441"/>
      <c r="I60" s="2441"/>
      <c r="J60" s="2441"/>
      <c r="K60" s="2441"/>
      <c r="L60" s="2524"/>
      <c r="M60" s="1101"/>
      <c r="N60" s="1101"/>
    </row>
    <row r="61" spans="1:61">
      <c r="A61" s="1175"/>
    </row>
    <row r="62" spans="1:61">
      <c r="B62" s="1119" t="s">
        <v>3962</v>
      </c>
    </row>
    <row r="64" spans="1:61" ht="23.25" customHeight="1">
      <c r="A64" s="1175"/>
      <c r="B64" s="1296" t="s">
        <v>3653</v>
      </c>
      <c r="C64" s="1296" t="s">
        <v>3654</v>
      </c>
      <c r="D64" s="2422" t="s">
        <v>3655</v>
      </c>
      <c r="E64" s="2422"/>
      <c r="F64" s="2422"/>
      <c r="G64" s="2422" t="s">
        <v>3656</v>
      </c>
      <c r="H64" s="2422"/>
      <c r="I64" s="2422" t="s">
        <v>3657</v>
      </c>
      <c r="J64" s="2422"/>
      <c r="K64" s="2422" t="s">
        <v>3658</v>
      </c>
      <c r="L64" s="2422"/>
      <c r="M64" s="2422"/>
      <c r="N64" s="2422"/>
    </row>
    <row r="65" spans="1:70">
      <c r="B65" s="1270"/>
      <c r="C65" s="1270"/>
      <c r="D65" s="2562"/>
      <c r="E65" s="2562"/>
      <c r="F65" s="2562"/>
      <c r="G65" s="2421"/>
      <c r="H65" s="2421"/>
      <c r="I65" s="2563" t="e">
        <f>G65/D65</f>
        <v>#DIV/0!</v>
      </c>
      <c r="J65" s="2563"/>
      <c r="K65" s="2413"/>
      <c r="L65" s="2413"/>
      <c r="M65" s="2413"/>
      <c r="N65" s="2413"/>
    </row>
    <row r="66" spans="1:70">
      <c r="B66" s="1270"/>
      <c r="C66" s="1270"/>
      <c r="D66" s="2562"/>
      <c r="E66" s="2562"/>
      <c r="F66" s="2562"/>
      <c r="G66" s="2421"/>
      <c r="H66" s="2421"/>
      <c r="I66" s="2563" t="e">
        <f t="shared" ref="I66:I73" si="0">G66/D66</f>
        <v>#DIV/0!</v>
      </c>
      <c r="J66" s="2563"/>
      <c r="K66" s="2413"/>
      <c r="L66" s="2413"/>
      <c r="M66" s="2413"/>
      <c r="N66" s="2413"/>
    </row>
    <row r="67" spans="1:70">
      <c r="B67" s="1270"/>
      <c r="C67" s="1270"/>
      <c r="D67" s="2562"/>
      <c r="E67" s="2562"/>
      <c r="F67" s="2562"/>
      <c r="G67" s="2421"/>
      <c r="H67" s="2421"/>
      <c r="I67" s="2563" t="e">
        <f t="shared" si="0"/>
        <v>#DIV/0!</v>
      </c>
      <c r="J67" s="2563"/>
      <c r="K67" s="2413"/>
      <c r="L67" s="2413"/>
      <c r="M67" s="2413"/>
      <c r="N67" s="2413"/>
    </row>
    <row r="68" spans="1:70" s="1123" customFormat="1">
      <c r="A68" s="1226"/>
      <c r="B68" s="1270"/>
      <c r="C68" s="1270"/>
      <c r="D68" s="2562"/>
      <c r="E68" s="2562"/>
      <c r="F68" s="2562"/>
      <c r="G68" s="2421"/>
      <c r="H68" s="2421"/>
      <c r="I68" s="2563" t="e">
        <f t="shared" si="0"/>
        <v>#DIV/0!</v>
      </c>
      <c r="J68" s="2563"/>
      <c r="K68" s="2413"/>
      <c r="L68" s="2413"/>
      <c r="M68" s="2413"/>
      <c r="N68" s="2413"/>
      <c r="O68" s="1226"/>
      <c r="P68" s="1226"/>
      <c r="Q68" s="1226"/>
      <c r="R68" s="1226"/>
      <c r="S68" s="1226"/>
      <c r="T68" s="1226"/>
      <c r="U68" s="1226"/>
      <c r="V68" s="1226"/>
      <c r="W68" s="1226"/>
      <c r="X68" s="1226"/>
      <c r="Y68" s="1226"/>
      <c r="Z68" s="1226"/>
      <c r="AA68" s="1226"/>
      <c r="AB68" s="1226"/>
      <c r="AC68" s="1226"/>
      <c r="AD68" s="1226"/>
      <c r="AE68" s="1226"/>
      <c r="AF68" s="1226"/>
      <c r="AG68" s="1226"/>
      <c r="AH68" s="1226"/>
      <c r="AI68" s="1226"/>
      <c r="AJ68" s="1226"/>
      <c r="AK68" s="1226"/>
      <c r="AL68" s="1226"/>
      <c r="AM68" s="1226"/>
      <c r="AN68" s="1226"/>
      <c r="AO68" s="1226"/>
      <c r="AP68" s="1226"/>
      <c r="AQ68" s="1226"/>
      <c r="AR68" s="1226"/>
      <c r="AS68" s="1226"/>
      <c r="AT68" s="1226"/>
      <c r="AU68" s="1226"/>
      <c r="AV68" s="1226"/>
      <c r="AW68" s="1226"/>
      <c r="AX68" s="1226"/>
      <c r="AY68" s="1226"/>
      <c r="AZ68" s="1226"/>
      <c r="BA68" s="1226"/>
      <c r="BB68" s="1226"/>
      <c r="BC68" s="1226"/>
      <c r="BD68" s="1226"/>
      <c r="BE68" s="1226"/>
      <c r="BF68" s="1226"/>
      <c r="BG68" s="1226"/>
      <c r="BH68" s="1226"/>
      <c r="BI68" s="1226"/>
      <c r="BJ68" s="1226"/>
      <c r="BK68" s="1226"/>
      <c r="BL68" s="1226"/>
      <c r="BM68" s="1226"/>
      <c r="BN68" s="1226"/>
      <c r="BO68" s="1226"/>
      <c r="BP68" s="1226"/>
    </row>
    <row r="69" spans="1:70" s="1123" customFormat="1">
      <c r="A69" s="1226"/>
      <c r="B69" s="1270"/>
      <c r="C69" s="1270"/>
      <c r="D69" s="2562"/>
      <c r="E69" s="2562"/>
      <c r="F69" s="2562"/>
      <c r="G69" s="2421"/>
      <c r="H69" s="2421"/>
      <c r="I69" s="2563" t="e">
        <f t="shared" si="0"/>
        <v>#DIV/0!</v>
      </c>
      <c r="J69" s="2563"/>
      <c r="K69" s="2413"/>
      <c r="L69" s="2413"/>
      <c r="M69" s="2413"/>
      <c r="N69" s="2413"/>
      <c r="O69" s="1226"/>
      <c r="P69" s="1226"/>
      <c r="Q69" s="1226"/>
      <c r="R69" s="1226"/>
      <c r="S69" s="1226"/>
      <c r="T69" s="1226"/>
      <c r="U69" s="1226"/>
      <c r="V69" s="1226"/>
      <c r="W69" s="1226"/>
      <c r="X69" s="1226"/>
      <c r="Y69" s="1226"/>
      <c r="Z69" s="1226"/>
      <c r="AA69" s="1226"/>
      <c r="AB69" s="1226"/>
      <c r="AC69" s="1226"/>
      <c r="AD69" s="1226"/>
      <c r="AE69" s="1226"/>
      <c r="AF69" s="1226"/>
      <c r="AG69" s="1226"/>
      <c r="AH69" s="1226"/>
      <c r="AI69" s="1226"/>
      <c r="AJ69" s="1226"/>
      <c r="AK69" s="1226"/>
      <c r="AL69" s="1226"/>
      <c r="AM69" s="1226"/>
      <c r="AN69" s="1226"/>
      <c r="AO69" s="1226"/>
      <c r="AP69" s="1226"/>
      <c r="AQ69" s="1226"/>
      <c r="AR69" s="1226"/>
      <c r="AS69" s="1226"/>
      <c r="AT69" s="1226"/>
      <c r="AU69" s="1226"/>
      <c r="AV69" s="1226"/>
      <c r="AW69" s="1226"/>
      <c r="AX69" s="1226"/>
      <c r="AY69" s="1226"/>
      <c r="AZ69" s="1226"/>
      <c r="BA69" s="1226"/>
      <c r="BB69" s="1226"/>
      <c r="BC69" s="1226"/>
      <c r="BD69" s="1226"/>
      <c r="BE69" s="1226"/>
      <c r="BF69" s="1226"/>
      <c r="BG69" s="1226"/>
      <c r="BH69" s="1226"/>
      <c r="BI69" s="1226"/>
      <c r="BJ69" s="1226"/>
      <c r="BK69" s="1226"/>
      <c r="BL69" s="1226"/>
      <c r="BM69" s="1226"/>
      <c r="BN69" s="1226"/>
      <c r="BO69" s="1226"/>
      <c r="BP69" s="1226"/>
    </row>
    <row r="70" spans="1:70" s="1123" customFormat="1">
      <c r="A70" s="1226"/>
      <c r="B70" s="1270"/>
      <c r="C70" s="1270"/>
      <c r="D70" s="2562"/>
      <c r="E70" s="2562"/>
      <c r="F70" s="2562"/>
      <c r="G70" s="2421"/>
      <c r="H70" s="2421"/>
      <c r="I70" s="2563" t="e">
        <f t="shared" si="0"/>
        <v>#DIV/0!</v>
      </c>
      <c r="J70" s="2563"/>
      <c r="K70" s="2413"/>
      <c r="L70" s="2413"/>
      <c r="M70" s="2413"/>
      <c r="N70" s="2413"/>
      <c r="O70" s="1226"/>
      <c r="P70" s="1226"/>
      <c r="Q70" s="1226"/>
      <c r="R70" s="1226"/>
      <c r="S70" s="1226"/>
      <c r="T70" s="1226"/>
      <c r="U70" s="1226"/>
      <c r="V70" s="1226"/>
      <c r="W70" s="1226"/>
      <c r="X70" s="1226"/>
      <c r="Y70" s="1226"/>
      <c r="Z70" s="1226"/>
      <c r="AA70" s="1226"/>
      <c r="AB70" s="1226"/>
      <c r="AC70" s="1226"/>
      <c r="AD70" s="1226"/>
      <c r="AE70" s="1226"/>
      <c r="AF70" s="1226"/>
      <c r="AG70" s="1226"/>
      <c r="AH70" s="1226"/>
      <c r="AI70" s="1226"/>
      <c r="AJ70" s="1226"/>
      <c r="AK70" s="1226"/>
      <c r="AL70" s="1226"/>
      <c r="AM70" s="1226"/>
      <c r="AN70" s="1226"/>
      <c r="AO70" s="1226"/>
      <c r="AP70" s="1226"/>
      <c r="AQ70" s="1226"/>
      <c r="AR70" s="1226"/>
      <c r="AS70" s="1226"/>
      <c r="AT70" s="1226"/>
      <c r="AU70" s="1226"/>
      <c r="AV70" s="1226"/>
      <c r="AW70" s="1226"/>
      <c r="AX70" s="1226"/>
      <c r="AY70" s="1226"/>
      <c r="AZ70" s="1226"/>
      <c r="BA70" s="1226"/>
      <c r="BB70" s="1226"/>
      <c r="BC70" s="1226"/>
      <c r="BD70" s="1226"/>
      <c r="BE70" s="1226"/>
      <c r="BF70" s="1226"/>
      <c r="BG70" s="1226"/>
      <c r="BH70" s="1226"/>
      <c r="BI70" s="1226"/>
      <c r="BJ70" s="1226"/>
      <c r="BK70" s="1226"/>
      <c r="BL70" s="1226"/>
      <c r="BM70" s="1226"/>
      <c r="BN70" s="1226"/>
      <c r="BO70" s="1226"/>
      <c r="BP70" s="1226"/>
    </row>
    <row r="71" spans="1:70" s="1123" customFormat="1">
      <c r="A71" s="1226"/>
      <c r="B71" s="1270"/>
      <c r="C71" s="1270"/>
      <c r="D71" s="2562"/>
      <c r="E71" s="2562"/>
      <c r="F71" s="2562"/>
      <c r="G71" s="2421"/>
      <c r="H71" s="2421"/>
      <c r="I71" s="2563" t="e">
        <f t="shared" si="0"/>
        <v>#DIV/0!</v>
      </c>
      <c r="J71" s="2563"/>
      <c r="K71" s="2413"/>
      <c r="L71" s="2413"/>
      <c r="M71" s="2413"/>
      <c r="N71" s="2413"/>
      <c r="O71" s="1226"/>
      <c r="P71" s="1226"/>
      <c r="Q71" s="1226"/>
      <c r="R71" s="1226"/>
      <c r="S71" s="1226"/>
      <c r="T71" s="1226"/>
      <c r="U71" s="1226"/>
      <c r="V71" s="1226"/>
      <c r="W71" s="1226"/>
      <c r="X71" s="1226"/>
      <c r="Y71" s="1226"/>
      <c r="Z71" s="1226"/>
      <c r="AA71" s="1226"/>
      <c r="AB71" s="1226"/>
      <c r="AC71" s="1226"/>
      <c r="AD71" s="1226"/>
      <c r="AE71" s="1226"/>
      <c r="AF71" s="1226"/>
      <c r="AG71" s="1226"/>
      <c r="AH71" s="1226"/>
      <c r="AI71" s="1226"/>
      <c r="AJ71" s="1226"/>
      <c r="AK71" s="1226"/>
      <c r="AL71" s="1226"/>
      <c r="AM71" s="1226"/>
      <c r="AN71" s="1226"/>
      <c r="AO71" s="1226"/>
      <c r="AP71" s="1226"/>
      <c r="AQ71" s="1226"/>
      <c r="AR71" s="1226"/>
      <c r="AS71" s="1226"/>
      <c r="AT71" s="1226"/>
      <c r="AU71" s="1226"/>
      <c r="AV71" s="1226"/>
      <c r="AW71" s="1226"/>
      <c r="AX71" s="1226"/>
      <c r="AY71" s="1226"/>
      <c r="AZ71" s="1226"/>
      <c r="BA71" s="1226"/>
      <c r="BB71" s="1226"/>
      <c r="BC71" s="1226"/>
      <c r="BD71" s="1226"/>
      <c r="BE71" s="1226"/>
      <c r="BF71" s="1226"/>
      <c r="BG71" s="1226"/>
      <c r="BH71" s="1226"/>
      <c r="BI71" s="1226"/>
      <c r="BJ71" s="1226"/>
      <c r="BK71" s="1226"/>
      <c r="BL71" s="1226"/>
      <c r="BM71" s="1226"/>
      <c r="BN71" s="1226"/>
      <c r="BO71" s="1226"/>
      <c r="BP71" s="1226"/>
    </row>
    <row r="72" spans="1:70" s="1289" customFormat="1">
      <c r="A72" s="1198"/>
      <c r="B72" s="1270"/>
      <c r="C72" s="1270"/>
      <c r="D72" s="2562"/>
      <c r="E72" s="2562"/>
      <c r="F72" s="2562"/>
      <c r="G72" s="2421"/>
      <c r="H72" s="2421"/>
      <c r="I72" s="2563" t="e">
        <f t="shared" si="0"/>
        <v>#DIV/0!</v>
      </c>
      <c r="J72" s="2563"/>
      <c r="K72" s="2413"/>
      <c r="L72" s="2413"/>
      <c r="M72" s="2413"/>
      <c r="N72" s="2413"/>
      <c r="O72" s="1198"/>
      <c r="P72" s="1198"/>
      <c r="Q72" s="1198"/>
      <c r="R72" s="1198"/>
      <c r="S72" s="1198"/>
      <c r="T72" s="1198"/>
      <c r="U72" s="1198"/>
      <c r="V72" s="1198"/>
      <c r="W72" s="1198"/>
      <c r="X72" s="1198"/>
      <c r="Y72" s="1198"/>
      <c r="Z72" s="1198"/>
      <c r="AA72" s="1198"/>
      <c r="AB72" s="1198"/>
      <c r="AC72" s="1198"/>
      <c r="AD72" s="1198"/>
      <c r="AE72" s="1198"/>
      <c r="AF72" s="1198"/>
      <c r="AG72" s="1198"/>
      <c r="AH72" s="1198"/>
      <c r="AI72" s="1198"/>
      <c r="AJ72" s="1198"/>
      <c r="AK72" s="1198"/>
      <c r="AL72" s="1198"/>
      <c r="AM72" s="1198"/>
      <c r="AN72" s="1198"/>
      <c r="AO72" s="1198"/>
      <c r="AP72" s="1198"/>
      <c r="AQ72" s="1198"/>
      <c r="AR72" s="1198"/>
      <c r="AS72" s="1198"/>
      <c r="AT72" s="1198"/>
      <c r="AU72" s="1198"/>
      <c r="AV72" s="1198"/>
      <c r="AW72" s="1198"/>
      <c r="AX72" s="1198"/>
      <c r="AY72" s="1198"/>
      <c r="AZ72" s="1198"/>
      <c r="BA72" s="1198"/>
      <c r="BB72" s="1198"/>
      <c r="BC72" s="1198"/>
      <c r="BD72" s="1198"/>
      <c r="BE72" s="1198"/>
      <c r="BF72" s="1198"/>
      <c r="BG72" s="1198"/>
      <c r="BH72" s="1198"/>
      <c r="BI72" s="1198"/>
      <c r="BJ72" s="1198"/>
      <c r="BK72" s="1198"/>
      <c r="BL72" s="1198"/>
      <c r="BM72" s="1198"/>
      <c r="BN72" s="1198"/>
      <c r="BO72" s="1198"/>
      <c r="BP72" s="1198"/>
    </row>
    <row r="73" spans="1:70">
      <c r="A73" s="1129"/>
      <c r="B73" s="1270"/>
      <c r="C73" s="1270"/>
      <c r="D73" s="2562"/>
      <c r="E73" s="2562"/>
      <c r="F73" s="2562"/>
      <c r="G73" s="2421"/>
      <c r="H73" s="2421"/>
      <c r="I73" s="2563" t="e">
        <f t="shared" si="0"/>
        <v>#DIV/0!</v>
      </c>
      <c r="J73" s="2563"/>
      <c r="K73" s="2413"/>
      <c r="L73" s="2413"/>
      <c r="M73" s="2413"/>
      <c r="N73" s="2413"/>
      <c r="O73" s="1129"/>
      <c r="P73" s="1129"/>
      <c r="Q73" s="1129"/>
      <c r="R73" s="1129"/>
      <c r="S73" s="1129"/>
      <c r="T73" s="1129"/>
      <c r="U73" s="1129"/>
      <c r="V73" s="1129"/>
      <c r="W73" s="1129"/>
      <c r="X73" s="1129"/>
      <c r="Y73" s="1129"/>
      <c r="Z73" s="1129"/>
      <c r="AA73" s="1129"/>
      <c r="AB73" s="1129"/>
      <c r="AC73" s="1129"/>
      <c r="AD73" s="1129"/>
      <c r="AE73" s="1129"/>
      <c r="AF73" s="1129"/>
      <c r="AG73" s="1129"/>
      <c r="AH73" s="1129"/>
      <c r="AI73" s="1129"/>
      <c r="AJ73" s="1129"/>
      <c r="AK73" s="1129"/>
      <c r="AL73" s="1129"/>
      <c r="AM73" s="1129"/>
      <c r="AN73" s="1129"/>
      <c r="AO73" s="1129"/>
      <c r="AP73" s="1129"/>
      <c r="AQ73" s="1129"/>
      <c r="AR73" s="1129"/>
      <c r="AS73" s="1129"/>
      <c r="AT73" s="1129"/>
      <c r="AU73" s="1129"/>
      <c r="AV73" s="1129"/>
      <c r="AW73" s="1129"/>
      <c r="AX73" s="1129"/>
      <c r="AY73" s="1129"/>
      <c r="AZ73" s="1129"/>
      <c r="BA73" s="1129"/>
      <c r="BB73" s="1129"/>
      <c r="BC73" s="1129"/>
      <c r="BD73" s="1129"/>
      <c r="BE73" s="1129"/>
      <c r="BF73" s="1129"/>
      <c r="BG73" s="1129"/>
      <c r="BH73" s="1129"/>
      <c r="BI73" s="1129"/>
      <c r="BJ73" s="1129"/>
      <c r="BK73" s="1129"/>
      <c r="BL73" s="1129"/>
      <c r="BM73" s="1129"/>
      <c r="BN73" s="1129"/>
      <c r="BO73" s="1129"/>
      <c r="BP73" s="1129"/>
    </row>
    <row r="74" spans="1:70" ht="29.25" customHeight="1">
      <c r="A74" s="1129"/>
      <c r="O74" s="1129"/>
      <c r="P74" s="1129"/>
      <c r="Q74" s="1129"/>
      <c r="R74" s="1129"/>
      <c r="S74" s="1129"/>
      <c r="T74" s="1129"/>
      <c r="U74" s="1129"/>
      <c r="V74" s="1129"/>
      <c r="W74" s="1129"/>
      <c r="X74" s="1129"/>
      <c r="Y74" s="1129"/>
      <c r="Z74" s="1129"/>
      <c r="AA74" s="1129"/>
      <c r="AB74" s="1129"/>
      <c r="AC74" s="1129"/>
      <c r="AD74" s="1129"/>
      <c r="AE74" s="1129"/>
      <c r="AF74" s="1129"/>
      <c r="AG74" s="1129"/>
      <c r="AH74" s="1129"/>
      <c r="AI74" s="1129"/>
      <c r="AJ74" s="1129"/>
      <c r="AK74" s="1129"/>
      <c r="AL74" s="1129"/>
      <c r="AM74" s="1129"/>
      <c r="AN74" s="1129"/>
      <c r="AO74" s="1129"/>
      <c r="AP74" s="1129"/>
      <c r="AQ74" s="1129"/>
      <c r="AR74" s="1129"/>
      <c r="AS74" s="1129"/>
      <c r="AT74" s="1129"/>
      <c r="AU74" s="1129"/>
      <c r="AV74" s="1129"/>
      <c r="AW74" s="1129"/>
      <c r="AX74" s="1129"/>
      <c r="AY74" s="1129"/>
      <c r="AZ74" s="1129"/>
      <c r="BA74" s="1129"/>
      <c r="BB74" s="1129"/>
      <c r="BC74" s="1129"/>
      <c r="BD74" s="1129"/>
      <c r="BE74" s="1129"/>
      <c r="BF74" s="1129"/>
      <c r="BG74" s="1129"/>
      <c r="BH74" s="1129"/>
      <c r="BI74" s="1129"/>
      <c r="BJ74" s="1129"/>
      <c r="BK74" s="1129"/>
      <c r="BL74" s="1129"/>
      <c r="BM74" s="1129"/>
      <c r="BN74" s="1129"/>
      <c r="BO74" s="1129"/>
      <c r="BP74" s="1129"/>
      <c r="BQ74" s="1129"/>
      <c r="BR74" s="1129"/>
    </row>
    <row r="75" spans="1:70" ht="29.25" customHeight="1">
      <c r="A75" s="1129"/>
      <c r="O75" s="1129"/>
      <c r="P75" s="1129"/>
      <c r="Q75" s="1129"/>
      <c r="R75" s="1129"/>
      <c r="S75" s="1129"/>
      <c r="T75" s="1129"/>
      <c r="U75" s="1129"/>
      <c r="V75" s="1129"/>
      <c r="W75" s="1129"/>
      <c r="X75" s="1129"/>
      <c r="Y75" s="1129"/>
      <c r="Z75" s="1129"/>
      <c r="AA75" s="1129"/>
      <c r="AB75" s="1129"/>
      <c r="AC75" s="1129"/>
      <c r="AD75" s="1129"/>
      <c r="AE75" s="1129"/>
      <c r="AF75" s="1129"/>
      <c r="AG75" s="1129"/>
      <c r="AH75" s="1129"/>
      <c r="AI75" s="1129"/>
      <c r="AJ75" s="1129"/>
      <c r="AK75" s="1129"/>
      <c r="AL75" s="1129"/>
      <c r="AM75" s="1129"/>
      <c r="AN75" s="1129"/>
      <c r="AO75" s="1129"/>
      <c r="AP75" s="1129"/>
      <c r="AQ75" s="1129"/>
      <c r="AR75" s="1129"/>
      <c r="AS75" s="1129"/>
      <c r="AT75" s="1129"/>
      <c r="AU75" s="1129"/>
      <c r="AV75" s="1129"/>
      <c r="AW75" s="1129"/>
      <c r="AX75" s="1129"/>
      <c r="AY75" s="1129"/>
      <c r="AZ75" s="1129"/>
      <c r="BA75" s="1129"/>
      <c r="BB75" s="1129"/>
      <c r="BC75" s="1129"/>
      <c r="BD75" s="1129"/>
      <c r="BE75" s="1129"/>
      <c r="BF75" s="1129"/>
      <c r="BG75" s="1129"/>
      <c r="BH75" s="1129"/>
      <c r="BI75" s="1129"/>
      <c r="BJ75" s="1129"/>
      <c r="BK75" s="1129"/>
      <c r="BL75" s="1129"/>
      <c r="BM75" s="1129"/>
      <c r="BN75" s="1129"/>
      <c r="BO75" s="1129"/>
      <c r="BP75" s="1129"/>
      <c r="BQ75" s="1129"/>
      <c r="BR75" s="1129"/>
    </row>
    <row r="76" spans="1:70" ht="29.25" customHeight="1">
      <c r="A76" s="1129"/>
      <c r="O76" s="1129"/>
      <c r="P76" s="1129"/>
      <c r="Q76" s="1129"/>
      <c r="R76" s="1129"/>
      <c r="S76" s="1129"/>
      <c r="T76" s="1129"/>
      <c r="U76" s="1129"/>
      <c r="V76" s="1129"/>
      <c r="W76" s="1129"/>
      <c r="X76" s="1129"/>
      <c r="Y76" s="1129"/>
      <c r="Z76" s="1129"/>
      <c r="AA76" s="1129"/>
      <c r="AB76" s="1129"/>
      <c r="AC76" s="1129"/>
      <c r="AD76" s="1129"/>
      <c r="AE76" s="1129"/>
      <c r="AF76" s="1129"/>
      <c r="AG76" s="1129"/>
      <c r="AH76" s="1129"/>
      <c r="AI76" s="1129"/>
      <c r="AJ76" s="1129"/>
      <c r="AK76" s="1129"/>
      <c r="AL76" s="1129"/>
      <c r="AM76" s="1129"/>
      <c r="AN76" s="1129"/>
      <c r="AO76" s="1129"/>
      <c r="AP76" s="1129"/>
      <c r="AQ76" s="1129"/>
      <c r="AR76" s="1129"/>
      <c r="AS76" s="1129"/>
      <c r="AT76" s="1129"/>
      <c r="AU76" s="1129"/>
      <c r="AV76" s="1129"/>
      <c r="AW76" s="1129"/>
      <c r="AX76" s="1129"/>
      <c r="AY76" s="1129"/>
      <c r="AZ76" s="1129"/>
      <c r="BA76" s="1129"/>
      <c r="BB76" s="1129"/>
      <c r="BC76" s="1129"/>
      <c r="BD76" s="1129"/>
      <c r="BE76" s="1129"/>
      <c r="BF76" s="1129"/>
      <c r="BG76" s="1129"/>
      <c r="BH76" s="1129"/>
      <c r="BI76" s="1129"/>
      <c r="BJ76" s="1129"/>
      <c r="BK76" s="1129"/>
      <c r="BL76" s="1129"/>
      <c r="BM76" s="1129"/>
      <c r="BN76" s="1129"/>
      <c r="BO76" s="1129"/>
      <c r="BP76" s="1129"/>
      <c r="BQ76" s="1129"/>
      <c r="BR76" s="1129"/>
    </row>
    <row r="77" spans="1:70" ht="29.25" customHeight="1">
      <c r="A77" s="1129"/>
      <c r="O77" s="1129"/>
      <c r="P77" s="1129"/>
      <c r="Q77" s="1129"/>
      <c r="R77" s="1129"/>
      <c r="S77" s="1129"/>
      <c r="T77" s="1129"/>
      <c r="U77" s="1129"/>
      <c r="V77" s="1129"/>
      <c r="W77" s="1129"/>
      <c r="X77" s="1129"/>
      <c r="Y77" s="1129"/>
      <c r="Z77" s="1129"/>
      <c r="AA77" s="1129"/>
      <c r="AB77" s="1129"/>
      <c r="AC77" s="1129"/>
      <c r="AD77" s="1129"/>
      <c r="AE77" s="1129"/>
      <c r="AF77" s="1129"/>
      <c r="AG77" s="1129"/>
      <c r="AH77" s="1129"/>
      <c r="AI77" s="1129"/>
      <c r="AJ77" s="1129"/>
      <c r="AK77" s="1129"/>
      <c r="AL77" s="1129"/>
      <c r="AM77" s="1129"/>
      <c r="AN77" s="1129"/>
      <c r="AO77" s="1129"/>
      <c r="AP77" s="1129"/>
      <c r="AQ77" s="1129"/>
      <c r="AR77" s="1129"/>
      <c r="AS77" s="1129"/>
      <c r="AT77" s="1129"/>
      <c r="AU77" s="1129"/>
      <c r="AV77" s="1129"/>
      <c r="AW77" s="1129"/>
      <c r="AX77" s="1129"/>
      <c r="AY77" s="1129"/>
      <c r="AZ77" s="1129"/>
      <c r="BA77" s="1129"/>
      <c r="BB77" s="1129"/>
      <c r="BC77" s="1129"/>
      <c r="BD77" s="1129"/>
      <c r="BE77" s="1129"/>
      <c r="BF77" s="1129"/>
      <c r="BG77" s="1129"/>
      <c r="BH77" s="1129"/>
      <c r="BI77" s="1129"/>
      <c r="BJ77" s="1129"/>
      <c r="BK77" s="1129"/>
      <c r="BL77" s="1129"/>
      <c r="BM77" s="1129"/>
      <c r="BN77" s="1129"/>
      <c r="BO77" s="1129"/>
      <c r="BP77" s="1129"/>
      <c r="BQ77" s="1129"/>
      <c r="BR77" s="1129"/>
    </row>
    <row r="81" spans="18:18">
      <c r="R81" s="1119"/>
    </row>
    <row r="82" spans="18:18">
      <c r="R82" s="1119" t="s">
        <v>1493</v>
      </c>
    </row>
    <row r="83" spans="18:18">
      <c r="R83" s="1119" t="s">
        <v>1494</v>
      </c>
    </row>
    <row r="84" spans="18:18">
      <c r="R84" s="1119" t="s">
        <v>2677</v>
      </c>
    </row>
  </sheetData>
  <sheetProtection formatCells="0" formatColumns="0" formatRows="0" insertColumns="0" insertRows="0"/>
  <mergeCells count="102">
    <mergeCell ref="B8:N8"/>
    <mergeCell ref="B7:N7"/>
    <mergeCell ref="B6:N6"/>
    <mergeCell ref="I10:J10"/>
    <mergeCell ref="K10:L10"/>
    <mergeCell ref="M1:N1"/>
    <mergeCell ref="I2:J2"/>
    <mergeCell ref="K2:L2"/>
    <mergeCell ref="M2:N2"/>
    <mergeCell ref="B5:E5"/>
    <mergeCell ref="I3:J3"/>
    <mergeCell ref="K3:L3"/>
    <mergeCell ref="M3:N3"/>
    <mergeCell ref="K1:L1"/>
    <mergeCell ref="K4:L4"/>
    <mergeCell ref="M4:N4"/>
    <mergeCell ref="K5:L5"/>
    <mergeCell ref="M5:N5"/>
    <mergeCell ref="B16:N16"/>
    <mergeCell ref="B38:N38"/>
    <mergeCell ref="F32:H32"/>
    <mergeCell ref="I32:J32"/>
    <mergeCell ref="K32:L32"/>
    <mergeCell ref="B32:E32"/>
    <mergeCell ref="B33:E33"/>
    <mergeCell ref="F33:H33"/>
    <mergeCell ref="F35:H35"/>
    <mergeCell ref="F36:H36"/>
    <mergeCell ref="B37:H37"/>
    <mergeCell ref="B36:E36"/>
    <mergeCell ref="B35:E35"/>
    <mergeCell ref="I33:J33"/>
    <mergeCell ref="I35:J35"/>
    <mergeCell ref="I36:J36"/>
    <mergeCell ref="I37:J37"/>
    <mergeCell ref="K33:L33"/>
    <mergeCell ref="K35:L35"/>
    <mergeCell ref="D64:F64"/>
    <mergeCell ref="G64:H64"/>
    <mergeCell ref="I64:J64"/>
    <mergeCell ref="K64:N64"/>
    <mergeCell ref="B55:N55"/>
    <mergeCell ref="B52:L52"/>
    <mergeCell ref="B53:L53"/>
    <mergeCell ref="B54:L54"/>
    <mergeCell ref="B50:L50"/>
    <mergeCell ref="B51:L51"/>
    <mergeCell ref="B56:L56"/>
    <mergeCell ref="B57:L57"/>
    <mergeCell ref="B58:L58"/>
    <mergeCell ref="B59:L59"/>
    <mergeCell ref="B60:L60"/>
    <mergeCell ref="D67:F67"/>
    <mergeCell ref="G67:H67"/>
    <mergeCell ref="I67:J67"/>
    <mergeCell ref="K67:N67"/>
    <mergeCell ref="D66:F66"/>
    <mergeCell ref="G66:H66"/>
    <mergeCell ref="I66:J66"/>
    <mergeCell ref="K66:N66"/>
    <mergeCell ref="D65:F65"/>
    <mergeCell ref="G65:H65"/>
    <mergeCell ref="I65:J65"/>
    <mergeCell ref="K65:N65"/>
    <mergeCell ref="D70:F70"/>
    <mergeCell ref="G70:H70"/>
    <mergeCell ref="I70:J70"/>
    <mergeCell ref="K70:N70"/>
    <mergeCell ref="D69:F69"/>
    <mergeCell ref="G69:H69"/>
    <mergeCell ref="I69:J69"/>
    <mergeCell ref="K69:N69"/>
    <mergeCell ref="D68:F68"/>
    <mergeCell ref="G68:H68"/>
    <mergeCell ref="I68:J68"/>
    <mergeCell ref="K68:N68"/>
    <mergeCell ref="D73:F73"/>
    <mergeCell ref="G73:H73"/>
    <mergeCell ref="I73:J73"/>
    <mergeCell ref="K73:N73"/>
    <mergeCell ref="D72:F72"/>
    <mergeCell ref="G72:H72"/>
    <mergeCell ref="I72:J72"/>
    <mergeCell ref="K72:N72"/>
    <mergeCell ref="D71:F71"/>
    <mergeCell ref="G71:H71"/>
    <mergeCell ref="I71:J71"/>
    <mergeCell ref="K71:N71"/>
    <mergeCell ref="B47:L47"/>
    <mergeCell ref="B45:N45"/>
    <mergeCell ref="B42:L42"/>
    <mergeCell ref="B43:L43"/>
    <mergeCell ref="B44:L44"/>
    <mergeCell ref="B46:L46"/>
    <mergeCell ref="B48:L48"/>
    <mergeCell ref="B49:L49"/>
    <mergeCell ref="B34:N34"/>
    <mergeCell ref="B39:L39"/>
    <mergeCell ref="B40:L40"/>
    <mergeCell ref="B41:L41"/>
    <mergeCell ref="K36:L36"/>
    <mergeCell ref="K37:L37"/>
  </mergeCells>
  <conditionalFormatting sqref="I65:I73">
    <cfRule type="cellIs" dxfId="4" priority="1" stopIfTrue="1" operator="greaterThan">
      <formula>0.1</formula>
    </cfRule>
  </conditionalFormatting>
  <dataValidations count="1">
    <dataValidation type="list" allowBlank="1" showInputMessage="1" showErrorMessage="1" sqref="WVS64 JF25:JG33 TB25:TC33 ACX25:ACY33 AMT25:AMU33 AWP25:AWQ33 BGL25:BGM33 BQH25:BQI33 CAD25:CAE33 CJZ25:CKA33 CTV25:CTW33 DDR25:DDS33 DNN25:DNO33 DXJ25:DXK33 EHF25:EHG33 ERB25:ERC33 FAX25:FAY33 FKT25:FKU33 FUP25:FUQ33 GEL25:GEM33 GOH25:GOI33 GYD25:GYE33 HHZ25:HIA33 HRV25:HRW33 IBR25:IBS33 ILN25:ILO33 IVJ25:IVK33 JFF25:JFG33 JPB25:JPC33 JYX25:JYY33 KIT25:KIU33 KSP25:KSQ33 LCL25:LCM33 LMH25:LMI33 LWD25:LWE33 MFZ25:MGA33 MPV25:MPW33 MZR25:MZS33 NJN25:NJO33 NTJ25:NTK33 ODF25:ODG33 ONB25:ONC33 OWX25:OWY33 PGT25:PGU33 PQP25:PQQ33 QAL25:QAM33 QKH25:QKI33 QUD25:QUE33 RDZ25:REA33 RNV25:RNW33 RXR25:RXS33 SHN25:SHO33 SRJ25:SRK33 TBF25:TBG33 TLB25:TLC33 TUX25:TUY33 UET25:UEU33 UOP25:UOQ33 UYL25:UYM33 VIH25:VII33 VSD25:VSE33 WBZ25:WCA33 WLV25:WLW33 WVR25:WVS33 JG56:JG58 TC56:TC58 ACY56:ACY58 AMU56:AMU58 AWQ56:AWQ58 BGM56:BGM58 BQI56:BQI58 CAE56:CAE58 CKA56:CKA58 CTW56:CTW58 DDS56:DDS58 DNO56:DNO58 DXK56:DXK58 EHG56:EHG58 ERC56:ERC58 FAY56:FAY58 FKU56:FKU58 FUQ56:FUQ58 GEM56:GEM58 GOI56:GOI58 GYE56:GYE58 HIA56:HIA58 HRW56:HRW58 IBS56:IBS58 ILO56:ILO58 IVK56:IVK58 JFG56:JFG58 JPC56:JPC58 JYY56:JYY58 KIU56:KIU58 KSQ56:KSQ58 LCM56:LCM58 LMI56:LMI58 LWE56:LWE58 MGA56:MGA58 MPW56:MPW58 MZS56:MZS58 NJO56:NJO58 NTK56:NTK58 ODG56:ODG58 ONC56:ONC58 OWY56:OWY58 PGU56:PGU58 PQQ56:PQQ58 QAM56:QAM58 QKI56:QKI58 QUE56:QUE58 REA56:REA58 RNW56:RNW58 RXS56:RXS58 SHO56:SHO58 SRK56:SRK58 TBG56:TBG58 TLC56:TLC58 TUY56:TUY58 UEU56:UEU58 UOQ56:UOQ58 UYM56:UYM58 VII56:VII58 VSE56:VSE58 WCA56:WCA58 WLW56:WLW58 WVS56:WVS58 M56:M60 WVR39:WVS41 JF37:JG37 TB37:TC37 ACX37:ACY37 AMT37:AMU37 AWP37:AWQ37 BGL37:BGM37 BQH37:BQI37 CAD37:CAE37 CJZ37:CKA37 CTV37:CTW37 DDR37:DDS37 DNN37:DNO37 DXJ37:DXK37 EHF37:EHG37 ERB37:ERC37 FAX37:FAY37 FKT37:FKU37 FUP37:FUQ37 GEL37:GEM37 GOH37:GOI37 GYD37:GYE37 HHZ37:HIA37 HRV37:HRW37 IBR37:IBS37 ILN37:ILO37 IVJ37:IVK37 JFF37:JFG37 JPB37:JPC37 JYX37:JYY37 KIT37:KIU37 KSP37:KSQ37 LCL37:LCM37 LMH37:LMI37 LWD37:LWE37 MFZ37:MGA37 MPV37:MPW37 MZR37:MZS37 NJN37:NJO37 NTJ37:NTK37 ODF37:ODG37 ONB37:ONC37 OWX37:OWY37 PGT37:PGU37 PQP37:PQQ37 QAL37:QAM37 QKH37:QKI37 QUD37:QUE37 RDZ37:REA37 RNV37:RNW37 RXR37:RXS37 SHN37:SHO37 SRJ37:SRK37 TBF37:TBG37 TLB37:TLC37 TUX37:TUY37 UET37:UEU37 UOP37:UOQ37 UYL37:UYM37 VIH37:VII37 VSD37:VSE37 WBZ37:WCA37 WLV37:WLW37 WVR37:WVS37 N65592:N65593 N131128:N131129 N196664:N196665 N262200:N262201 N327736:N327737 N393272:N393273 N458808:N458809 N524344:N524345 N589880:N589881 N655416:N655417 N720952:N720953 N786488:N786489 N852024:N852025 N917560:N917561 N983096:N983097 M33 N65570 N131106 N196642 N262178 N327714 N393250 N458786 N524322 N589858 N655394 N720930 N786466 N852002 N917538 N983074 M21:M31 N65559:N65568 N131095:N131104 N196631:N196640 N262167:N262176 N327703:N327712 N393239:N393248 N458775:N458784 N524311:N524320 N589847:N589856 N655383:N655392 N720919:N720928 N786455:N786464 N851991:N852000 N917527:N917536 N983063:N983072 M35:M37 N65572:N65574 N131108:N131110 N196644:N196646 N262180:N262182 N327716:N327718 N393252:N393254 N458788:N458790 N524324:N524326 N589860:N589862 N655396:N655398 N720932:N720934 N786468:N786470 N852004:N852006 N917540:N917542 N983076:N983078 N65576:N65580 N131112:N131116 N196648:N196652 N262184:N262188 N327720:N327724 N393256:N393260 N458792:N458796 N524328:N524332 N589864:N589868 N655400:N655404 N720936:N720940 N786472:N786476 N852008:N852012 N917544:N917548 N983080:N983084 M46:M54 N65583:N65587 N131119:N131123 N196655:N196659 N262191:N262195 N327727:N327731 N393263:N393267 N458799:N458803 N524335:N524339 N589871:N589875 N655407:N655411 N720943:N720947 N786479:N786483 N852015:N852019 N917551:N917555 N983087:N983091 WVU983100:WVU983104 WLY983100:WLY983104 WCC983100:WCC983104 VSG983100:VSG983104 VIK983100:VIK983104 UYO983100:UYO983104 UOS983100:UOS983104 UEW983100:UEW983104 TVA983100:TVA983104 TLE983100:TLE983104 TBI983100:TBI983104 SRM983100:SRM983104 SHQ983100:SHQ983104 RXU983100:RXU983104 RNY983100:RNY983104 REC983100:REC983104 QUG983100:QUG983104 QKK983100:QKK983104 QAO983100:QAO983104 PQS983100:PQS983104 PGW983100:PGW983104 OXA983100:OXA983104 ONE983100:ONE983104 ODI983100:ODI983104 NTM983100:NTM983104 NJQ983100:NJQ983104 MZU983100:MZU983104 MPY983100:MPY983104 MGC983100:MGC983104 LWG983100:LWG983104 LMK983100:LMK983104 LCO983100:LCO983104 KSS983100:KSS983104 KIW983100:KIW983104 JZA983100:JZA983104 JPE983100:JPE983104 JFI983100:JFI983104 IVM983100:IVM983104 ILQ983100:ILQ983104 IBU983100:IBU983104 HRY983100:HRY983104 HIC983100:HIC983104 GYG983100:GYG983104 GOK983100:GOK983104 GEO983100:GEO983104 FUS983100:FUS983104 FKW983100:FKW983104 FBA983100:FBA983104 ERE983100:ERE983104 EHI983100:EHI983104 DXM983100:DXM983104 DNQ983100:DNQ983104 DDU983100:DDU983104 CTY983100:CTY983104 CKC983100:CKC983104 CAG983100:CAG983104 BQK983100:BQK983104 BGO983100:BGO983104 AWS983100:AWS983104 AMW983100:AMW983104 ADA983100:ADA983104 TE983100:TE983104 JI983100:JI983104 WVU917564:WVU917568 WLY917564:WLY917568 WCC917564:WCC917568 VSG917564:VSG917568 VIK917564:VIK917568 UYO917564:UYO917568 UOS917564:UOS917568 UEW917564:UEW917568 TVA917564:TVA917568 TLE917564:TLE917568 TBI917564:TBI917568 SRM917564:SRM917568 SHQ917564:SHQ917568 RXU917564:RXU917568 RNY917564:RNY917568 REC917564:REC917568 QUG917564:QUG917568 QKK917564:QKK917568 QAO917564:QAO917568 PQS917564:PQS917568 PGW917564:PGW917568 OXA917564:OXA917568 ONE917564:ONE917568 ODI917564:ODI917568 NTM917564:NTM917568 NJQ917564:NJQ917568 MZU917564:MZU917568 MPY917564:MPY917568 MGC917564:MGC917568 LWG917564:LWG917568 LMK917564:LMK917568 LCO917564:LCO917568 KSS917564:KSS917568 KIW917564:KIW917568 JZA917564:JZA917568 JPE917564:JPE917568 JFI917564:JFI917568 IVM917564:IVM917568 ILQ917564:ILQ917568 IBU917564:IBU917568 HRY917564:HRY917568 HIC917564:HIC917568 GYG917564:GYG917568 GOK917564:GOK917568 GEO917564:GEO917568 FUS917564:FUS917568 FKW917564:FKW917568 FBA917564:FBA917568 ERE917564:ERE917568 EHI917564:EHI917568 DXM917564:DXM917568 DNQ917564:DNQ917568 DDU917564:DDU917568 CTY917564:CTY917568 CKC917564:CKC917568 CAG917564:CAG917568 BQK917564:BQK917568 BGO917564:BGO917568 AWS917564:AWS917568 AMW917564:AMW917568 ADA917564:ADA917568 TE917564:TE917568 JI917564:JI917568 WVU852028:WVU852032 WLY852028:WLY852032 WCC852028:WCC852032 VSG852028:VSG852032 VIK852028:VIK852032 UYO852028:UYO852032 UOS852028:UOS852032 UEW852028:UEW852032 TVA852028:TVA852032 TLE852028:TLE852032 TBI852028:TBI852032 SRM852028:SRM852032 SHQ852028:SHQ852032 RXU852028:RXU852032 RNY852028:RNY852032 REC852028:REC852032 QUG852028:QUG852032 QKK852028:QKK852032 QAO852028:QAO852032 PQS852028:PQS852032 PGW852028:PGW852032 OXA852028:OXA852032 ONE852028:ONE852032 ODI852028:ODI852032 NTM852028:NTM852032 NJQ852028:NJQ852032 MZU852028:MZU852032 MPY852028:MPY852032 MGC852028:MGC852032 LWG852028:LWG852032 LMK852028:LMK852032 LCO852028:LCO852032 KSS852028:KSS852032 KIW852028:KIW852032 JZA852028:JZA852032 JPE852028:JPE852032 JFI852028:JFI852032 IVM852028:IVM852032 ILQ852028:ILQ852032 IBU852028:IBU852032 HRY852028:HRY852032 HIC852028:HIC852032 GYG852028:GYG852032 GOK852028:GOK852032 GEO852028:GEO852032 FUS852028:FUS852032 FKW852028:FKW852032 FBA852028:FBA852032 ERE852028:ERE852032 EHI852028:EHI852032 DXM852028:DXM852032 DNQ852028:DNQ852032 DDU852028:DDU852032 CTY852028:CTY852032 CKC852028:CKC852032 CAG852028:CAG852032 BQK852028:BQK852032 BGO852028:BGO852032 AWS852028:AWS852032 AMW852028:AMW852032 ADA852028:ADA852032 TE852028:TE852032 JI852028:JI852032 WVU786492:WVU786496 WLY786492:WLY786496 WCC786492:WCC786496 VSG786492:VSG786496 VIK786492:VIK786496 UYO786492:UYO786496 UOS786492:UOS786496 UEW786492:UEW786496 TVA786492:TVA786496 TLE786492:TLE786496 TBI786492:TBI786496 SRM786492:SRM786496 SHQ786492:SHQ786496 RXU786492:RXU786496 RNY786492:RNY786496 REC786492:REC786496 QUG786492:QUG786496 QKK786492:QKK786496 QAO786492:QAO786496 PQS786492:PQS786496 PGW786492:PGW786496 OXA786492:OXA786496 ONE786492:ONE786496 ODI786492:ODI786496 NTM786492:NTM786496 NJQ786492:NJQ786496 MZU786492:MZU786496 MPY786492:MPY786496 MGC786492:MGC786496 LWG786492:LWG786496 LMK786492:LMK786496 LCO786492:LCO786496 KSS786492:KSS786496 KIW786492:KIW786496 JZA786492:JZA786496 JPE786492:JPE786496 JFI786492:JFI786496 IVM786492:IVM786496 ILQ786492:ILQ786496 IBU786492:IBU786496 HRY786492:HRY786496 HIC786492:HIC786496 GYG786492:GYG786496 GOK786492:GOK786496 GEO786492:GEO786496 FUS786492:FUS786496 FKW786492:FKW786496 FBA786492:FBA786496 ERE786492:ERE786496 EHI786492:EHI786496 DXM786492:DXM786496 DNQ786492:DNQ786496 DDU786492:DDU786496 CTY786492:CTY786496 CKC786492:CKC786496 CAG786492:CAG786496 BQK786492:BQK786496 BGO786492:BGO786496 AWS786492:AWS786496 AMW786492:AMW786496 ADA786492:ADA786496 TE786492:TE786496 JI786492:JI786496 WVU720956:WVU720960 WLY720956:WLY720960 WCC720956:WCC720960 VSG720956:VSG720960 VIK720956:VIK720960 UYO720956:UYO720960 UOS720956:UOS720960 UEW720956:UEW720960 TVA720956:TVA720960 TLE720956:TLE720960 TBI720956:TBI720960 SRM720956:SRM720960 SHQ720956:SHQ720960 RXU720956:RXU720960 RNY720956:RNY720960 REC720956:REC720960 QUG720956:QUG720960 QKK720956:QKK720960 QAO720956:QAO720960 PQS720956:PQS720960 PGW720956:PGW720960 OXA720956:OXA720960 ONE720956:ONE720960 ODI720956:ODI720960 NTM720956:NTM720960 NJQ720956:NJQ720960 MZU720956:MZU720960 MPY720956:MPY720960 MGC720956:MGC720960 LWG720956:LWG720960 LMK720956:LMK720960 LCO720956:LCO720960 KSS720956:KSS720960 KIW720956:KIW720960 JZA720956:JZA720960 JPE720956:JPE720960 JFI720956:JFI720960 IVM720956:IVM720960 ILQ720956:ILQ720960 IBU720956:IBU720960 HRY720956:HRY720960 HIC720956:HIC720960 GYG720956:GYG720960 GOK720956:GOK720960 GEO720956:GEO720960 FUS720956:FUS720960 FKW720956:FKW720960 FBA720956:FBA720960 ERE720956:ERE720960 EHI720956:EHI720960 DXM720956:DXM720960 DNQ720956:DNQ720960 DDU720956:DDU720960 CTY720956:CTY720960 CKC720956:CKC720960 CAG720956:CAG720960 BQK720956:BQK720960 BGO720956:BGO720960 AWS720956:AWS720960 AMW720956:AMW720960 ADA720956:ADA720960 TE720956:TE720960 JI720956:JI720960 WVU655420:WVU655424 WLY655420:WLY655424 WCC655420:WCC655424 VSG655420:VSG655424 VIK655420:VIK655424 UYO655420:UYO655424 UOS655420:UOS655424 UEW655420:UEW655424 TVA655420:TVA655424 TLE655420:TLE655424 TBI655420:TBI655424 SRM655420:SRM655424 SHQ655420:SHQ655424 RXU655420:RXU655424 RNY655420:RNY655424 REC655420:REC655424 QUG655420:QUG655424 QKK655420:QKK655424 QAO655420:QAO655424 PQS655420:PQS655424 PGW655420:PGW655424 OXA655420:OXA655424 ONE655420:ONE655424 ODI655420:ODI655424 NTM655420:NTM655424 NJQ655420:NJQ655424 MZU655420:MZU655424 MPY655420:MPY655424 MGC655420:MGC655424 LWG655420:LWG655424 LMK655420:LMK655424 LCO655420:LCO655424 KSS655420:KSS655424 KIW655420:KIW655424 JZA655420:JZA655424 JPE655420:JPE655424 JFI655420:JFI655424 IVM655420:IVM655424 ILQ655420:ILQ655424 IBU655420:IBU655424 HRY655420:HRY655424 HIC655420:HIC655424 GYG655420:GYG655424 GOK655420:GOK655424 GEO655420:GEO655424 FUS655420:FUS655424 FKW655420:FKW655424 FBA655420:FBA655424 ERE655420:ERE655424 EHI655420:EHI655424 DXM655420:DXM655424 DNQ655420:DNQ655424 DDU655420:DDU655424 CTY655420:CTY655424 CKC655420:CKC655424 CAG655420:CAG655424 BQK655420:BQK655424 BGO655420:BGO655424 AWS655420:AWS655424 AMW655420:AMW655424 ADA655420:ADA655424 TE655420:TE655424 JI655420:JI655424 WVU589884:WVU589888 WLY589884:WLY589888 WCC589884:WCC589888 VSG589884:VSG589888 VIK589884:VIK589888 UYO589884:UYO589888 UOS589884:UOS589888 UEW589884:UEW589888 TVA589884:TVA589888 TLE589884:TLE589888 TBI589884:TBI589888 SRM589884:SRM589888 SHQ589884:SHQ589888 RXU589884:RXU589888 RNY589884:RNY589888 REC589884:REC589888 QUG589884:QUG589888 QKK589884:QKK589888 QAO589884:QAO589888 PQS589884:PQS589888 PGW589884:PGW589888 OXA589884:OXA589888 ONE589884:ONE589888 ODI589884:ODI589888 NTM589884:NTM589888 NJQ589884:NJQ589888 MZU589884:MZU589888 MPY589884:MPY589888 MGC589884:MGC589888 LWG589884:LWG589888 LMK589884:LMK589888 LCO589884:LCO589888 KSS589884:KSS589888 KIW589884:KIW589888 JZA589884:JZA589888 JPE589884:JPE589888 JFI589884:JFI589888 IVM589884:IVM589888 ILQ589884:ILQ589888 IBU589884:IBU589888 HRY589884:HRY589888 HIC589884:HIC589888 GYG589884:GYG589888 GOK589884:GOK589888 GEO589884:GEO589888 FUS589884:FUS589888 FKW589884:FKW589888 FBA589884:FBA589888 ERE589884:ERE589888 EHI589884:EHI589888 DXM589884:DXM589888 DNQ589884:DNQ589888 DDU589884:DDU589888 CTY589884:CTY589888 CKC589884:CKC589888 CAG589884:CAG589888 BQK589884:BQK589888 BGO589884:BGO589888 AWS589884:AWS589888 AMW589884:AMW589888 ADA589884:ADA589888 TE589884:TE589888 JI589884:JI589888 WVU524348:WVU524352 WLY524348:WLY524352 WCC524348:WCC524352 VSG524348:VSG524352 VIK524348:VIK524352 UYO524348:UYO524352 UOS524348:UOS524352 UEW524348:UEW524352 TVA524348:TVA524352 TLE524348:TLE524352 TBI524348:TBI524352 SRM524348:SRM524352 SHQ524348:SHQ524352 RXU524348:RXU524352 RNY524348:RNY524352 REC524348:REC524352 QUG524348:QUG524352 QKK524348:QKK524352 QAO524348:QAO524352 PQS524348:PQS524352 PGW524348:PGW524352 OXA524348:OXA524352 ONE524348:ONE524352 ODI524348:ODI524352 NTM524348:NTM524352 NJQ524348:NJQ524352 MZU524348:MZU524352 MPY524348:MPY524352 MGC524348:MGC524352 LWG524348:LWG524352 LMK524348:LMK524352 LCO524348:LCO524352 KSS524348:KSS524352 KIW524348:KIW524352 JZA524348:JZA524352 JPE524348:JPE524352 JFI524348:JFI524352 IVM524348:IVM524352 ILQ524348:ILQ524352 IBU524348:IBU524352 HRY524348:HRY524352 HIC524348:HIC524352 GYG524348:GYG524352 GOK524348:GOK524352 GEO524348:GEO524352 FUS524348:FUS524352 FKW524348:FKW524352 FBA524348:FBA524352 ERE524348:ERE524352 EHI524348:EHI524352 DXM524348:DXM524352 DNQ524348:DNQ524352 DDU524348:DDU524352 CTY524348:CTY524352 CKC524348:CKC524352 CAG524348:CAG524352 BQK524348:BQK524352 BGO524348:BGO524352 AWS524348:AWS524352 AMW524348:AMW524352 ADA524348:ADA524352 TE524348:TE524352 JI524348:JI524352 WVU458812:WVU458816 WLY458812:WLY458816 WCC458812:WCC458816 VSG458812:VSG458816 VIK458812:VIK458816 UYO458812:UYO458816 UOS458812:UOS458816 UEW458812:UEW458816 TVA458812:TVA458816 TLE458812:TLE458816 TBI458812:TBI458816 SRM458812:SRM458816 SHQ458812:SHQ458816 RXU458812:RXU458816 RNY458812:RNY458816 REC458812:REC458816 QUG458812:QUG458816 QKK458812:QKK458816 QAO458812:QAO458816 PQS458812:PQS458816 PGW458812:PGW458816 OXA458812:OXA458816 ONE458812:ONE458816 ODI458812:ODI458816 NTM458812:NTM458816 NJQ458812:NJQ458816 MZU458812:MZU458816 MPY458812:MPY458816 MGC458812:MGC458816 LWG458812:LWG458816 LMK458812:LMK458816 LCO458812:LCO458816 KSS458812:KSS458816 KIW458812:KIW458816 JZA458812:JZA458816 JPE458812:JPE458816 JFI458812:JFI458816 IVM458812:IVM458816 ILQ458812:ILQ458816 IBU458812:IBU458816 HRY458812:HRY458816 HIC458812:HIC458816 GYG458812:GYG458816 GOK458812:GOK458816 GEO458812:GEO458816 FUS458812:FUS458816 FKW458812:FKW458816 FBA458812:FBA458816 ERE458812:ERE458816 EHI458812:EHI458816 DXM458812:DXM458816 DNQ458812:DNQ458816 DDU458812:DDU458816 CTY458812:CTY458816 CKC458812:CKC458816 CAG458812:CAG458816 BQK458812:BQK458816 BGO458812:BGO458816 AWS458812:AWS458816 AMW458812:AMW458816 ADA458812:ADA458816 TE458812:TE458816 JI458812:JI458816 WVU393276:WVU393280 WLY393276:WLY393280 WCC393276:WCC393280 VSG393276:VSG393280 VIK393276:VIK393280 UYO393276:UYO393280 UOS393276:UOS393280 UEW393276:UEW393280 TVA393276:TVA393280 TLE393276:TLE393280 TBI393276:TBI393280 SRM393276:SRM393280 SHQ393276:SHQ393280 RXU393276:RXU393280 RNY393276:RNY393280 REC393276:REC393280 QUG393276:QUG393280 QKK393276:QKK393280 QAO393276:QAO393280 PQS393276:PQS393280 PGW393276:PGW393280 OXA393276:OXA393280 ONE393276:ONE393280 ODI393276:ODI393280 NTM393276:NTM393280 NJQ393276:NJQ393280 MZU393276:MZU393280 MPY393276:MPY393280 MGC393276:MGC393280 LWG393276:LWG393280 LMK393276:LMK393280 LCO393276:LCO393280 KSS393276:KSS393280 KIW393276:KIW393280 JZA393276:JZA393280 JPE393276:JPE393280 JFI393276:JFI393280 IVM393276:IVM393280 ILQ393276:ILQ393280 IBU393276:IBU393280 HRY393276:HRY393280 HIC393276:HIC393280 GYG393276:GYG393280 GOK393276:GOK393280 GEO393276:GEO393280 FUS393276:FUS393280 FKW393276:FKW393280 FBA393276:FBA393280 ERE393276:ERE393280 EHI393276:EHI393280 DXM393276:DXM393280 DNQ393276:DNQ393280 DDU393276:DDU393280 CTY393276:CTY393280 CKC393276:CKC393280 CAG393276:CAG393280 BQK393276:BQK393280 BGO393276:BGO393280 AWS393276:AWS393280 AMW393276:AMW393280 ADA393276:ADA393280 TE393276:TE393280 JI393276:JI393280 WVU327740:WVU327744 WLY327740:WLY327744 WCC327740:WCC327744 VSG327740:VSG327744 VIK327740:VIK327744 UYO327740:UYO327744 UOS327740:UOS327744 UEW327740:UEW327744 TVA327740:TVA327744 TLE327740:TLE327744 TBI327740:TBI327744 SRM327740:SRM327744 SHQ327740:SHQ327744 RXU327740:RXU327744 RNY327740:RNY327744 REC327740:REC327744 QUG327740:QUG327744 QKK327740:QKK327744 QAO327740:QAO327744 PQS327740:PQS327744 PGW327740:PGW327744 OXA327740:OXA327744 ONE327740:ONE327744 ODI327740:ODI327744 NTM327740:NTM327744 NJQ327740:NJQ327744 MZU327740:MZU327744 MPY327740:MPY327744 MGC327740:MGC327744 LWG327740:LWG327744 LMK327740:LMK327744 LCO327740:LCO327744 KSS327740:KSS327744 KIW327740:KIW327744 JZA327740:JZA327744 JPE327740:JPE327744 JFI327740:JFI327744 IVM327740:IVM327744 ILQ327740:ILQ327744 IBU327740:IBU327744 HRY327740:HRY327744 HIC327740:HIC327744 GYG327740:GYG327744 GOK327740:GOK327744 GEO327740:GEO327744 FUS327740:FUS327744 FKW327740:FKW327744 FBA327740:FBA327744 ERE327740:ERE327744 EHI327740:EHI327744 DXM327740:DXM327744 DNQ327740:DNQ327744 DDU327740:DDU327744 CTY327740:CTY327744 CKC327740:CKC327744 CAG327740:CAG327744 BQK327740:BQK327744 BGO327740:BGO327744 AWS327740:AWS327744 AMW327740:AMW327744 ADA327740:ADA327744 TE327740:TE327744 JI327740:JI327744 WVU262204:WVU262208 WLY262204:WLY262208 WCC262204:WCC262208 VSG262204:VSG262208 VIK262204:VIK262208 UYO262204:UYO262208 UOS262204:UOS262208 UEW262204:UEW262208 TVA262204:TVA262208 TLE262204:TLE262208 TBI262204:TBI262208 SRM262204:SRM262208 SHQ262204:SHQ262208 RXU262204:RXU262208 RNY262204:RNY262208 REC262204:REC262208 QUG262204:QUG262208 QKK262204:QKK262208 QAO262204:QAO262208 PQS262204:PQS262208 PGW262204:PGW262208 OXA262204:OXA262208 ONE262204:ONE262208 ODI262204:ODI262208 NTM262204:NTM262208 NJQ262204:NJQ262208 MZU262204:MZU262208 MPY262204:MPY262208 MGC262204:MGC262208 LWG262204:LWG262208 LMK262204:LMK262208 LCO262204:LCO262208 KSS262204:KSS262208 KIW262204:KIW262208 JZA262204:JZA262208 JPE262204:JPE262208 JFI262204:JFI262208 IVM262204:IVM262208 ILQ262204:ILQ262208 IBU262204:IBU262208 HRY262204:HRY262208 HIC262204:HIC262208 GYG262204:GYG262208 GOK262204:GOK262208 GEO262204:GEO262208 FUS262204:FUS262208 FKW262204:FKW262208 FBA262204:FBA262208 ERE262204:ERE262208 EHI262204:EHI262208 DXM262204:DXM262208 DNQ262204:DNQ262208 DDU262204:DDU262208 CTY262204:CTY262208 CKC262204:CKC262208 CAG262204:CAG262208 BQK262204:BQK262208 BGO262204:BGO262208 AWS262204:AWS262208 AMW262204:AMW262208 ADA262204:ADA262208 TE262204:TE262208 JI262204:JI262208 WVU196668:WVU196672 WLY196668:WLY196672 WCC196668:WCC196672 VSG196668:VSG196672 VIK196668:VIK196672 UYO196668:UYO196672 UOS196668:UOS196672 UEW196668:UEW196672 TVA196668:TVA196672 TLE196668:TLE196672 TBI196668:TBI196672 SRM196668:SRM196672 SHQ196668:SHQ196672 RXU196668:RXU196672 RNY196668:RNY196672 REC196668:REC196672 QUG196668:QUG196672 QKK196668:QKK196672 QAO196668:QAO196672 PQS196668:PQS196672 PGW196668:PGW196672 OXA196668:OXA196672 ONE196668:ONE196672 ODI196668:ODI196672 NTM196668:NTM196672 NJQ196668:NJQ196672 MZU196668:MZU196672 MPY196668:MPY196672 MGC196668:MGC196672 LWG196668:LWG196672 LMK196668:LMK196672 LCO196668:LCO196672 KSS196668:KSS196672 KIW196668:KIW196672 JZA196668:JZA196672 JPE196668:JPE196672 JFI196668:JFI196672 IVM196668:IVM196672 ILQ196668:ILQ196672 IBU196668:IBU196672 HRY196668:HRY196672 HIC196668:HIC196672 GYG196668:GYG196672 GOK196668:GOK196672 GEO196668:GEO196672 FUS196668:FUS196672 FKW196668:FKW196672 FBA196668:FBA196672 ERE196668:ERE196672 EHI196668:EHI196672 DXM196668:DXM196672 DNQ196668:DNQ196672 DDU196668:DDU196672 CTY196668:CTY196672 CKC196668:CKC196672 CAG196668:CAG196672 BQK196668:BQK196672 BGO196668:BGO196672 AWS196668:AWS196672 AMW196668:AMW196672 ADA196668:ADA196672 TE196668:TE196672 JI196668:JI196672 WVU131132:WVU131136 WLY131132:WLY131136 WCC131132:WCC131136 VSG131132:VSG131136 VIK131132:VIK131136 UYO131132:UYO131136 UOS131132:UOS131136 UEW131132:UEW131136 TVA131132:TVA131136 TLE131132:TLE131136 TBI131132:TBI131136 SRM131132:SRM131136 SHQ131132:SHQ131136 RXU131132:RXU131136 RNY131132:RNY131136 REC131132:REC131136 QUG131132:QUG131136 QKK131132:QKK131136 QAO131132:QAO131136 PQS131132:PQS131136 PGW131132:PGW131136 OXA131132:OXA131136 ONE131132:ONE131136 ODI131132:ODI131136 NTM131132:NTM131136 NJQ131132:NJQ131136 MZU131132:MZU131136 MPY131132:MPY131136 MGC131132:MGC131136 LWG131132:LWG131136 LMK131132:LMK131136 LCO131132:LCO131136 KSS131132:KSS131136 KIW131132:KIW131136 JZA131132:JZA131136 JPE131132:JPE131136 JFI131132:JFI131136 IVM131132:IVM131136 ILQ131132:ILQ131136 IBU131132:IBU131136 HRY131132:HRY131136 HIC131132:HIC131136 GYG131132:GYG131136 GOK131132:GOK131136 GEO131132:GEO131136 FUS131132:FUS131136 FKW131132:FKW131136 FBA131132:FBA131136 ERE131132:ERE131136 EHI131132:EHI131136 DXM131132:DXM131136 DNQ131132:DNQ131136 DDU131132:DDU131136 CTY131132:CTY131136 CKC131132:CKC131136 CAG131132:CAG131136 BQK131132:BQK131136 BGO131132:BGO131136 AWS131132:AWS131136 AMW131132:AMW131136 ADA131132:ADA131136 TE131132:TE131136 JI131132:JI131136 WVU65596:WVU65600 WLY65596:WLY65600 WCC65596:WCC65600 VSG65596:VSG65600 VIK65596:VIK65600 UYO65596:UYO65600 UOS65596:UOS65600 UEW65596:UEW65600 TVA65596:TVA65600 TLE65596:TLE65600 TBI65596:TBI65600 SRM65596:SRM65600 SHQ65596:SHQ65600 RXU65596:RXU65600 RNY65596:RNY65600 REC65596:REC65600 QUG65596:QUG65600 QKK65596:QKK65600 QAO65596:QAO65600 PQS65596:PQS65600 PGW65596:PGW65600 OXA65596:OXA65600 ONE65596:ONE65600 ODI65596:ODI65600 NTM65596:NTM65600 NJQ65596:NJQ65600 MZU65596:MZU65600 MPY65596:MPY65600 MGC65596:MGC65600 LWG65596:LWG65600 LMK65596:LMK65600 LCO65596:LCO65600 KSS65596:KSS65600 KIW65596:KIW65600 JZA65596:JZA65600 JPE65596:JPE65600 JFI65596:JFI65600 IVM65596:IVM65600 ILQ65596:ILQ65600 IBU65596:IBU65600 HRY65596:HRY65600 HIC65596:HIC65600 GYG65596:GYG65600 GOK65596:GOK65600 GEO65596:GEO65600 FUS65596:FUS65600 FKW65596:FKW65600 FBA65596:FBA65600 ERE65596:ERE65600 EHI65596:EHI65600 DXM65596:DXM65600 DNQ65596:DNQ65600 DDU65596:DDU65600 CTY65596:CTY65600 CKC65596:CKC65600 CAG65596:CAG65600 BQK65596:BQK65600 BGO65596:BGO65600 AWS65596:AWS65600 AMW65596:AMW65600 ADA65596:ADA65600 TE65596:TE65600 JI65596:JI65600 WVU61:WVU63 WLY61:WLY63 WCC61:WCC63 VSG61:VSG63 VIK61:VIK63 UYO61:UYO63 UOS61:UOS63 UEW61:UEW63 TVA61:TVA63 TLE61:TLE63 TBI61:TBI63 SRM61:SRM63 SHQ61:SHQ63 RXU61:RXU63 RNY61:RNY63 REC61:REC63 QUG61:QUG63 QKK61:QKK63 QAO61:QAO63 PQS61:PQS63 PGW61:PGW63 OXA61:OXA63 ONE61:ONE63 ODI61:ODI63 NTM61:NTM63 NJQ61:NJQ63 MZU61:MZU63 MPY61:MPY63 MGC61:MGC63 LWG61:LWG63 LMK61:LMK63 LCO61:LCO63 KSS61:KSS63 KIW61:KIW63 JZA61:JZA63 JPE61:JPE63 JFI61:JFI63 IVM61:IVM63 ILQ61:ILQ63 IBU61:IBU63 HRY61:HRY63 HIC61:HIC63 GYG61:GYG63 GOK61:GOK63 GEO61:GEO63 FUS61:FUS63 FKW61:FKW63 FBA61:FBA63 ERE61:ERE63 EHI61:EHI63 DXM61:DXM63 DNQ61:DNQ63 DDU61:DDU63 CTY61:CTY63 CKC61:CKC63 CAG61:CAG63 BQK61:BQK63 BGO61:BGO63 AWS61:AWS63 AMW61:AMW63 ADA61:ADA63 TE61:TE63 JI61:JI63 WVU983096:WVU983098 WLY983096:WLY983098 WCC983096:WCC983098 VSG983096:VSG983098 VIK983096:VIK983098 UYO983096:UYO983098 UOS983096:UOS983098 UEW983096:UEW983098 TVA983096:TVA983098 TLE983096:TLE983098 TBI983096:TBI983098 SRM983096:SRM983098 SHQ983096:SHQ983098 RXU983096:RXU983098 RNY983096:RNY983098 REC983096:REC983098 QUG983096:QUG983098 QKK983096:QKK983098 QAO983096:QAO983098 PQS983096:PQS983098 PGW983096:PGW983098 OXA983096:OXA983098 ONE983096:ONE983098 ODI983096:ODI983098 NTM983096:NTM983098 NJQ983096:NJQ983098 MZU983096:MZU983098 MPY983096:MPY983098 MGC983096:MGC983098 LWG983096:LWG983098 LMK983096:LMK983098 LCO983096:LCO983098 KSS983096:KSS983098 KIW983096:KIW983098 JZA983096:JZA983098 JPE983096:JPE983098 JFI983096:JFI983098 IVM983096:IVM983098 ILQ983096:ILQ983098 IBU983096:IBU983098 HRY983096:HRY983098 HIC983096:HIC983098 GYG983096:GYG983098 GOK983096:GOK983098 GEO983096:GEO983098 FUS983096:FUS983098 FKW983096:FKW983098 FBA983096:FBA983098 ERE983096:ERE983098 EHI983096:EHI983098 DXM983096:DXM983098 DNQ983096:DNQ983098 DDU983096:DDU983098 CTY983096:CTY983098 CKC983096:CKC983098 CAG983096:CAG983098 BQK983096:BQK983098 BGO983096:BGO983098 AWS983096:AWS983098 AMW983096:AMW983098 ADA983096:ADA983098 TE983096:TE983098 JI983096:JI983098 WVU917560:WVU917562 WLY917560:WLY917562 WCC917560:WCC917562 VSG917560:VSG917562 VIK917560:VIK917562 UYO917560:UYO917562 UOS917560:UOS917562 UEW917560:UEW917562 TVA917560:TVA917562 TLE917560:TLE917562 TBI917560:TBI917562 SRM917560:SRM917562 SHQ917560:SHQ917562 RXU917560:RXU917562 RNY917560:RNY917562 REC917560:REC917562 QUG917560:QUG917562 QKK917560:QKK917562 QAO917560:QAO917562 PQS917560:PQS917562 PGW917560:PGW917562 OXA917560:OXA917562 ONE917560:ONE917562 ODI917560:ODI917562 NTM917560:NTM917562 NJQ917560:NJQ917562 MZU917560:MZU917562 MPY917560:MPY917562 MGC917560:MGC917562 LWG917560:LWG917562 LMK917560:LMK917562 LCO917560:LCO917562 KSS917560:KSS917562 KIW917560:KIW917562 JZA917560:JZA917562 JPE917560:JPE917562 JFI917560:JFI917562 IVM917560:IVM917562 ILQ917560:ILQ917562 IBU917560:IBU917562 HRY917560:HRY917562 HIC917560:HIC917562 GYG917560:GYG917562 GOK917560:GOK917562 GEO917560:GEO917562 FUS917560:FUS917562 FKW917560:FKW917562 FBA917560:FBA917562 ERE917560:ERE917562 EHI917560:EHI917562 DXM917560:DXM917562 DNQ917560:DNQ917562 DDU917560:DDU917562 CTY917560:CTY917562 CKC917560:CKC917562 CAG917560:CAG917562 BQK917560:BQK917562 BGO917560:BGO917562 AWS917560:AWS917562 AMW917560:AMW917562 ADA917560:ADA917562 TE917560:TE917562 JI917560:JI917562 WVU852024:WVU852026 WLY852024:WLY852026 WCC852024:WCC852026 VSG852024:VSG852026 VIK852024:VIK852026 UYO852024:UYO852026 UOS852024:UOS852026 UEW852024:UEW852026 TVA852024:TVA852026 TLE852024:TLE852026 TBI852024:TBI852026 SRM852024:SRM852026 SHQ852024:SHQ852026 RXU852024:RXU852026 RNY852024:RNY852026 REC852024:REC852026 QUG852024:QUG852026 QKK852024:QKK852026 QAO852024:QAO852026 PQS852024:PQS852026 PGW852024:PGW852026 OXA852024:OXA852026 ONE852024:ONE852026 ODI852024:ODI852026 NTM852024:NTM852026 NJQ852024:NJQ852026 MZU852024:MZU852026 MPY852024:MPY852026 MGC852024:MGC852026 LWG852024:LWG852026 LMK852024:LMK852026 LCO852024:LCO852026 KSS852024:KSS852026 KIW852024:KIW852026 JZA852024:JZA852026 JPE852024:JPE852026 JFI852024:JFI852026 IVM852024:IVM852026 ILQ852024:ILQ852026 IBU852024:IBU852026 HRY852024:HRY852026 HIC852024:HIC852026 GYG852024:GYG852026 GOK852024:GOK852026 GEO852024:GEO852026 FUS852024:FUS852026 FKW852024:FKW852026 FBA852024:FBA852026 ERE852024:ERE852026 EHI852024:EHI852026 DXM852024:DXM852026 DNQ852024:DNQ852026 DDU852024:DDU852026 CTY852024:CTY852026 CKC852024:CKC852026 CAG852024:CAG852026 BQK852024:BQK852026 BGO852024:BGO852026 AWS852024:AWS852026 AMW852024:AMW852026 ADA852024:ADA852026 TE852024:TE852026 JI852024:JI852026 WVU786488:WVU786490 WLY786488:WLY786490 WCC786488:WCC786490 VSG786488:VSG786490 VIK786488:VIK786490 UYO786488:UYO786490 UOS786488:UOS786490 UEW786488:UEW786490 TVA786488:TVA786490 TLE786488:TLE786490 TBI786488:TBI786490 SRM786488:SRM786490 SHQ786488:SHQ786490 RXU786488:RXU786490 RNY786488:RNY786490 REC786488:REC786490 QUG786488:QUG786490 QKK786488:QKK786490 QAO786488:QAO786490 PQS786488:PQS786490 PGW786488:PGW786490 OXA786488:OXA786490 ONE786488:ONE786490 ODI786488:ODI786490 NTM786488:NTM786490 NJQ786488:NJQ786490 MZU786488:MZU786490 MPY786488:MPY786490 MGC786488:MGC786490 LWG786488:LWG786490 LMK786488:LMK786490 LCO786488:LCO786490 KSS786488:KSS786490 KIW786488:KIW786490 JZA786488:JZA786490 JPE786488:JPE786490 JFI786488:JFI786490 IVM786488:IVM786490 ILQ786488:ILQ786490 IBU786488:IBU786490 HRY786488:HRY786490 HIC786488:HIC786490 GYG786488:GYG786490 GOK786488:GOK786490 GEO786488:GEO786490 FUS786488:FUS786490 FKW786488:FKW786490 FBA786488:FBA786490 ERE786488:ERE786490 EHI786488:EHI786490 DXM786488:DXM786490 DNQ786488:DNQ786490 DDU786488:DDU786490 CTY786488:CTY786490 CKC786488:CKC786490 CAG786488:CAG786490 BQK786488:BQK786490 BGO786488:BGO786490 AWS786488:AWS786490 AMW786488:AMW786490 ADA786488:ADA786490 TE786488:TE786490 JI786488:JI786490 WVU720952:WVU720954 WLY720952:WLY720954 WCC720952:WCC720954 VSG720952:VSG720954 VIK720952:VIK720954 UYO720952:UYO720954 UOS720952:UOS720954 UEW720952:UEW720954 TVA720952:TVA720954 TLE720952:TLE720954 TBI720952:TBI720954 SRM720952:SRM720954 SHQ720952:SHQ720954 RXU720952:RXU720954 RNY720952:RNY720954 REC720952:REC720954 QUG720952:QUG720954 QKK720952:QKK720954 QAO720952:QAO720954 PQS720952:PQS720954 PGW720952:PGW720954 OXA720952:OXA720954 ONE720952:ONE720954 ODI720952:ODI720954 NTM720952:NTM720954 NJQ720952:NJQ720954 MZU720952:MZU720954 MPY720952:MPY720954 MGC720952:MGC720954 LWG720952:LWG720954 LMK720952:LMK720954 LCO720952:LCO720954 KSS720952:KSS720954 KIW720952:KIW720954 JZA720952:JZA720954 JPE720952:JPE720954 JFI720952:JFI720954 IVM720952:IVM720954 ILQ720952:ILQ720954 IBU720952:IBU720954 HRY720952:HRY720954 HIC720952:HIC720954 GYG720952:GYG720954 GOK720952:GOK720954 GEO720952:GEO720954 FUS720952:FUS720954 FKW720952:FKW720954 FBA720952:FBA720954 ERE720952:ERE720954 EHI720952:EHI720954 DXM720952:DXM720954 DNQ720952:DNQ720954 DDU720952:DDU720954 CTY720952:CTY720954 CKC720952:CKC720954 CAG720952:CAG720954 BQK720952:BQK720954 BGO720952:BGO720954 AWS720952:AWS720954 AMW720952:AMW720954 ADA720952:ADA720954 TE720952:TE720954 JI720952:JI720954 WVU655416:WVU655418 WLY655416:WLY655418 WCC655416:WCC655418 VSG655416:VSG655418 VIK655416:VIK655418 UYO655416:UYO655418 UOS655416:UOS655418 UEW655416:UEW655418 TVA655416:TVA655418 TLE655416:TLE655418 TBI655416:TBI655418 SRM655416:SRM655418 SHQ655416:SHQ655418 RXU655416:RXU655418 RNY655416:RNY655418 REC655416:REC655418 QUG655416:QUG655418 QKK655416:QKK655418 QAO655416:QAO655418 PQS655416:PQS655418 PGW655416:PGW655418 OXA655416:OXA655418 ONE655416:ONE655418 ODI655416:ODI655418 NTM655416:NTM655418 NJQ655416:NJQ655418 MZU655416:MZU655418 MPY655416:MPY655418 MGC655416:MGC655418 LWG655416:LWG655418 LMK655416:LMK655418 LCO655416:LCO655418 KSS655416:KSS655418 KIW655416:KIW655418 JZA655416:JZA655418 JPE655416:JPE655418 JFI655416:JFI655418 IVM655416:IVM655418 ILQ655416:ILQ655418 IBU655416:IBU655418 HRY655416:HRY655418 HIC655416:HIC655418 GYG655416:GYG655418 GOK655416:GOK655418 GEO655416:GEO655418 FUS655416:FUS655418 FKW655416:FKW655418 FBA655416:FBA655418 ERE655416:ERE655418 EHI655416:EHI655418 DXM655416:DXM655418 DNQ655416:DNQ655418 DDU655416:DDU655418 CTY655416:CTY655418 CKC655416:CKC655418 CAG655416:CAG655418 BQK655416:BQK655418 BGO655416:BGO655418 AWS655416:AWS655418 AMW655416:AMW655418 ADA655416:ADA655418 TE655416:TE655418 JI655416:JI655418 WVU589880:WVU589882 WLY589880:WLY589882 WCC589880:WCC589882 VSG589880:VSG589882 VIK589880:VIK589882 UYO589880:UYO589882 UOS589880:UOS589882 UEW589880:UEW589882 TVA589880:TVA589882 TLE589880:TLE589882 TBI589880:TBI589882 SRM589880:SRM589882 SHQ589880:SHQ589882 RXU589880:RXU589882 RNY589880:RNY589882 REC589880:REC589882 QUG589880:QUG589882 QKK589880:QKK589882 QAO589880:QAO589882 PQS589880:PQS589882 PGW589880:PGW589882 OXA589880:OXA589882 ONE589880:ONE589882 ODI589880:ODI589882 NTM589880:NTM589882 NJQ589880:NJQ589882 MZU589880:MZU589882 MPY589880:MPY589882 MGC589880:MGC589882 LWG589880:LWG589882 LMK589880:LMK589882 LCO589880:LCO589882 KSS589880:KSS589882 KIW589880:KIW589882 JZA589880:JZA589882 JPE589880:JPE589882 JFI589880:JFI589882 IVM589880:IVM589882 ILQ589880:ILQ589882 IBU589880:IBU589882 HRY589880:HRY589882 HIC589880:HIC589882 GYG589880:GYG589882 GOK589880:GOK589882 GEO589880:GEO589882 FUS589880:FUS589882 FKW589880:FKW589882 FBA589880:FBA589882 ERE589880:ERE589882 EHI589880:EHI589882 DXM589880:DXM589882 DNQ589880:DNQ589882 DDU589880:DDU589882 CTY589880:CTY589882 CKC589880:CKC589882 CAG589880:CAG589882 BQK589880:BQK589882 BGO589880:BGO589882 AWS589880:AWS589882 AMW589880:AMW589882 ADA589880:ADA589882 TE589880:TE589882 JI589880:JI589882 WVU524344:WVU524346 WLY524344:WLY524346 WCC524344:WCC524346 VSG524344:VSG524346 VIK524344:VIK524346 UYO524344:UYO524346 UOS524344:UOS524346 UEW524344:UEW524346 TVA524344:TVA524346 TLE524344:TLE524346 TBI524344:TBI524346 SRM524344:SRM524346 SHQ524344:SHQ524346 RXU524344:RXU524346 RNY524344:RNY524346 REC524344:REC524346 QUG524344:QUG524346 QKK524344:QKK524346 QAO524344:QAO524346 PQS524344:PQS524346 PGW524344:PGW524346 OXA524344:OXA524346 ONE524344:ONE524346 ODI524344:ODI524346 NTM524344:NTM524346 NJQ524344:NJQ524346 MZU524344:MZU524346 MPY524344:MPY524346 MGC524344:MGC524346 LWG524344:LWG524346 LMK524344:LMK524346 LCO524344:LCO524346 KSS524344:KSS524346 KIW524344:KIW524346 JZA524344:JZA524346 JPE524344:JPE524346 JFI524344:JFI524346 IVM524344:IVM524346 ILQ524344:ILQ524346 IBU524344:IBU524346 HRY524344:HRY524346 HIC524344:HIC524346 GYG524344:GYG524346 GOK524344:GOK524346 GEO524344:GEO524346 FUS524344:FUS524346 FKW524344:FKW524346 FBA524344:FBA524346 ERE524344:ERE524346 EHI524344:EHI524346 DXM524344:DXM524346 DNQ524344:DNQ524346 DDU524344:DDU524346 CTY524344:CTY524346 CKC524344:CKC524346 CAG524344:CAG524346 BQK524344:BQK524346 BGO524344:BGO524346 AWS524344:AWS524346 AMW524344:AMW524346 ADA524344:ADA524346 TE524344:TE524346 JI524344:JI524346 WVU458808:WVU458810 WLY458808:WLY458810 WCC458808:WCC458810 VSG458808:VSG458810 VIK458808:VIK458810 UYO458808:UYO458810 UOS458808:UOS458810 UEW458808:UEW458810 TVA458808:TVA458810 TLE458808:TLE458810 TBI458808:TBI458810 SRM458808:SRM458810 SHQ458808:SHQ458810 RXU458808:RXU458810 RNY458808:RNY458810 REC458808:REC458810 QUG458808:QUG458810 QKK458808:QKK458810 QAO458808:QAO458810 PQS458808:PQS458810 PGW458808:PGW458810 OXA458808:OXA458810 ONE458808:ONE458810 ODI458808:ODI458810 NTM458808:NTM458810 NJQ458808:NJQ458810 MZU458808:MZU458810 MPY458808:MPY458810 MGC458808:MGC458810 LWG458808:LWG458810 LMK458808:LMK458810 LCO458808:LCO458810 KSS458808:KSS458810 KIW458808:KIW458810 JZA458808:JZA458810 JPE458808:JPE458810 JFI458808:JFI458810 IVM458808:IVM458810 ILQ458808:ILQ458810 IBU458808:IBU458810 HRY458808:HRY458810 HIC458808:HIC458810 GYG458808:GYG458810 GOK458808:GOK458810 GEO458808:GEO458810 FUS458808:FUS458810 FKW458808:FKW458810 FBA458808:FBA458810 ERE458808:ERE458810 EHI458808:EHI458810 DXM458808:DXM458810 DNQ458808:DNQ458810 DDU458808:DDU458810 CTY458808:CTY458810 CKC458808:CKC458810 CAG458808:CAG458810 BQK458808:BQK458810 BGO458808:BGO458810 AWS458808:AWS458810 AMW458808:AMW458810 ADA458808:ADA458810 TE458808:TE458810 JI458808:JI458810 WVU393272:WVU393274 WLY393272:WLY393274 WCC393272:WCC393274 VSG393272:VSG393274 VIK393272:VIK393274 UYO393272:UYO393274 UOS393272:UOS393274 UEW393272:UEW393274 TVA393272:TVA393274 TLE393272:TLE393274 TBI393272:TBI393274 SRM393272:SRM393274 SHQ393272:SHQ393274 RXU393272:RXU393274 RNY393272:RNY393274 REC393272:REC393274 QUG393272:QUG393274 QKK393272:QKK393274 QAO393272:QAO393274 PQS393272:PQS393274 PGW393272:PGW393274 OXA393272:OXA393274 ONE393272:ONE393274 ODI393272:ODI393274 NTM393272:NTM393274 NJQ393272:NJQ393274 MZU393272:MZU393274 MPY393272:MPY393274 MGC393272:MGC393274 LWG393272:LWG393274 LMK393272:LMK393274 LCO393272:LCO393274 KSS393272:KSS393274 KIW393272:KIW393274 JZA393272:JZA393274 JPE393272:JPE393274 JFI393272:JFI393274 IVM393272:IVM393274 ILQ393272:ILQ393274 IBU393272:IBU393274 HRY393272:HRY393274 HIC393272:HIC393274 GYG393272:GYG393274 GOK393272:GOK393274 GEO393272:GEO393274 FUS393272:FUS393274 FKW393272:FKW393274 FBA393272:FBA393274 ERE393272:ERE393274 EHI393272:EHI393274 DXM393272:DXM393274 DNQ393272:DNQ393274 DDU393272:DDU393274 CTY393272:CTY393274 CKC393272:CKC393274 CAG393272:CAG393274 BQK393272:BQK393274 BGO393272:BGO393274 AWS393272:AWS393274 AMW393272:AMW393274 ADA393272:ADA393274 TE393272:TE393274 JI393272:JI393274 WVU327736:WVU327738 WLY327736:WLY327738 WCC327736:WCC327738 VSG327736:VSG327738 VIK327736:VIK327738 UYO327736:UYO327738 UOS327736:UOS327738 UEW327736:UEW327738 TVA327736:TVA327738 TLE327736:TLE327738 TBI327736:TBI327738 SRM327736:SRM327738 SHQ327736:SHQ327738 RXU327736:RXU327738 RNY327736:RNY327738 REC327736:REC327738 QUG327736:QUG327738 QKK327736:QKK327738 QAO327736:QAO327738 PQS327736:PQS327738 PGW327736:PGW327738 OXA327736:OXA327738 ONE327736:ONE327738 ODI327736:ODI327738 NTM327736:NTM327738 NJQ327736:NJQ327738 MZU327736:MZU327738 MPY327736:MPY327738 MGC327736:MGC327738 LWG327736:LWG327738 LMK327736:LMK327738 LCO327736:LCO327738 KSS327736:KSS327738 KIW327736:KIW327738 JZA327736:JZA327738 JPE327736:JPE327738 JFI327736:JFI327738 IVM327736:IVM327738 ILQ327736:ILQ327738 IBU327736:IBU327738 HRY327736:HRY327738 HIC327736:HIC327738 GYG327736:GYG327738 GOK327736:GOK327738 GEO327736:GEO327738 FUS327736:FUS327738 FKW327736:FKW327738 FBA327736:FBA327738 ERE327736:ERE327738 EHI327736:EHI327738 DXM327736:DXM327738 DNQ327736:DNQ327738 DDU327736:DDU327738 CTY327736:CTY327738 CKC327736:CKC327738 CAG327736:CAG327738 BQK327736:BQK327738 BGO327736:BGO327738 AWS327736:AWS327738 AMW327736:AMW327738 ADA327736:ADA327738 TE327736:TE327738 JI327736:JI327738 WVU262200:WVU262202 WLY262200:WLY262202 WCC262200:WCC262202 VSG262200:VSG262202 VIK262200:VIK262202 UYO262200:UYO262202 UOS262200:UOS262202 UEW262200:UEW262202 TVA262200:TVA262202 TLE262200:TLE262202 TBI262200:TBI262202 SRM262200:SRM262202 SHQ262200:SHQ262202 RXU262200:RXU262202 RNY262200:RNY262202 REC262200:REC262202 QUG262200:QUG262202 QKK262200:QKK262202 QAO262200:QAO262202 PQS262200:PQS262202 PGW262200:PGW262202 OXA262200:OXA262202 ONE262200:ONE262202 ODI262200:ODI262202 NTM262200:NTM262202 NJQ262200:NJQ262202 MZU262200:MZU262202 MPY262200:MPY262202 MGC262200:MGC262202 LWG262200:LWG262202 LMK262200:LMK262202 LCO262200:LCO262202 KSS262200:KSS262202 KIW262200:KIW262202 JZA262200:JZA262202 JPE262200:JPE262202 JFI262200:JFI262202 IVM262200:IVM262202 ILQ262200:ILQ262202 IBU262200:IBU262202 HRY262200:HRY262202 HIC262200:HIC262202 GYG262200:GYG262202 GOK262200:GOK262202 GEO262200:GEO262202 FUS262200:FUS262202 FKW262200:FKW262202 FBA262200:FBA262202 ERE262200:ERE262202 EHI262200:EHI262202 DXM262200:DXM262202 DNQ262200:DNQ262202 DDU262200:DDU262202 CTY262200:CTY262202 CKC262200:CKC262202 CAG262200:CAG262202 BQK262200:BQK262202 BGO262200:BGO262202 AWS262200:AWS262202 AMW262200:AMW262202 ADA262200:ADA262202 TE262200:TE262202 JI262200:JI262202 WVU196664:WVU196666 WLY196664:WLY196666 WCC196664:WCC196666 VSG196664:VSG196666 VIK196664:VIK196666 UYO196664:UYO196666 UOS196664:UOS196666 UEW196664:UEW196666 TVA196664:TVA196666 TLE196664:TLE196666 TBI196664:TBI196666 SRM196664:SRM196666 SHQ196664:SHQ196666 RXU196664:RXU196666 RNY196664:RNY196666 REC196664:REC196666 QUG196664:QUG196666 QKK196664:QKK196666 QAO196664:QAO196666 PQS196664:PQS196666 PGW196664:PGW196666 OXA196664:OXA196666 ONE196664:ONE196666 ODI196664:ODI196666 NTM196664:NTM196666 NJQ196664:NJQ196666 MZU196664:MZU196666 MPY196664:MPY196666 MGC196664:MGC196666 LWG196664:LWG196666 LMK196664:LMK196666 LCO196664:LCO196666 KSS196664:KSS196666 KIW196664:KIW196666 JZA196664:JZA196666 JPE196664:JPE196666 JFI196664:JFI196666 IVM196664:IVM196666 ILQ196664:ILQ196666 IBU196664:IBU196666 HRY196664:HRY196666 HIC196664:HIC196666 GYG196664:GYG196666 GOK196664:GOK196666 GEO196664:GEO196666 FUS196664:FUS196666 FKW196664:FKW196666 FBA196664:FBA196666 ERE196664:ERE196666 EHI196664:EHI196666 DXM196664:DXM196666 DNQ196664:DNQ196666 DDU196664:DDU196666 CTY196664:CTY196666 CKC196664:CKC196666 CAG196664:CAG196666 BQK196664:BQK196666 BGO196664:BGO196666 AWS196664:AWS196666 AMW196664:AMW196666 ADA196664:ADA196666 TE196664:TE196666 JI196664:JI196666 WVU131128:WVU131130 WLY131128:WLY131130 WCC131128:WCC131130 VSG131128:VSG131130 VIK131128:VIK131130 UYO131128:UYO131130 UOS131128:UOS131130 UEW131128:UEW131130 TVA131128:TVA131130 TLE131128:TLE131130 TBI131128:TBI131130 SRM131128:SRM131130 SHQ131128:SHQ131130 RXU131128:RXU131130 RNY131128:RNY131130 REC131128:REC131130 QUG131128:QUG131130 QKK131128:QKK131130 QAO131128:QAO131130 PQS131128:PQS131130 PGW131128:PGW131130 OXA131128:OXA131130 ONE131128:ONE131130 ODI131128:ODI131130 NTM131128:NTM131130 NJQ131128:NJQ131130 MZU131128:MZU131130 MPY131128:MPY131130 MGC131128:MGC131130 LWG131128:LWG131130 LMK131128:LMK131130 LCO131128:LCO131130 KSS131128:KSS131130 KIW131128:KIW131130 JZA131128:JZA131130 JPE131128:JPE131130 JFI131128:JFI131130 IVM131128:IVM131130 ILQ131128:ILQ131130 IBU131128:IBU131130 HRY131128:HRY131130 HIC131128:HIC131130 GYG131128:GYG131130 GOK131128:GOK131130 GEO131128:GEO131130 FUS131128:FUS131130 FKW131128:FKW131130 FBA131128:FBA131130 ERE131128:ERE131130 EHI131128:EHI131130 DXM131128:DXM131130 DNQ131128:DNQ131130 DDU131128:DDU131130 CTY131128:CTY131130 CKC131128:CKC131130 CAG131128:CAG131130 BQK131128:BQK131130 BGO131128:BGO131130 AWS131128:AWS131130 AMW131128:AMW131130 ADA131128:ADA131130 TE131128:TE131130 JI131128:JI131130 WVU65592:WVU65594 WLY65592:WLY65594 WCC65592:WCC65594 VSG65592:VSG65594 VIK65592:VIK65594 UYO65592:UYO65594 UOS65592:UOS65594 UEW65592:UEW65594 TVA65592:TVA65594 TLE65592:TLE65594 TBI65592:TBI65594 SRM65592:SRM65594 SHQ65592:SHQ65594 RXU65592:RXU65594 RNY65592:RNY65594 REC65592:REC65594 QUG65592:QUG65594 QKK65592:QKK65594 QAO65592:QAO65594 PQS65592:PQS65594 PGW65592:PGW65594 OXA65592:OXA65594 ONE65592:ONE65594 ODI65592:ODI65594 NTM65592:NTM65594 NJQ65592:NJQ65594 MZU65592:MZU65594 MPY65592:MPY65594 MGC65592:MGC65594 LWG65592:LWG65594 LMK65592:LMK65594 LCO65592:LCO65594 KSS65592:KSS65594 KIW65592:KIW65594 JZA65592:JZA65594 JPE65592:JPE65594 JFI65592:JFI65594 IVM65592:IVM65594 ILQ65592:ILQ65594 IBU65592:IBU65594 HRY65592:HRY65594 HIC65592:HIC65594 GYG65592:GYG65594 GOK65592:GOK65594 GEO65592:GEO65594 FUS65592:FUS65594 FKW65592:FKW65594 FBA65592:FBA65594 ERE65592:ERE65594 EHI65592:EHI65594 DXM65592:DXM65594 DNQ65592:DNQ65594 DDU65592:DDU65594 CTY65592:CTY65594 CKC65592:CKC65594 CAG65592:CAG65594 BQK65592:BQK65594 BGO65592:BGO65594 AWS65592:AWS65594 AMW65592:AMW65594 ADA65592:ADA65594 TE65592:TE65594 JI65592:JI65594 WVT983091:WVU983095 WLX983091:WLY983095 WCB983091:WCC983095 VSF983091:VSG983095 VIJ983091:VIK983095 UYN983091:UYO983095 UOR983091:UOS983095 UEV983091:UEW983095 TUZ983091:TVA983095 TLD983091:TLE983095 TBH983091:TBI983095 SRL983091:SRM983095 SHP983091:SHQ983095 RXT983091:RXU983095 RNX983091:RNY983095 REB983091:REC983095 QUF983091:QUG983095 QKJ983091:QKK983095 QAN983091:QAO983095 PQR983091:PQS983095 PGV983091:PGW983095 OWZ983091:OXA983095 OND983091:ONE983095 ODH983091:ODI983095 NTL983091:NTM983095 NJP983091:NJQ983095 MZT983091:MZU983095 MPX983091:MPY983095 MGB983091:MGC983095 LWF983091:LWG983095 LMJ983091:LMK983095 LCN983091:LCO983095 KSR983091:KSS983095 KIV983091:KIW983095 JYZ983091:JZA983095 JPD983091:JPE983095 JFH983091:JFI983095 IVL983091:IVM983095 ILP983091:ILQ983095 IBT983091:IBU983095 HRX983091:HRY983095 HIB983091:HIC983095 GYF983091:GYG983095 GOJ983091:GOK983095 GEN983091:GEO983095 FUR983091:FUS983095 FKV983091:FKW983095 FAZ983091:FBA983095 ERD983091:ERE983095 EHH983091:EHI983095 DXL983091:DXM983095 DNP983091:DNQ983095 DDT983091:DDU983095 CTX983091:CTY983095 CKB983091:CKC983095 CAF983091:CAG983095 BQJ983091:BQK983095 BGN983091:BGO983095 AWR983091:AWS983095 AMV983091:AMW983095 ACZ983091:ADA983095 TD983091:TE983095 JH983091:JI983095 WVT917555:WVU917559 WLX917555:WLY917559 WCB917555:WCC917559 VSF917555:VSG917559 VIJ917555:VIK917559 UYN917555:UYO917559 UOR917555:UOS917559 UEV917555:UEW917559 TUZ917555:TVA917559 TLD917555:TLE917559 TBH917555:TBI917559 SRL917555:SRM917559 SHP917555:SHQ917559 RXT917555:RXU917559 RNX917555:RNY917559 REB917555:REC917559 QUF917555:QUG917559 QKJ917555:QKK917559 QAN917555:QAO917559 PQR917555:PQS917559 PGV917555:PGW917559 OWZ917555:OXA917559 OND917555:ONE917559 ODH917555:ODI917559 NTL917555:NTM917559 NJP917555:NJQ917559 MZT917555:MZU917559 MPX917555:MPY917559 MGB917555:MGC917559 LWF917555:LWG917559 LMJ917555:LMK917559 LCN917555:LCO917559 KSR917555:KSS917559 KIV917555:KIW917559 JYZ917555:JZA917559 JPD917555:JPE917559 JFH917555:JFI917559 IVL917555:IVM917559 ILP917555:ILQ917559 IBT917555:IBU917559 HRX917555:HRY917559 HIB917555:HIC917559 GYF917555:GYG917559 GOJ917555:GOK917559 GEN917555:GEO917559 FUR917555:FUS917559 FKV917555:FKW917559 FAZ917555:FBA917559 ERD917555:ERE917559 EHH917555:EHI917559 DXL917555:DXM917559 DNP917555:DNQ917559 DDT917555:DDU917559 CTX917555:CTY917559 CKB917555:CKC917559 CAF917555:CAG917559 BQJ917555:BQK917559 BGN917555:BGO917559 AWR917555:AWS917559 AMV917555:AMW917559 ACZ917555:ADA917559 TD917555:TE917559 JH917555:JI917559 WVT852019:WVU852023 WLX852019:WLY852023 WCB852019:WCC852023 VSF852019:VSG852023 VIJ852019:VIK852023 UYN852019:UYO852023 UOR852019:UOS852023 UEV852019:UEW852023 TUZ852019:TVA852023 TLD852019:TLE852023 TBH852019:TBI852023 SRL852019:SRM852023 SHP852019:SHQ852023 RXT852019:RXU852023 RNX852019:RNY852023 REB852019:REC852023 QUF852019:QUG852023 QKJ852019:QKK852023 QAN852019:QAO852023 PQR852019:PQS852023 PGV852019:PGW852023 OWZ852019:OXA852023 OND852019:ONE852023 ODH852019:ODI852023 NTL852019:NTM852023 NJP852019:NJQ852023 MZT852019:MZU852023 MPX852019:MPY852023 MGB852019:MGC852023 LWF852019:LWG852023 LMJ852019:LMK852023 LCN852019:LCO852023 KSR852019:KSS852023 KIV852019:KIW852023 JYZ852019:JZA852023 JPD852019:JPE852023 JFH852019:JFI852023 IVL852019:IVM852023 ILP852019:ILQ852023 IBT852019:IBU852023 HRX852019:HRY852023 HIB852019:HIC852023 GYF852019:GYG852023 GOJ852019:GOK852023 GEN852019:GEO852023 FUR852019:FUS852023 FKV852019:FKW852023 FAZ852019:FBA852023 ERD852019:ERE852023 EHH852019:EHI852023 DXL852019:DXM852023 DNP852019:DNQ852023 DDT852019:DDU852023 CTX852019:CTY852023 CKB852019:CKC852023 CAF852019:CAG852023 BQJ852019:BQK852023 BGN852019:BGO852023 AWR852019:AWS852023 AMV852019:AMW852023 ACZ852019:ADA852023 TD852019:TE852023 JH852019:JI852023 WVT786483:WVU786487 WLX786483:WLY786487 WCB786483:WCC786487 VSF786483:VSG786487 VIJ786483:VIK786487 UYN786483:UYO786487 UOR786483:UOS786487 UEV786483:UEW786487 TUZ786483:TVA786487 TLD786483:TLE786487 TBH786483:TBI786487 SRL786483:SRM786487 SHP786483:SHQ786487 RXT786483:RXU786487 RNX786483:RNY786487 REB786483:REC786487 QUF786483:QUG786487 QKJ786483:QKK786487 QAN786483:QAO786487 PQR786483:PQS786487 PGV786483:PGW786487 OWZ786483:OXA786487 OND786483:ONE786487 ODH786483:ODI786487 NTL786483:NTM786487 NJP786483:NJQ786487 MZT786483:MZU786487 MPX786483:MPY786487 MGB786483:MGC786487 LWF786483:LWG786487 LMJ786483:LMK786487 LCN786483:LCO786487 KSR786483:KSS786487 KIV786483:KIW786487 JYZ786483:JZA786487 JPD786483:JPE786487 JFH786483:JFI786487 IVL786483:IVM786487 ILP786483:ILQ786487 IBT786483:IBU786487 HRX786483:HRY786487 HIB786483:HIC786487 GYF786483:GYG786487 GOJ786483:GOK786487 GEN786483:GEO786487 FUR786483:FUS786487 FKV786483:FKW786487 FAZ786483:FBA786487 ERD786483:ERE786487 EHH786483:EHI786487 DXL786483:DXM786487 DNP786483:DNQ786487 DDT786483:DDU786487 CTX786483:CTY786487 CKB786483:CKC786487 CAF786483:CAG786487 BQJ786483:BQK786487 BGN786483:BGO786487 AWR786483:AWS786487 AMV786483:AMW786487 ACZ786483:ADA786487 TD786483:TE786487 JH786483:JI786487 WVT720947:WVU720951 WLX720947:WLY720951 WCB720947:WCC720951 VSF720947:VSG720951 VIJ720947:VIK720951 UYN720947:UYO720951 UOR720947:UOS720951 UEV720947:UEW720951 TUZ720947:TVA720951 TLD720947:TLE720951 TBH720947:TBI720951 SRL720947:SRM720951 SHP720947:SHQ720951 RXT720947:RXU720951 RNX720947:RNY720951 REB720947:REC720951 QUF720947:QUG720951 QKJ720947:QKK720951 QAN720947:QAO720951 PQR720947:PQS720951 PGV720947:PGW720951 OWZ720947:OXA720951 OND720947:ONE720951 ODH720947:ODI720951 NTL720947:NTM720951 NJP720947:NJQ720951 MZT720947:MZU720951 MPX720947:MPY720951 MGB720947:MGC720951 LWF720947:LWG720951 LMJ720947:LMK720951 LCN720947:LCO720951 KSR720947:KSS720951 KIV720947:KIW720951 JYZ720947:JZA720951 JPD720947:JPE720951 JFH720947:JFI720951 IVL720947:IVM720951 ILP720947:ILQ720951 IBT720947:IBU720951 HRX720947:HRY720951 HIB720947:HIC720951 GYF720947:GYG720951 GOJ720947:GOK720951 GEN720947:GEO720951 FUR720947:FUS720951 FKV720947:FKW720951 FAZ720947:FBA720951 ERD720947:ERE720951 EHH720947:EHI720951 DXL720947:DXM720951 DNP720947:DNQ720951 DDT720947:DDU720951 CTX720947:CTY720951 CKB720947:CKC720951 CAF720947:CAG720951 BQJ720947:BQK720951 BGN720947:BGO720951 AWR720947:AWS720951 AMV720947:AMW720951 ACZ720947:ADA720951 TD720947:TE720951 JH720947:JI720951 WVT655411:WVU655415 WLX655411:WLY655415 WCB655411:WCC655415 VSF655411:VSG655415 VIJ655411:VIK655415 UYN655411:UYO655415 UOR655411:UOS655415 UEV655411:UEW655415 TUZ655411:TVA655415 TLD655411:TLE655415 TBH655411:TBI655415 SRL655411:SRM655415 SHP655411:SHQ655415 RXT655411:RXU655415 RNX655411:RNY655415 REB655411:REC655415 QUF655411:QUG655415 QKJ655411:QKK655415 QAN655411:QAO655415 PQR655411:PQS655415 PGV655411:PGW655415 OWZ655411:OXA655415 OND655411:ONE655415 ODH655411:ODI655415 NTL655411:NTM655415 NJP655411:NJQ655415 MZT655411:MZU655415 MPX655411:MPY655415 MGB655411:MGC655415 LWF655411:LWG655415 LMJ655411:LMK655415 LCN655411:LCO655415 KSR655411:KSS655415 KIV655411:KIW655415 JYZ655411:JZA655415 JPD655411:JPE655415 JFH655411:JFI655415 IVL655411:IVM655415 ILP655411:ILQ655415 IBT655411:IBU655415 HRX655411:HRY655415 HIB655411:HIC655415 GYF655411:GYG655415 GOJ655411:GOK655415 GEN655411:GEO655415 FUR655411:FUS655415 FKV655411:FKW655415 FAZ655411:FBA655415 ERD655411:ERE655415 EHH655411:EHI655415 DXL655411:DXM655415 DNP655411:DNQ655415 DDT655411:DDU655415 CTX655411:CTY655415 CKB655411:CKC655415 CAF655411:CAG655415 BQJ655411:BQK655415 BGN655411:BGO655415 AWR655411:AWS655415 AMV655411:AMW655415 ACZ655411:ADA655415 TD655411:TE655415 JH655411:JI655415 WVT589875:WVU589879 WLX589875:WLY589879 WCB589875:WCC589879 VSF589875:VSG589879 VIJ589875:VIK589879 UYN589875:UYO589879 UOR589875:UOS589879 UEV589875:UEW589879 TUZ589875:TVA589879 TLD589875:TLE589879 TBH589875:TBI589879 SRL589875:SRM589879 SHP589875:SHQ589879 RXT589875:RXU589879 RNX589875:RNY589879 REB589875:REC589879 QUF589875:QUG589879 QKJ589875:QKK589879 QAN589875:QAO589879 PQR589875:PQS589879 PGV589875:PGW589879 OWZ589875:OXA589879 OND589875:ONE589879 ODH589875:ODI589879 NTL589875:NTM589879 NJP589875:NJQ589879 MZT589875:MZU589879 MPX589875:MPY589879 MGB589875:MGC589879 LWF589875:LWG589879 LMJ589875:LMK589879 LCN589875:LCO589879 KSR589875:KSS589879 KIV589875:KIW589879 JYZ589875:JZA589879 JPD589875:JPE589879 JFH589875:JFI589879 IVL589875:IVM589879 ILP589875:ILQ589879 IBT589875:IBU589879 HRX589875:HRY589879 HIB589875:HIC589879 GYF589875:GYG589879 GOJ589875:GOK589879 GEN589875:GEO589879 FUR589875:FUS589879 FKV589875:FKW589879 FAZ589875:FBA589879 ERD589875:ERE589879 EHH589875:EHI589879 DXL589875:DXM589879 DNP589875:DNQ589879 DDT589875:DDU589879 CTX589875:CTY589879 CKB589875:CKC589879 CAF589875:CAG589879 BQJ589875:BQK589879 BGN589875:BGO589879 AWR589875:AWS589879 AMV589875:AMW589879 ACZ589875:ADA589879 TD589875:TE589879 JH589875:JI589879 WVT524339:WVU524343 WLX524339:WLY524343 WCB524339:WCC524343 VSF524339:VSG524343 VIJ524339:VIK524343 UYN524339:UYO524343 UOR524339:UOS524343 UEV524339:UEW524343 TUZ524339:TVA524343 TLD524339:TLE524343 TBH524339:TBI524343 SRL524339:SRM524343 SHP524339:SHQ524343 RXT524339:RXU524343 RNX524339:RNY524343 REB524339:REC524343 QUF524339:QUG524343 QKJ524339:QKK524343 QAN524339:QAO524343 PQR524339:PQS524343 PGV524339:PGW524343 OWZ524339:OXA524343 OND524339:ONE524343 ODH524339:ODI524343 NTL524339:NTM524343 NJP524339:NJQ524343 MZT524339:MZU524343 MPX524339:MPY524343 MGB524339:MGC524343 LWF524339:LWG524343 LMJ524339:LMK524343 LCN524339:LCO524343 KSR524339:KSS524343 KIV524339:KIW524343 JYZ524339:JZA524343 JPD524339:JPE524343 JFH524339:JFI524343 IVL524339:IVM524343 ILP524339:ILQ524343 IBT524339:IBU524343 HRX524339:HRY524343 HIB524339:HIC524343 GYF524339:GYG524343 GOJ524339:GOK524343 GEN524339:GEO524343 FUR524339:FUS524343 FKV524339:FKW524343 FAZ524339:FBA524343 ERD524339:ERE524343 EHH524339:EHI524343 DXL524339:DXM524343 DNP524339:DNQ524343 DDT524339:DDU524343 CTX524339:CTY524343 CKB524339:CKC524343 CAF524339:CAG524343 BQJ524339:BQK524343 BGN524339:BGO524343 AWR524339:AWS524343 AMV524339:AMW524343 ACZ524339:ADA524343 TD524339:TE524343 JH524339:JI524343 WVT458803:WVU458807 WLX458803:WLY458807 WCB458803:WCC458807 VSF458803:VSG458807 VIJ458803:VIK458807 UYN458803:UYO458807 UOR458803:UOS458807 UEV458803:UEW458807 TUZ458803:TVA458807 TLD458803:TLE458807 TBH458803:TBI458807 SRL458803:SRM458807 SHP458803:SHQ458807 RXT458803:RXU458807 RNX458803:RNY458807 REB458803:REC458807 QUF458803:QUG458807 QKJ458803:QKK458807 QAN458803:QAO458807 PQR458803:PQS458807 PGV458803:PGW458807 OWZ458803:OXA458807 OND458803:ONE458807 ODH458803:ODI458807 NTL458803:NTM458807 NJP458803:NJQ458807 MZT458803:MZU458807 MPX458803:MPY458807 MGB458803:MGC458807 LWF458803:LWG458807 LMJ458803:LMK458807 LCN458803:LCO458807 KSR458803:KSS458807 KIV458803:KIW458807 JYZ458803:JZA458807 JPD458803:JPE458807 JFH458803:JFI458807 IVL458803:IVM458807 ILP458803:ILQ458807 IBT458803:IBU458807 HRX458803:HRY458807 HIB458803:HIC458807 GYF458803:GYG458807 GOJ458803:GOK458807 GEN458803:GEO458807 FUR458803:FUS458807 FKV458803:FKW458807 FAZ458803:FBA458807 ERD458803:ERE458807 EHH458803:EHI458807 DXL458803:DXM458807 DNP458803:DNQ458807 DDT458803:DDU458807 CTX458803:CTY458807 CKB458803:CKC458807 CAF458803:CAG458807 BQJ458803:BQK458807 BGN458803:BGO458807 AWR458803:AWS458807 AMV458803:AMW458807 ACZ458803:ADA458807 TD458803:TE458807 JH458803:JI458807 WVT393267:WVU393271 WLX393267:WLY393271 WCB393267:WCC393271 VSF393267:VSG393271 VIJ393267:VIK393271 UYN393267:UYO393271 UOR393267:UOS393271 UEV393267:UEW393271 TUZ393267:TVA393271 TLD393267:TLE393271 TBH393267:TBI393271 SRL393267:SRM393271 SHP393267:SHQ393271 RXT393267:RXU393271 RNX393267:RNY393271 REB393267:REC393271 QUF393267:QUG393271 QKJ393267:QKK393271 QAN393267:QAO393271 PQR393267:PQS393271 PGV393267:PGW393271 OWZ393267:OXA393271 OND393267:ONE393271 ODH393267:ODI393271 NTL393267:NTM393271 NJP393267:NJQ393271 MZT393267:MZU393271 MPX393267:MPY393271 MGB393267:MGC393271 LWF393267:LWG393271 LMJ393267:LMK393271 LCN393267:LCO393271 KSR393267:KSS393271 KIV393267:KIW393271 JYZ393267:JZA393271 JPD393267:JPE393271 JFH393267:JFI393271 IVL393267:IVM393271 ILP393267:ILQ393271 IBT393267:IBU393271 HRX393267:HRY393271 HIB393267:HIC393271 GYF393267:GYG393271 GOJ393267:GOK393271 GEN393267:GEO393271 FUR393267:FUS393271 FKV393267:FKW393271 FAZ393267:FBA393271 ERD393267:ERE393271 EHH393267:EHI393271 DXL393267:DXM393271 DNP393267:DNQ393271 DDT393267:DDU393271 CTX393267:CTY393271 CKB393267:CKC393271 CAF393267:CAG393271 BQJ393267:BQK393271 BGN393267:BGO393271 AWR393267:AWS393271 AMV393267:AMW393271 ACZ393267:ADA393271 TD393267:TE393271 JH393267:JI393271 WVT327731:WVU327735 WLX327731:WLY327735 WCB327731:WCC327735 VSF327731:VSG327735 VIJ327731:VIK327735 UYN327731:UYO327735 UOR327731:UOS327735 UEV327731:UEW327735 TUZ327731:TVA327735 TLD327731:TLE327735 TBH327731:TBI327735 SRL327731:SRM327735 SHP327731:SHQ327735 RXT327731:RXU327735 RNX327731:RNY327735 REB327731:REC327735 QUF327731:QUG327735 QKJ327731:QKK327735 QAN327731:QAO327735 PQR327731:PQS327735 PGV327731:PGW327735 OWZ327731:OXA327735 OND327731:ONE327735 ODH327731:ODI327735 NTL327731:NTM327735 NJP327731:NJQ327735 MZT327731:MZU327735 MPX327731:MPY327735 MGB327731:MGC327735 LWF327731:LWG327735 LMJ327731:LMK327735 LCN327731:LCO327735 KSR327731:KSS327735 KIV327731:KIW327735 JYZ327731:JZA327735 JPD327731:JPE327735 JFH327731:JFI327735 IVL327731:IVM327735 ILP327731:ILQ327735 IBT327731:IBU327735 HRX327731:HRY327735 HIB327731:HIC327735 GYF327731:GYG327735 GOJ327731:GOK327735 GEN327731:GEO327735 FUR327731:FUS327735 FKV327731:FKW327735 FAZ327731:FBA327735 ERD327731:ERE327735 EHH327731:EHI327735 DXL327731:DXM327735 DNP327731:DNQ327735 DDT327731:DDU327735 CTX327731:CTY327735 CKB327731:CKC327735 CAF327731:CAG327735 BQJ327731:BQK327735 BGN327731:BGO327735 AWR327731:AWS327735 AMV327731:AMW327735 ACZ327731:ADA327735 TD327731:TE327735 JH327731:JI327735 WVT262195:WVU262199 WLX262195:WLY262199 WCB262195:WCC262199 VSF262195:VSG262199 VIJ262195:VIK262199 UYN262195:UYO262199 UOR262195:UOS262199 UEV262195:UEW262199 TUZ262195:TVA262199 TLD262195:TLE262199 TBH262195:TBI262199 SRL262195:SRM262199 SHP262195:SHQ262199 RXT262195:RXU262199 RNX262195:RNY262199 REB262195:REC262199 QUF262195:QUG262199 QKJ262195:QKK262199 QAN262195:QAO262199 PQR262195:PQS262199 PGV262195:PGW262199 OWZ262195:OXA262199 OND262195:ONE262199 ODH262195:ODI262199 NTL262195:NTM262199 NJP262195:NJQ262199 MZT262195:MZU262199 MPX262195:MPY262199 MGB262195:MGC262199 LWF262195:LWG262199 LMJ262195:LMK262199 LCN262195:LCO262199 KSR262195:KSS262199 KIV262195:KIW262199 JYZ262195:JZA262199 JPD262195:JPE262199 JFH262195:JFI262199 IVL262195:IVM262199 ILP262195:ILQ262199 IBT262195:IBU262199 HRX262195:HRY262199 HIB262195:HIC262199 GYF262195:GYG262199 GOJ262195:GOK262199 GEN262195:GEO262199 FUR262195:FUS262199 FKV262195:FKW262199 FAZ262195:FBA262199 ERD262195:ERE262199 EHH262195:EHI262199 DXL262195:DXM262199 DNP262195:DNQ262199 DDT262195:DDU262199 CTX262195:CTY262199 CKB262195:CKC262199 CAF262195:CAG262199 BQJ262195:BQK262199 BGN262195:BGO262199 AWR262195:AWS262199 AMV262195:AMW262199 ACZ262195:ADA262199 TD262195:TE262199 JH262195:JI262199 WVT196659:WVU196663 WLX196659:WLY196663 WCB196659:WCC196663 VSF196659:VSG196663 VIJ196659:VIK196663 UYN196659:UYO196663 UOR196659:UOS196663 UEV196659:UEW196663 TUZ196659:TVA196663 TLD196659:TLE196663 TBH196659:TBI196663 SRL196659:SRM196663 SHP196659:SHQ196663 RXT196659:RXU196663 RNX196659:RNY196663 REB196659:REC196663 QUF196659:QUG196663 QKJ196659:QKK196663 QAN196659:QAO196663 PQR196659:PQS196663 PGV196659:PGW196663 OWZ196659:OXA196663 OND196659:ONE196663 ODH196659:ODI196663 NTL196659:NTM196663 NJP196659:NJQ196663 MZT196659:MZU196663 MPX196659:MPY196663 MGB196659:MGC196663 LWF196659:LWG196663 LMJ196659:LMK196663 LCN196659:LCO196663 KSR196659:KSS196663 KIV196659:KIW196663 JYZ196659:JZA196663 JPD196659:JPE196663 JFH196659:JFI196663 IVL196659:IVM196663 ILP196659:ILQ196663 IBT196659:IBU196663 HRX196659:HRY196663 HIB196659:HIC196663 GYF196659:GYG196663 GOJ196659:GOK196663 GEN196659:GEO196663 FUR196659:FUS196663 FKV196659:FKW196663 FAZ196659:FBA196663 ERD196659:ERE196663 EHH196659:EHI196663 DXL196659:DXM196663 DNP196659:DNQ196663 DDT196659:DDU196663 CTX196659:CTY196663 CKB196659:CKC196663 CAF196659:CAG196663 BQJ196659:BQK196663 BGN196659:BGO196663 AWR196659:AWS196663 AMV196659:AMW196663 ACZ196659:ADA196663 TD196659:TE196663 JH196659:JI196663 WVT131123:WVU131127 WLX131123:WLY131127 WCB131123:WCC131127 VSF131123:VSG131127 VIJ131123:VIK131127 UYN131123:UYO131127 UOR131123:UOS131127 UEV131123:UEW131127 TUZ131123:TVA131127 TLD131123:TLE131127 TBH131123:TBI131127 SRL131123:SRM131127 SHP131123:SHQ131127 RXT131123:RXU131127 RNX131123:RNY131127 REB131123:REC131127 QUF131123:QUG131127 QKJ131123:QKK131127 QAN131123:QAO131127 PQR131123:PQS131127 PGV131123:PGW131127 OWZ131123:OXA131127 OND131123:ONE131127 ODH131123:ODI131127 NTL131123:NTM131127 NJP131123:NJQ131127 MZT131123:MZU131127 MPX131123:MPY131127 MGB131123:MGC131127 LWF131123:LWG131127 LMJ131123:LMK131127 LCN131123:LCO131127 KSR131123:KSS131127 KIV131123:KIW131127 JYZ131123:JZA131127 JPD131123:JPE131127 JFH131123:JFI131127 IVL131123:IVM131127 ILP131123:ILQ131127 IBT131123:IBU131127 HRX131123:HRY131127 HIB131123:HIC131127 GYF131123:GYG131127 GOJ131123:GOK131127 GEN131123:GEO131127 FUR131123:FUS131127 FKV131123:FKW131127 FAZ131123:FBA131127 ERD131123:ERE131127 EHH131123:EHI131127 DXL131123:DXM131127 DNP131123:DNQ131127 DDT131123:DDU131127 CTX131123:CTY131127 CKB131123:CKC131127 CAF131123:CAG131127 BQJ131123:BQK131127 BGN131123:BGO131127 AWR131123:AWS131127 AMV131123:AMW131127 ACZ131123:ADA131127 TD131123:TE131127 JH131123:JI131127 WVT65587:WVU65591 WLX65587:WLY65591 WCB65587:WCC65591 VSF65587:VSG65591 VIJ65587:VIK65591 UYN65587:UYO65591 UOR65587:UOS65591 UEV65587:UEW65591 TUZ65587:TVA65591 TLD65587:TLE65591 TBH65587:TBI65591 SRL65587:SRM65591 SHP65587:SHQ65591 RXT65587:RXU65591 RNX65587:RNY65591 REB65587:REC65591 QUF65587:QUG65591 QKJ65587:QKK65591 QAN65587:QAO65591 PQR65587:PQS65591 PGV65587:PGW65591 OWZ65587:OXA65591 OND65587:ONE65591 ODH65587:ODI65591 NTL65587:NTM65591 NJP65587:NJQ65591 MZT65587:MZU65591 MPX65587:MPY65591 MGB65587:MGC65591 LWF65587:LWG65591 LMJ65587:LMK65591 LCN65587:LCO65591 KSR65587:KSS65591 KIV65587:KIW65591 JYZ65587:JZA65591 JPD65587:JPE65591 JFH65587:JFI65591 IVL65587:IVM65591 ILP65587:ILQ65591 IBT65587:IBU65591 HRX65587:HRY65591 HIB65587:HIC65591 GYF65587:GYG65591 GOJ65587:GOK65591 GEN65587:GEO65591 FUR65587:FUS65591 FKV65587:FKW65591 FAZ65587:FBA65591 ERD65587:ERE65591 EHH65587:EHI65591 DXL65587:DXM65591 DNP65587:DNQ65591 DDT65587:DDU65591 CTX65587:CTY65591 CKB65587:CKC65591 CAF65587:CAG65591 BQJ65587:BQK65591 BGN65587:BGO65591 AWR65587:AWS65591 AMV65587:AMW65591 ACZ65587:ADA65591 TD65587:TE65591 JH65587:JI65591 WVR51:WVS54 WVT55:WVU55 WLV51:WLW54 WLX55:WLY55 WBZ51:WCA54 WCB55:WCC55 VSD51:VSE54 VSF55:VSG55 VIH51:VII54 VIJ55:VIK55 UYL51:UYM54 UYN55:UYO55 UOP51:UOQ54 UOR55:UOS55 UET51:UEU54 UEV55:UEW55 TUX51:TUY54 TUZ55:TVA55 TLB51:TLC54 TLD55:TLE55 TBF51:TBG54 TBH55:TBI55 SRJ51:SRK54 SRL55:SRM55 SHN51:SHO54 SHP55:SHQ55 RXR51:RXS54 RXT55:RXU55 RNV51:RNW54 RNX55:RNY55 RDZ51:REA54 REB55:REC55 QUD51:QUE54 QUF55:QUG55 QKH51:QKI54 QKJ55:QKK55 QAL51:QAM54 QAN55:QAO55 PQP51:PQQ54 PQR55:PQS55 PGT51:PGU54 PGV55:PGW55 OWX51:OWY54 OWZ55:OXA55 ONB51:ONC54 OND55:ONE55 ODF51:ODG54 ODH55:ODI55 NTJ51:NTK54 NTL55:NTM55 NJN51:NJO54 NJP55:NJQ55 MZR51:MZS54 MZT55:MZU55 MPV51:MPW54 MPX55:MPY55 MFZ51:MGA54 MGB55:MGC55 LWD51:LWE54 LWF55:LWG55 LMH51:LMI54 LMJ55:LMK55 LCL51:LCM54 LCN55:LCO55 KSP51:KSQ54 KSR55:KSS55 KIT51:KIU54 KIV55:KIW55 JYX51:JYY54 JYZ55:JZA55 JPB51:JPC54 JPD55:JPE55 JFF51:JFG54 JFH55:JFI55 IVJ51:IVK54 IVL55:IVM55 ILN51:ILO54 ILP55:ILQ55 IBR51:IBS54 IBT55:IBU55 HRV51:HRW54 HRX55:HRY55 HHZ51:HIA54 HIB55:HIC55 GYD51:GYE54 GYF55:GYG55 GOH51:GOI54 GOJ55:GOK55 GEL51:GEM54 GEN55:GEO55 FUP51:FUQ54 FUR55:FUS55 FKT51:FKU54 FKV55:FKW55 FAX51:FAY54 FAZ55:FBA55 ERB51:ERC54 ERD55:ERE55 EHF51:EHG54 EHH55:EHI55 DXJ51:DXK54 DXL55:DXM55 DNN51:DNO54 DNP55:DNQ55 DDR51:DDS54 DDT55:DDU55 CTV51:CTW54 CTX55:CTY55 CJZ51:CKA54 CKB55:CKC55 CAD51:CAE54 CAF55:CAG55 BQH51:BQI54 BQJ55:BQK55 BGL51:BGM54 BGN55:BGO55 AWP51:AWQ54 AWR55:AWS55 AMT51:AMU54 AMV55:AMW55 ACX51:ACY54 ACZ55:ADA55 TB51:TC54 TD55:TE55 JF51:JG54 JH55:JI55 WVT983084:WVT983088 WLX983084:WLX983088 WCB983084:WCB983088 VSF983084:VSF983088 VIJ983084:VIJ983088 UYN983084:UYN983088 UOR983084:UOR983088 UEV983084:UEV983088 TUZ983084:TUZ983088 TLD983084:TLD983088 TBH983084:TBH983088 SRL983084:SRL983088 SHP983084:SHP983088 RXT983084:RXT983088 RNX983084:RNX983088 REB983084:REB983088 QUF983084:QUF983088 QKJ983084:QKJ983088 QAN983084:QAN983088 PQR983084:PQR983088 PGV983084:PGV983088 OWZ983084:OWZ983088 OND983084:OND983088 ODH983084:ODH983088 NTL983084:NTL983088 NJP983084:NJP983088 MZT983084:MZT983088 MPX983084:MPX983088 MGB983084:MGB983088 LWF983084:LWF983088 LMJ983084:LMJ983088 LCN983084:LCN983088 KSR983084:KSR983088 KIV983084:KIV983088 JYZ983084:JYZ983088 JPD983084:JPD983088 JFH983084:JFH983088 IVL983084:IVL983088 ILP983084:ILP983088 IBT983084:IBT983088 HRX983084:HRX983088 HIB983084:HIB983088 GYF983084:GYF983088 GOJ983084:GOJ983088 GEN983084:GEN983088 FUR983084:FUR983088 FKV983084:FKV983088 FAZ983084:FAZ983088 ERD983084:ERD983088 EHH983084:EHH983088 DXL983084:DXL983088 DNP983084:DNP983088 DDT983084:DDT983088 CTX983084:CTX983088 CKB983084:CKB983088 CAF983084:CAF983088 BQJ983084:BQJ983088 BGN983084:BGN983088 AWR983084:AWR983088 AMV983084:AMV983088 ACZ983084:ACZ983088 TD983084:TD983088 JH983084:JH983088 WVT917548:WVT917552 WLX917548:WLX917552 WCB917548:WCB917552 VSF917548:VSF917552 VIJ917548:VIJ917552 UYN917548:UYN917552 UOR917548:UOR917552 UEV917548:UEV917552 TUZ917548:TUZ917552 TLD917548:TLD917552 TBH917548:TBH917552 SRL917548:SRL917552 SHP917548:SHP917552 RXT917548:RXT917552 RNX917548:RNX917552 REB917548:REB917552 QUF917548:QUF917552 QKJ917548:QKJ917552 QAN917548:QAN917552 PQR917548:PQR917552 PGV917548:PGV917552 OWZ917548:OWZ917552 OND917548:OND917552 ODH917548:ODH917552 NTL917548:NTL917552 NJP917548:NJP917552 MZT917548:MZT917552 MPX917548:MPX917552 MGB917548:MGB917552 LWF917548:LWF917552 LMJ917548:LMJ917552 LCN917548:LCN917552 KSR917548:KSR917552 KIV917548:KIV917552 JYZ917548:JYZ917552 JPD917548:JPD917552 JFH917548:JFH917552 IVL917548:IVL917552 ILP917548:ILP917552 IBT917548:IBT917552 HRX917548:HRX917552 HIB917548:HIB917552 GYF917548:GYF917552 GOJ917548:GOJ917552 GEN917548:GEN917552 FUR917548:FUR917552 FKV917548:FKV917552 FAZ917548:FAZ917552 ERD917548:ERD917552 EHH917548:EHH917552 DXL917548:DXL917552 DNP917548:DNP917552 DDT917548:DDT917552 CTX917548:CTX917552 CKB917548:CKB917552 CAF917548:CAF917552 BQJ917548:BQJ917552 BGN917548:BGN917552 AWR917548:AWR917552 AMV917548:AMV917552 ACZ917548:ACZ917552 TD917548:TD917552 JH917548:JH917552 WVT852012:WVT852016 WLX852012:WLX852016 WCB852012:WCB852016 VSF852012:VSF852016 VIJ852012:VIJ852016 UYN852012:UYN852016 UOR852012:UOR852016 UEV852012:UEV852016 TUZ852012:TUZ852016 TLD852012:TLD852016 TBH852012:TBH852016 SRL852012:SRL852016 SHP852012:SHP852016 RXT852012:RXT852016 RNX852012:RNX852016 REB852012:REB852016 QUF852012:QUF852016 QKJ852012:QKJ852016 QAN852012:QAN852016 PQR852012:PQR852016 PGV852012:PGV852016 OWZ852012:OWZ852016 OND852012:OND852016 ODH852012:ODH852016 NTL852012:NTL852016 NJP852012:NJP852016 MZT852012:MZT852016 MPX852012:MPX852016 MGB852012:MGB852016 LWF852012:LWF852016 LMJ852012:LMJ852016 LCN852012:LCN852016 KSR852012:KSR852016 KIV852012:KIV852016 JYZ852012:JYZ852016 JPD852012:JPD852016 JFH852012:JFH852016 IVL852012:IVL852016 ILP852012:ILP852016 IBT852012:IBT852016 HRX852012:HRX852016 HIB852012:HIB852016 GYF852012:GYF852016 GOJ852012:GOJ852016 GEN852012:GEN852016 FUR852012:FUR852016 FKV852012:FKV852016 FAZ852012:FAZ852016 ERD852012:ERD852016 EHH852012:EHH852016 DXL852012:DXL852016 DNP852012:DNP852016 DDT852012:DDT852016 CTX852012:CTX852016 CKB852012:CKB852016 CAF852012:CAF852016 BQJ852012:BQJ852016 BGN852012:BGN852016 AWR852012:AWR852016 AMV852012:AMV852016 ACZ852012:ACZ852016 TD852012:TD852016 JH852012:JH852016 WVT786476:WVT786480 WLX786476:WLX786480 WCB786476:WCB786480 VSF786476:VSF786480 VIJ786476:VIJ786480 UYN786476:UYN786480 UOR786476:UOR786480 UEV786476:UEV786480 TUZ786476:TUZ786480 TLD786476:TLD786480 TBH786476:TBH786480 SRL786476:SRL786480 SHP786476:SHP786480 RXT786476:RXT786480 RNX786476:RNX786480 REB786476:REB786480 QUF786476:QUF786480 QKJ786476:QKJ786480 QAN786476:QAN786480 PQR786476:PQR786480 PGV786476:PGV786480 OWZ786476:OWZ786480 OND786476:OND786480 ODH786476:ODH786480 NTL786476:NTL786480 NJP786476:NJP786480 MZT786476:MZT786480 MPX786476:MPX786480 MGB786476:MGB786480 LWF786476:LWF786480 LMJ786476:LMJ786480 LCN786476:LCN786480 KSR786476:KSR786480 KIV786476:KIV786480 JYZ786476:JYZ786480 JPD786476:JPD786480 JFH786476:JFH786480 IVL786476:IVL786480 ILP786476:ILP786480 IBT786476:IBT786480 HRX786476:HRX786480 HIB786476:HIB786480 GYF786476:GYF786480 GOJ786476:GOJ786480 GEN786476:GEN786480 FUR786476:FUR786480 FKV786476:FKV786480 FAZ786476:FAZ786480 ERD786476:ERD786480 EHH786476:EHH786480 DXL786476:DXL786480 DNP786476:DNP786480 DDT786476:DDT786480 CTX786476:CTX786480 CKB786476:CKB786480 CAF786476:CAF786480 BQJ786476:BQJ786480 BGN786476:BGN786480 AWR786476:AWR786480 AMV786476:AMV786480 ACZ786476:ACZ786480 TD786476:TD786480 JH786476:JH786480 WVT720940:WVT720944 WLX720940:WLX720944 WCB720940:WCB720944 VSF720940:VSF720944 VIJ720940:VIJ720944 UYN720940:UYN720944 UOR720940:UOR720944 UEV720940:UEV720944 TUZ720940:TUZ720944 TLD720940:TLD720944 TBH720940:TBH720944 SRL720940:SRL720944 SHP720940:SHP720944 RXT720940:RXT720944 RNX720940:RNX720944 REB720940:REB720944 QUF720940:QUF720944 QKJ720940:QKJ720944 QAN720940:QAN720944 PQR720940:PQR720944 PGV720940:PGV720944 OWZ720940:OWZ720944 OND720940:OND720944 ODH720940:ODH720944 NTL720940:NTL720944 NJP720940:NJP720944 MZT720940:MZT720944 MPX720940:MPX720944 MGB720940:MGB720944 LWF720940:LWF720944 LMJ720940:LMJ720944 LCN720940:LCN720944 KSR720940:KSR720944 KIV720940:KIV720944 JYZ720940:JYZ720944 JPD720940:JPD720944 JFH720940:JFH720944 IVL720940:IVL720944 ILP720940:ILP720944 IBT720940:IBT720944 HRX720940:HRX720944 HIB720940:HIB720944 GYF720940:GYF720944 GOJ720940:GOJ720944 GEN720940:GEN720944 FUR720940:FUR720944 FKV720940:FKV720944 FAZ720940:FAZ720944 ERD720940:ERD720944 EHH720940:EHH720944 DXL720940:DXL720944 DNP720940:DNP720944 DDT720940:DDT720944 CTX720940:CTX720944 CKB720940:CKB720944 CAF720940:CAF720944 BQJ720940:BQJ720944 BGN720940:BGN720944 AWR720940:AWR720944 AMV720940:AMV720944 ACZ720940:ACZ720944 TD720940:TD720944 JH720940:JH720944 WVT655404:WVT655408 WLX655404:WLX655408 WCB655404:WCB655408 VSF655404:VSF655408 VIJ655404:VIJ655408 UYN655404:UYN655408 UOR655404:UOR655408 UEV655404:UEV655408 TUZ655404:TUZ655408 TLD655404:TLD655408 TBH655404:TBH655408 SRL655404:SRL655408 SHP655404:SHP655408 RXT655404:RXT655408 RNX655404:RNX655408 REB655404:REB655408 QUF655404:QUF655408 QKJ655404:QKJ655408 QAN655404:QAN655408 PQR655404:PQR655408 PGV655404:PGV655408 OWZ655404:OWZ655408 OND655404:OND655408 ODH655404:ODH655408 NTL655404:NTL655408 NJP655404:NJP655408 MZT655404:MZT655408 MPX655404:MPX655408 MGB655404:MGB655408 LWF655404:LWF655408 LMJ655404:LMJ655408 LCN655404:LCN655408 KSR655404:KSR655408 KIV655404:KIV655408 JYZ655404:JYZ655408 JPD655404:JPD655408 JFH655404:JFH655408 IVL655404:IVL655408 ILP655404:ILP655408 IBT655404:IBT655408 HRX655404:HRX655408 HIB655404:HIB655408 GYF655404:GYF655408 GOJ655404:GOJ655408 GEN655404:GEN655408 FUR655404:FUR655408 FKV655404:FKV655408 FAZ655404:FAZ655408 ERD655404:ERD655408 EHH655404:EHH655408 DXL655404:DXL655408 DNP655404:DNP655408 DDT655404:DDT655408 CTX655404:CTX655408 CKB655404:CKB655408 CAF655404:CAF655408 BQJ655404:BQJ655408 BGN655404:BGN655408 AWR655404:AWR655408 AMV655404:AMV655408 ACZ655404:ACZ655408 TD655404:TD655408 JH655404:JH655408 WVT589868:WVT589872 WLX589868:WLX589872 WCB589868:WCB589872 VSF589868:VSF589872 VIJ589868:VIJ589872 UYN589868:UYN589872 UOR589868:UOR589872 UEV589868:UEV589872 TUZ589868:TUZ589872 TLD589868:TLD589872 TBH589868:TBH589872 SRL589868:SRL589872 SHP589868:SHP589872 RXT589868:RXT589872 RNX589868:RNX589872 REB589868:REB589872 QUF589868:QUF589872 QKJ589868:QKJ589872 QAN589868:QAN589872 PQR589868:PQR589872 PGV589868:PGV589872 OWZ589868:OWZ589872 OND589868:OND589872 ODH589868:ODH589872 NTL589868:NTL589872 NJP589868:NJP589872 MZT589868:MZT589872 MPX589868:MPX589872 MGB589868:MGB589872 LWF589868:LWF589872 LMJ589868:LMJ589872 LCN589868:LCN589872 KSR589868:KSR589872 KIV589868:KIV589872 JYZ589868:JYZ589872 JPD589868:JPD589872 JFH589868:JFH589872 IVL589868:IVL589872 ILP589868:ILP589872 IBT589868:IBT589872 HRX589868:HRX589872 HIB589868:HIB589872 GYF589868:GYF589872 GOJ589868:GOJ589872 GEN589868:GEN589872 FUR589868:FUR589872 FKV589868:FKV589872 FAZ589868:FAZ589872 ERD589868:ERD589872 EHH589868:EHH589872 DXL589868:DXL589872 DNP589868:DNP589872 DDT589868:DDT589872 CTX589868:CTX589872 CKB589868:CKB589872 CAF589868:CAF589872 BQJ589868:BQJ589872 BGN589868:BGN589872 AWR589868:AWR589872 AMV589868:AMV589872 ACZ589868:ACZ589872 TD589868:TD589872 JH589868:JH589872 WVT524332:WVT524336 WLX524332:WLX524336 WCB524332:WCB524336 VSF524332:VSF524336 VIJ524332:VIJ524336 UYN524332:UYN524336 UOR524332:UOR524336 UEV524332:UEV524336 TUZ524332:TUZ524336 TLD524332:TLD524336 TBH524332:TBH524336 SRL524332:SRL524336 SHP524332:SHP524336 RXT524332:RXT524336 RNX524332:RNX524336 REB524332:REB524336 QUF524332:QUF524336 QKJ524332:QKJ524336 QAN524332:QAN524336 PQR524332:PQR524336 PGV524332:PGV524336 OWZ524332:OWZ524336 OND524332:OND524336 ODH524332:ODH524336 NTL524332:NTL524336 NJP524332:NJP524336 MZT524332:MZT524336 MPX524332:MPX524336 MGB524332:MGB524336 LWF524332:LWF524336 LMJ524332:LMJ524336 LCN524332:LCN524336 KSR524332:KSR524336 KIV524332:KIV524336 JYZ524332:JYZ524336 JPD524332:JPD524336 JFH524332:JFH524336 IVL524332:IVL524336 ILP524332:ILP524336 IBT524332:IBT524336 HRX524332:HRX524336 HIB524332:HIB524336 GYF524332:GYF524336 GOJ524332:GOJ524336 GEN524332:GEN524336 FUR524332:FUR524336 FKV524332:FKV524336 FAZ524332:FAZ524336 ERD524332:ERD524336 EHH524332:EHH524336 DXL524332:DXL524336 DNP524332:DNP524336 DDT524332:DDT524336 CTX524332:CTX524336 CKB524332:CKB524336 CAF524332:CAF524336 BQJ524332:BQJ524336 BGN524332:BGN524336 AWR524332:AWR524336 AMV524332:AMV524336 ACZ524332:ACZ524336 TD524332:TD524336 JH524332:JH524336 WVT458796:WVT458800 WLX458796:WLX458800 WCB458796:WCB458800 VSF458796:VSF458800 VIJ458796:VIJ458800 UYN458796:UYN458800 UOR458796:UOR458800 UEV458796:UEV458800 TUZ458796:TUZ458800 TLD458796:TLD458800 TBH458796:TBH458800 SRL458796:SRL458800 SHP458796:SHP458800 RXT458796:RXT458800 RNX458796:RNX458800 REB458796:REB458800 QUF458796:QUF458800 QKJ458796:QKJ458800 QAN458796:QAN458800 PQR458796:PQR458800 PGV458796:PGV458800 OWZ458796:OWZ458800 OND458796:OND458800 ODH458796:ODH458800 NTL458796:NTL458800 NJP458796:NJP458800 MZT458796:MZT458800 MPX458796:MPX458800 MGB458796:MGB458800 LWF458796:LWF458800 LMJ458796:LMJ458800 LCN458796:LCN458800 KSR458796:KSR458800 KIV458796:KIV458800 JYZ458796:JYZ458800 JPD458796:JPD458800 JFH458796:JFH458800 IVL458796:IVL458800 ILP458796:ILP458800 IBT458796:IBT458800 HRX458796:HRX458800 HIB458796:HIB458800 GYF458796:GYF458800 GOJ458796:GOJ458800 GEN458796:GEN458800 FUR458796:FUR458800 FKV458796:FKV458800 FAZ458796:FAZ458800 ERD458796:ERD458800 EHH458796:EHH458800 DXL458796:DXL458800 DNP458796:DNP458800 DDT458796:DDT458800 CTX458796:CTX458800 CKB458796:CKB458800 CAF458796:CAF458800 BQJ458796:BQJ458800 BGN458796:BGN458800 AWR458796:AWR458800 AMV458796:AMV458800 ACZ458796:ACZ458800 TD458796:TD458800 JH458796:JH458800 WVT393260:WVT393264 WLX393260:WLX393264 WCB393260:WCB393264 VSF393260:VSF393264 VIJ393260:VIJ393264 UYN393260:UYN393264 UOR393260:UOR393264 UEV393260:UEV393264 TUZ393260:TUZ393264 TLD393260:TLD393264 TBH393260:TBH393264 SRL393260:SRL393264 SHP393260:SHP393264 RXT393260:RXT393264 RNX393260:RNX393264 REB393260:REB393264 QUF393260:QUF393264 QKJ393260:QKJ393264 QAN393260:QAN393264 PQR393260:PQR393264 PGV393260:PGV393264 OWZ393260:OWZ393264 OND393260:OND393264 ODH393260:ODH393264 NTL393260:NTL393264 NJP393260:NJP393264 MZT393260:MZT393264 MPX393260:MPX393264 MGB393260:MGB393264 LWF393260:LWF393264 LMJ393260:LMJ393264 LCN393260:LCN393264 KSR393260:KSR393264 KIV393260:KIV393264 JYZ393260:JYZ393264 JPD393260:JPD393264 JFH393260:JFH393264 IVL393260:IVL393264 ILP393260:ILP393264 IBT393260:IBT393264 HRX393260:HRX393264 HIB393260:HIB393264 GYF393260:GYF393264 GOJ393260:GOJ393264 GEN393260:GEN393264 FUR393260:FUR393264 FKV393260:FKV393264 FAZ393260:FAZ393264 ERD393260:ERD393264 EHH393260:EHH393264 DXL393260:DXL393264 DNP393260:DNP393264 DDT393260:DDT393264 CTX393260:CTX393264 CKB393260:CKB393264 CAF393260:CAF393264 BQJ393260:BQJ393264 BGN393260:BGN393264 AWR393260:AWR393264 AMV393260:AMV393264 ACZ393260:ACZ393264 TD393260:TD393264 JH393260:JH393264 WVT327724:WVT327728 WLX327724:WLX327728 WCB327724:WCB327728 VSF327724:VSF327728 VIJ327724:VIJ327728 UYN327724:UYN327728 UOR327724:UOR327728 UEV327724:UEV327728 TUZ327724:TUZ327728 TLD327724:TLD327728 TBH327724:TBH327728 SRL327724:SRL327728 SHP327724:SHP327728 RXT327724:RXT327728 RNX327724:RNX327728 REB327724:REB327728 QUF327724:QUF327728 QKJ327724:QKJ327728 QAN327724:QAN327728 PQR327724:PQR327728 PGV327724:PGV327728 OWZ327724:OWZ327728 OND327724:OND327728 ODH327724:ODH327728 NTL327724:NTL327728 NJP327724:NJP327728 MZT327724:MZT327728 MPX327724:MPX327728 MGB327724:MGB327728 LWF327724:LWF327728 LMJ327724:LMJ327728 LCN327724:LCN327728 KSR327724:KSR327728 KIV327724:KIV327728 JYZ327724:JYZ327728 JPD327724:JPD327728 JFH327724:JFH327728 IVL327724:IVL327728 ILP327724:ILP327728 IBT327724:IBT327728 HRX327724:HRX327728 HIB327724:HIB327728 GYF327724:GYF327728 GOJ327724:GOJ327728 GEN327724:GEN327728 FUR327724:FUR327728 FKV327724:FKV327728 FAZ327724:FAZ327728 ERD327724:ERD327728 EHH327724:EHH327728 DXL327724:DXL327728 DNP327724:DNP327728 DDT327724:DDT327728 CTX327724:CTX327728 CKB327724:CKB327728 CAF327724:CAF327728 BQJ327724:BQJ327728 BGN327724:BGN327728 AWR327724:AWR327728 AMV327724:AMV327728 ACZ327724:ACZ327728 TD327724:TD327728 JH327724:JH327728 WVT262188:WVT262192 WLX262188:WLX262192 WCB262188:WCB262192 VSF262188:VSF262192 VIJ262188:VIJ262192 UYN262188:UYN262192 UOR262188:UOR262192 UEV262188:UEV262192 TUZ262188:TUZ262192 TLD262188:TLD262192 TBH262188:TBH262192 SRL262188:SRL262192 SHP262188:SHP262192 RXT262188:RXT262192 RNX262188:RNX262192 REB262188:REB262192 QUF262188:QUF262192 QKJ262188:QKJ262192 QAN262188:QAN262192 PQR262188:PQR262192 PGV262188:PGV262192 OWZ262188:OWZ262192 OND262188:OND262192 ODH262188:ODH262192 NTL262188:NTL262192 NJP262188:NJP262192 MZT262188:MZT262192 MPX262188:MPX262192 MGB262188:MGB262192 LWF262188:LWF262192 LMJ262188:LMJ262192 LCN262188:LCN262192 KSR262188:KSR262192 KIV262188:KIV262192 JYZ262188:JYZ262192 JPD262188:JPD262192 JFH262188:JFH262192 IVL262188:IVL262192 ILP262188:ILP262192 IBT262188:IBT262192 HRX262188:HRX262192 HIB262188:HIB262192 GYF262188:GYF262192 GOJ262188:GOJ262192 GEN262188:GEN262192 FUR262188:FUR262192 FKV262188:FKV262192 FAZ262188:FAZ262192 ERD262188:ERD262192 EHH262188:EHH262192 DXL262188:DXL262192 DNP262188:DNP262192 DDT262188:DDT262192 CTX262188:CTX262192 CKB262188:CKB262192 CAF262188:CAF262192 BQJ262188:BQJ262192 BGN262188:BGN262192 AWR262188:AWR262192 AMV262188:AMV262192 ACZ262188:ACZ262192 TD262188:TD262192 JH262188:JH262192 WVT196652:WVT196656 WLX196652:WLX196656 WCB196652:WCB196656 VSF196652:VSF196656 VIJ196652:VIJ196656 UYN196652:UYN196656 UOR196652:UOR196656 UEV196652:UEV196656 TUZ196652:TUZ196656 TLD196652:TLD196656 TBH196652:TBH196656 SRL196652:SRL196656 SHP196652:SHP196656 RXT196652:RXT196656 RNX196652:RNX196656 REB196652:REB196656 QUF196652:QUF196656 QKJ196652:QKJ196656 QAN196652:QAN196656 PQR196652:PQR196656 PGV196652:PGV196656 OWZ196652:OWZ196656 OND196652:OND196656 ODH196652:ODH196656 NTL196652:NTL196656 NJP196652:NJP196656 MZT196652:MZT196656 MPX196652:MPX196656 MGB196652:MGB196656 LWF196652:LWF196656 LMJ196652:LMJ196656 LCN196652:LCN196656 KSR196652:KSR196656 KIV196652:KIV196656 JYZ196652:JYZ196656 JPD196652:JPD196656 JFH196652:JFH196656 IVL196652:IVL196656 ILP196652:ILP196656 IBT196652:IBT196656 HRX196652:HRX196656 HIB196652:HIB196656 GYF196652:GYF196656 GOJ196652:GOJ196656 GEN196652:GEN196656 FUR196652:FUR196656 FKV196652:FKV196656 FAZ196652:FAZ196656 ERD196652:ERD196656 EHH196652:EHH196656 DXL196652:DXL196656 DNP196652:DNP196656 DDT196652:DDT196656 CTX196652:CTX196656 CKB196652:CKB196656 CAF196652:CAF196656 BQJ196652:BQJ196656 BGN196652:BGN196656 AWR196652:AWR196656 AMV196652:AMV196656 ACZ196652:ACZ196656 TD196652:TD196656 JH196652:JH196656 WVT131116:WVT131120 WLX131116:WLX131120 WCB131116:WCB131120 VSF131116:VSF131120 VIJ131116:VIJ131120 UYN131116:UYN131120 UOR131116:UOR131120 UEV131116:UEV131120 TUZ131116:TUZ131120 TLD131116:TLD131120 TBH131116:TBH131120 SRL131116:SRL131120 SHP131116:SHP131120 RXT131116:RXT131120 RNX131116:RNX131120 REB131116:REB131120 QUF131116:QUF131120 QKJ131116:QKJ131120 QAN131116:QAN131120 PQR131116:PQR131120 PGV131116:PGV131120 OWZ131116:OWZ131120 OND131116:OND131120 ODH131116:ODH131120 NTL131116:NTL131120 NJP131116:NJP131120 MZT131116:MZT131120 MPX131116:MPX131120 MGB131116:MGB131120 LWF131116:LWF131120 LMJ131116:LMJ131120 LCN131116:LCN131120 KSR131116:KSR131120 KIV131116:KIV131120 JYZ131116:JYZ131120 JPD131116:JPD131120 JFH131116:JFH131120 IVL131116:IVL131120 ILP131116:ILP131120 IBT131116:IBT131120 HRX131116:HRX131120 HIB131116:HIB131120 GYF131116:GYF131120 GOJ131116:GOJ131120 GEN131116:GEN131120 FUR131116:FUR131120 FKV131116:FKV131120 FAZ131116:FAZ131120 ERD131116:ERD131120 EHH131116:EHH131120 DXL131116:DXL131120 DNP131116:DNP131120 DDT131116:DDT131120 CTX131116:CTX131120 CKB131116:CKB131120 CAF131116:CAF131120 BQJ131116:BQJ131120 BGN131116:BGN131120 AWR131116:AWR131120 AMV131116:AMV131120 ACZ131116:ACZ131120 TD131116:TD131120 JH131116:JH131120 WVT65580:WVT65584 WLX65580:WLX65584 WCB65580:WCB65584 VSF65580:VSF65584 VIJ65580:VIJ65584 UYN65580:UYN65584 UOR65580:UOR65584 UEV65580:UEV65584 TUZ65580:TUZ65584 TLD65580:TLD65584 TBH65580:TBH65584 SRL65580:SRL65584 SHP65580:SHP65584 RXT65580:RXT65584 RNX65580:RNX65584 REB65580:REB65584 QUF65580:QUF65584 QKJ65580:QKJ65584 QAN65580:QAN65584 PQR65580:PQR65584 PGV65580:PGV65584 OWZ65580:OWZ65584 OND65580:OND65584 ODH65580:ODH65584 NTL65580:NTL65584 NJP65580:NJP65584 MZT65580:MZT65584 MPX65580:MPX65584 MGB65580:MGB65584 LWF65580:LWF65584 LMJ65580:LMJ65584 LCN65580:LCN65584 KSR65580:KSR65584 KIV65580:KIV65584 JYZ65580:JYZ65584 JPD65580:JPD65584 JFH65580:JFH65584 IVL65580:IVL65584 ILP65580:ILP65584 IBT65580:IBT65584 HRX65580:HRX65584 HIB65580:HIB65584 GYF65580:GYF65584 GOJ65580:GOJ65584 GEN65580:GEN65584 FUR65580:FUR65584 FKV65580:FKV65584 FAZ65580:FAZ65584 ERD65580:ERD65584 EHH65580:EHH65584 DXL65580:DXL65584 DNP65580:DNP65584 DDT65580:DDT65584 CTX65580:CTX65584 CKB65580:CKB65584 CAF65580:CAF65584 BQJ65580:BQJ65584 BGN65580:BGN65584 AWR65580:AWR65584 AMV65580:AMV65584 ACZ65580:ACZ65584 TD65580:TD65584 JH65580:JH65584 WVR46:WVR48 WVR43:WVS44 WLV46:WLV48 WLV43:WLW44 WBZ46:WBZ48 WBZ43:WCA44 VSD46:VSD48 VSD43:VSE44 VIH46:VIH48 VIH43:VII44 UYL46:UYL48 UYL43:UYM44 UOP46:UOP48 UOP43:UOQ44 UET46:UET48 UET43:UEU44 TUX46:TUX48 TUX43:TUY44 TLB46:TLB48 TLB43:TLC44 TBF46:TBF48 TBF43:TBG44 SRJ46:SRJ48 SRJ43:SRK44 SHN46:SHN48 SHN43:SHO44 RXR46:RXR48 RXR43:RXS44 RNV46:RNV48 RNV43:RNW44 RDZ46:RDZ48 RDZ43:REA44 QUD46:QUD48 QUD43:QUE44 QKH46:QKH48 QKH43:QKI44 QAL46:QAL48 QAL43:QAM44 PQP46:PQP48 PQP43:PQQ44 PGT46:PGT48 PGT43:PGU44 OWX46:OWX48 OWX43:OWY44 ONB46:ONB48 ONB43:ONC44 ODF46:ODF48 ODF43:ODG44 NTJ46:NTJ48 NTJ43:NTK44 NJN46:NJN48 NJN43:NJO44 MZR46:MZR48 MZR43:MZS44 MPV46:MPV48 MPV43:MPW44 MFZ46:MFZ48 MFZ43:MGA44 LWD46:LWD48 LWD43:LWE44 LMH46:LMH48 LMH43:LMI44 LCL46:LCL48 LCL43:LCM44 KSP46:KSP48 KSP43:KSQ44 KIT46:KIT48 KIT43:KIU44 JYX46:JYX48 JYX43:JYY44 JPB46:JPB48 JPB43:JPC44 JFF46:JFF48 JFF43:JFG44 IVJ46:IVJ48 IVJ43:IVK44 ILN46:ILN48 ILN43:ILO44 IBR46:IBR48 IBR43:IBS44 HRV46:HRV48 HRV43:HRW44 HHZ46:HHZ48 HHZ43:HIA44 GYD46:GYD48 GYD43:GYE44 GOH46:GOH48 GOH43:GOI44 GEL46:GEL48 GEL43:GEM44 FUP46:FUP48 FUP43:FUQ44 FKT46:FKT48 FKT43:FKU44 FAX46:FAX48 FAX43:FAY44 ERB46:ERB48 ERB43:ERC44 EHF46:EHF48 EHF43:EHG44 DXJ46:DXJ48 DXJ43:DXK44 DNN46:DNN48 DNN43:DNO44 DDR46:DDR48 DDR43:DDS44 CTV46:CTV48 CTV43:CTW44 CJZ46:CJZ48 CJZ43:CKA44 CAD46:CAD48 CAD43:CAE44 BQH46:BQH48 BQH43:BQI44 BGL46:BGL48 BGL43:BGM44 AWP46:AWP48 AWP43:AWQ44 AMT46:AMT48 AMT43:AMU44 ACX46:ACX48 ACX43:ACY44 TB46:TB48 TB43:TC44 JF46:JF48 JF43:JG44 WVT983080:WVU983082 WLX983080:WLY983082 WCB983080:WCC983082 VSF983080:VSG983082 VIJ983080:VIK983082 UYN983080:UYO983082 UOR983080:UOS983082 UEV983080:UEW983082 TUZ983080:TVA983082 TLD983080:TLE983082 TBH983080:TBI983082 SRL983080:SRM983082 SHP983080:SHQ983082 RXT983080:RXU983082 RNX983080:RNY983082 REB983080:REC983082 QUF983080:QUG983082 QKJ983080:QKK983082 QAN983080:QAO983082 PQR983080:PQS983082 PGV983080:PGW983082 OWZ983080:OXA983082 OND983080:ONE983082 ODH983080:ODI983082 NTL983080:NTM983082 NJP983080:NJQ983082 MZT983080:MZU983082 MPX983080:MPY983082 MGB983080:MGC983082 LWF983080:LWG983082 LMJ983080:LMK983082 LCN983080:LCO983082 KSR983080:KSS983082 KIV983080:KIW983082 JYZ983080:JZA983082 JPD983080:JPE983082 JFH983080:JFI983082 IVL983080:IVM983082 ILP983080:ILQ983082 IBT983080:IBU983082 HRX983080:HRY983082 HIB983080:HIC983082 GYF983080:GYG983082 GOJ983080:GOK983082 GEN983080:GEO983082 FUR983080:FUS983082 FKV983080:FKW983082 FAZ983080:FBA983082 ERD983080:ERE983082 EHH983080:EHI983082 DXL983080:DXM983082 DNP983080:DNQ983082 DDT983080:DDU983082 CTX983080:CTY983082 CKB983080:CKC983082 CAF983080:CAG983082 BQJ983080:BQK983082 BGN983080:BGO983082 AWR983080:AWS983082 AMV983080:AMW983082 ACZ983080:ADA983082 TD983080:TE983082 JH983080:JI983082 WVT917544:WVU917546 WLX917544:WLY917546 WCB917544:WCC917546 VSF917544:VSG917546 VIJ917544:VIK917546 UYN917544:UYO917546 UOR917544:UOS917546 UEV917544:UEW917546 TUZ917544:TVA917546 TLD917544:TLE917546 TBH917544:TBI917546 SRL917544:SRM917546 SHP917544:SHQ917546 RXT917544:RXU917546 RNX917544:RNY917546 REB917544:REC917546 QUF917544:QUG917546 QKJ917544:QKK917546 QAN917544:QAO917546 PQR917544:PQS917546 PGV917544:PGW917546 OWZ917544:OXA917546 OND917544:ONE917546 ODH917544:ODI917546 NTL917544:NTM917546 NJP917544:NJQ917546 MZT917544:MZU917546 MPX917544:MPY917546 MGB917544:MGC917546 LWF917544:LWG917546 LMJ917544:LMK917546 LCN917544:LCO917546 KSR917544:KSS917546 KIV917544:KIW917546 JYZ917544:JZA917546 JPD917544:JPE917546 JFH917544:JFI917546 IVL917544:IVM917546 ILP917544:ILQ917546 IBT917544:IBU917546 HRX917544:HRY917546 HIB917544:HIC917546 GYF917544:GYG917546 GOJ917544:GOK917546 GEN917544:GEO917546 FUR917544:FUS917546 FKV917544:FKW917546 FAZ917544:FBA917546 ERD917544:ERE917546 EHH917544:EHI917546 DXL917544:DXM917546 DNP917544:DNQ917546 DDT917544:DDU917546 CTX917544:CTY917546 CKB917544:CKC917546 CAF917544:CAG917546 BQJ917544:BQK917546 BGN917544:BGO917546 AWR917544:AWS917546 AMV917544:AMW917546 ACZ917544:ADA917546 TD917544:TE917546 JH917544:JI917546 WVT852008:WVU852010 WLX852008:WLY852010 WCB852008:WCC852010 VSF852008:VSG852010 VIJ852008:VIK852010 UYN852008:UYO852010 UOR852008:UOS852010 UEV852008:UEW852010 TUZ852008:TVA852010 TLD852008:TLE852010 TBH852008:TBI852010 SRL852008:SRM852010 SHP852008:SHQ852010 RXT852008:RXU852010 RNX852008:RNY852010 REB852008:REC852010 QUF852008:QUG852010 QKJ852008:QKK852010 QAN852008:QAO852010 PQR852008:PQS852010 PGV852008:PGW852010 OWZ852008:OXA852010 OND852008:ONE852010 ODH852008:ODI852010 NTL852008:NTM852010 NJP852008:NJQ852010 MZT852008:MZU852010 MPX852008:MPY852010 MGB852008:MGC852010 LWF852008:LWG852010 LMJ852008:LMK852010 LCN852008:LCO852010 KSR852008:KSS852010 KIV852008:KIW852010 JYZ852008:JZA852010 JPD852008:JPE852010 JFH852008:JFI852010 IVL852008:IVM852010 ILP852008:ILQ852010 IBT852008:IBU852010 HRX852008:HRY852010 HIB852008:HIC852010 GYF852008:GYG852010 GOJ852008:GOK852010 GEN852008:GEO852010 FUR852008:FUS852010 FKV852008:FKW852010 FAZ852008:FBA852010 ERD852008:ERE852010 EHH852008:EHI852010 DXL852008:DXM852010 DNP852008:DNQ852010 DDT852008:DDU852010 CTX852008:CTY852010 CKB852008:CKC852010 CAF852008:CAG852010 BQJ852008:BQK852010 BGN852008:BGO852010 AWR852008:AWS852010 AMV852008:AMW852010 ACZ852008:ADA852010 TD852008:TE852010 JH852008:JI852010 WVT786472:WVU786474 WLX786472:WLY786474 WCB786472:WCC786474 VSF786472:VSG786474 VIJ786472:VIK786474 UYN786472:UYO786474 UOR786472:UOS786474 UEV786472:UEW786474 TUZ786472:TVA786474 TLD786472:TLE786474 TBH786472:TBI786474 SRL786472:SRM786474 SHP786472:SHQ786474 RXT786472:RXU786474 RNX786472:RNY786474 REB786472:REC786474 QUF786472:QUG786474 QKJ786472:QKK786474 QAN786472:QAO786474 PQR786472:PQS786474 PGV786472:PGW786474 OWZ786472:OXA786474 OND786472:ONE786474 ODH786472:ODI786474 NTL786472:NTM786474 NJP786472:NJQ786474 MZT786472:MZU786474 MPX786472:MPY786474 MGB786472:MGC786474 LWF786472:LWG786474 LMJ786472:LMK786474 LCN786472:LCO786474 KSR786472:KSS786474 KIV786472:KIW786474 JYZ786472:JZA786474 JPD786472:JPE786474 JFH786472:JFI786474 IVL786472:IVM786474 ILP786472:ILQ786474 IBT786472:IBU786474 HRX786472:HRY786474 HIB786472:HIC786474 GYF786472:GYG786474 GOJ786472:GOK786474 GEN786472:GEO786474 FUR786472:FUS786474 FKV786472:FKW786474 FAZ786472:FBA786474 ERD786472:ERE786474 EHH786472:EHI786474 DXL786472:DXM786474 DNP786472:DNQ786474 DDT786472:DDU786474 CTX786472:CTY786474 CKB786472:CKC786474 CAF786472:CAG786474 BQJ786472:BQK786474 BGN786472:BGO786474 AWR786472:AWS786474 AMV786472:AMW786474 ACZ786472:ADA786474 TD786472:TE786474 JH786472:JI786474 WVT720936:WVU720938 WLX720936:WLY720938 WCB720936:WCC720938 VSF720936:VSG720938 VIJ720936:VIK720938 UYN720936:UYO720938 UOR720936:UOS720938 UEV720936:UEW720938 TUZ720936:TVA720938 TLD720936:TLE720938 TBH720936:TBI720938 SRL720936:SRM720938 SHP720936:SHQ720938 RXT720936:RXU720938 RNX720936:RNY720938 REB720936:REC720938 QUF720936:QUG720938 QKJ720936:QKK720938 QAN720936:QAO720938 PQR720936:PQS720938 PGV720936:PGW720938 OWZ720936:OXA720938 OND720936:ONE720938 ODH720936:ODI720938 NTL720936:NTM720938 NJP720936:NJQ720938 MZT720936:MZU720938 MPX720936:MPY720938 MGB720936:MGC720938 LWF720936:LWG720938 LMJ720936:LMK720938 LCN720936:LCO720938 KSR720936:KSS720938 KIV720936:KIW720938 JYZ720936:JZA720938 JPD720936:JPE720938 JFH720936:JFI720938 IVL720936:IVM720938 ILP720936:ILQ720938 IBT720936:IBU720938 HRX720936:HRY720938 HIB720936:HIC720938 GYF720936:GYG720938 GOJ720936:GOK720938 GEN720936:GEO720938 FUR720936:FUS720938 FKV720936:FKW720938 FAZ720936:FBA720938 ERD720936:ERE720938 EHH720936:EHI720938 DXL720936:DXM720938 DNP720936:DNQ720938 DDT720936:DDU720938 CTX720936:CTY720938 CKB720936:CKC720938 CAF720936:CAG720938 BQJ720936:BQK720938 BGN720936:BGO720938 AWR720936:AWS720938 AMV720936:AMW720938 ACZ720936:ADA720938 TD720936:TE720938 JH720936:JI720938 WVT655400:WVU655402 WLX655400:WLY655402 WCB655400:WCC655402 VSF655400:VSG655402 VIJ655400:VIK655402 UYN655400:UYO655402 UOR655400:UOS655402 UEV655400:UEW655402 TUZ655400:TVA655402 TLD655400:TLE655402 TBH655400:TBI655402 SRL655400:SRM655402 SHP655400:SHQ655402 RXT655400:RXU655402 RNX655400:RNY655402 REB655400:REC655402 QUF655400:QUG655402 QKJ655400:QKK655402 QAN655400:QAO655402 PQR655400:PQS655402 PGV655400:PGW655402 OWZ655400:OXA655402 OND655400:ONE655402 ODH655400:ODI655402 NTL655400:NTM655402 NJP655400:NJQ655402 MZT655400:MZU655402 MPX655400:MPY655402 MGB655400:MGC655402 LWF655400:LWG655402 LMJ655400:LMK655402 LCN655400:LCO655402 KSR655400:KSS655402 KIV655400:KIW655402 JYZ655400:JZA655402 JPD655400:JPE655402 JFH655400:JFI655402 IVL655400:IVM655402 ILP655400:ILQ655402 IBT655400:IBU655402 HRX655400:HRY655402 HIB655400:HIC655402 GYF655400:GYG655402 GOJ655400:GOK655402 GEN655400:GEO655402 FUR655400:FUS655402 FKV655400:FKW655402 FAZ655400:FBA655402 ERD655400:ERE655402 EHH655400:EHI655402 DXL655400:DXM655402 DNP655400:DNQ655402 DDT655400:DDU655402 CTX655400:CTY655402 CKB655400:CKC655402 CAF655400:CAG655402 BQJ655400:BQK655402 BGN655400:BGO655402 AWR655400:AWS655402 AMV655400:AMW655402 ACZ655400:ADA655402 TD655400:TE655402 JH655400:JI655402 WVT589864:WVU589866 WLX589864:WLY589866 WCB589864:WCC589866 VSF589864:VSG589866 VIJ589864:VIK589866 UYN589864:UYO589866 UOR589864:UOS589866 UEV589864:UEW589866 TUZ589864:TVA589866 TLD589864:TLE589866 TBH589864:TBI589866 SRL589864:SRM589866 SHP589864:SHQ589866 RXT589864:RXU589866 RNX589864:RNY589866 REB589864:REC589866 QUF589864:QUG589866 QKJ589864:QKK589866 QAN589864:QAO589866 PQR589864:PQS589866 PGV589864:PGW589866 OWZ589864:OXA589866 OND589864:ONE589866 ODH589864:ODI589866 NTL589864:NTM589866 NJP589864:NJQ589866 MZT589864:MZU589866 MPX589864:MPY589866 MGB589864:MGC589866 LWF589864:LWG589866 LMJ589864:LMK589866 LCN589864:LCO589866 KSR589864:KSS589866 KIV589864:KIW589866 JYZ589864:JZA589866 JPD589864:JPE589866 JFH589864:JFI589866 IVL589864:IVM589866 ILP589864:ILQ589866 IBT589864:IBU589866 HRX589864:HRY589866 HIB589864:HIC589866 GYF589864:GYG589866 GOJ589864:GOK589866 GEN589864:GEO589866 FUR589864:FUS589866 FKV589864:FKW589866 FAZ589864:FBA589866 ERD589864:ERE589866 EHH589864:EHI589866 DXL589864:DXM589866 DNP589864:DNQ589866 DDT589864:DDU589866 CTX589864:CTY589866 CKB589864:CKC589866 CAF589864:CAG589866 BQJ589864:BQK589866 BGN589864:BGO589866 AWR589864:AWS589866 AMV589864:AMW589866 ACZ589864:ADA589866 TD589864:TE589866 JH589864:JI589866 WVT524328:WVU524330 WLX524328:WLY524330 WCB524328:WCC524330 VSF524328:VSG524330 VIJ524328:VIK524330 UYN524328:UYO524330 UOR524328:UOS524330 UEV524328:UEW524330 TUZ524328:TVA524330 TLD524328:TLE524330 TBH524328:TBI524330 SRL524328:SRM524330 SHP524328:SHQ524330 RXT524328:RXU524330 RNX524328:RNY524330 REB524328:REC524330 QUF524328:QUG524330 QKJ524328:QKK524330 QAN524328:QAO524330 PQR524328:PQS524330 PGV524328:PGW524330 OWZ524328:OXA524330 OND524328:ONE524330 ODH524328:ODI524330 NTL524328:NTM524330 NJP524328:NJQ524330 MZT524328:MZU524330 MPX524328:MPY524330 MGB524328:MGC524330 LWF524328:LWG524330 LMJ524328:LMK524330 LCN524328:LCO524330 KSR524328:KSS524330 KIV524328:KIW524330 JYZ524328:JZA524330 JPD524328:JPE524330 JFH524328:JFI524330 IVL524328:IVM524330 ILP524328:ILQ524330 IBT524328:IBU524330 HRX524328:HRY524330 HIB524328:HIC524330 GYF524328:GYG524330 GOJ524328:GOK524330 GEN524328:GEO524330 FUR524328:FUS524330 FKV524328:FKW524330 FAZ524328:FBA524330 ERD524328:ERE524330 EHH524328:EHI524330 DXL524328:DXM524330 DNP524328:DNQ524330 DDT524328:DDU524330 CTX524328:CTY524330 CKB524328:CKC524330 CAF524328:CAG524330 BQJ524328:BQK524330 BGN524328:BGO524330 AWR524328:AWS524330 AMV524328:AMW524330 ACZ524328:ADA524330 TD524328:TE524330 JH524328:JI524330 WVT458792:WVU458794 WLX458792:WLY458794 WCB458792:WCC458794 VSF458792:VSG458794 VIJ458792:VIK458794 UYN458792:UYO458794 UOR458792:UOS458794 UEV458792:UEW458794 TUZ458792:TVA458794 TLD458792:TLE458794 TBH458792:TBI458794 SRL458792:SRM458794 SHP458792:SHQ458794 RXT458792:RXU458794 RNX458792:RNY458794 REB458792:REC458794 QUF458792:QUG458794 QKJ458792:QKK458794 QAN458792:QAO458794 PQR458792:PQS458794 PGV458792:PGW458794 OWZ458792:OXA458794 OND458792:ONE458794 ODH458792:ODI458794 NTL458792:NTM458794 NJP458792:NJQ458794 MZT458792:MZU458794 MPX458792:MPY458794 MGB458792:MGC458794 LWF458792:LWG458794 LMJ458792:LMK458794 LCN458792:LCO458794 KSR458792:KSS458794 KIV458792:KIW458794 JYZ458792:JZA458794 JPD458792:JPE458794 JFH458792:JFI458794 IVL458792:IVM458794 ILP458792:ILQ458794 IBT458792:IBU458794 HRX458792:HRY458794 HIB458792:HIC458794 GYF458792:GYG458794 GOJ458792:GOK458794 GEN458792:GEO458794 FUR458792:FUS458794 FKV458792:FKW458794 FAZ458792:FBA458794 ERD458792:ERE458794 EHH458792:EHI458794 DXL458792:DXM458794 DNP458792:DNQ458794 DDT458792:DDU458794 CTX458792:CTY458794 CKB458792:CKC458794 CAF458792:CAG458794 BQJ458792:BQK458794 BGN458792:BGO458794 AWR458792:AWS458794 AMV458792:AMW458794 ACZ458792:ADA458794 TD458792:TE458794 JH458792:JI458794 WVT393256:WVU393258 WLX393256:WLY393258 WCB393256:WCC393258 VSF393256:VSG393258 VIJ393256:VIK393258 UYN393256:UYO393258 UOR393256:UOS393258 UEV393256:UEW393258 TUZ393256:TVA393258 TLD393256:TLE393258 TBH393256:TBI393258 SRL393256:SRM393258 SHP393256:SHQ393258 RXT393256:RXU393258 RNX393256:RNY393258 REB393256:REC393258 QUF393256:QUG393258 QKJ393256:QKK393258 QAN393256:QAO393258 PQR393256:PQS393258 PGV393256:PGW393258 OWZ393256:OXA393258 OND393256:ONE393258 ODH393256:ODI393258 NTL393256:NTM393258 NJP393256:NJQ393258 MZT393256:MZU393258 MPX393256:MPY393258 MGB393256:MGC393258 LWF393256:LWG393258 LMJ393256:LMK393258 LCN393256:LCO393258 KSR393256:KSS393258 KIV393256:KIW393258 JYZ393256:JZA393258 JPD393256:JPE393258 JFH393256:JFI393258 IVL393256:IVM393258 ILP393256:ILQ393258 IBT393256:IBU393258 HRX393256:HRY393258 HIB393256:HIC393258 GYF393256:GYG393258 GOJ393256:GOK393258 GEN393256:GEO393258 FUR393256:FUS393258 FKV393256:FKW393258 FAZ393256:FBA393258 ERD393256:ERE393258 EHH393256:EHI393258 DXL393256:DXM393258 DNP393256:DNQ393258 DDT393256:DDU393258 CTX393256:CTY393258 CKB393256:CKC393258 CAF393256:CAG393258 BQJ393256:BQK393258 BGN393256:BGO393258 AWR393256:AWS393258 AMV393256:AMW393258 ACZ393256:ADA393258 TD393256:TE393258 JH393256:JI393258 WVT327720:WVU327722 WLX327720:WLY327722 WCB327720:WCC327722 VSF327720:VSG327722 VIJ327720:VIK327722 UYN327720:UYO327722 UOR327720:UOS327722 UEV327720:UEW327722 TUZ327720:TVA327722 TLD327720:TLE327722 TBH327720:TBI327722 SRL327720:SRM327722 SHP327720:SHQ327722 RXT327720:RXU327722 RNX327720:RNY327722 REB327720:REC327722 QUF327720:QUG327722 QKJ327720:QKK327722 QAN327720:QAO327722 PQR327720:PQS327722 PGV327720:PGW327722 OWZ327720:OXA327722 OND327720:ONE327722 ODH327720:ODI327722 NTL327720:NTM327722 NJP327720:NJQ327722 MZT327720:MZU327722 MPX327720:MPY327722 MGB327720:MGC327722 LWF327720:LWG327722 LMJ327720:LMK327722 LCN327720:LCO327722 KSR327720:KSS327722 KIV327720:KIW327722 JYZ327720:JZA327722 JPD327720:JPE327722 JFH327720:JFI327722 IVL327720:IVM327722 ILP327720:ILQ327722 IBT327720:IBU327722 HRX327720:HRY327722 HIB327720:HIC327722 GYF327720:GYG327722 GOJ327720:GOK327722 GEN327720:GEO327722 FUR327720:FUS327722 FKV327720:FKW327722 FAZ327720:FBA327722 ERD327720:ERE327722 EHH327720:EHI327722 DXL327720:DXM327722 DNP327720:DNQ327722 DDT327720:DDU327722 CTX327720:CTY327722 CKB327720:CKC327722 CAF327720:CAG327722 BQJ327720:BQK327722 BGN327720:BGO327722 AWR327720:AWS327722 AMV327720:AMW327722 ACZ327720:ADA327722 TD327720:TE327722 JH327720:JI327722 WVT262184:WVU262186 WLX262184:WLY262186 WCB262184:WCC262186 VSF262184:VSG262186 VIJ262184:VIK262186 UYN262184:UYO262186 UOR262184:UOS262186 UEV262184:UEW262186 TUZ262184:TVA262186 TLD262184:TLE262186 TBH262184:TBI262186 SRL262184:SRM262186 SHP262184:SHQ262186 RXT262184:RXU262186 RNX262184:RNY262186 REB262184:REC262186 QUF262184:QUG262186 QKJ262184:QKK262186 QAN262184:QAO262186 PQR262184:PQS262186 PGV262184:PGW262186 OWZ262184:OXA262186 OND262184:ONE262186 ODH262184:ODI262186 NTL262184:NTM262186 NJP262184:NJQ262186 MZT262184:MZU262186 MPX262184:MPY262186 MGB262184:MGC262186 LWF262184:LWG262186 LMJ262184:LMK262186 LCN262184:LCO262186 KSR262184:KSS262186 KIV262184:KIW262186 JYZ262184:JZA262186 JPD262184:JPE262186 JFH262184:JFI262186 IVL262184:IVM262186 ILP262184:ILQ262186 IBT262184:IBU262186 HRX262184:HRY262186 HIB262184:HIC262186 GYF262184:GYG262186 GOJ262184:GOK262186 GEN262184:GEO262186 FUR262184:FUS262186 FKV262184:FKW262186 FAZ262184:FBA262186 ERD262184:ERE262186 EHH262184:EHI262186 DXL262184:DXM262186 DNP262184:DNQ262186 DDT262184:DDU262186 CTX262184:CTY262186 CKB262184:CKC262186 CAF262184:CAG262186 BQJ262184:BQK262186 BGN262184:BGO262186 AWR262184:AWS262186 AMV262184:AMW262186 ACZ262184:ADA262186 TD262184:TE262186 JH262184:JI262186 WVT196648:WVU196650 WLX196648:WLY196650 WCB196648:WCC196650 VSF196648:VSG196650 VIJ196648:VIK196650 UYN196648:UYO196650 UOR196648:UOS196650 UEV196648:UEW196650 TUZ196648:TVA196650 TLD196648:TLE196650 TBH196648:TBI196650 SRL196648:SRM196650 SHP196648:SHQ196650 RXT196648:RXU196650 RNX196648:RNY196650 REB196648:REC196650 QUF196648:QUG196650 QKJ196648:QKK196650 QAN196648:QAO196650 PQR196648:PQS196650 PGV196648:PGW196650 OWZ196648:OXA196650 OND196648:ONE196650 ODH196648:ODI196650 NTL196648:NTM196650 NJP196648:NJQ196650 MZT196648:MZU196650 MPX196648:MPY196650 MGB196648:MGC196650 LWF196648:LWG196650 LMJ196648:LMK196650 LCN196648:LCO196650 KSR196648:KSS196650 KIV196648:KIW196650 JYZ196648:JZA196650 JPD196648:JPE196650 JFH196648:JFI196650 IVL196648:IVM196650 ILP196648:ILQ196650 IBT196648:IBU196650 HRX196648:HRY196650 HIB196648:HIC196650 GYF196648:GYG196650 GOJ196648:GOK196650 GEN196648:GEO196650 FUR196648:FUS196650 FKV196648:FKW196650 FAZ196648:FBA196650 ERD196648:ERE196650 EHH196648:EHI196650 DXL196648:DXM196650 DNP196648:DNQ196650 DDT196648:DDU196650 CTX196648:CTY196650 CKB196648:CKC196650 CAF196648:CAG196650 BQJ196648:BQK196650 BGN196648:BGO196650 AWR196648:AWS196650 AMV196648:AMW196650 ACZ196648:ADA196650 TD196648:TE196650 JH196648:JI196650 WVT131112:WVU131114 WLX131112:WLY131114 WCB131112:WCC131114 VSF131112:VSG131114 VIJ131112:VIK131114 UYN131112:UYO131114 UOR131112:UOS131114 UEV131112:UEW131114 TUZ131112:TVA131114 TLD131112:TLE131114 TBH131112:TBI131114 SRL131112:SRM131114 SHP131112:SHQ131114 RXT131112:RXU131114 RNX131112:RNY131114 REB131112:REC131114 QUF131112:QUG131114 QKJ131112:QKK131114 QAN131112:QAO131114 PQR131112:PQS131114 PGV131112:PGW131114 OWZ131112:OXA131114 OND131112:ONE131114 ODH131112:ODI131114 NTL131112:NTM131114 NJP131112:NJQ131114 MZT131112:MZU131114 MPX131112:MPY131114 MGB131112:MGC131114 LWF131112:LWG131114 LMJ131112:LMK131114 LCN131112:LCO131114 KSR131112:KSS131114 KIV131112:KIW131114 JYZ131112:JZA131114 JPD131112:JPE131114 JFH131112:JFI131114 IVL131112:IVM131114 ILP131112:ILQ131114 IBT131112:IBU131114 HRX131112:HRY131114 HIB131112:HIC131114 GYF131112:GYG131114 GOJ131112:GOK131114 GEN131112:GEO131114 FUR131112:FUS131114 FKV131112:FKW131114 FAZ131112:FBA131114 ERD131112:ERE131114 EHH131112:EHI131114 DXL131112:DXM131114 DNP131112:DNQ131114 DDT131112:DDU131114 CTX131112:CTY131114 CKB131112:CKC131114 CAF131112:CAG131114 BQJ131112:BQK131114 BGN131112:BGO131114 AWR131112:AWS131114 AMV131112:AMW131114 ACZ131112:ADA131114 TD131112:TE131114 JH131112:JI131114 WVT65576:WVU65578 WLX65576:WLY65578 WCB65576:WCC65578 VSF65576:VSG65578 VIJ65576:VIK65578 UYN65576:UYO65578 UOR65576:UOS65578 UEV65576:UEW65578 TUZ65576:TVA65578 TLD65576:TLE65578 TBH65576:TBI65578 SRL65576:SRM65578 SHP65576:SHQ65578 RXT65576:RXU65578 RNX65576:RNY65578 REB65576:REC65578 QUF65576:QUG65578 QKJ65576:QKK65578 QAN65576:QAO65578 PQR65576:PQS65578 PGV65576:PGW65578 OWZ65576:OXA65578 OND65576:ONE65578 ODH65576:ODI65578 NTL65576:NTM65578 NJP65576:NJQ65578 MZT65576:MZU65578 MPX65576:MPY65578 MGB65576:MGC65578 LWF65576:LWG65578 LMJ65576:LMK65578 LCN65576:LCO65578 KSR65576:KSS65578 KIV65576:KIW65578 JYZ65576:JZA65578 JPD65576:JPE65578 JFH65576:JFI65578 IVL65576:IVM65578 ILP65576:ILQ65578 IBT65576:IBU65578 HRX65576:HRY65578 HIB65576:HIC65578 GYF65576:GYG65578 GOJ65576:GOK65578 GEN65576:GEO65578 FUR65576:FUS65578 FKV65576:FKW65578 FAZ65576:FBA65578 ERD65576:ERE65578 EHH65576:EHI65578 DXL65576:DXM65578 DNP65576:DNQ65578 DDT65576:DDU65578 CTX65576:CTY65578 CKB65576:CKC65578 CAF65576:CAG65578 BQJ65576:BQK65578 BGN65576:BGO65578 AWR65576:AWS65578 AMV65576:AMW65578 ACZ65576:ADA65578 TD65576:TE65578 JH65576:JI65578 WVT983067:WVU983076 WLX983067:WLY983076 WCB983067:WCC983076 VSF983067:VSG983076 VIJ983067:VIK983076 UYN983067:UYO983076 UOR983067:UOS983076 UEV983067:UEW983076 TUZ983067:TVA983076 TLD983067:TLE983076 TBH983067:TBI983076 SRL983067:SRM983076 SHP983067:SHQ983076 RXT983067:RXU983076 RNX983067:RNY983076 REB983067:REC983076 QUF983067:QUG983076 QKJ983067:QKK983076 QAN983067:QAO983076 PQR983067:PQS983076 PGV983067:PGW983076 OWZ983067:OXA983076 OND983067:ONE983076 ODH983067:ODI983076 NTL983067:NTM983076 NJP983067:NJQ983076 MZT983067:MZU983076 MPX983067:MPY983076 MGB983067:MGC983076 LWF983067:LWG983076 LMJ983067:LMK983076 LCN983067:LCO983076 KSR983067:KSS983076 KIV983067:KIW983076 JYZ983067:JZA983076 JPD983067:JPE983076 JFH983067:JFI983076 IVL983067:IVM983076 ILP983067:ILQ983076 IBT983067:IBU983076 HRX983067:HRY983076 HIB983067:HIC983076 GYF983067:GYG983076 GOJ983067:GOK983076 GEN983067:GEO983076 FUR983067:FUS983076 FKV983067:FKW983076 FAZ983067:FBA983076 ERD983067:ERE983076 EHH983067:EHI983076 DXL983067:DXM983076 DNP983067:DNQ983076 DDT983067:DDU983076 CTX983067:CTY983076 CKB983067:CKC983076 CAF983067:CAG983076 BQJ983067:BQK983076 BGN983067:BGO983076 AWR983067:AWS983076 AMV983067:AMW983076 ACZ983067:ADA983076 TD983067:TE983076 JH983067:JI983076 WVT917531:WVU917540 WLX917531:WLY917540 WCB917531:WCC917540 VSF917531:VSG917540 VIJ917531:VIK917540 UYN917531:UYO917540 UOR917531:UOS917540 UEV917531:UEW917540 TUZ917531:TVA917540 TLD917531:TLE917540 TBH917531:TBI917540 SRL917531:SRM917540 SHP917531:SHQ917540 RXT917531:RXU917540 RNX917531:RNY917540 REB917531:REC917540 QUF917531:QUG917540 QKJ917531:QKK917540 QAN917531:QAO917540 PQR917531:PQS917540 PGV917531:PGW917540 OWZ917531:OXA917540 OND917531:ONE917540 ODH917531:ODI917540 NTL917531:NTM917540 NJP917531:NJQ917540 MZT917531:MZU917540 MPX917531:MPY917540 MGB917531:MGC917540 LWF917531:LWG917540 LMJ917531:LMK917540 LCN917531:LCO917540 KSR917531:KSS917540 KIV917531:KIW917540 JYZ917531:JZA917540 JPD917531:JPE917540 JFH917531:JFI917540 IVL917531:IVM917540 ILP917531:ILQ917540 IBT917531:IBU917540 HRX917531:HRY917540 HIB917531:HIC917540 GYF917531:GYG917540 GOJ917531:GOK917540 GEN917531:GEO917540 FUR917531:FUS917540 FKV917531:FKW917540 FAZ917531:FBA917540 ERD917531:ERE917540 EHH917531:EHI917540 DXL917531:DXM917540 DNP917531:DNQ917540 DDT917531:DDU917540 CTX917531:CTY917540 CKB917531:CKC917540 CAF917531:CAG917540 BQJ917531:BQK917540 BGN917531:BGO917540 AWR917531:AWS917540 AMV917531:AMW917540 ACZ917531:ADA917540 TD917531:TE917540 JH917531:JI917540 WVT851995:WVU852004 WLX851995:WLY852004 WCB851995:WCC852004 VSF851995:VSG852004 VIJ851995:VIK852004 UYN851995:UYO852004 UOR851995:UOS852004 UEV851995:UEW852004 TUZ851995:TVA852004 TLD851995:TLE852004 TBH851995:TBI852004 SRL851995:SRM852004 SHP851995:SHQ852004 RXT851995:RXU852004 RNX851995:RNY852004 REB851995:REC852004 QUF851995:QUG852004 QKJ851995:QKK852004 QAN851995:QAO852004 PQR851995:PQS852004 PGV851995:PGW852004 OWZ851995:OXA852004 OND851995:ONE852004 ODH851995:ODI852004 NTL851995:NTM852004 NJP851995:NJQ852004 MZT851995:MZU852004 MPX851995:MPY852004 MGB851995:MGC852004 LWF851995:LWG852004 LMJ851995:LMK852004 LCN851995:LCO852004 KSR851995:KSS852004 KIV851995:KIW852004 JYZ851995:JZA852004 JPD851995:JPE852004 JFH851995:JFI852004 IVL851995:IVM852004 ILP851995:ILQ852004 IBT851995:IBU852004 HRX851995:HRY852004 HIB851995:HIC852004 GYF851995:GYG852004 GOJ851995:GOK852004 GEN851995:GEO852004 FUR851995:FUS852004 FKV851995:FKW852004 FAZ851995:FBA852004 ERD851995:ERE852004 EHH851995:EHI852004 DXL851995:DXM852004 DNP851995:DNQ852004 DDT851995:DDU852004 CTX851995:CTY852004 CKB851995:CKC852004 CAF851995:CAG852004 BQJ851995:BQK852004 BGN851995:BGO852004 AWR851995:AWS852004 AMV851995:AMW852004 ACZ851995:ADA852004 TD851995:TE852004 JH851995:JI852004 WVT786459:WVU786468 WLX786459:WLY786468 WCB786459:WCC786468 VSF786459:VSG786468 VIJ786459:VIK786468 UYN786459:UYO786468 UOR786459:UOS786468 UEV786459:UEW786468 TUZ786459:TVA786468 TLD786459:TLE786468 TBH786459:TBI786468 SRL786459:SRM786468 SHP786459:SHQ786468 RXT786459:RXU786468 RNX786459:RNY786468 REB786459:REC786468 QUF786459:QUG786468 QKJ786459:QKK786468 QAN786459:QAO786468 PQR786459:PQS786468 PGV786459:PGW786468 OWZ786459:OXA786468 OND786459:ONE786468 ODH786459:ODI786468 NTL786459:NTM786468 NJP786459:NJQ786468 MZT786459:MZU786468 MPX786459:MPY786468 MGB786459:MGC786468 LWF786459:LWG786468 LMJ786459:LMK786468 LCN786459:LCO786468 KSR786459:KSS786468 KIV786459:KIW786468 JYZ786459:JZA786468 JPD786459:JPE786468 JFH786459:JFI786468 IVL786459:IVM786468 ILP786459:ILQ786468 IBT786459:IBU786468 HRX786459:HRY786468 HIB786459:HIC786468 GYF786459:GYG786468 GOJ786459:GOK786468 GEN786459:GEO786468 FUR786459:FUS786468 FKV786459:FKW786468 FAZ786459:FBA786468 ERD786459:ERE786468 EHH786459:EHI786468 DXL786459:DXM786468 DNP786459:DNQ786468 DDT786459:DDU786468 CTX786459:CTY786468 CKB786459:CKC786468 CAF786459:CAG786468 BQJ786459:BQK786468 BGN786459:BGO786468 AWR786459:AWS786468 AMV786459:AMW786468 ACZ786459:ADA786468 TD786459:TE786468 JH786459:JI786468 WVT720923:WVU720932 WLX720923:WLY720932 WCB720923:WCC720932 VSF720923:VSG720932 VIJ720923:VIK720932 UYN720923:UYO720932 UOR720923:UOS720932 UEV720923:UEW720932 TUZ720923:TVA720932 TLD720923:TLE720932 TBH720923:TBI720932 SRL720923:SRM720932 SHP720923:SHQ720932 RXT720923:RXU720932 RNX720923:RNY720932 REB720923:REC720932 QUF720923:QUG720932 QKJ720923:QKK720932 QAN720923:QAO720932 PQR720923:PQS720932 PGV720923:PGW720932 OWZ720923:OXA720932 OND720923:ONE720932 ODH720923:ODI720932 NTL720923:NTM720932 NJP720923:NJQ720932 MZT720923:MZU720932 MPX720923:MPY720932 MGB720923:MGC720932 LWF720923:LWG720932 LMJ720923:LMK720932 LCN720923:LCO720932 KSR720923:KSS720932 KIV720923:KIW720932 JYZ720923:JZA720932 JPD720923:JPE720932 JFH720923:JFI720932 IVL720923:IVM720932 ILP720923:ILQ720932 IBT720923:IBU720932 HRX720923:HRY720932 HIB720923:HIC720932 GYF720923:GYG720932 GOJ720923:GOK720932 GEN720923:GEO720932 FUR720923:FUS720932 FKV720923:FKW720932 FAZ720923:FBA720932 ERD720923:ERE720932 EHH720923:EHI720932 DXL720923:DXM720932 DNP720923:DNQ720932 DDT720923:DDU720932 CTX720923:CTY720932 CKB720923:CKC720932 CAF720923:CAG720932 BQJ720923:BQK720932 BGN720923:BGO720932 AWR720923:AWS720932 AMV720923:AMW720932 ACZ720923:ADA720932 TD720923:TE720932 JH720923:JI720932 WVT655387:WVU655396 WLX655387:WLY655396 WCB655387:WCC655396 VSF655387:VSG655396 VIJ655387:VIK655396 UYN655387:UYO655396 UOR655387:UOS655396 UEV655387:UEW655396 TUZ655387:TVA655396 TLD655387:TLE655396 TBH655387:TBI655396 SRL655387:SRM655396 SHP655387:SHQ655396 RXT655387:RXU655396 RNX655387:RNY655396 REB655387:REC655396 QUF655387:QUG655396 QKJ655387:QKK655396 QAN655387:QAO655396 PQR655387:PQS655396 PGV655387:PGW655396 OWZ655387:OXA655396 OND655387:ONE655396 ODH655387:ODI655396 NTL655387:NTM655396 NJP655387:NJQ655396 MZT655387:MZU655396 MPX655387:MPY655396 MGB655387:MGC655396 LWF655387:LWG655396 LMJ655387:LMK655396 LCN655387:LCO655396 KSR655387:KSS655396 KIV655387:KIW655396 JYZ655387:JZA655396 JPD655387:JPE655396 JFH655387:JFI655396 IVL655387:IVM655396 ILP655387:ILQ655396 IBT655387:IBU655396 HRX655387:HRY655396 HIB655387:HIC655396 GYF655387:GYG655396 GOJ655387:GOK655396 GEN655387:GEO655396 FUR655387:FUS655396 FKV655387:FKW655396 FAZ655387:FBA655396 ERD655387:ERE655396 EHH655387:EHI655396 DXL655387:DXM655396 DNP655387:DNQ655396 DDT655387:DDU655396 CTX655387:CTY655396 CKB655387:CKC655396 CAF655387:CAG655396 BQJ655387:BQK655396 BGN655387:BGO655396 AWR655387:AWS655396 AMV655387:AMW655396 ACZ655387:ADA655396 TD655387:TE655396 JH655387:JI655396 WVT589851:WVU589860 WLX589851:WLY589860 WCB589851:WCC589860 VSF589851:VSG589860 VIJ589851:VIK589860 UYN589851:UYO589860 UOR589851:UOS589860 UEV589851:UEW589860 TUZ589851:TVA589860 TLD589851:TLE589860 TBH589851:TBI589860 SRL589851:SRM589860 SHP589851:SHQ589860 RXT589851:RXU589860 RNX589851:RNY589860 REB589851:REC589860 QUF589851:QUG589860 QKJ589851:QKK589860 QAN589851:QAO589860 PQR589851:PQS589860 PGV589851:PGW589860 OWZ589851:OXA589860 OND589851:ONE589860 ODH589851:ODI589860 NTL589851:NTM589860 NJP589851:NJQ589860 MZT589851:MZU589860 MPX589851:MPY589860 MGB589851:MGC589860 LWF589851:LWG589860 LMJ589851:LMK589860 LCN589851:LCO589860 KSR589851:KSS589860 KIV589851:KIW589860 JYZ589851:JZA589860 JPD589851:JPE589860 JFH589851:JFI589860 IVL589851:IVM589860 ILP589851:ILQ589860 IBT589851:IBU589860 HRX589851:HRY589860 HIB589851:HIC589860 GYF589851:GYG589860 GOJ589851:GOK589860 GEN589851:GEO589860 FUR589851:FUS589860 FKV589851:FKW589860 FAZ589851:FBA589860 ERD589851:ERE589860 EHH589851:EHI589860 DXL589851:DXM589860 DNP589851:DNQ589860 DDT589851:DDU589860 CTX589851:CTY589860 CKB589851:CKC589860 CAF589851:CAG589860 BQJ589851:BQK589860 BGN589851:BGO589860 AWR589851:AWS589860 AMV589851:AMW589860 ACZ589851:ADA589860 TD589851:TE589860 JH589851:JI589860 WVT524315:WVU524324 WLX524315:WLY524324 WCB524315:WCC524324 VSF524315:VSG524324 VIJ524315:VIK524324 UYN524315:UYO524324 UOR524315:UOS524324 UEV524315:UEW524324 TUZ524315:TVA524324 TLD524315:TLE524324 TBH524315:TBI524324 SRL524315:SRM524324 SHP524315:SHQ524324 RXT524315:RXU524324 RNX524315:RNY524324 REB524315:REC524324 QUF524315:QUG524324 QKJ524315:QKK524324 QAN524315:QAO524324 PQR524315:PQS524324 PGV524315:PGW524324 OWZ524315:OXA524324 OND524315:ONE524324 ODH524315:ODI524324 NTL524315:NTM524324 NJP524315:NJQ524324 MZT524315:MZU524324 MPX524315:MPY524324 MGB524315:MGC524324 LWF524315:LWG524324 LMJ524315:LMK524324 LCN524315:LCO524324 KSR524315:KSS524324 KIV524315:KIW524324 JYZ524315:JZA524324 JPD524315:JPE524324 JFH524315:JFI524324 IVL524315:IVM524324 ILP524315:ILQ524324 IBT524315:IBU524324 HRX524315:HRY524324 HIB524315:HIC524324 GYF524315:GYG524324 GOJ524315:GOK524324 GEN524315:GEO524324 FUR524315:FUS524324 FKV524315:FKW524324 FAZ524315:FBA524324 ERD524315:ERE524324 EHH524315:EHI524324 DXL524315:DXM524324 DNP524315:DNQ524324 DDT524315:DDU524324 CTX524315:CTY524324 CKB524315:CKC524324 CAF524315:CAG524324 BQJ524315:BQK524324 BGN524315:BGO524324 AWR524315:AWS524324 AMV524315:AMW524324 ACZ524315:ADA524324 TD524315:TE524324 JH524315:JI524324 WVT458779:WVU458788 WLX458779:WLY458788 WCB458779:WCC458788 VSF458779:VSG458788 VIJ458779:VIK458788 UYN458779:UYO458788 UOR458779:UOS458788 UEV458779:UEW458788 TUZ458779:TVA458788 TLD458779:TLE458788 TBH458779:TBI458788 SRL458779:SRM458788 SHP458779:SHQ458788 RXT458779:RXU458788 RNX458779:RNY458788 REB458779:REC458788 QUF458779:QUG458788 QKJ458779:QKK458788 QAN458779:QAO458788 PQR458779:PQS458788 PGV458779:PGW458788 OWZ458779:OXA458788 OND458779:ONE458788 ODH458779:ODI458788 NTL458779:NTM458788 NJP458779:NJQ458788 MZT458779:MZU458788 MPX458779:MPY458788 MGB458779:MGC458788 LWF458779:LWG458788 LMJ458779:LMK458788 LCN458779:LCO458788 KSR458779:KSS458788 KIV458779:KIW458788 JYZ458779:JZA458788 JPD458779:JPE458788 JFH458779:JFI458788 IVL458779:IVM458788 ILP458779:ILQ458788 IBT458779:IBU458788 HRX458779:HRY458788 HIB458779:HIC458788 GYF458779:GYG458788 GOJ458779:GOK458788 GEN458779:GEO458788 FUR458779:FUS458788 FKV458779:FKW458788 FAZ458779:FBA458788 ERD458779:ERE458788 EHH458779:EHI458788 DXL458779:DXM458788 DNP458779:DNQ458788 DDT458779:DDU458788 CTX458779:CTY458788 CKB458779:CKC458788 CAF458779:CAG458788 BQJ458779:BQK458788 BGN458779:BGO458788 AWR458779:AWS458788 AMV458779:AMW458788 ACZ458779:ADA458788 TD458779:TE458788 JH458779:JI458788 WVT393243:WVU393252 WLX393243:WLY393252 WCB393243:WCC393252 VSF393243:VSG393252 VIJ393243:VIK393252 UYN393243:UYO393252 UOR393243:UOS393252 UEV393243:UEW393252 TUZ393243:TVA393252 TLD393243:TLE393252 TBH393243:TBI393252 SRL393243:SRM393252 SHP393243:SHQ393252 RXT393243:RXU393252 RNX393243:RNY393252 REB393243:REC393252 QUF393243:QUG393252 QKJ393243:QKK393252 QAN393243:QAO393252 PQR393243:PQS393252 PGV393243:PGW393252 OWZ393243:OXA393252 OND393243:ONE393252 ODH393243:ODI393252 NTL393243:NTM393252 NJP393243:NJQ393252 MZT393243:MZU393252 MPX393243:MPY393252 MGB393243:MGC393252 LWF393243:LWG393252 LMJ393243:LMK393252 LCN393243:LCO393252 KSR393243:KSS393252 KIV393243:KIW393252 JYZ393243:JZA393252 JPD393243:JPE393252 JFH393243:JFI393252 IVL393243:IVM393252 ILP393243:ILQ393252 IBT393243:IBU393252 HRX393243:HRY393252 HIB393243:HIC393252 GYF393243:GYG393252 GOJ393243:GOK393252 GEN393243:GEO393252 FUR393243:FUS393252 FKV393243:FKW393252 FAZ393243:FBA393252 ERD393243:ERE393252 EHH393243:EHI393252 DXL393243:DXM393252 DNP393243:DNQ393252 DDT393243:DDU393252 CTX393243:CTY393252 CKB393243:CKC393252 CAF393243:CAG393252 BQJ393243:BQK393252 BGN393243:BGO393252 AWR393243:AWS393252 AMV393243:AMW393252 ACZ393243:ADA393252 TD393243:TE393252 JH393243:JI393252 WVT327707:WVU327716 WLX327707:WLY327716 WCB327707:WCC327716 VSF327707:VSG327716 VIJ327707:VIK327716 UYN327707:UYO327716 UOR327707:UOS327716 UEV327707:UEW327716 TUZ327707:TVA327716 TLD327707:TLE327716 TBH327707:TBI327716 SRL327707:SRM327716 SHP327707:SHQ327716 RXT327707:RXU327716 RNX327707:RNY327716 REB327707:REC327716 QUF327707:QUG327716 QKJ327707:QKK327716 QAN327707:QAO327716 PQR327707:PQS327716 PGV327707:PGW327716 OWZ327707:OXA327716 OND327707:ONE327716 ODH327707:ODI327716 NTL327707:NTM327716 NJP327707:NJQ327716 MZT327707:MZU327716 MPX327707:MPY327716 MGB327707:MGC327716 LWF327707:LWG327716 LMJ327707:LMK327716 LCN327707:LCO327716 KSR327707:KSS327716 KIV327707:KIW327716 JYZ327707:JZA327716 JPD327707:JPE327716 JFH327707:JFI327716 IVL327707:IVM327716 ILP327707:ILQ327716 IBT327707:IBU327716 HRX327707:HRY327716 HIB327707:HIC327716 GYF327707:GYG327716 GOJ327707:GOK327716 GEN327707:GEO327716 FUR327707:FUS327716 FKV327707:FKW327716 FAZ327707:FBA327716 ERD327707:ERE327716 EHH327707:EHI327716 DXL327707:DXM327716 DNP327707:DNQ327716 DDT327707:DDU327716 CTX327707:CTY327716 CKB327707:CKC327716 CAF327707:CAG327716 BQJ327707:BQK327716 BGN327707:BGO327716 AWR327707:AWS327716 AMV327707:AMW327716 ACZ327707:ADA327716 TD327707:TE327716 JH327707:JI327716 WVT262171:WVU262180 WLX262171:WLY262180 WCB262171:WCC262180 VSF262171:VSG262180 VIJ262171:VIK262180 UYN262171:UYO262180 UOR262171:UOS262180 UEV262171:UEW262180 TUZ262171:TVA262180 TLD262171:TLE262180 TBH262171:TBI262180 SRL262171:SRM262180 SHP262171:SHQ262180 RXT262171:RXU262180 RNX262171:RNY262180 REB262171:REC262180 QUF262171:QUG262180 QKJ262171:QKK262180 QAN262171:QAO262180 PQR262171:PQS262180 PGV262171:PGW262180 OWZ262171:OXA262180 OND262171:ONE262180 ODH262171:ODI262180 NTL262171:NTM262180 NJP262171:NJQ262180 MZT262171:MZU262180 MPX262171:MPY262180 MGB262171:MGC262180 LWF262171:LWG262180 LMJ262171:LMK262180 LCN262171:LCO262180 KSR262171:KSS262180 KIV262171:KIW262180 JYZ262171:JZA262180 JPD262171:JPE262180 JFH262171:JFI262180 IVL262171:IVM262180 ILP262171:ILQ262180 IBT262171:IBU262180 HRX262171:HRY262180 HIB262171:HIC262180 GYF262171:GYG262180 GOJ262171:GOK262180 GEN262171:GEO262180 FUR262171:FUS262180 FKV262171:FKW262180 FAZ262171:FBA262180 ERD262171:ERE262180 EHH262171:EHI262180 DXL262171:DXM262180 DNP262171:DNQ262180 DDT262171:DDU262180 CTX262171:CTY262180 CKB262171:CKC262180 CAF262171:CAG262180 BQJ262171:BQK262180 BGN262171:BGO262180 AWR262171:AWS262180 AMV262171:AMW262180 ACZ262171:ADA262180 TD262171:TE262180 JH262171:JI262180 WVT196635:WVU196644 WLX196635:WLY196644 WCB196635:WCC196644 VSF196635:VSG196644 VIJ196635:VIK196644 UYN196635:UYO196644 UOR196635:UOS196644 UEV196635:UEW196644 TUZ196635:TVA196644 TLD196635:TLE196644 TBH196635:TBI196644 SRL196635:SRM196644 SHP196635:SHQ196644 RXT196635:RXU196644 RNX196635:RNY196644 REB196635:REC196644 QUF196635:QUG196644 QKJ196635:QKK196644 QAN196635:QAO196644 PQR196635:PQS196644 PGV196635:PGW196644 OWZ196635:OXA196644 OND196635:ONE196644 ODH196635:ODI196644 NTL196635:NTM196644 NJP196635:NJQ196644 MZT196635:MZU196644 MPX196635:MPY196644 MGB196635:MGC196644 LWF196635:LWG196644 LMJ196635:LMK196644 LCN196635:LCO196644 KSR196635:KSS196644 KIV196635:KIW196644 JYZ196635:JZA196644 JPD196635:JPE196644 JFH196635:JFI196644 IVL196635:IVM196644 ILP196635:ILQ196644 IBT196635:IBU196644 HRX196635:HRY196644 HIB196635:HIC196644 GYF196635:GYG196644 GOJ196635:GOK196644 GEN196635:GEO196644 FUR196635:FUS196644 FKV196635:FKW196644 FAZ196635:FBA196644 ERD196635:ERE196644 EHH196635:EHI196644 DXL196635:DXM196644 DNP196635:DNQ196644 DDT196635:DDU196644 CTX196635:CTY196644 CKB196635:CKC196644 CAF196635:CAG196644 BQJ196635:BQK196644 BGN196635:BGO196644 AWR196635:AWS196644 AMV196635:AMW196644 ACZ196635:ADA196644 TD196635:TE196644 JH196635:JI196644 WVT131099:WVU131108 WLX131099:WLY131108 WCB131099:WCC131108 VSF131099:VSG131108 VIJ131099:VIK131108 UYN131099:UYO131108 UOR131099:UOS131108 UEV131099:UEW131108 TUZ131099:TVA131108 TLD131099:TLE131108 TBH131099:TBI131108 SRL131099:SRM131108 SHP131099:SHQ131108 RXT131099:RXU131108 RNX131099:RNY131108 REB131099:REC131108 QUF131099:QUG131108 QKJ131099:QKK131108 QAN131099:QAO131108 PQR131099:PQS131108 PGV131099:PGW131108 OWZ131099:OXA131108 OND131099:ONE131108 ODH131099:ODI131108 NTL131099:NTM131108 NJP131099:NJQ131108 MZT131099:MZU131108 MPX131099:MPY131108 MGB131099:MGC131108 LWF131099:LWG131108 LMJ131099:LMK131108 LCN131099:LCO131108 KSR131099:KSS131108 KIV131099:KIW131108 JYZ131099:JZA131108 JPD131099:JPE131108 JFH131099:JFI131108 IVL131099:IVM131108 ILP131099:ILQ131108 IBT131099:IBU131108 HRX131099:HRY131108 HIB131099:HIC131108 GYF131099:GYG131108 GOJ131099:GOK131108 GEN131099:GEO131108 FUR131099:FUS131108 FKV131099:FKW131108 FAZ131099:FBA131108 ERD131099:ERE131108 EHH131099:EHI131108 DXL131099:DXM131108 DNP131099:DNQ131108 DDT131099:DDU131108 CTX131099:CTY131108 CKB131099:CKC131108 CAF131099:CAG131108 BQJ131099:BQK131108 BGN131099:BGO131108 AWR131099:AWS131108 AMV131099:AMW131108 ACZ131099:ADA131108 TD131099:TE131108 JH131099:JI131108 WVT65563:WVU65572 WLX65563:WLY65572 WCB65563:WCC65572 VSF65563:VSG65572 VIJ65563:VIK65572 UYN65563:UYO65572 UOR65563:UOS65572 UEV65563:UEW65572 TUZ65563:TVA65572 TLD65563:TLE65572 TBH65563:TBI65572 SRL65563:SRM65572 SHP65563:SHQ65572 RXT65563:RXU65572 RNX65563:RNY65572 REB65563:REC65572 QUF65563:QUG65572 QKJ65563:QKK65572 QAN65563:QAO65572 PQR65563:PQS65572 PGV65563:PGW65572 OWZ65563:OXA65572 OND65563:ONE65572 ODH65563:ODI65572 NTL65563:NTM65572 NJP65563:NJQ65572 MZT65563:MZU65572 MPX65563:MPY65572 MGB65563:MGC65572 LWF65563:LWG65572 LMJ65563:LMK65572 LCN65563:LCO65572 KSR65563:KSS65572 KIV65563:KIW65572 JYZ65563:JZA65572 JPD65563:JPE65572 JFH65563:JFI65572 IVL65563:IVM65572 ILP65563:ILQ65572 IBT65563:IBU65572 HRX65563:HRY65572 HIB65563:HIC65572 GYF65563:GYG65572 GOJ65563:GOK65572 GEN65563:GEO65572 FUR65563:FUS65572 FKV65563:FKW65572 FAZ65563:FBA65572 ERD65563:ERE65572 EHH65563:EHI65572 DXL65563:DXM65572 DNP65563:DNQ65572 DDT65563:DDU65572 CTX65563:CTY65572 CKB65563:CKC65572 CAF65563:CAG65572 BQJ65563:BQK65572 BGN65563:BGO65572 AWR65563:AWS65572 AMV65563:AMW65572 ACZ65563:ADA65572 TD65563:TE65572 JH65563:JI65572 WVR35:WVS35 WVT34:WVU34 WLV35:WLW35 WLX34:WLY34 WBZ35:WCA35 WCB34:WCC34 VSD35:VSE35 VSF34:VSG34 VIH35:VII35 VIJ34:VIK34 UYL35:UYM35 UYN34:UYO34 UOP35:UOQ35 UOR34:UOS34 UET35:UEU35 UEV34:UEW34 TUX35:TUY35 TUZ34:TVA34 TLB35:TLC35 TLD34:TLE34 TBF35:TBG35 TBH34:TBI34 SRJ35:SRK35 SRL34:SRM34 SHN35:SHO35 SHP34:SHQ34 RXR35:RXS35 RXT34:RXU34 RNV35:RNW35 RNX34:RNY34 RDZ35:REA35 REB34:REC34 QUD35:QUE35 QUF34:QUG34 QKH35:QKI35 QKJ34:QKK34 QAL35:QAM35 QAN34:QAO34 PQP35:PQQ35 PQR34:PQS34 PGT35:PGU35 PGV34:PGW34 OWX35:OWY35 OWZ34:OXA34 ONB35:ONC35 OND34:ONE34 ODF35:ODG35 ODH34:ODI34 NTJ35:NTK35 NTL34:NTM34 NJN35:NJO35 NJP34:NJQ34 MZR35:MZS35 MZT34:MZU34 MPV35:MPW35 MPX34:MPY34 MFZ35:MGA35 MGB34:MGC34 LWD35:LWE35 LWF34:LWG34 LMH35:LMI35 LMJ34:LMK34 LCL35:LCM35 LCN34:LCO34 KSP35:KSQ35 KSR34:KSS34 KIT35:KIU35 KIV34:KIW34 JYX35:JYY35 JYZ34:JZA34 JPB35:JPC35 JPD34:JPE34 JFF35:JFG35 JFH34:JFI34 IVJ35:IVK35 IVL34:IVM34 ILN35:ILO35 ILP34:ILQ34 IBR35:IBS35 IBT34:IBU34 HRV35:HRW35 HRX34:HRY34 HHZ35:HIA35 HIB34:HIC34 GYD35:GYE35 GYF34:GYG34 GOH35:GOI35 GOJ34:GOK34 GEL35:GEM35 GEN34:GEO34 FUP35:FUQ35 FUR34:FUS34 FKT35:FKU35 FKV34:FKW34 FAX35:FAY35 FAZ34:FBA34 ERB35:ERC35 ERD34:ERE34 EHF35:EHG35 EHH34:EHI34 DXJ35:DXK35 DXL34:DXM34 DNN35:DNO35 DNP34:DNQ34 DDR35:DDS35 DDT34:DDU34 CTV35:CTW35 CTX34:CTY34 CJZ35:CKA35 CKB34:CKC34 CAD35:CAE35 CAF34:CAG34 BQH35:BQI35 BQJ34:BQK34 BGL35:BGM35 BGN34:BGO34 AWP35:AWQ35 AWR34:AWS34 AMT35:AMU35 AMV34:AMW34 ACX35:ACY35 ACZ34:ADA34 TB35:TC35 TD34:TE34 JF35:JG35 JH34:JI34 WVT983078:WVU983078 WLX983078:WLY983078 WCB983078:WCC983078 VSF983078:VSG983078 VIJ983078:VIK983078 UYN983078:UYO983078 UOR983078:UOS983078 UEV983078:UEW983078 TUZ983078:TVA983078 TLD983078:TLE983078 TBH983078:TBI983078 SRL983078:SRM983078 SHP983078:SHQ983078 RXT983078:RXU983078 RNX983078:RNY983078 REB983078:REC983078 QUF983078:QUG983078 QKJ983078:QKK983078 QAN983078:QAO983078 PQR983078:PQS983078 PGV983078:PGW983078 OWZ983078:OXA983078 OND983078:ONE983078 ODH983078:ODI983078 NTL983078:NTM983078 NJP983078:NJQ983078 MZT983078:MZU983078 MPX983078:MPY983078 MGB983078:MGC983078 LWF983078:LWG983078 LMJ983078:LMK983078 LCN983078:LCO983078 KSR983078:KSS983078 KIV983078:KIW983078 JYZ983078:JZA983078 JPD983078:JPE983078 JFH983078:JFI983078 IVL983078:IVM983078 ILP983078:ILQ983078 IBT983078:IBU983078 HRX983078:HRY983078 HIB983078:HIC983078 GYF983078:GYG983078 GOJ983078:GOK983078 GEN983078:GEO983078 FUR983078:FUS983078 FKV983078:FKW983078 FAZ983078:FBA983078 ERD983078:ERE983078 EHH983078:EHI983078 DXL983078:DXM983078 DNP983078:DNQ983078 DDT983078:DDU983078 CTX983078:CTY983078 CKB983078:CKC983078 CAF983078:CAG983078 BQJ983078:BQK983078 BGN983078:BGO983078 AWR983078:AWS983078 AMV983078:AMW983078 ACZ983078:ADA983078 TD983078:TE983078 JH983078:JI983078 WVT917542:WVU917542 WLX917542:WLY917542 WCB917542:WCC917542 VSF917542:VSG917542 VIJ917542:VIK917542 UYN917542:UYO917542 UOR917542:UOS917542 UEV917542:UEW917542 TUZ917542:TVA917542 TLD917542:TLE917542 TBH917542:TBI917542 SRL917542:SRM917542 SHP917542:SHQ917542 RXT917542:RXU917542 RNX917542:RNY917542 REB917542:REC917542 QUF917542:QUG917542 QKJ917542:QKK917542 QAN917542:QAO917542 PQR917542:PQS917542 PGV917542:PGW917542 OWZ917542:OXA917542 OND917542:ONE917542 ODH917542:ODI917542 NTL917542:NTM917542 NJP917542:NJQ917542 MZT917542:MZU917542 MPX917542:MPY917542 MGB917542:MGC917542 LWF917542:LWG917542 LMJ917542:LMK917542 LCN917542:LCO917542 KSR917542:KSS917542 KIV917542:KIW917542 JYZ917542:JZA917542 JPD917542:JPE917542 JFH917542:JFI917542 IVL917542:IVM917542 ILP917542:ILQ917542 IBT917542:IBU917542 HRX917542:HRY917542 HIB917542:HIC917542 GYF917542:GYG917542 GOJ917542:GOK917542 GEN917542:GEO917542 FUR917542:FUS917542 FKV917542:FKW917542 FAZ917542:FBA917542 ERD917542:ERE917542 EHH917542:EHI917542 DXL917542:DXM917542 DNP917542:DNQ917542 DDT917542:DDU917542 CTX917542:CTY917542 CKB917542:CKC917542 CAF917542:CAG917542 BQJ917542:BQK917542 BGN917542:BGO917542 AWR917542:AWS917542 AMV917542:AMW917542 ACZ917542:ADA917542 TD917542:TE917542 JH917542:JI917542 WVT852006:WVU852006 WLX852006:WLY852006 WCB852006:WCC852006 VSF852006:VSG852006 VIJ852006:VIK852006 UYN852006:UYO852006 UOR852006:UOS852006 UEV852006:UEW852006 TUZ852006:TVA852006 TLD852006:TLE852006 TBH852006:TBI852006 SRL852006:SRM852006 SHP852006:SHQ852006 RXT852006:RXU852006 RNX852006:RNY852006 REB852006:REC852006 QUF852006:QUG852006 QKJ852006:QKK852006 QAN852006:QAO852006 PQR852006:PQS852006 PGV852006:PGW852006 OWZ852006:OXA852006 OND852006:ONE852006 ODH852006:ODI852006 NTL852006:NTM852006 NJP852006:NJQ852006 MZT852006:MZU852006 MPX852006:MPY852006 MGB852006:MGC852006 LWF852006:LWG852006 LMJ852006:LMK852006 LCN852006:LCO852006 KSR852006:KSS852006 KIV852006:KIW852006 JYZ852006:JZA852006 JPD852006:JPE852006 JFH852006:JFI852006 IVL852006:IVM852006 ILP852006:ILQ852006 IBT852006:IBU852006 HRX852006:HRY852006 HIB852006:HIC852006 GYF852006:GYG852006 GOJ852006:GOK852006 GEN852006:GEO852006 FUR852006:FUS852006 FKV852006:FKW852006 FAZ852006:FBA852006 ERD852006:ERE852006 EHH852006:EHI852006 DXL852006:DXM852006 DNP852006:DNQ852006 DDT852006:DDU852006 CTX852006:CTY852006 CKB852006:CKC852006 CAF852006:CAG852006 BQJ852006:BQK852006 BGN852006:BGO852006 AWR852006:AWS852006 AMV852006:AMW852006 ACZ852006:ADA852006 TD852006:TE852006 JH852006:JI852006 WVT786470:WVU786470 WLX786470:WLY786470 WCB786470:WCC786470 VSF786470:VSG786470 VIJ786470:VIK786470 UYN786470:UYO786470 UOR786470:UOS786470 UEV786470:UEW786470 TUZ786470:TVA786470 TLD786470:TLE786470 TBH786470:TBI786470 SRL786470:SRM786470 SHP786470:SHQ786470 RXT786470:RXU786470 RNX786470:RNY786470 REB786470:REC786470 QUF786470:QUG786470 QKJ786470:QKK786470 QAN786470:QAO786470 PQR786470:PQS786470 PGV786470:PGW786470 OWZ786470:OXA786470 OND786470:ONE786470 ODH786470:ODI786470 NTL786470:NTM786470 NJP786470:NJQ786470 MZT786470:MZU786470 MPX786470:MPY786470 MGB786470:MGC786470 LWF786470:LWG786470 LMJ786470:LMK786470 LCN786470:LCO786470 KSR786470:KSS786470 KIV786470:KIW786470 JYZ786470:JZA786470 JPD786470:JPE786470 JFH786470:JFI786470 IVL786470:IVM786470 ILP786470:ILQ786470 IBT786470:IBU786470 HRX786470:HRY786470 HIB786470:HIC786470 GYF786470:GYG786470 GOJ786470:GOK786470 GEN786470:GEO786470 FUR786470:FUS786470 FKV786470:FKW786470 FAZ786470:FBA786470 ERD786470:ERE786470 EHH786470:EHI786470 DXL786470:DXM786470 DNP786470:DNQ786470 DDT786470:DDU786470 CTX786470:CTY786470 CKB786470:CKC786470 CAF786470:CAG786470 BQJ786470:BQK786470 BGN786470:BGO786470 AWR786470:AWS786470 AMV786470:AMW786470 ACZ786470:ADA786470 TD786470:TE786470 JH786470:JI786470 WVT720934:WVU720934 WLX720934:WLY720934 WCB720934:WCC720934 VSF720934:VSG720934 VIJ720934:VIK720934 UYN720934:UYO720934 UOR720934:UOS720934 UEV720934:UEW720934 TUZ720934:TVA720934 TLD720934:TLE720934 TBH720934:TBI720934 SRL720934:SRM720934 SHP720934:SHQ720934 RXT720934:RXU720934 RNX720934:RNY720934 REB720934:REC720934 QUF720934:QUG720934 QKJ720934:QKK720934 QAN720934:QAO720934 PQR720934:PQS720934 PGV720934:PGW720934 OWZ720934:OXA720934 OND720934:ONE720934 ODH720934:ODI720934 NTL720934:NTM720934 NJP720934:NJQ720934 MZT720934:MZU720934 MPX720934:MPY720934 MGB720934:MGC720934 LWF720934:LWG720934 LMJ720934:LMK720934 LCN720934:LCO720934 KSR720934:KSS720934 KIV720934:KIW720934 JYZ720934:JZA720934 JPD720934:JPE720934 JFH720934:JFI720934 IVL720934:IVM720934 ILP720934:ILQ720934 IBT720934:IBU720934 HRX720934:HRY720934 HIB720934:HIC720934 GYF720934:GYG720934 GOJ720934:GOK720934 GEN720934:GEO720934 FUR720934:FUS720934 FKV720934:FKW720934 FAZ720934:FBA720934 ERD720934:ERE720934 EHH720934:EHI720934 DXL720934:DXM720934 DNP720934:DNQ720934 DDT720934:DDU720934 CTX720934:CTY720934 CKB720934:CKC720934 CAF720934:CAG720934 BQJ720934:BQK720934 BGN720934:BGO720934 AWR720934:AWS720934 AMV720934:AMW720934 ACZ720934:ADA720934 TD720934:TE720934 JH720934:JI720934 WVT655398:WVU655398 WLX655398:WLY655398 WCB655398:WCC655398 VSF655398:VSG655398 VIJ655398:VIK655398 UYN655398:UYO655398 UOR655398:UOS655398 UEV655398:UEW655398 TUZ655398:TVA655398 TLD655398:TLE655398 TBH655398:TBI655398 SRL655398:SRM655398 SHP655398:SHQ655398 RXT655398:RXU655398 RNX655398:RNY655398 REB655398:REC655398 QUF655398:QUG655398 QKJ655398:QKK655398 QAN655398:QAO655398 PQR655398:PQS655398 PGV655398:PGW655398 OWZ655398:OXA655398 OND655398:ONE655398 ODH655398:ODI655398 NTL655398:NTM655398 NJP655398:NJQ655398 MZT655398:MZU655398 MPX655398:MPY655398 MGB655398:MGC655398 LWF655398:LWG655398 LMJ655398:LMK655398 LCN655398:LCO655398 KSR655398:KSS655398 KIV655398:KIW655398 JYZ655398:JZA655398 JPD655398:JPE655398 JFH655398:JFI655398 IVL655398:IVM655398 ILP655398:ILQ655398 IBT655398:IBU655398 HRX655398:HRY655398 HIB655398:HIC655398 GYF655398:GYG655398 GOJ655398:GOK655398 GEN655398:GEO655398 FUR655398:FUS655398 FKV655398:FKW655398 FAZ655398:FBA655398 ERD655398:ERE655398 EHH655398:EHI655398 DXL655398:DXM655398 DNP655398:DNQ655398 DDT655398:DDU655398 CTX655398:CTY655398 CKB655398:CKC655398 CAF655398:CAG655398 BQJ655398:BQK655398 BGN655398:BGO655398 AWR655398:AWS655398 AMV655398:AMW655398 ACZ655398:ADA655398 TD655398:TE655398 JH655398:JI655398 WVT589862:WVU589862 WLX589862:WLY589862 WCB589862:WCC589862 VSF589862:VSG589862 VIJ589862:VIK589862 UYN589862:UYO589862 UOR589862:UOS589862 UEV589862:UEW589862 TUZ589862:TVA589862 TLD589862:TLE589862 TBH589862:TBI589862 SRL589862:SRM589862 SHP589862:SHQ589862 RXT589862:RXU589862 RNX589862:RNY589862 REB589862:REC589862 QUF589862:QUG589862 QKJ589862:QKK589862 QAN589862:QAO589862 PQR589862:PQS589862 PGV589862:PGW589862 OWZ589862:OXA589862 OND589862:ONE589862 ODH589862:ODI589862 NTL589862:NTM589862 NJP589862:NJQ589862 MZT589862:MZU589862 MPX589862:MPY589862 MGB589862:MGC589862 LWF589862:LWG589862 LMJ589862:LMK589862 LCN589862:LCO589862 KSR589862:KSS589862 KIV589862:KIW589862 JYZ589862:JZA589862 JPD589862:JPE589862 JFH589862:JFI589862 IVL589862:IVM589862 ILP589862:ILQ589862 IBT589862:IBU589862 HRX589862:HRY589862 HIB589862:HIC589862 GYF589862:GYG589862 GOJ589862:GOK589862 GEN589862:GEO589862 FUR589862:FUS589862 FKV589862:FKW589862 FAZ589862:FBA589862 ERD589862:ERE589862 EHH589862:EHI589862 DXL589862:DXM589862 DNP589862:DNQ589862 DDT589862:DDU589862 CTX589862:CTY589862 CKB589862:CKC589862 CAF589862:CAG589862 BQJ589862:BQK589862 BGN589862:BGO589862 AWR589862:AWS589862 AMV589862:AMW589862 ACZ589862:ADA589862 TD589862:TE589862 JH589862:JI589862 WVT524326:WVU524326 WLX524326:WLY524326 WCB524326:WCC524326 VSF524326:VSG524326 VIJ524326:VIK524326 UYN524326:UYO524326 UOR524326:UOS524326 UEV524326:UEW524326 TUZ524326:TVA524326 TLD524326:TLE524326 TBH524326:TBI524326 SRL524326:SRM524326 SHP524326:SHQ524326 RXT524326:RXU524326 RNX524326:RNY524326 REB524326:REC524326 QUF524326:QUG524326 QKJ524326:QKK524326 QAN524326:QAO524326 PQR524326:PQS524326 PGV524326:PGW524326 OWZ524326:OXA524326 OND524326:ONE524326 ODH524326:ODI524326 NTL524326:NTM524326 NJP524326:NJQ524326 MZT524326:MZU524326 MPX524326:MPY524326 MGB524326:MGC524326 LWF524326:LWG524326 LMJ524326:LMK524326 LCN524326:LCO524326 KSR524326:KSS524326 KIV524326:KIW524326 JYZ524326:JZA524326 JPD524326:JPE524326 JFH524326:JFI524326 IVL524326:IVM524326 ILP524326:ILQ524326 IBT524326:IBU524326 HRX524326:HRY524326 HIB524326:HIC524326 GYF524326:GYG524326 GOJ524326:GOK524326 GEN524326:GEO524326 FUR524326:FUS524326 FKV524326:FKW524326 FAZ524326:FBA524326 ERD524326:ERE524326 EHH524326:EHI524326 DXL524326:DXM524326 DNP524326:DNQ524326 DDT524326:DDU524326 CTX524326:CTY524326 CKB524326:CKC524326 CAF524326:CAG524326 BQJ524326:BQK524326 BGN524326:BGO524326 AWR524326:AWS524326 AMV524326:AMW524326 ACZ524326:ADA524326 TD524326:TE524326 JH524326:JI524326 WVT458790:WVU458790 WLX458790:WLY458790 WCB458790:WCC458790 VSF458790:VSG458790 VIJ458790:VIK458790 UYN458790:UYO458790 UOR458790:UOS458790 UEV458790:UEW458790 TUZ458790:TVA458790 TLD458790:TLE458790 TBH458790:TBI458790 SRL458790:SRM458790 SHP458790:SHQ458790 RXT458790:RXU458790 RNX458790:RNY458790 REB458790:REC458790 QUF458790:QUG458790 QKJ458790:QKK458790 QAN458790:QAO458790 PQR458790:PQS458790 PGV458790:PGW458790 OWZ458790:OXA458790 OND458790:ONE458790 ODH458790:ODI458790 NTL458790:NTM458790 NJP458790:NJQ458790 MZT458790:MZU458790 MPX458790:MPY458790 MGB458790:MGC458790 LWF458790:LWG458790 LMJ458790:LMK458790 LCN458790:LCO458790 KSR458790:KSS458790 KIV458790:KIW458790 JYZ458790:JZA458790 JPD458790:JPE458790 JFH458790:JFI458790 IVL458790:IVM458790 ILP458790:ILQ458790 IBT458790:IBU458790 HRX458790:HRY458790 HIB458790:HIC458790 GYF458790:GYG458790 GOJ458790:GOK458790 GEN458790:GEO458790 FUR458790:FUS458790 FKV458790:FKW458790 FAZ458790:FBA458790 ERD458790:ERE458790 EHH458790:EHI458790 DXL458790:DXM458790 DNP458790:DNQ458790 DDT458790:DDU458790 CTX458790:CTY458790 CKB458790:CKC458790 CAF458790:CAG458790 BQJ458790:BQK458790 BGN458790:BGO458790 AWR458790:AWS458790 AMV458790:AMW458790 ACZ458790:ADA458790 TD458790:TE458790 JH458790:JI458790 WVT393254:WVU393254 WLX393254:WLY393254 WCB393254:WCC393254 VSF393254:VSG393254 VIJ393254:VIK393254 UYN393254:UYO393254 UOR393254:UOS393254 UEV393254:UEW393254 TUZ393254:TVA393254 TLD393254:TLE393254 TBH393254:TBI393254 SRL393254:SRM393254 SHP393254:SHQ393254 RXT393254:RXU393254 RNX393254:RNY393254 REB393254:REC393254 QUF393254:QUG393254 QKJ393254:QKK393254 QAN393254:QAO393254 PQR393254:PQS393254 PGV393254:PGW393254 OWZ393254:OXA393254 OND393254:ONE393254 ODH393254:ODI393254 NTL393254:NTM393254 NJP393254:NJQ393254 MZT393254:MZU393254 MPX393254:MPY393254 MGB393254:MGC393254 LWF393254:LWG393254 LMJ393254:LMK393254 LCN393254:LCO393254 KSR393254:KSS393254 KIV393254:KIW393254 JYZ393254:JZA393254 JPD393254:JPE393254 JFH393254:JFI393254 IVL393254:IVM393254 ILP393254:ILQ393254 IBT393254:IBU393254 HRX393254:HRY393254 HIB393254:HIC393254 GYF393254:GYG393254 GOJ393254:GOK393254 GEN393254:GEO393254 FUR393254:FUS393254 FKV393254:FKW393254 FAZ393254:FBA393254 ERD393254:ERE393254 EHH393254:EHI393254 DXL393254:DXM393254 DNP393254:DNQ393254 DDT393254:DDU393254 CTX393254:CTY393254 CKB393254:CKC393254 CAF393254:CAG393254 BQJ393254:BQK393254 BGN393254:BGO393254 AWR393254:AWS393254 AMV393254:AMW393254 ACZ393254:ADA393254 TD393254:TE393254 JH393254:JI393254 WVT327718:WVU327718 WLX327718:WLY327718 WCB327718:WCC327718 VSF327718:VSG327718 VIJ327718:VIK327718 UYN327718:UYO327718 UOR327718:UOS327718 UEV327718:UEW327718 TUZ327718:TVA327718 TLD327718:TLE327718 TBH327718:TBI327718 SRL327718:SRM327718 SHP327718:SHQ327718 RXT327718:RXU327718 RNX327718:RNY327718 REB327718:REC327718 QUF327718:QUG327718 QKJ327718:QKK327718 QAN327718:QAO327718 PQR327718:PQS327718 PGV327718:PGW327718 OWZ327718:OXA327718 OND327718:ONE327718 ODH327718:ODI327718 NTL327718:NTM327718 NJP327718:NJQ327718 MZT327718:MZU327718 MPX327718:MPY327718 MGB327718:MGC327718 LWF327718:LWG327718 LMJ327718:LMK327718 LCN327718:LCO327718 KSR327718:KSS327718 KIV327718:KIW327718 JYZ327718:JZA327718 JPD327718:JPE327718 JFH327718:JFI327718 IVL327718:IVM327718 ILP327718:ILQ327718 IBT327718:IBU327718 HRX327718:HRY327718 HIB327718:HIC327718 GYF327718:GYG327718 GOJ327718:GOK327718 GEN327718:GEO327718 FUR327718:FUS327718 FKV327718:FKW327718 FAZ327718:FBA327718 ERD327718:ERE327718 EHH327718:EHI327718 DXL327718:DXM327718 DNP327718:DNQ327718 DDT327718:DDU327718 CTX327718:CTY327718 CKB327718:CKC327718 CAF327718:CAG327718 BQJ327718:BQK327718 BGN327718:BGO327718 AWR327718:AWS327718 AMV327718:AMW327718 ACZ327718:ADA327718 TD327718:TE327718 JH327718:JI327718 WVT262182:WVU262182 WLX262182:WLY262182 WCB262182:WCC262182 VSF262182:VSG262182 VIJ262182:VIK262182 UYN262182:UYO262182 UOR262182:UOS262182 UEV262182:UEW262182 TUZ262182:TVA262182 TLD262182:TLE262182 TBH262182:TBI262182 SRL262182:SRM262182 SHP262182:SHQ262182 RXT262182:RXU262182 RNX262182:RNY262182 REB262182:REC262182 QUF262182:QUG262182 QKJ262182:QKK262182 QAN262182:QAO262182 PQR262182:PQS262182 PGV262182:PGW262182 OWZ262182:OXA262182 OND262182:ONE262182 ODH262182:ODI262182 NTL262182:NTM262182 NJP262182:NJQ262182 MZT262182:MZU262182 MPX262182:MPY262182 MGB262182:MGC262182 LWF262182:LWG262182 LMJ262182:LMK262182 LCN262182:LCO262182 KSR262182:KSS262182 KIV262182:KIW262182 JYZ262182:JZA262182 JPD262182:JPE262182 JFH262182:JFI262182 IVL262182:IVM262182 ILP262182:ILQ262182 IBT262182:IBU262182 HRX262182:HRY262182 HIB262182:HIC262182 GYF262182:GYG262182 GOJ262182:GOK262182 GEN262182:GEO262182 FUR262182:FUS262182 FKV262182:FKW262182 FAZ262182:FBA262182 ERD262182:ERE262182 EHH262182:EHI262182 DXL262182:DXM262182 DNP262182:DNQ262182 DDT262182:DDU262182 CTX262182:CTY262182 CKB262182:CKC262182 CAF262182:CAG262182 BQJ262182:BQK262182 BGN262182:BGO262182 AWR262182:AWS262182 AMV262182:AMW262182 ACZ262182:ADA262182 TD262182:TE262182 JH262182:JI262182 WVT196646:WVU196646 WLX196646:WLY196646 WCB196646:WCC196646 VSF196646:VSG196646 VIJ196646:VIK196646 UYN196646:UYO196646 UOR196646:UOS196646 UEV196646:UEW196646 TUZ196646:TVA196646 TLD196646:TLE196646 TBH196646:TBI196646 SRL196646:SRM196646 SHP196646:SHQ196646 RXT196646:RXU196646 RNX196646:RNY196646 REB196646:REC196646 QUF196646:QUG196646 QKJ196646:QKK196646 QAN196646:QAO196646 PQR196646:PQS196646 PGV196646:PGW196646 OWZ196646:OXA196646 OND196646:ONE196646 ODH196646:ODI196646 NTL196646:NTM196646 NJP196646:NJQ196646 MZT196646:MZU196646 MPX196646:MPY196646 MGB196646:MGC196646 LWF196646:LWG196646 LMJ196646:LMK196646 LCN196646:LCO196646 KSR196646:KSS196646 KIV196646:KIW196646 JYZ196646:JZA196646 JPD196646:JPE196646 JFH196646:JFI196646 IVL196646:IVM196646 ILP196646:ILQ196646 IBT196646:IBU196646 HRX196646:HRY196646 HIB196646:HIC196646 GYF196646:GYG196646 GOJ196646:GOK196646 GEN196646:GEO196646 FUR196646:FUS196646 FKV196646:FKW196646 FAZ196646:FBA196646 ERD196646:ERE196646 EHH196646:EHI196646 DXL196646:DXM196646 DNP196646:DNQ196646 DDT196646:DDU196646 CTX196646:CTY196646 CKB196646:CKC196646 CAF196646:CAG196646 BQJ196646:BQK196646 BGN196646:BGO196646 AWR196646:AWS196646 AMV196646:AMW196646 ACZ196646:ADA196646 TD196646:TE196646 JH196646:JI196646 WVT131110:WVU131110 WLX131110:WLY131110 WCB131110:WCC131110 VSF131110:VSG131110 VIJ131110:VIK131110 UYN131110:UYO131110 UOR131110:UOS131110 UEV131110:UEW131110 TUZ131110:TVA131110 TLD131110:TLE131110 TBH131110:TBI131110 SRL131110:SRM131110 SHP131110:SHQ131110 RXT131110:RXU131110 RNX131110:RNY131110 REB131110:REC131110 QUF131110:QUG131110 QKJ131110:QKK131110 QAN131110:QAO131110 PQR131110:PQS131110 PGV131110:PGW131110 OWZ131110:OXA131110 OND131110:ONE131110 ODH131110:ODI131110 NTL131110:NTM131110 NJP131110:NJQ131110 MZT131110:MZU131110 MPX131110:MPY131110 MGB131110:MGC131110 LWF131110:LWG131110 LMJ131110:LMK131110 LCN131110:LCO131110 KSR131110:KSS131110 KIV131110:KIW131110 JYZ131110:JZA131110 JPD131110:JPE131110 JFH131110:JFI131110 IVL131110:IVM131110 ILP131110:ILQ131110 IBT131110:IBU131110 HRX131110:HRY131110 HIB131110:HIC131110 GYF131110:GYG131110 GOJ131110:GOK131110 GEN131110:GEO131110 FUR131110:FUS131110 FKV131110:FKW131110 FAZ131110:FBA131110 ERD131110:ERE131110 EHH131110:EHI131110 DXL131110:DXM131110 DNP131110:DNQ131110 DDT131110:DDU131110 CTX131110:CTY131110 CKB131110:CKC131110 CAF131110:CAG131110 BQJ131110:BQK131110 BGN131110:BGO131110 AWR131110:AWS131110 AMV131110:AMW131110 ACZ131110:ADA131110 TD131110:TE131110 JH131110:JI131110 WVT65574:WVU65574 WLX65574:WLY65574 WCB65574:WCC65574 VSF65574:VSG65574 VIJ65574:VIK65574 UYN65574:UYO65574 UOR65574:UOS65574 UEV65574:UEW65574 TUZ65574:TVA65574 TLD65574:TLE65574 TBH65574:TBI65574 SRL65574:SRM65574 SHP65574:SHQ65574 RXT65574:RXU65574 RNX65574:RNY65574 REB65574:REC65574 QUF65574:QUG65574 QKJ65574:QKK65574 QAN65574:QAO65574 PQR65574:PQS65574 PGV65574:PGW65574 OWZ65574:OXA65574 OND65574:ONE65574 ODH65574:ODI65574 NTL65574:NTM65574 NJP65574:NJQ65574 MZT65574:MZU65574 MPX65574:MPY65574 MGB65574:MGC65574 LWF65574:LWG65574 LMJ65574:LMK65574 LCN65574:LCO65574 KSR65574:KSS65574 KIV65574:KIW65574 JYZ65574:JZA65574 JPD65574:JPE65574 JFH65574:JFI65574 IVL65574:IVM65574 ILP65574:ILQ65574 IBT65574:IBU65574 HRX65574:HRY65574 HIB65574:HIC65574 GYF65574:GYG65574 GOJ65574:GOK65574 GEN65574:GEO65574 FUR65574:FUS65574 FKV65574:FKW65574 FAZ65574:FBA65574 ERD65574:ERE65574 EHH65574:EHI65574 DXL65574:DXM65574 DNP65574:DNQ65574 DDT65574:DDU65574 CTX65574:CTY65574 CKB65574:CKC65574 CAF65574:CAG65574 BQJ65574:BQK65574 BGN65574:BGO65574 AWR65574:AWS65574 AMV65574:AMW65574 ACZ65574:ADA65574 TD65574:TE65574 JH65574:JI65574 WVT983100:WVT983101 WLX983100:WLX983101 WCB983100:WCB983101 VSF983100:VSF983101 VIJ983100:VIJ983101 UYN983100:UYN983101 UOR983100:UOR983101 UEV983100:UEV983101 TUZ983100:TUZ983101 TLD983100:TLD983101 TBH983100:TBH983101 SRL983100:SRL983101 SHP983100:SHP983101 RXT983100:RXT983101 RNX983100:RNX983101 REB983100:REB983101 QUF983100:QUF983101 QKJ983100:QKJ983101 QAN983100:QAN983101 PQR983100:PQR983101 PGV983100:PGV983101 OWZ983100:OWZ983101 OND983100:OND983101 ODH983100:ODH983101 NTL983100:NTL983101 NJP983100:NJP983101 MZT983100:MZT983101 MPX983100:MPX983101 MGB983100:MGB983101 LWF983100:LWF983101 LMJ983100:LMJ983101 LCN983100:LCN983101 KSR983100:KSR983101 KIV983100:KIV983101 JYZ983100:JYZ983101 JPD983100:JPD983101 JFH983100:JFH983101 IVL983100:IVL983101 ILP983100:ILP983101 IBT983100:IBT983101 HRX983100:HRX983101 HIB983100:HIB983101 GYF983100:GYF983101 GOJ983100:GOJ983101 GEN983100:GEN983101 FUR983100:FUR983101 FKV983100:FKV983101 FAZ983100:FAZ983101 ERD983100:ERD983101 EHH983100:EHH983101 DXL983100:DXL983101 DNP983100:DNP983101 DDT983100:DDT983101 CTX983100:CTX983101 CKB983100:CKB983101 CAF983100:CAF983101 BQJ983100:BQJ983101 BGN983100:BGN983101 AWR983100:AWR983101 AMV983100:AMV983101 ACZ983100:ACZ983101 TD983100:TD983101 JH983100:JH983101 WVT917564:WVT917565 WLX917564:WLX917565 WCB917564:WCB917565 VSF917564:VSF917565 VIJ917564:VIJ917565 UYN917564:UYN917565 UOR917564:UOR917565 UEV917564:UEV917565 TUZ917564:TUZ917565 TLD917564:TLD917565 TBH917564:TBH917565 SRL917564:SRL917565 SHP917564:SHP917565 RXT917564:RXT917565 RNX917564:RNX917565 REB917564:REB917565 QUF917564:QUF917565 QKJ917564:QKJ917565 QAN917564:QAN917565 PQR917564:PQR917565 PGV917564:PGV917565 OWZ917564:OWZ917565 OND917564:OND917565 ODH917564:ODH917565 NTL917564:NTL917565 NJP917564:NJP917565 MZT917564:MZT917565 MPX917564:MPX917565 MGB917564:MGB917565 LWF917564:LWF917565 LMJ917564:LMJ917565 LCN917564:LCN917565 KSR917564:KSR917565 KIV917564:KIV917565 JYZ917564:JYZ917565 JPD917564:JPD917565 JFH917564:JFH917565 IVL917564:IVL917565 ILP917564:ILP917565 IBT917564:IBT917565 HRX917564:HRX917565 HIB917564:HIB917565 GYF917564:GYF917565 GOJ917564:GOJ917565 GEN917564:GEN917565 FUR917564:FUR917565 FKV917564:FKV917565 FAZ917564:FAZ917565 ERD917564:ERD917565 EHH917564:EHH917565 DXL917564:DXL917565 DNP917564:DNP917565 DDT917564:DDT917565 CTX917564:CTX917565 CKB917564:CKB917565 CAF917564:CAF917565 BQJ917564:BQJ917565 BGN917564:BGN917565 AWR917564:AWR917565 AMV917564:AMV917565 ACZ917564:ACZ917565 TD917564:TD917565 JH917564:JH917565 WVT852028:WVT852029 WLX852028:WLX852029 WCB852028:WCB852029 VSF852028:VSF852029 VIJ852028:VIJ852029 UYN852028:UYN852029 UOR852028:UOR852029 UEV852028:UEV852029 TUZ852028:TUZ852029 TLD852028:TLD852029 TBH852028:TBH852029 SRL852028:SRL852029 SHP852028:SHP852029 RXT852028:RXT852029 RNX852028:RNX852029 REB852028:REB852029 QUF852028:QUF852029 QKJ852028:QKJ852029 QAN852028:QAN852029 PQR852028:PQR852029 PGV852028:PGV852029 OWZ852028:OWZ852029 OND852028:OND852029 ODH852028:ODH852029 NTL852028:NTL852029 NJP852028:NJP852029 MZT852028:MZT852029 MPX852028:MPX852029 MGB852028:MGB852029 LWF852028:LWF852029 LMJ852028:LMJ852029 LCN852028:LCN852029 KSR852028:KSR852029 KIV852028:KIV852029 JYZ852028:JYZ852029 JPD852028:JPD852029 JFH852028:JFH852029 IVL852028:IVL852029 ILP852028:ILP852029 IBT852028:IBT852029 HRX852028:HRX852029 HIB852028:HIB852029 GYF852028:GYF852029 GOJ852028:GOJ852029 GEN852028:GEN852029 FUR852028:FUR852029 FKV852028:FKV852029 FAZ852028:FAZ852029 ERD852028:ERD852029 EHH852028:EHH852029 DXL852028:DXL852029 DNP852028:DNP852029 DDT852028:DDT852029 CTX852028:CTX852029 CKB852028:CKB852029 CAF852028:CAF852029 BQJ852028:BQJ852029 BGN852028:BGN852029 AWR852028:AWR852029 AMV852028:AMV852029 ACZ852028:ACZ852029 TD852028:TD852029 JH852028:JH852029 WVT786492:WVT786493 WLX786492:WLX786493 WCB786492:WCB786493 VSF786492:VSF786493 VIJ786492:VIJ786493 UYN786492:UYN786493 UOR786492:UOR786493 UEV786492:UEV786493 TUZ786492:TUZ786493 TLD786492:TLD786493 TBH786492:TBH786493 SRL786492:SRL786493 SHP786492:SHP786493 RXT786492:RXT786493 RNX786492:RNX786493 REB786492:REB786493 QUF786492:QUF786493 QKJ786492:QKJ786493 QAN786492:QAN786493 PQR786492:PQR786493 PGV786492:PGV786493 OWZ786492:OWZ786493 OND786492:OND786493 ODH786492:ODH786493 NTL786492:NTL786493 NJP786492:NJP786493 MZT786492:MZT786493 MPX786492:MPX786493 MGB786492:MGB786493 LWF786492:LWF786493 LMJ786492:LMJ786493 LCN786492:LCN786493 KSR786492:KSR786493 KIV786492:KIV786493 JYZ786492:JYZ786493 JPD786492:JPD786493 JFH786492:JFH786493 IVL786492:IVL786493 ILP786492:ILP786493 IBT786492:IBT786493 HRX786492:HRX786493 HIB786492:HIB786493 GYF786492:GYF786493 GOJ786492:GOJ786493 GEN786492:GEN786493 FUR786492:FUR786493 FKV786492:FKV786493 FAZ786492:FAZ786493 ERD786492:ERD786493 EHH786492:EHH786493 DXL786492:DXL786493 DNP786492:DNP786493 DDT786492:DDT786493 CTX786492:CTX786493 CKB786492:CKB786493 CAF786492:CAF786493 BQJ786492:BQJ786493 BGN786492:BGN786493 AWR786492:AWR786493 AMV786492:AMV786493 ACZ786492:ACZ786493 TD786492:TD786493 JH786492:JH786493 WVT720956:WVT720957 WLX720956:WLX720957 WCB720956:WCB720957 VSF720956:VSF720957 VIJ720956:VIJ720957 UYN720956:UYN720957 UOR720956:UOR720957 UEV720956:UEV720957 TUZ720956:TUZ720957 TLD720956:TLD720957 TBH720956:TBH720957 SRL720956:SRL720957 SHP720956:SHP720957 RXT720956:RXT720957 RNX720956:RNX720957 REB720956:REB720957 QUF720956:QUF720957 QKJ720956:QKJ720957 QAN720956:QAN720957 PQR720956:PQR720957 PGV720956:PGV720957 OWZ720956:OWZ720957 OND720956:OND720957 ODH720956:ODH720957 NTL720956:NTL720957 NJP720956:NJP720957 MZT720956:MZT720957 MPX720956:MPX720957 MGB720956:MGB720957 LWF720956:LWF720957 LMJ720956:LMJ720957 LCN720956:LCN720957 KSR720956:KSR720957 KIV720956:KIV720957 JYZ720956:JYZ720957 JPD720956:JPD720957 JFH720956:JFH720957 IVL720956:IVL720957 ILP720956:ILP720957 IBT720956:IBT720957 HRX720956:HRX720957 HIB720956:HIB720957 GYF720956:GYF720957 GOJ720956:GOJ720957 GEN720956:GEN720957 FUR720956:FUR720957 FKV720956:FKV720957 FAZ720956:FAZ720957 ERD720956:ERD720957 EHH720956:EHH720957 DXL720956:DXL720957 DNP720956:DNP720957 DDT720956:DDT720957 CTX720956:CTX720957 CKB720956:CKB720957 CAF720956:CAF720957 BQJ720956:BQJ720957 BGN720956:BGN720957 AWR720956:AWR720957 AMV720956:AMV720957 ACZ720956:ACZ720957 TD720956:TD720957 JH720956:JH720957 WVT655420:WVT655421 WLX655420:WLX655421 WCB655420:WCB655421 VSF655420:VSF655421 VIJ655420:VIJ655421 UYN655420:UYN655421 UOR655420:UOR655421 UEV655420:UEV655421 TUZ655420:TUZ655421 TLD655420:TLD655421 TBH655420:TBH655421 SRL655420:SRL655421 SHP655420:SHP655421 RXT655420:RXT655421 RNX655420:RNX655421 REB655420:REB655421 QUF655420:QUF655421 QKJ655420:QKJ655421 QAN655420:QAN655421 PQR655420:PQR655421 PGV655420:PGV655421 OWZ655420:OWZ655421 OND655420:OND655421 ODH655420:ODH655421 NTL655420:NTL655421 NJP655420:NJP655421 MZT655420:MZT655421 MPX655420:MPX655421 MGB655420:MGB655421 LWF655420:LWF655421 LMJ655420:LMJ655421 LCN655420:LCN655421 KSR655420:KSR655421 KIV655420:KIV655421 JYZ655420:JYZ655421 JPD655420:JPD655421 JFH655420:JFH655421 IVL655420:IVL655421 ILP655420:ILP655421 IBT655420:IBT655421 HRX655420:HRX655421 HIB655420:HIB655421 GYF655420:GYF655421 GOJ655420:GOJ655421 GEN655420:GEN655421 FUR655420:FUR655421 FKV655420:FKV655421 FAZ655420:FAZ655421 ERD655420:ERD655421 EHH655420:EHH655421 DXL655420:DXL655421 DNP655420:DNP655421 DDT655420:DDT655421 CTX655420:CTX655421 CKB655420:CKB655421 CAF655420:CAF655421 BQJ655420:BQJ655421 BGN655420:BGN655421 AWR655420:AWR655421 AMV655420:AMV655421 ACZ655420:ACZ655421 TD655420:TD655421 JH655420:JH655421 WVT589884:WVT589885 WLX589884:WLX589885 WCB589884:WCB589885 VSF589884:VSF589885 VIJ589884:VIJ589885 UYN589884:UYN589885 UOR589884:UOR589885 UEV589884:UEV589885 TUZ589884:TUZ589885 TLD589884:TLD589885 TBH589884:TBH589885 SRL589884:SRL589885 SHP589884:SHP589885 RXT589884:RXT589885 RNX589884:RNX589885 REB589884:REB589885 QUF589884:QUF589885 QKJ589884:QKJ589885 QAN589884:QAN589885 PQR589884:PQR589885 PGV589884:PGV589885 OWZ589884:OWZ589885 OND589884:OND589885 ODH589884:ODH589885 NTL589884:NTL589885 NJP589884:NJP589885 MZT589884:MZT589885 MPX589884:MPX589885 MGB589884:MGB589885 LWF589884:LWF589885 LMJ589884:LMJ589885 LCN589884:LCN589885 KSR589884:KSR589885 KIV589884:KIV589885 JYZ589884:JYZ589885 JPD589884:JPD589885 JFH589884:JFH589885 IVL589884:IVL589885 ILP589884:ILP589885 IBT589884:IBT589885 HRX589884:HRX589885 HIB589884:HIB589885 GYF589884:GYF589885 GOJ589884:GOJ589885 GEN589884:GEN589885 FUR589884:FUR589885 FKV589884:FKV589885 FAZ589884:FAZ589885 ERD589884:ERD589885 EHH589884:EHH589885 DXL589884:DXL589885 DNP589884:DNP589885 DDT589884:DDT589885 CTX589884:CTX589885 CKB589884:CKB589885 CAF589884:CAF589885 BQJ589884:BQJ589885 BGN589884:BGN589885 AWR589884:AWR589885 AMV589884:AMV589885 ACZ589884:ACZ589885 TD589884:TD589885 JH589884:JH589885 WVT524348:WVT524349 WLX524348:WLX524349 WCB524348:WCB524349 VSF524348:VSF524349 VIJ524348:VIJ524349 UYN524348:UYN524349 UOR524348:UOR524349 UEV524348:UEV524349 TUZ524348:TUZ524349 TLD524348:TLD524349 TBH524348:TBH524349 SRL524348:SRL524349 SHP524348:SHP524349 RXT524348:RXT524349 RNX524348:RNX524349 REB524348:REB524349 QUF524348:QUF524349 QKJ524348:QKJ524349 QAN524348:QAN524349 PQR524348:PQR524349 PGV524348:PGV524349 OWZ524348:OWZ524349 OND524348:OND524349 ODH524348:ODH524349 NTL524348:NTL524349 NJP524348:NJP524349 MZT524348:MZT524349 MPX524348:MPX524349 MGB524348:MGB524349 LWF524348:LWF524349 LMJ524348:LMJ524349 LCN524348:LCN524349 KSR524348:KSR524349 KIV524348:KIV524349 JYZ524348:JYZ524349 JPD524348:JPD524349 JFH524348:JFH524349 IVL524348:IVL524349 ILP524348:ILP524349 IBT524348:IBT524349 HRX524348:HRX524349 HIB524348:HIB524349 GYF524348:GYF524349 GOJ524348:GOJ524349 GEN524348:GEN524349 FUR524348:FUR524349 FKV524348:FKV524349 FAZ524348:FAZ524349 ERD524348:ERD524349 EHH524348:EHH524349 DXL524348:DXL524349 DNP524348:DNP524349 DDT524348:DDT524349 CTX524348:CTX524349 CKB524348:CKB524349 CAF524348:CAF524349 BQJ524348:BQJ524349 BGN524348:BGN524349 AWR524348:AWR524349 AMV524348:AMV524349 ACZ524348:ACZ524349 TD524348:TD524349 JH524348:JH524349 WVT458812:WVT458813 WLX458812:WLX458813 WCB458812:WCB458813 VSF458812:VSF458813 VIJ458812:VIJ458813 UYN458812:UYN458813 UOR458812:UOR458813 UEV458812:UEV458813 TUZ458812:TUZ458813 TLD458812:TLD458813 TBH458812:TBH458813 SRL458812:SRL458813 SHP458812:SHP458813 RXT458812:RXT458813 RNX458812:RNX458813 REB458812:REB458813 QUF458812:QUF458813 QKJ458812:QKJ458813 QAN458812:QAN458813 PQR458812:PQR458813 PGV458812:PGV458813 OWZ458812:OWZ458813 OND458812:OND458813 ODH458812:ODH458813 NTL458812:NTL458813 NJP458812:NJP458813 MZT458812:MZT458813 MPX458812:MPX458813 MGB458812:MGB458813 LWF458812:LWF458813 LMJ458812:LMJ458813 LCN458812:LCN458813 KSR458812:KSR458813 KIV458812:KIV458813 JYZ458812:JYZ458813 JPD458812:JPD458813 JFH458812:JFH458813 IVL458812:IVL458813 ILP458812:ILP458813 IBT458812:IBT458813 HRX458812:HRX458813 HIB458812:HIB458813 GYF458812:GYF458813 GOJ458812:GOJ458813 GEN458812:GEN458813 FUR458812:FUR458813 FKV458812:FKV458813 FAZ458812:FAZ458813 ERD458812:ERD458813 EHH458812:EHH458813 DXL458812:DXL458813 DNP458812:DNP458813 DDT458812:DDT458813 CTX458812:CTX458813 CKB458812:CKB458813 CAF458812:CAF458813 BQJ458812:BQJ458813 BGN458812:BGN458813 AWR458812:AWR458813 AMV458812:AMV458813 ACZ458812:ACZ458813 TD458812:TD458813 JH458812:JH458813 WVT393276:WVT393277 WLX393276:WLX393277 WCB393276:WCB393277 VSF393276:VSF393277 VIJ393276:VIJ393277 UYN393276:UYN393277 UOR393276:UOR393277 UEV393276:UEV393277 TUZ393276:TUZ393277 TLD393276:TLD393277 TBH393276:TBH393277 SRL393276:SRL393277 SHP393276:SHP393277 RXT393276:RXT393277 RNX393276:RNX393277 REB393276:REB393277 QUF393276:QUF393277 QKJ393276:QKJ393277 QAN393276:QAN393277 PQR393276:PQR393277 PGV393276:PGV393277 OWZ393276:OWZ393277 OND393276:OND393277 ODH393276:ODH393277 NTL393276:NTL393277 NJP393276:NJP393277 MZT393276:MZT393277 MPX393276:MPX393277 MGB393276:MGB393277 LWF393276:LWF393277 LMJ393276:LMJ393277 LCN393276:LCN393277 KSR393276:KSR393277 KIV393276:KIV393277 JYZ393276:JYZ393277 JPD393276:JPD393277 JFH393276:JFH393277 IVL393276:IVL393277 ILP393276:ILP393277 IBT393276:IBT393277 HRX393276:HRX393277 HIB393276:HIB393277 GYF393276:GYF393277 GOJ393276:GOJ393277 GEN393276:GEN393277 FUR393276:FUR393277 FKV393276:FKV393277 FAZ393276:FAZ393277 ERD393276:ERD393277 EHH393276:EHH393277 DXL393276:DXL393277 DNP393276:DNP393277 DDT393276:DDT393277 CTX393276:CTX393277 CKB393276:CKB393277 CAF393276:CAF393277 BQJ393276:BQJ393277 BGN393276:BGN393277 AWR393276:AWR393277 AMV393276:AMV393277 ACZ393276:ACZ393277 TD393276:TD393277 JH393276:JH393277 WVT327740:WVT327741 WLX327740:WLX327741 WCB327740:WCB327741 VSF327740:VSF327741 VIJ327740:VIJ327741 UYN327740:UYN327741 UOR327740:UOR327741 UEV327740:UEV327741 TUZ327740:TUZ327741 TLD327740:TLD327741 TBH327740:TBH327741 SRL327740:SRL327741 SHP327740:SHP327741 RXT327740:RXT327741 RNX327740:RNX327741 REB327740:REB327741 QUF327740:QUF327741 QKJ327740:QKJ327741 QAN327740:QAN327741 PQR327740:PQR327741 PGV327740:PGV327741 OWZ327740:OWZ327741 OND327740:OND327741 ODH327740:ODH327741 NTL327740:NTL327741 NJP327740:NJP327741 MZT327740:MZT327741 MPX327740:MPX327741 MGB327740:MGB327741 LWF327740:LWF327741 LMJ327740:LMJ327741 LCN327740:LCN327741 KSR327740:KSR327741 KIV327740:KIV327741 JYZ327740:JYZ327741 JPD327740:JPD327741 JFH327740:JFH327741 IVL327740:IVL327741 ILP327740:ILP327741 IBT327740:IBT327741 HRX327740:HRX327741 HIB327740:HIB327741 GYF327740:GYF327741 GOJ327740:GOJ327741 GEN327740:GEN327741 FUR327740:FUR327741 FKV327740:FKV327741 FAZ327740:FAZ327741 ERD327740:ERD327741 EHH327740:EHH327741 DXL327740:DXL327741 DNP327740:DNP327741 DDT327740:DDT327741 CTX327740:CTX327741 CKB327740:CKB327741 CAF327740:CAF327741 BQJ327740:BQJ327741 BGN327740:BGN327741 AWR327740:AWR327741 AMV327740:AMV327741 ACZ327740:ACZ327741 TD327740:TD327741 JH327740:JH327741 WVT262204:WVT262205 WLX262204:WLX262205 WCB262204:WCB262205 VSF262204:VSF262205 VIJ262204:VIJ262205 UYN262204:UYN262205 UOR262204:UOR262205 UEV262204:UEV262205 TUZ262204:TUZ262205 TLD262204:TLD262205 TBH262204:TBH262205 SRL262204:SRL262205 SHP262204:SHP262205 RXT262204:RXT262205 RNX262204:RNX262205 REB262204:REB262205 QUF262204:QUF262205 QKJ262204:QKJ262205 QAN262204:QAN262205 PQR262204:PQR262205 PGV262204:PGV262205 OWZ262204:OWZ262205 OND262204:OND262205 ODH262204:ODH262205 NTL262204:NTL262205 NJP262204:NJP262205 MZT262204:MZT262205 MPX262204:MPX262205 MGB262204:MGB262205 LWF262204:LWF262205 LMJ262204:LMJ262205 LCN262204:LCN262205 KSR262204:KSR262205 KIV262204:KIV262205 JYZ262204:JYZ262205 JPD262204:JPD262205 JFH262204:JFH262205 IVL262204:IVL262205 ILP262204:ILP262205 IBT262204:IBT262205 HRX262204:HRX262205 HIB262204:HIB262205 GYF262204:GYF262205 GOJ262204:GOJ262205 GEN262204:GEN262205 FUR262204:FUR262205 FKV262204:FKV262205 FAZ262204:FAZ262205 ERD262204:ERD262205 EHH262204:EHH262205 DXL262204:DXL262205 DNP262204:DNP262205 DDT262204:DDT262205 CTX262204:CTX262205 CKB262204:CKB262205 CAF262204:CAF262205 BQJ262204:BQJ262205 BGN262204:BGN262205 AWR262204:AWR262205 AMV262204:AMV262205 ACZ262204:ACZ262205 TD262204:TD262205 JH262204:JH262205 WVT196668:WVT196669 WLX196668:WLX196669 WCB196668:WCB196669 VSF196668:VSF196669 VIJ196668:VIJ196669 UYN196668:UYN196669 UOR196668:UOR196669 UEV196668:UEV196669 TUZ196668:TUZ196669 TLD196668:TLD196669 TBH196668:TBH196669 SRL196668:SRL196669 SHP196668:SHP196669 RXT196668:RXT196669 RNX196668:RNX196669 REB196668:REB196669 QUF196668:QUF196669 QKJ196668:QKJ196669 QAN196668:QAN196669 PQR196668:PQR196669 PGV196668:PGV196669 OWZ196668:OWZ196669 OND196668:OND196669 ODH196668:ODH196669 NTL196668:NTL196669 NJP196668:NJP196669 MZT196668:MZT196669 MPX196668:MPX196669 MGB196668:MGB196669 LWF196668:LWF196669 LMJ196668:LMJ196669 LCN196668:LCN196669 KSR196668:KSR196669 KIV196668:KIV196669 JYZ196668:JYZ196669 JPD196668:JPD196669 JFH196668:JFH196669 IVL196668:IVL196669 ILP196668:ILP196669 IBT196668:IBT196669 HRX196668:HRX196669 HIB196668:HIB196669 GYF196668:GYF196669 GOJ196668:GOJ196669 GEN196668:GEN196669 FUR196668:FUR196669 FKV196668:FKV196669 FAZ196668:FAZ196669 ERD196668:ERD196669 EHH196668:EHH196669 DXL196668:DXL196669 DNP196668:DNP196669 DDT196668:DDT196669 CTX196668:CTX196669 CKB196668:CKB196669 CAF196668:CAF196669 BQJ196668:BQJ196669 BGN196668:BGN196669 AWR196668:AWR196669 AMV196668:AMV196669 ACZ196668:ACZ196669 TD196668:TD196669 JH196668:JH196669 WVT131132:WVT131133 WLX131132:WLX131133 WCB131132:WCB131133 VSF131132:VSF131133 VIJ131132:VIJ131133 UYN131132:UYN131133 UOR131132:UOR131133 UEV131132:UEV131133 TUZ131132:TUZ131133 TLD131132:TLD131133 TBH131132:TBH131133 SRL131132:SRL131133 SHP131132:SHP131133 RXT131132:RXT131133 RNX131132:RNX131133 REB131132:REB131133 QUF131132:QUF131133 QKJ131132:QKJ131133 QAN131132:QAN131133 PQR131132:PQR131133 PGV131132:PGV131133 OWZ131132:OWZ131133 OND131132:OND131133 ODH131132:ODH131133 NTL131132:NTL131133 NJP131132:NJP131133 MZT131132:MZT131133 MPX131132:MPX131133 MGB131132:MGB131133 LWF131132:LWF131133 LMJ131132:LMJ131133 LCN131132:LCN131133 KSR131132:KSR131133 KIV131132:KIV131133 JYZ131132:JYZ131133 JPD131132:JPD131133 JFH131132:JFH131133 IVL131132:IVL131133 ILP131132:ILP131133 IBT131132:IBT131133 HRX131132:HRX131133 HIB131132:HIB131133 GYF131132:GYF131133 GOJ131132:GOJ131133 GEN131132:GEN131133 FUR131132:FUR131133 FKV131132:FKV131133 FAZ131132:FAZ131133 ERD131132:ERD131133 EHH131132:EHH131133 DXL131132:DXL131133 DNP131132:DNP131133 DDT131132:DDT131133 CTX131132:CTX131133 CKB131132:CKB131133 CAF131132:CAF131133 BQJ131132:BQJ131133 BGN131132:BGN131133 AWR131132:AWR131133 AMV131132:AMV131133 ACZ131132:ACZ131133 TD131132:TD131133 JH131132:JH131133 WVT65596:WVT65597 WLX65596:WLX65597 WCB65596:WCB65597 VSF65596:VSF65597 VIJ65596:VIJ65597 UYN65596:UYN65597 UOR65596:UOR65597 UEV65596:UEV65597 TUZ65596:TUZ65597 TLD65596:TLD65597 TBH65596:TBH65597 SRL65596:SRL65597 SHP65596:SHP65597 RXT65596:RXT65597 RNX65596:RNX65597 REB65596:REB65597 QUF65596:QUF65597 QKJ65596:QKJ65597 QAN65596:QAN65597 PQR65596:PQR65597 PGV65596:PGV65597 OWZ65596:OWZ65597 OND65596:OND65597 ODH65596:ODH65597 NTL65596:NTL65597 NJP65596:NJP65597 MZT65596:MZT65597 MPX65596:MPX65597 MGB65596:MGB65597 LWF65596:LWF65597 LMJ65596:LMJ65597 LCN65596:LCN65597 KSR65596:KSR65597 KIV65596:KIV65597 JYZ65596:JYZ65597 JPD65596:JPD65597 JFH65596:JFH65597 IVL65596:IVL65597 ILP65596:ILP65597 IBT65596:IBT65597 HRX65596:HRX65597 HIB65596:HIB65597 GYF65596:GYF65597 GOJ65596:GOJ65597 GEN65596:GEN65597 FUR65596:FUR65597 FKV65596:FKV65597 FAZ65596:FAZ65597 ERD65596:ERD65597 EHH65596:EHH65597 DXL65596:DXL65597 DNP65596:DNP65597 DDT65596:DDT65597 CTX65596:CTX65597 CKB65596:CKB65597 CAF65596:CAF65597 BQJ65596:BQJ65597 BGN65596:BGN65597 AWR65596:AWR65597 AMV65596:AMV65597 ACZ65596:ACZ65597 TD65596:TD65597 JH65596:JH65597 WVR60:WVS60 WVT61 WLV60:WLW60 WLX61 WBZ60:WCA60 WCB61 VSD60:VSE60 VSF61 VIH60:VII60 VIJ61 UYL60:UYM60 UYN61 UOP60:UOQ60 UOR61 UET60:UEU60 UEV61 TUX60:TUY60 TUZ61 TLB60:TLC60 TLD61 TBF60:TBG60 TBH61 SRJ60:SRK60 SRL61 SHN60:SHO60 SHP61 RXR60:RXS60 RXT61 RNV60:RNW60 RNX61 RDZ60:REA60 REB61 QUD60:QUE60 QUF61 QKH60:QKI60 QKJ61 QAL60:QAM60 QAN61 PQP60:PQQ60 PQR61 PGT60:PGU60 PGV61 OWX60:OWY60 OWZ61 ONB60:ONC60 OND61 ODF60:ODG60 ODH61 NTJ60:NTK60 NTL61 NJN60:NJO60 NJP61 MZR60:MZS60 MZT61 MPV60:MPW60 MPX61 MFZ60:MGA60 MGB61 LWD60:LWE60 LWF61 LMH60:LMI60 LMJ61 LCL60:LCM60 LCN61 KSP60:KSQ60 KSR61 KIT60:KIU60 KIV61 JYX60:JYY60 JYZ61 JPB60:JPC60 JPD61 JFF60:JFG60 JFH61 IVJ60:IVK60 IVL61 ILN60:ILO60 ILP61 IBR60:IBS60 IBT61 HRV60:HRW60 HRX61 HHZ60:HIA60 HIB61 GYD60:GYE60 GYF61 GOH60:GOI60 GOJ61 GEL60:GEM60 GEN61 FUP60:FUQ60 FUR61 FKT60:FKU60 FKV61 FAX60:FAY60 FAZ61 ERB60:ERC60 ERD61 EHF60:EHG60 EHH61 DXJ60:DXK60 DXL61 DNN60:DNO60 DNP61 DDR60:DDS60 DDT61 CTV60:CTW60 CTX61 CJZ60:CKA60 CKB61 CAD60:CAE60 CAF61 BQH60:BQI60 BQJ61 BGL60:BGM60 BGN61 AWP60:AWQ60 AWR61 AMT60:AMU60 AMV61 ACX60:ACY60 ACZ61 TB60:TC60 TD61 JF60:JG60 JH61 WVU983084:WVU983089 WLY983084:WLY983089 WCC983084:WCC983089 VSG983084:VSG983089 VIK983084:VIK983089 UYO983084:UYO983089 UOS983084:UOS983089 UEW983084:UEW983089 TVA983084:TVA983089 TLE983084:TLE983089 TBI983084:TBI983089 SRM983084:SRM983089 SHQ983084:SHQ983089 RXU983084:RXU983089 RNY983084:RNY983089 REC983084:REC983089 QUG983084:QUG983089 QKK983084:QKK983089 QAO983084:QAO983089 PQS983084:PQS983089 PGW983084:PGW983089 OXA983084:OXA983089 ONE983084:ONE983089 ODI983084:ODI983089 NTM983084:NTM983089 NJQ983084:NJQ983089 MZU983084:MZU983089 MPY983084:MPY983089 MGC983084:MGC983089 LWG983084:LWG983089 LMK983084:LMK983089 LCO983084:LCO983089 KSS983084:KSS983089 KIW983084:KIW983089 JZA983084:JZA983089 JPE983084:JPE983089 JFI983084:JFI983089 IVM983084:IVM983089 ILQ983084:ILQ983089 IBU983084:IBU983089 HRY983084:HRY983089 HIC983084:HIC983089 GYG983084:GYG983089 GOK983084:GOK983089 GEO983084:GEO983089 FUS983084:FUS983089 FKW983084:FKW983089 FBA983084:FBA983089 ERE983084:ERE983089 EHI983084:EHI983089 DXM983084:DXM983089 DNQ983084:DNQ983089 DDU983084:DDU983089 CTY983084:CTY983089 CKC983084:CKC983089 CAG983084:CAG983089 BQK983084:BQK983089 BGO983084:BGO983089 AWS983084:AWS983089 AMW983084:AMW983089 ADA983084:ADA983089 TE983084:TE983089 JI983084:JI983089 WVU917548:WVU917553 WLY917548:WLY917553 WCC917548:WCC917553 VSG917548:VSG917553 VIK917548:VIK917553 UYO917548:UYO917553 UOS917548:UOS917553 UEW917548:UEW917553 TVA917548:TVA917553 TLE917548:TLE917553 TBI917548:TBI917553 SRM917548:SRM917553 SHQ917548:SHQ917553 RXU917548:RXU917553 RNY917548:RNY917553 REC917548:REC917553 QUG917548:QUG917553 QKK917548:QKK917553 QAO917548:QAO917553 PQS917548:PQS917553 PGW917548:PGW917553 OXA917548:OXA917553 ONE917548:ONE917553 ODI917548:ODI917553 NTM917548:NTM917553 NJQ917548:NJQ917553 MZU917548:MZU917553 MPY917548:MPY917553 MGC917548:MGC917553 LWG917548:LWG917553 LMK917548:LMK917553 LCO917548:LCO917553 KSS917548:KSS917553 KIW917548:KIW917553 JZA917548:JZA917553 JPE917548:JPE917553 JFI917548:JFI917553 IVM917548:IVM917553 ILQ917548:ILQ917553 IBU917548:IBU917553 HRY917548:HRY917553 HIC917548:HIC917553 GYG917548:GYG917553 GOK917548:GOK917553 GEO917548:GEO917553 FUS917548:FUS917553 FKW917548:FKW917553 FBA917548:FBA917553 ERE917548:ERE917553 EHI917548:EHI917553 DXM917548:DXM917553 DNQ917548:DNQ917553 DDU917548:DDU917553 CTY917548:CTY917553 CKC917548:CKC917553 CAG917548:CAG917553 BQK917548:BQK917553 BGO917548:BGO917553 AWS917548:AWS917553 AMW917548:AMW917553 ADA917548:ADA917553 TE917548:TE917553 JI917548:JI917553 WVU852012:WVU852017 WLY852012:WLY852017 WCC852012:WCC852017 VSG852012:VSG852017 VIK852012:VIK852017 UYO852012:UYO852017 UOS852012:UOS852017 UEW852012:UEW852017 TVA852012:TVA852017 TLE852012:TLE852017 TBI852012:TBI852017 SRM852012:SRM852017 SHQ852012:SHQ852017 RXU852012:RXU852017 RNY852012:RNY852017 REC852012:REC852017 QUG852012:QUG852017 QKK852012:QKK852017 QAO852012:QAO852017 PQS852012:PQS852017 PGW852012:PGW852017 OXA852012:OXA852017 ONE852012:ONE852017 ODI852012:ODI852017 NTM852012:NTM852017 NJQ852012:NJQ852017 MZU852012:MZU852017 MPY852012:MPY852017 MGC852012:MGC852017 LWG852012:LWG852017 LMK852012:LMK852017 LCO852012:LCO852017 KSS852012:KSS852017 KIW852012:KIW852017 JZA852012:JZA852017 JPE852012:JPE852017 JFI852012:JFI852017 IVM852012:IVM852017 ILQ852012:ILQ852017 IBU852012:IBU852017 HRY852012:HRY852017 HIC852012:HIC852017 GYG852012:GYG852017 GOK852012:GOK852017 GEO852012:GEO852017 FUS852012:FUS852017 FKW852012:FKW852017 FBA852012:FBA852017 ERE852012:ERE852017 EHI852012:EHI852017 DXM852012:DXM852017 DNQ852012:DNQ852017 DDU852012:DDU852017 CTY852012:CTY852017 CKC852012:CKC852017 CAG852012:CAG852017 BQK852012:BQK852017 BGO852012:BGO852017 AWS852012:AWS852017 AMW852012:AMW852017 ADA852012:ADA852017 TE852012:TE852017 JI852012:JI852017 WVU786476:WVU786481 WLY786476:WLY786481 WCC786476:WCC786481 VSG786476:VSG786481 VIK786476:VIK786481 UYO786476:UYO786481 UOS786476:UOS786481 UEW786476:UEW786481 TVA786476:TVA786481 TLE786476:TLE786481 TBI786476:TBI786481 SRM786476:SRM786481 SHQ786476:SHQ786481 RXU786476:RXU786481 RNY786476:RNY786481 REC786476:REC786481 QUG786476:QUG786481 QKK786476:QKK786481 QAO786476:QAO786481 PQS786476:PQS786481 PGW786476:PGW786481 OXA786476:OXA786481 ONE786476:ONE786481 ODI786476:ODI786481 NTM786476:NTM786481 NJQ786476:NJQ786481 MZU786476:MZU786481 MPY786476:MPY786481 MGC786476:MGC786481 LWG786476:LWG786481 LMK786476:LMK786481 LCO786476:LCO786481 KSS786476:KSS786481 KIW786476:KIW786481 JZA786476:JZA786481 JPE786476:JPE786481 JFI786476:JFI786481 IVM786476:IVM786481 ILQ786476:ILQ786481 IBU786476:IBU786481 HRY786476:HRY786481 HIC786476:HIC786481 GYG786476:GYG786481 GOK786476:GOK786481 GEO786476:GEO786481 FUS786476:FUS786481 FKW786476:FKW786481 FBA786476:FBA786481 ERE786476:ERE786481 EHI786476:EHI786481 DXM786476:DXM786481 DNQ786476:DNQ786481 DDU786476:DDU786481 CTY786476:CTY786481 CKC786476:CKC786481 CAG786476:CAG786481 BQK786476:BQK786481 BGO786476:BGO786481 AWS786476:AWS786481 AMW786476:AMW786481 ADA786476:ADA786481 TE786476:TE786481 JI786476:JI786481 WVU720940:WVU720945 WLY720940:WLY720945 WCC720940:WCC720945 VSG720940:VSG720945 VIK720940:VIK720945 UYO720940:UYO720945 UOS720940:UOS720945 UEW720940:UEW720945 TVA720940:TVA720945 TLE720940:TLE720945 TBI720940:TBI720945 SRM720940:SRM720945 SHQ720940:SHQ720945 RXU720940:RXU720945 RNY720940:RNY720945 REC720940:REC720945 QUG720940:QUG720945 QKK720940:QKK720945 QAO720940:QAO720945 PQS720940:PQS720945 PGW720940:PGW720945 OXA720940:OXA720945 ONE720940:ONE720945 ODI720940:ODI720945 NTM720940:NTM720945 NJQ720940:NJQ720945 MZU720940:MZU720945 MPY720940:MPY720945 MGC720940:MGC720945 LWG720940:LWG720945 LMK720940:LMK720945 LCO720940:LCO720945 KSS720940:KSS720945 KIW720940:KIW720945 JZA720940:JZA720945 JPE720940:JPE720945 JFI720940:JFI720945 IVM720940:IVM720945 ILQ720940:ILQ720945 IBU720940:IBU720945 HRY720940:HRY720945 HIC720940:HIC720945 GYG720940:GYG720945 GOK720940:GOK720945 GEO720940:GEO720945 FUS720940:FUS720945 FKW720940:FKW720945 FBA720940:FBA720945 ERE720940:ERE720945 EHI720940:EHI720945 DXM720940:DXM720945 DNQ720940:DNQ720945 DDU720940:DDU720945 CTY720940:CTY720945 CKC720940:CKC720945 CAG720940:CAG720945 BQK720940:BQK720945 BGO720940:BGO720945 AWS720940:AWS720945 AMW720940:AMW720945 ADA720940:ADA720945 TE720940:TE720945 JI720940:JI720945 WVU655404:WVU655409 WLY655404:WLY655409 WCC655404:WCC655409 VSG655404:VSG655409 VIK655404:VIK655409 UYO655404:UYO655409 UOS655404:UOS655409 UEW655404:UEW655409 TVA655404:TVA655409 TLE655404:TLE655409 TBI655404:TBI655409 SRM655404:SRM655409 SHQ655404:SHQ655409 RXU655404:RXU655409 RNY655404:RNY655409 REC655404:REC655409 QUG655404:QUG655409 QKK655404:QKK655409 QAO655404:QAO655409 PQS655404:PQS655409 PGW655404:PGW655409 OXA655404:OXA655409 ONE655404:ONE655409 ODI655404:ODI655409 NTM655404:NTM655409 NJQ655404:NJQ655409 MZU655404:MZU655409 MPY655404:MPY655409 MGC655404:MGC655409 LWG655404:LWG655409 LMK655404:LMK655409 LCO655404:LCO655409 KSS655404:KSS655409 KIW655404:KIW655409 JZA655404:JZA655409 JPE655404:JPE655409 JFI655404:JFI655409 IVM655404:IVM655409 ILQ655404:ILQ655409 IBU655404:IBU655409 HRY655404:HRY655409 HIC655404:HIC655409 GYG655404:GYG655409 GOK655404:GOK655409 GEO655404:GEO655409 FUS655404:FUS655409 FKW655404:FKW655409 FBA655404:FBA655409 ERE655404:ERE655409 EHI655404:EHI655409 DXM655404:DXM655409 DNQ655404:DNQ655409 DDU655404:DDU655409 CTY655404:CTY655409 CKC655404:CKC655409 CAG655404:CAG655409 BQK655404:BQK655409 BGO655404:BGO655409 AWS655404:AWS655409 AMW655404:AMW655409 ADA655404:ADA655409 TE655404:TE655409 JI655404:JI655409 WVU589868:WVU589873 WLY589868:WLY589873 WCC589868:WCC589873 VSG589868:VSG589873 VIK589868:VIK589873 UYO589868:UYO589873 UOS589868:UOS589873 UEW589868:UEW589873 TVA589868:TVA589873 TLE589868:TLE589873 TBI589868:TBI589873 SRM589868:SRM589873 SHQ589868:SHQ589873 RXU589868:RXU589873 RNY589868:RNY589873 REC589868:REC589873 QUG589868:QUG589873 QKK589868:QKK589873 QAO589868:QAO589873 PQS589868:PQS589873 PGW589868:PGW589873 OXA589868:OXA589873 ONE589868:ONE589873 ODI589868:ODI589873 NTM589868:NTM589873 NJQ589868:NJQ589873 MZU589868:MZU589873 MPY589868:MPY589873 MGC589868:MGC589873 LWG589868:LWG589873 LMK589868:LMK589873 LCO589868:LCO589873 KSS589868:KSS589873 KIW589868:KIW589873 JZA589868:JZA589873 JPE589868:JPE589873 JFI589868:JFI589873 IVM589868:IVM589873 ILQ589868:ILQ589873 IBU589868:IBU589873 HRY589868:HRY589873 HIC589868:HIC589873 GYG589868:GYG589873 GOK589868:GOK589873 GEO589868:GEO589873 FUS589868:FUS589873 FKW589868:FKW589873 FBA589868:FBA589873 ERE589868:ERE589873 EHI589868:EHI589873 DXM589868:DXM589873 DNQ589868:DNQ589873 DDU589868:DDU589873 CTY589868:CTY589873 CKC589868:CKC589873 CAG589868:CAG589873 BQK589868:BQK589873 BGO589868:BGO589873 AWS589868:AWS589873 AMW589868:AMW589873 ADA589868:ADA589873 TE589868:TE589873 JI589868:JI589873 WVU524332:WVU524337 WLY524332:WLY524337 WCC524332:WCC524337 VSG524332:VSG524337 VIK524332:VIK524337 UYO524332:UYO524337 UOS524332:UOS524337 UEW524332:UEW524337 TVA524332:TVA524337 TLE524332:TLE524337 TBI524332:TBI524337 SRM524332:SRM524337 SHQ524332:SHQ524337 RXU524332:RXU524337 RNY524332:RNY524337 REC524332:REC524337 QUG524332:QUG524337 QKK524332:QKK524337 QAO524332:QAO524337 PQS524332:PQS524337 PGW524332:PGW524337 OXA524332:OXA524337 ONE524332:ONE524337 ODI524332:ODI524337 NTM524332:NTM524337 NJQ524332:NJQ524337 MZU524332:MZU524337 MPY524332:MPY524337 MGC524332:MGC524337 LWG524332:LWG524337 LMK524332:LMK524337 LCO524332:LCO524337 KSS524332:KSS524337 KIW524332:KIW524337 JZA524332:JZA524337 JPE524332:JPE524337 JFI524332:JFI524337 IVM524332:IVM524337 ILQ524332:ILQ524337 IBU524332:IBU524337 HRY524332:HRY524337 HIC524332:HIC524337 GYG524332:GYG524337 GOK524332:GOK524337 GEO524332:GEO524337 FUS524332:FUS524337 FKW524332:FKW524337 FBA524332:FBA524337 ERE524332:ERE524337 EHI524332:EHI524337 DXM524332:DXM524337 DNQ524332:DNQ524337 DDU524332:DDU524337 CTY524332:CTY524337 CKC524332:CKC524337 CAG524332:CAG524337 BQK524332:BQK524337 BGO524332:BGO524337 AWS524332:AWS524337 AMW524332:AMW524337 ADA524332:ADA524337 TE524332:TE524337 JI524332:JI524337 WVU458796:WVU458801 WLY458796:WLY458801 WCC458796:WCC458801 VSG458796:VSG458801 VIK458796:VIK458801 UYO458796:UYO458801 UOS458796:UOS458801 UEW458796:UEW458801 TVA458796:TVA458801 TLE458796:TLE458801 TBI458796:TBI458801 SRM458796:SRM458801 SHQ458796:SHQ458801 RXU458796:RXU458801 RNY458796:RNY458801 REC458796:REC458801 QUG458796:QUG458801 QKK458796:QKK458801 QAO458796:QAO458801 PQS458796:PQS458801 PGW458796:PGW458801 OXA458796:OXA458801 ONE458796:ONE458801 ODI458796:ODI458801 NTM458796:NTM458801 NJQ458796:NJQ458801 MZU458796:MZU458801 MPY458796:MPY458801 MGC458796:MGC458801 LWG458796:LWG458801 LMK458796:LMK458801 LCO458796:LCO458801 KSS458796:KSS458801 KIW458796:KIW458801 JZA458796:JZA458801 JPE458796:JPE458801 JFI458796:JFI458801 IVM458796:IVM458801 ILQ458796:ILQ458801 IBU458796:IBU458801 HRY458796:HRY458801 HIC458796:HIC458801 GYG458796:GYG458801 GOK458796:GOK458801 GEO458796:GEO458801 FUS458796:FUS458801 FKW458796:FKW458801 FBA458796:FBA458801 ERE458796:ERE458801 EHI458796:EHI458801 DXM458796:DXM458801 DNQ458796:DNQ458801 DDU458796:DDU458801 CTY458796:CTY458801 CKC458796:CKC458801 CAG458796:CAG458801 BQK458796:BQK458801 BGO458796:BGO458801 AWS458796:AWS458801 AMW458796:AMW458801 ADA458796:ADA458801 TE458796:TE458801 JI458796:JI458801 WVU393260:WVU393265 WLY393260:WLY393265 WCC393260:WCC393265 VSG393260:VSG393265 VIK393260:VIK393265 UYO393260:UYO393265 UOS393260:UOS393265 UEW393260:UEW393265 TVA393260:TVA393265 TLE393260:TLE393265 TBI393260:TBI393265 SRM393260:SRM393265 SHQ393260:SHQ393265 RXU393260:RXU393265 RNY393260:RNY393265 REC393260:REC393265 QUG393260:QUG393265 QKK393260:QKK393265 QAO393260:QAO393265 PQS393260:PQS393265 PGW393260:PGW393265 OXA393260:OXA393265 ONE393260:ONE393265 ODI393260:ODI393265 NTM393260:NTM393265 NJQ393260:NJQ393265 MZU393260:MZU393265 MPY393260:MPY393265 MGC393260:MGC393265 LWG393260:LWG393265 LMK393260:LMK393265 LCO393260:LCO393265 KSS393260:KSS393265 KIW393260:KIW393265 JZA393260:JZA393265 JPE393260:JPE393265 JFI393260:JFI393265 IVM393260:IVM393265 ILQ393260:ILQ393265 IBU393260:IBU393265 HRY393260:HRY393265 HIC393260:HIC393265 GYG393260:GYG393265 GOK393260:GOK393265 GEO393260:GEO393265 FUS393260:FUS393265 FKW393260:FKW393265 FBA393260:FBA393265 ERE393260:ERE393265 EHI393260:EHI393265 DXM393260:DXM393265 DNQ393260:DNQ393265 DDU393260:DDU393265 CTY393260:CTY393265 CKC393260:CKC393265 CAG393260:CAG393265 BQK393260:BQK393265 BGO393260:BGO393265 AWS393260:AWS393265 AMW393260:AMW393265 ADA393260:ADA393265 TE393260:TE393265 JI393260:JI393265 WVU327724:WVU327729 WLY327724:WLY327729 WCC327724:WCC327729 VSG327724:VSG327729 VIK327724:VIK327729 UYO327724:UYO327729 UOS327724:UOS327729 UEW327724:UEW327729 TVA327724:TVA327729 TLE327724:TLE327729 TBI327724:TBI327729 SRM327724:SRM327729 SHQ327724:SHQ327729 RXU327724:RXU327729 RNY327724:RNY327729 REC327724:REC327729 QUG327724:QUG327729 QKK327724:QKK327729 QAO327724:QAO327729 PQS327724:PQS327729 PGW327724:PGW327729 OXA327724:OXA327729 ONE327724:ONE327729 ODI327724:ODI327729 NTM327724:NTM327729 NJQ327724:NJQ327729 MZU327724:MZU327729 MPY327724:MPY327729 MGC327724:MGC327729 LWG327724:LWG327729 LMK327724:LMK327729 LCO327724:LCO327729 KSS327724:KSS327729 KIW327724:KIW327729 JZA327724:JZA327729 JPE327724:JPE327729 JFI327724:JFI327729 IVM327724:IVM327729 ILQ327724:ILQ327729 IBU327724:IBU327729 HRY327724:HRY327729 HIC327724:HIC327729 GYG327724:GYG327729 GOK327724:GOK327729 GEO327724:GEO327729 FUS327724:FUS327729 FKW327724:FKW327729 FBA327724:FBA327729 ERE327724:ERE327729 EHI327724:EHI327729 DXM327724:DXM327729 DNQ327724:DNQ327729 DDU327724:DDU327729 CTY327724:CTY327729 CKC327724:CKC327729 CAG327724:CAG327729 BQK327724:BQK327729 BGO327724:BGO327729 AWS327724:AWS327729 AMW327724:AMW327729 ADA327724:ADA327729 TE327724:TE327729 JI327724:JI327729 WVU262188:WVU262193 WLY262188:WLY262193 WCC262188:WCC262193 VSG262188:VSG262193 VIK262188:VIK262193 UYO262188:UYO262193 UOS262188:UOS262193 UEW262188:UEW262193 TVA262188:TVA262193 TLE262188:TLE262193 TBI262188:TBI262193 SRM262188:SRM262193 SHQ262188:SHQ262193 RXU262188:RXU262193 RNY262188:RNY262193 REC262188:REC262193 QUG262188:QUG262193 QKK262188:QKK262193 QAO262188:QAO262193 PQS262188:PQS262193 PGW262188:PGW262193 OXA262188:OXA262193 ONE262188:ONE262193 ODI262188:ODI262193 NTM262188:NTM262193 NJQ262188:NJQ262193 MZU262188:MZU262193 MPY262188:MPY262193 MGC262188:MGC262193 LWG262188:LWG262193 LMK262188:LMK262193 LCO262188:LCO262193 KSS262188:KSS262193 KIW262188:KIW262193 JZA262188:JZA262193 JPE262188:JPE262193 JFI262188:JFI262193 IVM262188:IVM262193 ILQ262188:ILQ262193 IBU262188:IBU262193 HRY262188:HRY262193 HIC262188:HIC262193 GYG262188:GYG262193 GOK262188:GOK262193 GEO262188:GEO262193 FUS262188:FUS262193 FKW262188:FKW262193 FBA262188:FBA262193 ERE262188:ERE262193 EHI262188:EHI262193 DXM262188:DXM262193 DNQ262188:DNQ262193 DDU262188:DDU262193 CTY262188:CTY262193 CKC262188:CKC262193 CAG262188:CAG262193 BQK262188:BQK262193 BGO262188:BGO262193 AWS262188:AWS262193 AMW262188:AMW262193 ADA262188:ADA262193 TE262188:TE262193 JI262188:JI262193 WVU196652:WVU196657 WLY196652:WLY196657 WCC196652:WCC196657 VSG196652:VSG196657 VIK196652:VIK196657 UYO196652:UYO196657 UOS196652:UOS196657 UEW196652:UEW196657 TVA196652:TVA196657 TLE196652:TLE196657 TBI196652:TBI196657 SRM196652:SRM196657 SHQ196652:SHQ196657 RXU196652:RXU196657 RNY196652:RNY196657 REC196652:REC196657 QUG196652:QUG196657 QKK196652:QKK196657 QAO196652:QAO196657 PQS196652:PQS196657 PGW196652:PGW196657 OXA196652:OXA196657 ONE196652:ONE196657 ODI196652:ODI196657 NTM196652:NTM196657 NJQ196652:NJQ196657 MZU196652:MZU196657 MPY196652:MPY196657 MGC196652:MGC196657 LWG196652:LWG196657 LMK196652:LMK196657 LCO196652:LCO196657 KSS196652:KSS196657 KIW196652:KIW196657 JZA196652:JZA196657 JPE196652:JPE196657 JFI196652:JFI196657 IVM196652:IVM196657 ILQ196652:ILQ196657 IBU196652:IBU196657 HRY196652:HRY196657 HIC196652:HIC196657 GYG196652:GYG196657 GOK196652:GOK196657 GEO196652:GEO196657 FUS196652:FUS196657 FKW196652:FKW196657 FBA196652:FBA196657 ERE196652:ERE196657 EHI196652:EHI196657 DXM196652:DXM196657 DNQ196652:DNQ196657 DDU196652:DDU196657 CTY196652:CTY196657 CKC196652:CKC196657 CAG196652:CAG196657 BQK196652:BQK196657 BGO196652:BGO196657 AWS196652:AWS196657 AMW196652:AMW196657 ADA196652:ADA196657 TE196652:TE196657 JI196652:JI196657 WVU131116:WVU131121 WLY131116:WLY131121 WCC131116:WCC131121 VSG131116:VSG131121 VIK131116:VIK131121 UYO131116:UYO131121 UOS131116:UOS131121 UEW131116:UEW131121 TVA131116:TVA131121 TLE131116:TLE131121 TBI131116:TBI131121 SRM131116:SRM131121 SHQ131116:SHQ131121 RXU131116:RXU131121 RNY131116:RNY131121 REC131116:REC131121 QUG131116:QUG131121 QKK131116:QKK131121 QAO131116:QAO131121 PQS131116:PQS131121 PGW131116:PGW131121 OXA131116:OXA131121 ONE131116:ONE131121 ODI131116:ODI131121 NTM131116:NTM131121 NJQ131116:NJQ131121 MZU131116:MZU131121 MPY131116:MPY131121 MGC131116:MGC131121 LWG131116:LWG131121 LMK131116:LMK131121 LCO131116:LCO131121 KSS131116:KSS131121 KIW131116:KIW131121 JZA131116:JZA131121 JPE131116:JPE131121 JFI131116:JFI131121 IVM131116:IVM131121 ILQ131116:ILQ131121 IBU131116:IBU131121 HRY131116:HRY131121 HIC131116:HIC131121 GYG131116:GYG131121 GOK131116:GOK131121 GEO131116:GEO131121 FUS131116:FUS131121 FKW131116:FKW131121 FBA131116:FBA131121 ERE131116:ERE131121 EHI131116:EHI131121 DXM131116:DXM131121 DNQ131116:DNQ131121 DDU131116:DDU131121 CTY131116:CTY131121 CKC131116:CKC131121 CAG131116:CAG131121 BQK131116:BQK131121 BGO131116:BGO131121 AWS131116:AWS131121 AMW131116:AMW131121 ADA131116:ADA131121 TE131116:TE131121 JI131116:JI131121 WVU65580:WVU65585 WLY65580:WLY65585 WCC65580:WCC65585 VSG65580:VSG65585 VIK65580:VIK65585 UYO65580:UYO65585 UOS65580:UOS65585 UEW65580:UEW65585 TVA65580:TVA65585 TLE65580:TLE65585 TBI65580:TBI65585 SRM65580:SRM65585 SHQ65580:SHQ65585 RXU65580:RXU65585 RNY65580:RNY65585 REC65580:REC65585 QUG65580:QUG65585 QKK65580:QKK65585 QAO65580:QAO65585 PQS65580:PQS65585 PGW65580:PGW65585 OXA65580:OXA65585 ONE65580:ONE65585 ODI65580:ODI65585 NTM65580:NTM65585 NJQ65580:NJQ65585 MZU65580:MZU65585 MPY65580:MPY65585 MGC65580:MGC65585 LWG65580:LWG65585 LMK65580:LMK65585 LCO65580:LCO65585 KSS65580:KSS65585 KIW65580:KIW65585 JZA65580:JZA65585 JPE65580:JPE65585 JFI65580:JFI65585 IVM65580:IVM65585 ILQ65580:ILQ65585 IBU65580:IBU65585 HRY65580:HRY65585 HIC65580:HIC65585 GYG65580:GYG65585 GOK65580:GOK65585 GEO65580:GEO65585 FUS65580:FUS65585 FKW65580:FKW65585 FBA65580:FBA65585 ERE65580:ERE65585 EHI65580:EHI65585 DXM65580:DXM65585 DNQ65580:DNQ65585 DDU65580:DDU65585 CTY65580:CTY65585 CKC65580:CKC65585 CAG65580:CAG65585 BQK65580:BQK65585 BGO65580:BGO65585 AWS65580:AWS65585 AMW65580:AMW65585 ADA65580:ADA65585 TE65580:TE65585 JI65580:JI65585 WVS46:WVS49 WVT45:WVU45 WLW46:WLW49 WLX45:WLY45 WCA46:WCA49 WCB45:WCC45 VSE46:VSE49 VSF45:VSG45 VII46:VII49 VIJ45:VIK45 UYM46:UYM49 UYN45:UYO45 UOQ46:UOQ49 UOR45:UOS45 UEU46:UEU49 UEV45:UEW45 TUY46:TUY49 TUZ45:TVA45 TLC46:TLC49 TLD45:TLE45 TBG46:TBG49 TBH45:TBI45 SRK46:SRK49 SRL45:SRM45 SHO46:SHO49 SHP45:SHQ45 RXS46:RXS49 RXT45:RXU45 RNW46:RNW49 RNX45:RNY45 REA46:REA49 REB45:REC45 QUE46:QUE49 QUF45:QUG45 QKI46:QKI49 QKJ45:QKK45 QAM46:QAM49 QAN45:QAO45 PQQ46:PQQ49 PQR45:PQS45 PGU46:PGU49 PGV45:PGW45 OWY46:OWY49 OWZ45:OXA45 ONC46:ONC49 OND45:ONE45 ODG46:ODG49 ODH45:ODI45 NTK46:NTK49 NTL45:NTM45 NJO46:NJO49 NJP45:NJQ45 MZS46:MZS49 MZT45:MZU45 MPW46:MPW49 MPX45:MPY45 MGA46:MGA49 MGB45:MGC45 LWE46:LWE49 LWF45:LWG45 LMI46:LMI49 LMJ45:LMK45 LCM46:LCM49 LCN45:LCO45 KSQ46:KSQ49 KSR45:KSS45 KIU46:KIU49 KIV45:KIW45 JYY46:JYY49 JYZ45:JZA45 JPC46:JPC49 JPD45:JPE45 JFG46:JFG49 JFH45:JFI45 IVK46:IVK49 IVL45:IVM45 ILO46:ILO49 ILP45:ILQ45 IBS46:IBS49 IBT45:IBU45 HRW46:HRW49 HRX45:HRY45 HIA46:HIA49 HIB45:HIC45 GYE46:GYE49 GYF45:GYG45 GOI46:GOI49 GOJ45:GOK45 GEM46:GEM49 GEN45:GEO45 FUQ46:FUQ49 FUR45:FUS45 FKU46:FKU49 FKV45:FKW45 FAY46:FAY49 FAZ45:FBA45 ERC46:ERC49 ERD45:ERE45 EHG46:EHG49 EHH45:EHI45 DXK46:DXK49 DXL45:DXM45 DNO46:DNO49 DNP45:DNQ45 DDS46:DDS49 DDT45:DDU45 CTW46:CTW49 CTX45:CTY45 CKA46:CKA49 CKB45:CKC45 CAE46:CAE49 CAF45:CAG45 BQI46:BQI49 BQJ45:BQK45 BGM46:BGM49 BGN45:BGO45 AWQ46:AWQ49 AWR45:AWS45 AMU46:AMU49 AMV45:AMW45 ACY46:ACY49 ACZ45:ADA45 TC46:TC49 TD45:TE45 JG46:JG49 JH45:JI45 M39:M44 JF39:JG41 TB39:TC41 ACX39:ACY41 AMT39:AMU41 AWP39:AWQ41 BGL39:BGM41 BQH39:BQI41 CAD39:CAE41 CJZ39:CKA41 CTV39:CTW41 DDR39:DDS41 DNN39:DNO41 DXJ39:DXK41 EHF39:EHG41 ERB39:ERC41 FAX39:FAY41 FKT39:FKU41 FUP39:FUQ41 GEL39:GEM41 GOH39:GOI41 GYD39:GYE41 HHZ39:HIA41 HRV39:HRW41 IBR39:IBS41 ILN39:ILO41 IVJ39:IVK41 JFF39:JFG41 JPB39:JPC41 JYX39:JYY41 KIT39:KIU41 KSP39:KSQ41 LCL39:LCM41 LMH39:LMI41 LWD39:LWE41 MFZ39:MGA41 MPV39:MPW41 MZR39:MZS41 NJN39:NJO41 NTJ39:NTK41 ODF39:ODG41 ONB39:ONC41 OWX39:OWY41 PGT39:PGU41 PQP39:PQQ41 QAL39:QAM41 QKH39:QKI41 QUD39:QUE41 RDZ39:REA41 RNV39:RNW41 RXR39:RXS41 SHN39:SHO41 SRJ39:SRK41 TBF39:TBG41 TLB39:TLC41 TUX39:TUY41 UET39:UEU41 UOP39:UOQ41 UYL39:UYM41 VIH39:VII41 VSD39:VSE41 WBZ39:WCA41 WLV39:WLW41 JG64 TC64 ACY64 AMU64 AWQ64 BGM64 BQI64 CAE64 CKA64 CTW64 DDS64 DNO64 DXK64 EHG64 ERC64 FAY64 FKU64 FUQ64 GEM64 GOI64 GYE64 HIA64 HRW64 IBS64 ILO64 IVK64 JFG64 JPC64 JYY64 KIU64 KSQ64 LCM64 LMI64 LWE64 MGA64 MPW64 MZS64 NJO64 NTK64 ODG64 ONC64 OWY64 PGU64 PQQ64 QAM64 QKI64 QUE64 REA64 RNW64 RXS64 SHO64 SRK64 TBG64 TLC64 TUY64 UEU64 UOQ64 UYM64 VII64 VSE64 WCA64 WLW64">
      <formula1>$R$81:$R$84</formula1>
    </dataValidation>
  </dataValidations>
  <hyperlinks>
    <hyperlink ref="A1" location="'T&amp;V TOC'!A1" display="TOC"/>
  </hyperlinks>
  <pageMargins left="0.25" right="0.25" top="0.75" bottom="0.75" header="0.3" footer="0.3"/>
  <pageSetup scale="47" orientation="portrait" r:id="rId1"/>
  <headerFooter alignWithMargins="0"/>
</worksheet>
</file>

<file path=xl/worksheets/sheet3.xml><?xml version="1.0" encoding="utf-8"?>
<worksheet xmlns="http://schemas.openxmlformats.org/spreadsheetml/2006/main" xmlns:r="http://schemas.openxmlformats.org/officeDocument/2006/relationships">
  <sheetPr codeName="Sheet4"/>
  <dimension ref="A1:N43"/>
  <sheetViews>
    <sheetView showGridLines="0" topLeftCell="A10" workbookViewId="0">
      <selection activeCell="A29" sqref="A29"/>
    </sheetView>
  </sheetViews>
  <sheetFormatPr defaultRowHeight="12.75"/>
  <cols>
    <col min="1" max="1" width="48.28515625" bestFit="1" customWidth="1"/>
    <col min="2" max="2" width="17.140625" customWidth="1"/>
    <col min="3" max="3" width="9.140625" style="419"/>
    <col min="7" max="7" width="10.28515625" customWidth="1"/>
    <col min="8" max="8" width="24.28515625" customWidth="1"/>
    <col min="9" max="9" width="15.85546875" customWidth="1"/>
    <col min="10" max="10" width="7.42578125" customWidth="1"/>
  </cols>
  <sheetData>
    <row r="1" spans="1:14" ht="39" thickBot="1">
      <c r="A1" s="396" t="s">
        <v>2744</v>
      </c>
      <c r="B1" s="396" t="s">
        <v>2925</v>
      </c>
      <c r="C1" s="396" t="s">
        <v>2926</v>
      </c>
      <c r="D1" s="396" t="s">
        <v>2927</v>
      </c>
      <c r="E1" s="396" t="s">
        <v>2928</v>
      </c>
      <c r="F1" s="403" t="s">
        <v>2962</v>
      </c>
      <c r="G1" s="403" t="s">
        <v>528</v>
      </c>
    </row>
    <row r="2" spans="1:14">
      <c r="A2" s="396"/>
      <c r="B2" s="397"/>
      <c r="C2" s="397"/>
      <c r="D2" s="397"/>
      <c r="E2" s="398"/>
    </row>
    <row r="3" spans="1:14">
      <c r="A3" s="401" t="s">
        <v>3029</v>
      </c>
      <c r="B3" s="424">
        <v>1.1400000000000001E-4</v>
      </c>
      <c r="C3" s="425">
        <v>1.8500000000000001E-3</v>
      </c>
      <c r="D3" s="424">
        <v>1.1400000000000001E-4</v>
      </c>
      <c r="E3" s="425">
        <v>1.1299999999999999E-3</v>
      </c>
      <c r="F3" s="461">
        <v>13</v>
      </c>
      <c r="G3" s="461" t="s">
        <v>2748</v>
      </c>
    </row>
    <row r="4" spans="1:14">
      <c r="A4" s="399" t="s">
        <v>3027</v>
      </c>
      <c r="B4" s="424">
        <v>1.1400000000000001E-4</v>
      </c>
      <c r="C4" s="425">
        <v>1.8500000000000001E-3</v>
      </c>
      <c r="D4" s="424">
        <v>1.1400000000000001E-4</v>
      </c>
      <c r="E4" s="425">
        <v>1.1299999999999999E-3</v>
      </c>
      <c r="F4" s="461">
        <v>14</v>
      </c>
      <c r="G4" s="461" t="s">
        <v>2748</v>
      </c>
      <c r="K4" s="425"/>
      <c r="L4" s="424"/>
      <c r="M4" s="425"/>
      <c r="N4" s="422"/>
    </row>
    <row r="5" spans="1:14" s="419" customFormat="1">
      <c r="A5" s="401" t="s">
        <v>3028</v>
      </c>
      <c r="B5" s="424">
        <v>1.1400000000000001E-4</v>
      </c>
      <c r="C5" s="425">
        <v>1.8500000000000001E-3</v>
      </c>
      <c r="D5" s="424">
        <v>1.1400000000000001E-4</v>
      </c>
      <c r="E5" s="425">
        <v>1.1299999999999999E-3</v>
      </c>
      <c r="F5" s="461">
        <v>15</v>
      </c>
      <c r="G5" s="461" t="s">
        <v>2748</v>
      </c>
      <c r="K5" s="425"/>
      <c r="L5" s="424"/>
      <c r="M5" s="425"/>
      <c r="N5" s="422"/>
    </row>
    <row r="6" spans="1:14">
      <c r="A6" s="399" t="s">
        <v>3033</v>
      </c>
      <c r="B6" s="424">
        <v>1.1400000000000001E-4</v>
      </c>
      <c r="C6" s="425">
        <v>1.8500000000000001E-3</v>
      </c>
      <c r="D6" s="424">
        <v>1.1400000000000001E-4</v>
      </c>
      <c r="E6" s="425">
        <v>1.1299999999999999E-3</v>
      </c>
      <c r="F6" s="461">
        <v>13</v>
      </c>
      <c r="G6" s="461" t="s">
        <v>2916</v>
      </c>
      <c r="H6" s="421"/>
      <c r="I6" s="422"/>
      <c r="J6" s="423"/>
      <c r="K6" s="425"/>
      <c r="L6" s="424"/>
      <c r="M6" s="425"/>
      <c r="N6" s="422"/>
    </row>
    <row r="7" spans="1:14">
      <c r="A7" s="399" t="s">
        <v>3019</v>
      </c>
      <c r="B7" s="424">
        <v>1.1400000000000001E-4</v>
      </c>
      <c r="C7" s="425">
        <v>1.8500000000000001E-3</v>
      </c>
      <c r="D7" s="424">
        <v>1.1400000000000001E-4</v>
      </c>
      <c r="E7" s="425">
        <v>1.1299999999999999E-3</v>
      </c>
      <c r="F7" s="837">
        <v>13</v>
      </c>
      <c r="G7" s="461" t="s">
        <v>2748</v>
      </c>
      <c r="H7" s="421"/>
      <c r="I7" s="422"/>
      <c r="J7" s="426"/>
      <c r="K7" s="425"/>
      <c r="L7" s="424"/>
      <c r="M7" s="425"/>
      <c r="N7" s="422"/>
    </row>
    <row r="8" spans="1:14">
      <c r="A8" s="399" t="s">
        <v>3035</v>
      </c>
      <c r="B8" s="424">
        <v>1.1400000000000001E-4</v>
      </c>
      <c r="C8" s="425">
        <v>1.8500000000000001E-3</v>
      </c>
      <c r="D8" s="424">
        <v>1.1400000000000001E-4</v>
      </c>
      <c r="E8" s="425">
        <v>1.1299999999999999E-3</v>
      </c>
      <c r="F8" s="461">
        <v>13</v>
      </c>
      <c r="G8" s="461" t="s">
        <v>2916</v>
      </c>
      <c r="H8" s="421"/>
      <c r="I8" s="422"/>
      <c r="J8" s="426"/>
      <c r="K8" s="425"/>
      <c r="L8" s="424"/>
      <c r="M8" s="425"/>
      <c r="N8" s="422"/>
    </row>
    <row r="9" spans="1:14">
      <c r="A9" s="399" t="s">
        <v>3034</v>
      </c>
      <c r="B9" s="424">
        <v>1.1400000000000001E-4</v>
      </c>
      <c r="C9" s="425">
        <v>1.8500000000000001E-3</v>
      </c>
      <c r="D9" s="424">
        <v>1.1400000000000001E-4</v>
      </c>
      <c r="E9" s="425">
        <v>1.1299999999999999E-3</v>
      </c>
      <c r="F9" s="461">
        <v>15</v>
      </c>
      <c r="G9" s="461" t="s">
        <v>2916</v>
      </c>
      <c r="H9" s="421"/>
      <c r="I9" s="422"/>
      <c r="J9" s="426"/>
      <c r="K9" s="425"/>
      <c r="L9" s="427"/>
      <c r="M9" s="425"/>
      <c r="N9" s="422"/>
    </row>
    <row r="10" spans="1:14">
      <c r="A10" s="399" t="s">
        <v>3036</v>
      </c>
      <c r="B10" s="424">
        <v>1.1400000000000001E-4</v>
      </c>
      <c r="C10" s="425">
        <v>1.8500000000000001E-3</v>
      </c>
      <c r="D10" s="424">
        <v>1.1400000000000001E-4</v>
      </c>
      <c r="E10" s="425">
        <v>1.1299999999999999E-3</v>
      </c>
      <c r="F10" s="461">
        <v>13</v>
      </c>
      <c r="G10" s="461"/>
      <c r="H10" s="421"/>
      <c r="I10" s="422"/>
      <c r="J10" s="426"/>
      <c r="K10" s="425"/>
      <c r="L10" s="427"/>
      <c r="M10" s="425"/>
      <c r="N10" s="422"/>
    </row>
    <row r="11" spans="1:14">
      <c r="A11" s="399" t="s">
        <v>3037</v>
      </c>
      <c r="B11" s="424">
        <v>1.1400000000000001E-4</v>
      </c>
      <c r="C11" s="425">
        <v>1.8500000000000001E-3</v>
      </c>
      <c r="D11" s="424">
        <v>1.1400000000000001E-4</v>
      </c>
      <c r="E11" s="425">
        <v>1.1299999999999999E-3</v>
      </c>
      <c r="F11" s="461">
        <v>7</v>
      </c>
      <c r="G11" s="461" t="s">
        <v>2748</v>
      </c>
      <c r="H11" s="421"/>
      <c r="I11" s="422"/>
      <c r="J11" s="426"/>
      <c r="K11" s="425"/>
      <c r="L11" s="427"/>
      <c r="M11" s="425"/>
      <c r="N11" s="422"/>
    </row>
    <row r="12" spans="1:14">
      <c r="A12" s="399" t="s">
        <v>3013</v>
      </c>
      <c r="B12" s="427">
        <v>0</v>
      </c>
      <c r="C12" s="425">
        <v>1.8500000000000001E-3</v>
      </c>
      <c r="D12" s="427">
        <v>0</v>
      </c>
      <c r="E12" s="425">
        <v>1.1299999999999999E-3</v>
      </c>
      <c r="F12" s="461">
        <v>25</v>
      </c>
      <c r="G12" s="461" t="s">
        <v>895</v>
      </c>
      <c r="H12" s="421"/>
      <c r="I12" s="422"/>
      <c r="J12" s="426"/>
      <c r="K12" s="425"/>
      <c r="L12" s="427"/>
      <c r="M12" s="425"/>
      <c r="N12" s="422"/>
    </row>
    <row r="13" spans="1:14">
      <c r="A13" s="399" t="s">
        <v>3012</v>
      </c>
      <c r="B13" s="427">
        <v>0</v>
      </c>
      <c r="C13" s="425">
        <v>1.8500000000000001E-3</v>
      </c>
      <c r="D13" s="427">
        <v>0</v>
      </c>
      <c r="E13" s="425">
        <v>1.1299999999999999E-3</v>
      </c>
      <c r="F13" s="461">
        <v>25</v>
      </c>
      <c r="G13" s="461" t="s">
        <v>895</v>
      </c>
      <c r="H13" s="421"/>
      <c r="I13" s="429"/>
      <c r="J13" s="426"/>
      <c r="K13" s="425"/>
      <c r="L13" s="427"/>
      <c r="M13" s="425"/>
      <c r="N13" s="430"/>
    </row>
    <row r="14" spans="1:14">
      <c r="A14" s="399" t="s">
        <v>3011</v>
      </c>
      <c r="B14" s="427">
        <v>0</v>
      </c>
      <c r="C14" s="425">
        <v>1.8500000000000001E-3</v>
      </c>
      <c r="D14" s="427">
        <v>0</v>
      </c>
      <c r="E14" s="425">
        <v>1.1299999999999999E-3</v>
      </c>
      <c r="F14" s="461">
        <v>20</v>
      </c>
      <c r="G14" s="461" t="s">
        <v>2748</v>
      </c>
      <c r="H14" s="428"/>
      <c r="I14" s="430"/>
      <c r="J14" s="426"/>
      <c r="K14" s="425"/>
      <c r="L14" s="427"/>
      <c r="M14" s="425"/>
      <c r="N14" s="430"/>
    </row>
    <row r="15" spans="1:14">
      <c r="A15" s="399" t="s">
        <v>3016</v>
      </c>
      <c r="B15" s="427">
        <v>0</v>
      </c>
      <c r="C15" s="425">
        <v>1.8500000000000001E-3</v>
      </c>
      <c r="D15" s="427">
        <v>0</v>
      </c>
      <c r="E15" s="425">
        <v>1.1299999999999999E-3</v>
      </c>
      <c r="F15" s="461">
        <v>20</v>
      </c>
      <c r="G15" s="461" t="s">
        <v>2748</v>
      </c>
      <c r="H15" s="428"/>
      <c r="I15" s="430"/>
      <c r="J15" s="426"/>
      <c r="K15" s="425"/>
      <c r="L15" s="427"/>
      <c r="M15" s="425"/>
      <c r="N15" s="430"/>
    </row>
    <row r="16" spans="1:14">
      <c r="A16" s="399" t="s">
        <v>3014</v>
      </c>
      <c r="B16" s="427">
        <v>0</v>
      </c>
      <c r="C16" s="425">
        <v>1.8500000000000001E-3</v>
      </c>
      <c r="D16" s="427">
        <v>0</v>
      </c>
      <c r="E16" s="425">
        <v>1.1299999999999999E-3</v>
      </c>
      <c r="F16" s="461">
        <v>25</v>
      </c>
      <c r="G16" s="461" t="s">
        <v>895</v>
      </c>
      <c r="H16" s="421"/>
      <c r="I16" s="422"/>
      <c r="J16" s="426"/>
      <c r="K16" s="425"/>
      <c r="L16" s="427"/>
      <c r="M16" s="425"/>
      <c r="N16" s="430"/>
    </row>
    <row r="17" spans="1:14">
      <c r="A17" s="399" t="s">
        <v>3015</v>
      </c>
      <c r="B17" s="427">
        <v>0</v>
      </c>
      <c r="C17" s="425">
        <v>1.8500000000000001E-3</v>
      </c>
      <c r="D17" s="427">
        <v>0</v>
      </c>
      <c r="E17" s="425">
        <v>1.1299999999999999E-3</v>
      </c>
      <c r="F17" s="461">
        <v>25</v>
      </c>
      <c r="G17" s="461" t="s">
        <v>895</v>
      </c>
      <c r="H17" s="428"/>
      <c r="I17" s="430"/>
      <c r="J17" s="426"/>
      <c r="K17" s="425"/>
      <c r="L17" s="427"/>
      <c r="M17" s="425"/>
      <c r="N17" s="430"/>
    </row>
    <row r="18" spans="1:14" s="419" customFormat="1">
      <c r="A18" s="399" t="s">
        <v>3085</v>
      </c>
      <c r="B18" s="427">
        <v>0</v>
      </c>
      <c r="C18" s="425">
        <v>1.8500000000000001E-3</v>
      </c>
      <c r="D18" s="427">
        <v>0</v>
      </c>
      <c r="E18" s="425">
        <v>1.1299999999999999E-3</v>
      </c>
      <c r="F18" s="461">
        <v>25</v>
      </c>
      <c r="G18" s="461" t="s">
        <v>2748</v>
      </c>
      <c r="H18" s="428"/>
      <c r="I18" s="430"/>
      <c r="J18" s="426"/>
      <c r="K18" s="425"/>
      <c r="L18" s="427"/>
      <c r="M18" s="425"/>
      <c r="N18" s="430"/>
    </row>
    <row r="19" spans="1:14">
      <c r="A19" s="401" t="s">
        <v>2917</v>
      </c>
      <c r="B19" s="424">
        <v>1.1400000000000001E-4</v>
      </c>
      <c r="C19" s="425">
        <v>1.8500000000000001E-3</v>
      </c>
      <c r="D19" s="424">
        <v>1.1400000000000001E-4</v>
      </c>
      <c r="E19" s="425">
        <v>1.1299999999999999E-3</v>
      </c>
      <c r="F19" s="461">
        <v>25</v>
      </c>
      <c r="G19" s="461" t="s">
        <v>2916</v>
      </c>
      <c r="H19" s="428"/>
      <c r="I19" s="430"/>
      <c r="J19" s="426"/>
      <c r="K19" s="425"/>
      <c r="L19" s="427"/>
      <c r="M19" s="425"/>
      <c r="N19" s="430"/>
    </row>
    <row r="20" spans="1:14">
      <c r="A20" s="401" t="s">
        <v>2918</v>
      </c>
      <c r="B20" s="424">
        <v>1.1400000000000001E-4</v>
      </c>
      <c r="C20" s="425">
        <v>1.8500000000000001E-3</v>
      </c>
      <c r="D20" s="424">
        <v>1.1400000000000001E-4</v>
      </c>
      <c r="E20" s="425">
        <v>1.1299999999999999E-3</v>
      </c>
      <c r="F20" s="461">
        <v>15</v>
      </c>
      <c r="G20" s="461" t="s">
        <v>2916</v>
      </c>
      <c r="H20" s="428"/>
      <c r="I20" s="430"/>
      <c r="J20" s="426"/>
      <c r="K20" s="425"/>
      <c r="L20" s="427"/>
      <c r="M20" s="425"/>
      <c r="N20" s="430"/>
    </row>
    <row r="21" spans="1:14">
      <c r="A21" s="401" t="s">
        <v>3031</v>
      </c>
      <c r="B21" s="427">
        <v>0</v>
      </c>
      <c r="C21" s="425">
        <v>1.8500000000000001E-3</v>
      </c>
      <c r="D21" s="427">
        <v>0</v>
      </c>
      <c r="E21" s="425">
        <v>1.1299999999999999E-3</v>
      </c>
      <c r="F21" s="461">
        <v>24</v>
      </c>
      <c r="G21" s="461" t="s">
        <v>2752</v>
      </c>
      <c r="H21" s="428"/>
      <c r="I21" s="430"/>
      <c r="J21" s="426"/>
      <c r="K21" s="425"/>
      <c r="L21" s="427"/>
      <c r="M21" s="425"/>
      <c r="N21" s="422"/>
    </row>
    <row r="22" spans="1:14" s="419" customFormat="1">
      <c r="A22" s="401" t="s">
        <v>2919</v>
      </c>
      <c r="B22" s="424">
        <v>1.1400000000000001E-4</v>
      </c>
      <c r="C22" s="425">
        <v>1.8500000000000001E-3</v>
      </c>
      <c r="D22" s="424">
        <v>1.1400000000000001E-4</v>
      </c>
      <c r="E22" s="425">
        <v>1.1299999999999999E-3</v>
      </c>
      <c r="F22" s="461">
        <v>25</v>
      </c>
      <c r="G22" s="461" t="s">
        <v>895</v>
      </c>
      <c r="H22" s="428"/>
      <c r="I22" s="430"/>
      <c r="J22" s="426"/>
      <c r="K22" s="425"/>
      <c r="L22" s="427"/>
      <c r="M22" s="425"/>
      <c r="N22" s="422"/>
    </row>
    <row r="23" spans="1:14">
      <c r="A23" s="401" t="s">
        <v>2920</v>
      </c>
      <c r="B23" s="424">
        <v>1.1400000000000001E-4</v>
      </c>
      <c r="C23" s="425">
        <v>1.8500000000000001E-3</v>
      </c>
      <c r="D23" s="424">
        <v>1.1400000000000001E-4</v>
      </c>
      <c r="E23" s="425">
        <v>1.1299999999999999E-3</v>
      </c>
      <c r="F23" s="461">
        <v>15</v>
      </c>
      <c r="G23" s="461" t="s">
        <v>2916</v>
      </c>
      <c r="H23" s="428"/>
      <c r="I23" s="430"/>
      <c r="J23" s="426"/>
      <c r="K23" s="425"/>
      <c r="L23" s="427"/>
      <c r="M23" s="425"/>
      <c r="N23" s="422"/>
    </row>
    <row r="24" spans="1:14">
      <c r="A24" s="401" t="s">
        <v>2921</v>
      </c>
      <c r="B24" s="424">
        <v>1.1400000000000001E-4</v>
      </c>
      <c r="C24" s="425">
        <v>1.8500000000000001E-3</v>
      </c>
      <c r="D24" s="424">
        <v>1.1400000000000001E-4</v>
      </c>
      <c r="E24" s="425">
        <v>1.1299999999999999E-3</v>
      </c>
      <c r="F24" s="461">
        <v>20</v>
      </c>
      <c r="G24" s="461" t="s">
        <v>2916</v>
      </c>
      <c r="H24" s="428"/>
      <c r="I24" s="430"/>
      <c r="J24" s="426"/>
      <c r="K24" s="425"/>
      <c r="L24" s="427"/>
      <c r="M24" s="425"/>
      <c r="N24" s="422"/>
    </row>
    <row r="25" spans="1:14">
      <c r="A25" s="401" t="s">
        <v>2922</v>
      </c>
      <c r="B25" s="424">
        <v>1.1400000000000001E-4</v>
      </c>
      <c r="C25" s="425">
        <v>1.8500000000000001E-3</v>
      </c>
      <c r="D25" s="424">
        <v>1.1400000000000001E-4</v>
      </c>
      <c r="E25" s="425">
        <v>1.1299999999999999E-3</v>
      </c>
      <c r="F25" s="461">
        <v>15</v>
      </c>
      <c r="G25" s="461" t="s">
        <v>2916</v>
      </c>
      <c r="H25" s="421"/>
      <c r="I25" s="422"/>
      <c r="J25" s="426"/>
      <c r="K25" s="425"/>
      <c r="L25" s="424"/>
      <c r="M25" s="425"/>
      <c r="N25" s="422"/>
    </row>
    <row r="26" spans="1:14">
      <c r="A26" s="401" t="s">
        <v>2923</v>
      </c>
      <c r="B26" s="424">
        <v>1.1400000000000001E-4</v>
      </c>
      <c r="C26" s="425">
        <v>1.8500000000000001E-3</v>
      </c>
      <c r="D26" s="424">
        <v>1.1400000000000001E-4</v>
      </c>
      <c r="E26" s="425">
        <v>1.1299999999999999E-3</v>
      </c>
      <c r="F26" s="461">
        <v>15</v>
      </c>
      <c r="G26" s="461" t="s">
        <v>2916</v>
      </c>
      <c r="H26" s="421"/>
      <c r="I26" s="422"/>
      <c r="J26" s="426"/>
      <c r="K26" s="425"/>
      <c r="L26" s="424"/>
      <c r="M26" s="425"/>
      <c r="N26" s="430"/>
    </row>
    <row r="27" spans="1:14">
      <c r="A27" s="401" t="s">
        <v>2924</v>
      </c>
      <c r="B27" s="424">
        <v>1.1400000000000001E-4</v>
      </c>
      <c r="C27" s="425">
        <v>1.8500000000000001E-3</v>
      </c>
      <c r="D27" s="424">
        <v>1.1400000000000001E-4</v>
      </c>
      <c r="E27" s="425">
        <v>1.1299999999999999E-3</v>
      </c>
      <c r="F27" s="461">
        <v>15</v>
      </c>
      <c r="G27" s="461" t="s">
        <v>2916</v>
      </c>
      <c r="H27" s="421"/>
      <c r="I27" s="422"/>
      <c r="J27" s="426"/>
      <c r="K27" s="425"/>
      <c r="L27" s="424"/>
      <c r="M27" s="425"/>
      <c r="N27" s="422"/>
    </row>
    <row r="28" spans="1:14">
      <c r="A28" s="399" t="s">
        <v>3030</v>
      </c>
      <c r="B28" s="427">
        <v>0</v>
      </c>
      <c r="C28" s="425">
        <v>1.8500000000000001E-3</v>
      </c>
      <c r="D28" s="427">
        <v>0</v>
      </c>
      <c r="E28" s="425">
        <v>1.1299999999999999E-3</v>
      </c>
      <c r="F28" s="461">
        <v>13</v>
      </c>
      <c r="G28" s="461" t="s">
        <v>2748</v>
      </c>
      <c r="H28" s="421"/>
      <c r="I28" s="422"/>
      <c r="J28" s="426"/>
      <c r="K28" s="425"/>
      <c r="L28" s="424"/>
      <c r="M28" s="425"/>
      <c r="N28" s="430"/>
    </row>
    <row r="29" spans="1:14">
      <c r="A29" s="399" t="s">
        <v>3032</v>
      </c>
      <c r="B29" s="431">
        <v>0</v>
      </c>
      <c r="C29" s="425">
        <v>1.8500000000000001E-3</v>
      </c>
      <c r="D29" s="427">
        <v>0</v>
      </c>
      <c r="E29" s="425">
        <v>1.1299999999999999E-3</v>
      </c>
      <c r="F29" s="461">
        <v>10</v>
      </c>
      <c r="G29" s="461" t="s">
        <v>2748</v>
      </c>
      <c r="H29" s="465"/>
      <c r="I29" s="463"/>
      <c r="J29" s="426"/>
    </row>
    <row r="30" spans="1:14">
      <c r="A30" s="399" t="s">
        <v>3017</v>
      </c>
      <c r="B30" s="424">
        <v>2.1000000000000001E-4</v>
      </c>
      <c r="C30" s="425">
        <v>1.8500000000000001E-3</v>
      </c>
      <c r="D30" s="424">
        <v>2.1000000000000001E-4</v>
      </c>
      <c r="E30" s="425">
        <v>1.1299999999999999E-3</v>
      </c>
      <c r="F30" s="461">
        <v>15</v>
      </c>
      <c r="G30" s="461" t="s">
        <v>2748</v>
      </c>
      <c r="H30" s="465"/>
      <c r="I30" s="463"/>
      <c r="J30" s="426"/>
    </row>
    <row r="31" spans="1:14" s="419" customFormat="1">
      <c r="A31" s="399" t="s">
        <v>4426</v>
      </c>
      <c r="B31" s="424">
        <v>2.1000000000000001E-4</v>
      </c>
      <c r="C31" s="425">
        <v>1.8500000000000001E-3</v>
      </c>
      <c r="D31" s="424">
        <v>2.1000000000000001E-4</v>
      </c>
      <c r="E31" s="425">
        <v>1.1299999999999999E-3</v>
      </c>
      <c r="F31" s="461">
        <v>12</v>
      </c>
      <c r="G31" s="461" t="s">
        <v>2748</v>
      </c>
      <c r="H31" s="465"/>
      <c r="I31" s="464"/>
      <c r="J31" s="426"/>
    </row>
    <row r="32" spans="1:14">
      <c r="A32" s="399" t="s">
        <v>4425</v>
      </c>
      <c r="B32" s="424">
        <v>1.1400000000000001E-4</v>
      </c>
      <c r="C32" s="425">
        <v>1.8500000000000001E-3</v>
      </c>
      <c r="D32" s="424">
        <v>1.1400000000000001E-4</v>
      </c>
      <c r="E32" s="425">
        <v>1.1299999999999999E-3</v>
      </c>
      <c r="F32" s="461">
        <v>15</v>
      </c>
      <c r="G32" s="461" t="s">
        <v>2748</v>
      </c>
      <c r="H32" s="462"/>
      <c r="I32" s="462"/>
    </row>
    <row r="33" spans="1:7">
      <c r="A33" s="399" t="s">
        <v>3018</v>
      </c>
      <c r="B33" s="424">
        <v>1.1400000000000001E-4</v>
      </c>
      <c r="C33" s="425">
        <v>1.8500000000000001E-3</v>
      </c>
      <c r="D33" s="424">
        <v>1.1400000000000001E-4</v>
      </c>
      <c r="E33" s="425">
        <v>1.1299999999999999E-3</v>
      </c>
      <c r="F33" s="461">
        <v>20</v>
      </c>
      <c r="G33" s="461" t="s">
        <v>2748</v>
      </c>
    </row>
    <row r="34" spans="1:7">
      <c r="A34" s="399" t="s">
        <v>3020</v>
      </c>
      <c r="B34" s="424">
        <v>1.1400000000000001E-4</v>
      </c>
      <c r="C34" s="425">
        <v>1.8500000000000001E-3</v>
      </c>
      <c r="D34" s="424">
        <v>1.1400000000000001E-4</v>
      </c>
      <c r="E34" s="425">
        <v>1.1299999999999999E-3</v>
      </c>
      <c r="F34" s="461">
        <v>20</v>
      </c>
      <c r="G34" s="461" t="s">
        <v>2748</v>
      </c>
    </row>
    <row r="35" spans="1:7">
      <c r="A35" s="399" t="s">
        <v>3022</v>
      </c>
      <c r="B35" s="424">
        <v>1.1400000000000001E-4</v>
      </c>
      <c r="C35" s="425">
        <v>1.8500000000000001E-3</v>
      </c>
      <c r="D35" s="424">
        <v>1.1400000000000001E-4</v>
      </c>
      <c r="E35" s="425">
        <v>1.1299999999999999E-3</v>
      </c>
      <c r="F35" s="461">
        <v>10</v>
      </c>
      <c r="G35" s="461" t="s">
        <v>2264</v>
      </c>
    </row>
    <row r="36" spans="1:7">
      <c r="A36" s="399" t="s">
        <v>3021</v>
      </c>
      <c r="B36" s="424">
        <v>1.1400000000000001E-4</v>
      </c>
      <c r="C36" s="425">
        <v>1.8500000000000001E-3</v>
      </c>
      <c r="D36" s="424">
        <v>1.1400000000000001E-4</v>
      </c>
      <c r="E36" s="425">
        <v>1.1299999999999999E-3</v>
      </c>
      <c r="F36" s="461">
        <v>10</v>
      </c>
      <c r="G36" s="461" t="s">
        <v>2264</v>
      </c>
    </row>
    <row r="37" spans="1:7">
      <c r="A37" s="400" t="s">
        <v>3023</v>
      </c>
      <c r="B37" s="424">
        <v>1.1400000000000001E-4</v>
      </c>
      <c r="C37" s="425">
        <v>1.8500000000000001E-3</v>
      </c>
      <c r="D37" s="424">
        <v>1.1400000000000001E-4</v>
      </c>
      <c r="E37" s="425">
        <v>1.1299999999999999E-3</v>
      </c>
      <c r="F37" s="461">
        <v>20</v>
      </c>
      <c r="G37" s="461" t="s">
        <v>2748</v>
      </c>
    </row>
    <row r="38" spans="1:7">
      <c r="A38" s="400" t="s">
        <v>3024</v>
      </c>
      <c r="B38" s="424">
        <v>1.1400000000000001E-4</v>
      </c>
      <c r="C38" s="425">
        <v>1.8500000000000001E-3</v>
      </c>
      <c r="D38" s="424">
        <v>1.1400000000000001E-4</v>
      </c>
      <c r="E38" s="425">
        <v>1.1299999999999999E-3</v>
      </c>
      <c r="F38" s="461">
        <v>20</v>
      </c>
      <c r="G38" s="461" t="s">
        <v>2748</v>
      </c>
    </row>
    <row r="39" spans="1:7">
      <c r="A39" s="399" t="s">
        <v>3038</v>
      </c>
      <c r="B39" s="424">
        <v>1.1400000000000001E-4</v>
      </c>
      <c r="C39" s="425">
        <v>1.8500000000000001E-3</v>
      </c>
      <c r="D39" s="424">
        <v>1.1400000000000001E-4</v>
      </c>
      <c r="E39" s="425">
        <v>1.1299999999999999E-3</v>
      </c>
      <c r="F39" s="461">
        <v>13</v>
      </c>
      <c r="G39" s="461" t="s">
        <v>895</v>
      </c>
    </row>
    <row r="40" spans="1:7">
      <c r="A40" s="400" t="s">
        <v>3025</v>
      </c>
      <c r="B40" s="424">
        <v>1.1400000000000001E-4</v>
      </c>
      <c r="C40" s="425">
        <v>1.8500000000000001E-3</v>
      </c>
      <c r="D40" s="424">
        <v>1.1400000000000001E-4</v>
      </c>
      <c r="E40" s="425">
        <v>1.1299999999999999E-3</v>
      </c>
      <c r="F40" s="461">
        <v>20</v>
      </c>
      <c r="G40" s="461" t="s">
        <v>2748</v>
      </c>
    </row>
    <row r="41" spans="1:7">
      <c r="A41" s="400" t="s">
        <v>3039</v>
      </c>
      <c r="B41" s="424">
        <v>1.1400000000000001E-4</v>
      </c>
      <c r="C41" s="425">
        <v>1.8500000000000001E-3</v>
      </c>
      <c r="D41" s="424">
        <v>1.1400000000000001E-4</v>
      </c>
      <c r="E41" s="425">
        <v>1.1299999999999999E-3</v>
      </c>
      <c r="F41" s="461">
        <v>15</v>
      </c>
      <c r="G41" s="461" t="s">
        <v>2748</v>
      </c>
    </row>
    <row r="42" spans="1:7">
      <c r="A42" s="400" t="s">
        <v>3026</v>
      </c>
      <c r="B42" s="424">
        <v>1.1400000000000001E-4</v>
      </c>
      <c r="C42" s="425">
        <v>1.8500000000000001E-3</v>
      </c>
      <c r="D42" s="424">
        <v>1.1400000000000001E-4</v>
      </c>
      <c r="E42" s="425">
        <v>1.1299999999999999E-3</v>
      </c>
      <c r="F42" s="461">
        <v>10</v>
      </c>
      <c r="G42" s="461" t="s">
        <v>2264</v>
      </c>
    </row>
    <row r="43" spans="1:7">
      <c r="A43" s="401" t="s">
        <v>1273</v>
      </c>
      <c r="B43" s="419"/>
      <c r="D43" s="419"/>
      <c r="E43" s="419"/>
      <c r="F43" s="419"/>
      <c r="G43" s="419"/>
    </row>
  </sheetData>
  <sortState ref="A3:G43">
    <sortCondition ref="A3:A43"/>
  </sortState>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sheetPr>
    <tabColor theme="3" tint="0.59999389629810485"/>
  </sheetPr>
  <dimension ref="A1:S127"/>
  <sheetViews>
    <sheetView showGridLines="0" view="pageBreakPreview" zoomScaleNormal="100" zoomScaleSheetLayoutView="100" workbookViewId="0"/>
  </sheetViews>
  <sheetFormatPr defaultRowHeight="12"/>
  <cols>
    <col min="1" max="1" width="9.140625" style="1119"/>
    <col min="2" max="2" width="32.140625" style="1119" customWidth="1"/>
    <col min="3" max="3" width="27.28515625" style="1119" customWidth="1"/>
    <col min="4" max="6" width="11.7109375" style="1119" customWidth="1"/>
    <col min="7" max="9" width="7.5703125" style="1119" customWidth="1"/>
    <col min="10" max="10" width="18.7109375" style="1119" customWidth="1"/>
    <col min="11" max="11" width="5.140625" style="1119" customWidth="1"/>
    <col min="12" max="12" width="8.28515625" style="1119" customWidth="1"/>
    <col min="13" max="13" width="5.42578125" style="1119" customWidth="1"/>
    <col min="14" max="14" width="9.85546875" style="1119" customWidth="1"/>
    <col min="15" max="15" width="9.5703125" style="1119" customWidth="1"/>
    <col min="16" max="16" width="11.42578125" style="1119" customWidth="1"/>
    <col min="17" max="18" width="9.140625" style="1119"/>
    <col min="19" max="19" width="9.140625" style="1119" hidden="1" customWidth="1"/>
    <col min="20" max="255" width="9.140625" style="1119"/>
    <col min="256" max="256" width="20" style="1119" customWidth="1"/>
    <col min="257" max="257" width="18.140625" style="1119" customWidth="1"/>
    <col min="258" max="258" width="10.5703125" style="1119" customWidth="1"/>
    <col min="259" max="259" width="9.140625" style="1119" customWidth="1"/>
    <col min="260" max="263" width="7.5703125" style="1119" customWidth="1"/>
    <col min="264" max="264" width="26.42578125" style="1119" customWidth="1"/>
    <col min="265" max="265" width="11" style="1119" customWidth="1"/>
    <col min="266" max="266" width="8.28515625" style="1119" customWidth="1"/>
    <col min="267" max="267" width="5.42578125" style="1119" customWidth="1"/>
    <col min="268" max="268" width="9.85546875" style="1119" customWidth="1"/>
    <col min="269" max="269" width="9.140625" style="1119"/>
    <col min="270" max="270" width="13.85546875" style="1119" customWidth="1"/>
    <col min="271" max="271" width="19.7109375" style="1119" customWidth="1"/>
    <col min="272" max="272" width="11.42578125" style="1119" customWidth="1"/>
    <col min="273" max="274" width="9.140625" style="1119"/>
    <col min="275" max="275" width="0" style="1119" hidden="1" customWidth="1"/>
    <col min="276" max="511" width="9.140625" style="1119"/>
    <col min="512" max="512" width="20" style="1119" customWidth="1"/>
    <col min="513" max="513" width="18.140625" style="1119" customWidth="1"/>
    <col min="514" max="514" width="10.5703125" style="1119" customWidth="1"/>
    <col min="515" max="515" width="9.140625" style="1119" customWidth="1"/>
    <col min="516" max="519" width="7.5703125" style="1119" customWidth="1"/>
    <col min="520" max="520" width="26.42578125" style="1119" customWidth="1"/>
    <col min="521" max="521" width="11" style="1119" customWidth="1"/>
    <col min="522" max="522" width="8.28515625" style="1119" customWidth="1"/>
    <col min="523" max="523" width="5.42578125" style="1119" customWidth="1"/>
    <col min="524" max="524" width="9.85546875" style="1119" customWidth="1"/>
    <col min="525" max="525" width="9.140625" style="1119"/>
    <col min="526" max="526" width="13.85546875" style="1119" customWidth="1"/>
    <col min="527" max="527" width="19.7109375" style="1119" customWidth="1"/>
    <col min="528" max="528" width="11.42578125" style="1119" customWidth="1"/>
    <col min="529" max="530" width="9.140625" style="1119"/>
    <col min="531" max="531" width="0" style="1119" hidden="1" customWidth="1"/>
    <col min="532" max="767" width="9.140625" style="1119"/>
    <col min="768" max="768" width="20" style="1119" customWidth="1"/>
    <col min="769" max="769" width="18.140625" style="1119" customWidth="1"/>
    <col min="770" max="770" width="10.5703125" style="1119" customWidth="1"/>
    <col min="771" max="771" width="9.140625" style="1119" customWidth="1"/>
    <col min="772" max="775" width="7.5703125" style="1119" customWidth="1"/>
    <col min="776" max="776" width="26.42578125" style="1119" customWidth="1"/>
    <col min="777" max="777" width="11" style="1119" customWidth="1"/>
    <col min="778" max="778" width="8.28515625" style="1119" customWidth="1"/>
    <col min="779" max="779" width="5.42578125" style="1119" customWidth="1"/>
    <col min="780" max="780" width="9.85546875" style="1119" customWidth="1"/>
    <col min="781" max="781" width="9.140625" style="1119"/>
    <col min="782" max="782" width="13.85546875" style="1119" customWidth="1"/>
    <col min="783" max="783" width="19.7109375" style="1119" customWidth="1"/>
    <col min="784" max="784" width="11.42578125" style="1119" customWidth="1"/>
    <col min="785" max="786" width="9.140625" style="1119"/>
    <col min="787" max="787" width="0" style="1119" hidden="1" customWidth="1"/>
    <col min="788" max="1023" width="9.140625" style="1119"/>
    <col min="1024" max="1024" width="20" style="1119" customWidth="1"/>
    <col min="1025" max="1025" width="18.140625" style="1119" customWidth="1"/>
    <col min="1026" max="1026" width="10.5703125" style="1119" customWidth="1"/>
    <col min="1027" max="1027" width="9.140625" style="1119" customWidth="1"/>
    <col min="1028" max="1031" width="7.5703125" style="1119" customWidth="1"/>
    <col min="1032" max="1032" width="26.42578125" style="1119" customWidth="1"/>
    <col min="1033" max="1033" width="11" style="1119" customWidth="1"/>
    <col min="1034" max="1034" width="8.28515625" style="1119" customWidth="1"/>
    <col min="1035" max="1035" width="5.42578125" style="1119" customWidth="1"/>
    <col min="1036" max="1036" width="9.85546875" style="1119" customWidth="1"/>
    <col min="1037" max="1037" width="9.140625" style="1119"/>
    <col min="1038" max="1038" width="13.85546875" style="1119" customWidth="1"/>
    <col min="1039" max="1039" width="19.7109375" style="1119" customWidth="1"/>
    <col min="1040" max="1040" width="11.42578125" style="1119" customWidth="1"/>
    <col min="1041" max="1042" width="9.140625" style="1119"/>
    <col min="1043" max="1043" width="0" style="1119" hidden="1" customWidth="1"/>
    <col min="1044" max="1279" width="9.140625" style="1119"/>
    <col min="1280" max="1280" width="20" style="1119" customWidth="1"/>
    <col min="1281" max="1281" width="18.140625" style="1119" customWidth="1"/>
    <col min="1282" max="1282" width="10.5703125" style="1119" customWidth="1"/>
    <col min="1283" max="1283" width="9.140625" style="1119" customWidth="1"/>
    <col min="1284" max="1287" width="7.5703125" style="1119" customWidth="1"/>
    <col min="1288" max="1288" width="26.42578125" style="1119" customWidth="1"/>
    <col min="1289" max="1289" width="11" style="1119" customWidth="1"/>
    <col min="1290" max="1290" width="8.28515625" style="1119" customWidth="1"/>
    <col min="1291" max="1291" width="5.42578125" style="1119" customWidth="1"/>
    <col min="1292" max="1292" width="9.85546875" style="1119" customWidth="1"/>
    <col min="1293" max="1293" width="9.140625" style="1119"/>
    <col min="1294" max="1294" width="13.85546875" style="1119" customWidth="1"/>
    <col min="1295" max="1295" width="19.7109375" style="1119" customWidth="1"/>
    <col min="1296" max="1296" width="11.42578125" style="1119" customWidth="1"/>
    <col min="1297" max="1298" width="9.140625" style="1119"/>
    <col min="1299" max="1299" width="0" style="1119" hidden="1" customWidth="1"/>
    <col min="1300" max="1535" width="9.140625" style="1119"/>
    <col min="1536" max="1536" width="20" style="1119" customWidth="1"/>
    <col min="1537" max="1537" width="18.140625" style="1119" customWidth="1"/>
    <col min="1538" max="1538" width="10.5703125" style="1119" customWidth="1"/>
    <col min="1539" max="1539" width="9.140625" style="1119" customWidth="1"/>
    <col min="1540" max="1543" width="7.5703125" style="1119" customWidth="1"/>
    <col min="1544" max="1544" width="26.42578125" style="1119" customWidth="1"/>
    <col min="1545" max="1545" width="11" style="1119" customWidth="1"/>
    <col min="1546" max="1546" width="8.28515625" style="1119" customWidth="1"/>
    <col min="1547" max="1547" width="5.42578125" style="1119" customWidth="1"/>
    <col min="1548" max="1548" width="9.85546875" style="1119" customWidth="1"/>
    <col min="1549" max="1549" width="9.140625" style="1119"/>
    <col min="1550" max="1550" width="13.85546875" style="1119" customWidth="1"/>
    <col min="1551" max="1551" width="19.7109375" style="1119" customWidth="1"/>
    <col min="1552" max="1552" width="11.42578125" style="1119" customWidth="1"/>
    <col min="1553" max="1554" width="9.140625" style="1119"/>
    <col min="1555" max="1555" width="0" style="1119" hidden="1" customWidth="1"/>
    <col min="1556" max="1791" width="9.140625" style="1119"/>
    <col min="1792" max="1792" width="20" style="1119" customWidth="1"/>
    <col min="1793" max="1793" width="18.140625" style="1119" customWidth="1"/>
    <col min="1794" max="1794" width="10.5703125" style="1119" customWidth="1"/>
    <col min="1795" max="1795" width="9.140625" style="1119" customWidth="1"/>
    <col min="1796" max="1799" width="7.5703125" style="1119" customWidth="1"/>
    <col min="1800" max="1800" width="26.42578125" style="1119" customWidth="1"/>
    <col min="1801" max="1801" width="11" style="1119" customWidth="1"/>
    <col min="1802" max="1802" width="8.28515625" style="1119" customWidth="1"/>
    <col min="1803" max="1803" width="5.42578125" style="1119" customWidth="1"/>
    <col min="1804" max="1804" width="9.85546875" style="1119" customWidth="1"/>
    <col min="1805" max="1805" width="9.140625" style="1119"/>
    <col min="1806" max="1806" width="13.85546875" style="1119" customWidth="1"/>
    <col min="1807" max="1807" width="19.7109375" style="1119" customWidth="1"/>
    <col min="1808" max="1808" width="11.42578125" style="1119" customWidth="1"/>
    <col min="1809" max="1810" width="9.140625" style="1119"/>
    <col min="1811" max="1811" width="0" style="1119" hidden="1" customWidth="1"/>
    <col min="1812" max="2047" width="9.140625" style="1119"/>
    <col min="2048" max="2048" width="20" style="1119" customWidth="1"/>
    <col min="2049" max="2049" width="18.140625" style="1119" customWidth="1"/>
    <col min="2050" max="2050" width="10.5703125" style="1119" customWidth="1"/>
    <col min="2051" max="2051" width="9.140625" style="1119" customWidth="1"/>
    <col min="2052" max="2055" width="7.5703125" style="1119" customWidth="1"/>
    <col min="2056" max="2056" width="26.42578125" style="1119" customWidth="1"/>
    <col min="2057" max="2057" width="11" style="1119" customWidth="1"/>
    <col min="2058" max="2058" width="8.28515625" style="1119" customWidth="1"/>
    <col min="2059" max="2059" width="5.42578125" style="1119" customWidth="1"/>
    <col min="2060" max="2060" width="9.85546875" style="1119" customWidth="1"/>
    <col min="2061" max="2061" width="9.140625" style="1119"/>
    <col min="2062" max="2062" width="13.85546875" style="1119" customWidth="1"/>
    <col min="2063" max="2063" width="19.7109375" style="1119" customWidth="1"/>
    <col min="2064" max="2064" width="11.42578125" style="1119" customWidth="1"/>
    <col min="2065" max="2066" width="9.140625" style="1119"/>
    <col min="2067" max="2067" width="0" style="1119" hidden="1" customWidth="1"/>
    <col min="2068" max="2303" width="9.140625" style="1119"/>
    <col min="2304" max="2304" width="20" style="1119" customWidth="1"/>
    <col min="2305" max="2305" width="18.140625" style="1119" customWidth="1"/>
    <col min="2306" max="2306" width="10.5703125" style="1119" customWidth="1"/>
    <col min="2307" max="2307" width="9.140625" style="1119" customWidth="1"/>
    <col min="2308" max="2311" width="7.5703125" style="1119" customWidth="1"/>
    <col min="2312" max="2312" width="26.42578125" style="1119" customWidth="1"/>
    <col min="2313" max="2313" width="11" style="1119" customWidth="1"/>
    <col min="2314" max="2314" width="8.28515625" style="1119" customWidth="1"/>
    <col min="2315" max="2315" width="5.42578125" style="1119" customWidth="1"/>
    <col min="2316" max="2316" width="9.85546875" style="1119" customWidth="1"/>
    <col min="2317" max="2317" width="9.140625" style="1119"/>
    <col min="2318" max="2318" width="13.85546875" style="1119" customWidth="1"/>
    <col min="2319" max="2319" width="19.7109375" style="1119" customWidth="1"/>
    <col min="2320" max="2320" width="11.42578125" style="1119" customWidth="1"/>
    <col min="2321" max="2322" width="9.140625" style="1119"/>
    <col min="2323" max="2323" width="0" style="1119" hidden="1" customWidth="1"/>
    <col min="2324" max="2559" width="9.140625" style="1119"/>
    <col min="2560" max="2560" width="20" style="1119" customWidth="1"/>
    <col min="2561" max="2561" width="18.140625" style="1119" customWidth="1"/>
    <col min="2562" max="2562" width="10.5703125" style="1119" customWidth="1"/>
    <col min="2563" max="2563" width="9.140625" style="1119" customWidth="1"/>
    <col min="2564" max="2567" width="7.5703125" style="1119" customWidth="1"/>
    <col min="2568" max="2568" width="26.42578125" style="1119" customWidth="1"/>
    <col min="2569" max="2569" width="11" style="1119" customWidth="1"/>
    <col min="2570" max="2570" width="8.28515625" style="1119" customWidth="1"/>
    <col min="2571" max="2571" width="5.42578125" style="1119" customWidth="1"/>
    <col min="2572" max="2572" width="9.85546875" style="1119" customWidth="1"/>
    <col min="2573" max="2573" width="9.140625" style="1119"/>
    <col min="2574" max="2574" width="13.85546875" style="1119" customWidth="1"/>
    <col min="2575" max="2575" width="19.7109375" style="1119" customWidth="1"/>
    <col min="2576" max="2576" width="11.42578125" style="1119" customWidth="1"/>
    <col min="2577" max="2578" width="9.140625" style="1119"/>
    <col min="2579" max="2579" width="0" style="1119" hidden="1" customWidth="1"/>
    <col min="2580" max="2815" width="9.140625" style="1119"/>
    <col min="2816" max="2816" width="20" style="1119" customWidth="1"/>
    <col min="2817" max="2817" width="18.140625" style="1119" customWidth="1"/>
    <col min="2818" max="2818" width="10.5703125" style="1119" customWidth="1"/>
    <col min="2819" max="2819" width="9.140625" style="1119" customWidth="1"/>
    <col min="2820" max="2823" width="7.5703125" style="1119" customWidth="1"/>
    <col min="2824" max="2824" width="26.42578125" style="1119" customWidth="1"/>
    <col min="2825" max="2825" width="11" style="1119" customWidth="1"/>
    <col min="2826" max="2826" width="8.28515625" style="1119" customWidth="1"/>
    <col min="2827" max="2827" width="5.42578125" style="1119" customWidth="1"/>
    <col min="2828" max="2828" width="9.85546875" style="1119" customWidth="1"/>
    <col min="2829" max="2829" width="9.140625" style="1119"/>
    <col min="2830" max="2830" width="13.85546875" style="1119" customWidth="1"/>
    <col min="2831" max="2831" width="19.7109375" style="1119" customWidth="1"/>
    <col min="2832" max="2832" width="11.42578125" style="1119" customWidth="1"/>
    <col min="2833" max="2834" width="9.140625" style="1119"/>
    <col min="2835" max="2835" width="0" style="1119" hidden="1" customWidth="1"/>
    <col min="2836" max="3071" width="9.140625" style="1119"/>
    <col min="3072" max="3072" width="20" style="1119" customWidth="1"/>
    <col min="3073" max="3073" width="18.140625" style="1119" customWidth="1"/>
    <col min="3074" max="3074" width="10.5703125" style="1119" customWidth="1"/>
    <col min="3075" max="3075" width="9.140625" style="1119" customWidth="1"/>
    <col min="3076" max="3079" width="7.5703125" style="1119" customWidth="1"/>
    <col min="3080" max="3080" width="26.42578125" style="1119" customWidth="1"/>
    <col min="3081" max="3081" width="11" style="1119" customWidth="1"/>
    <col min="3082" max="3082" width="8.28515625" style="1119" customWidth="1"/>
    <col min="3083" max="3083" width="5.42578125" style="1119" customWidth="1"/>
    <col min="3084" max="3084" width="9.85546875" style="1119" customWidth="1"/>
    <col min="3085" max="3085" width="9.140625" style="1119"/>
    <col min="3086" max="3086" width="13.85546875" style="1119" customWidth="1"/>
    <col min="3087" max="3087" width="19.7109375" style="1119" customWidth="1"/>
    <col min="3088" max="3088" width="11.42578125" style="1119" customWidth="1"/>
    <col min="3089" max="3090" width="9.140625" style="1119"/>
    <col min="3091" max="3091" width="0" style="1119" hidden="1" customWidth="1"/>
    <col min="3092" max="3327" width="9.140625" style="1119"/>
    <col min="3328" max="3328" width="20" style="1119" customWidth="1"/>
    <col min="3329" max="3329" width="18.140625" style="1119" customWidth="1"/>
    <col min="3330" max="3330" width="10.5703125" style="1119" customWidth="1"/>
    <col min="3331" max="3331" width="9.140625" style="1119" customWidth="1"/>
    <col min="3332" max="3335" width="7.5703125" style="1119" customWidth="1"/>
    <col min="3336" max="3336" width="26.42578125" style="1119" customWidth="1"/>
    <col min="3337" max="3337" width="11" style="1119" customWidth="1"/>
    <col min="3338" max="3338" width="8.28515625" style="1119" customWidth="1"/>
    <col min="3339" max="3339" width="5.42578125" style="1119" customWidth="1"/>
    <col min="3340" max="3340" width="9.85546875" style="1119" customWidth="1"/>
    <col min="3341" max="3341" width="9.140625" style="1119"/>
    <col min="3342" max="3342" width="13.85546875" style="1119" customWidth="1"/>
    <col min="3343" max="3343" width="19.7109375" style="1119" customWidth="1"/>
    <col min="3344" max="3344" width="11.42578125" style="1119" customWidth="1"/>
    <col min="3345" max="3346" width="9.140625" style="1119"/>
    <col min="3347" max="3347" width="0" style="1119" hidden="1" customWidth="1"/>
    <col min="3348" max="3583" width="9.140625" style="1119"/>
    <col min="3584" max="3584" width="20" style="1119" customWidth="1"/>
    <col min="3585" max="3585" width="18.140625" style="1119" customWidth="1"/>
    <col min="3586" max="3586" width="10.5703125" style="1119" customWidth="1"/>
    <col min="3587" max="3587" width="9.140625" style="1119" customWidth="1"/>
    <col min="3588" max="3591" width="7.5703125" style="1119" customWidth="1"/>
    <col min="3592" max="3592" width="26.42578125" style="1119" customWidth="1"/>
    <col min="3593" max="3593" width="11" style="1119" customWidth="1"/>
    <col min="3594" max="3594" width="8.28515625" style="1119" customWidth="1"/>
    <col min="3595" max="3595" width="5.42578125" style="1119" customWidth="1"/>
    <col min="3596" max="3596" width="9.85546875" style="1119" customWidth="1"/>
    <col min="3597" max="3597" width="9.140625" style="1119"/>
    <col min="3598" max="3598" width="13.85546875" style="1119" customWidth="1"/>
    <col min="3599" max="3599" width="19.7109375" style="1119" customWidth="1"/>
    <col min="3600" max="3600" width="11.42578125" style="1119" customWidth="1"/>
    <col min="3601" max="3602" width="9.140625" style="1119"/>
    <col min="3603" max="3603" width="0" style="1119" hidden="1" customWidth="1"/>
    <col min="3604" max="3839" width="9.140625" style="1119"/>
    <col min="3840" max="3840" width="20" style="1119" customWidth="1"/>
    <col min="3841" max="3841" width="18.140625" style="1119" customWidth="1"/>
    <col min="3842" max="3842" width="10.5703125" style="1119" customWidth="1"/>
    <col min="3843" max="3843" width="9.140625" style="1119" customWidth="1"/>
    <col min="3844" max="3847" width="7.5703125" style="1119" customWidth="1"/>
    <col min="3848" max="3848" width="26.42578125" style="1119" customWidth="1"/>
    <col min="3849" max="3849" width="11" style="1119" customWidth="1"/>
    <col min="3850" max="3850" width="8.28515625" style="1119" customWidth="1"/>
    <col min="3851" max="3851" width="5.42578125" style="1119" customWidth="1"/>
    <col min="3852" max="3852" width="9.85546875" style="1119" customWidth="1"/>
    <col min="3853" max="3853" width="9.140625" style="1119"/>
    <col min="3854" max="3854" width="13.85546875" style="1119" customWidth="1"/>
    <col min="3855" max="3855" width="19.7109375" style="1119" customWidth="1"/>
    <col min="3856" max="3856" width="11.42578125" style="1119" customWidth="1"/>
    <col min="3857" max="3858" width="9.140625" style="1119"/>
    <col min="3859" max="3859" width="0" style="1119" hidden="1" customWidth="1"/>
    <col min="3860" max="4095" width="9.140625" style="1119"/>
    <col min="4096" max="4096" width="20" style="1119" customWidth="1"/>
    <col min="4097" max="4097" width="18.140625" style="1119" customWidth="1"/>
    <col min="4098" max="4098" width="10.5703125" style="1119" customWidth="1"/>
    <col min="4099" max="4099" width="9.140625" style="1119" customWidth="1"/>
    <col min="4100" max="4103" width="7.5703125" style="1119" customWidth="1"/>
    <col min="4104" max="4104" width="26.42578125" style="1119" customWidth="1"/>
    <col min="4105" max="4105" width="11" style="1119" customWidth="1"/>
    <col min="4106" max="4106" width="8.28515625" style="1119" customWidth="1"/>
    <col min="4107" max="4107" width="5.42578125" style="1119" customWidth="1"/>
    <col min="4108" max="4108" width="9.85546875" style="1119" customWidth="1"/>
    <col min="4109" max="4109" width="9.140625" style="1119"/>
    <col min="4110" max="4110" width="13.85546875" style="1119" customWidth="1"/>
    <col min="4111" max="4111" width="19.7109375" style="1119" customWidth="1"/>
    <col min="4112" max="4112" width="11.42578125" style="1119" customWidth="1"/>
    <col min="4113" max="4114" width="9.140625" style="1119"/>
    <col min="4115" max="4115" width="0" style="1119" hidden="1" customWidth="1"/>
    <col min="4116" max="4351" width="9.140625" style="1119"/>
    <col min="4352" max="4352" width="20" style="1119" customWidth="1"/>
    <col min="4353" max="4353" width="18.140625" style="1119" customWidth="1"/>
    <col min="4354" max="4354" width="10.5703125" style="1119" customWidth="1"/>
    <col min="4355" max="4355" width="9.140625" style="1119" customWidth="1"/>
    <col min="4356" max="4359" width="7.5703125" style="1119" customWidth="1"/>
    <col min="4360" max="4360" width="26.42578125" style="1119" customWidth="1"/>
    <col min="4361" max="4361" width="11" style="1119" customWidth="1"/>
    <col min="4362" max="4362" width="8.28515625" style="1119" customWidth="1"/>
    <col min="4363" max="4363" width="5.42578125" style="1119" customWidth="1"/>
    <col min="4364" max="4364" width="9.85546875" style="1119" customWidth="1"/>
    <col min="4365" max="4365" width="9.140625" style="1119"/>
    <col min="4366" max="4366" width="13.85546875" style="1119" customWidth="1"/>
    <col min="4367" max="4367" width="19.7109375" style="1119" customWidth="1"/>
    <col min="4368" max="4368" width="11.42578125" style="1119" customWidth="1"/>
    <col min="4369" max="4370" width="9.140625" style="1119"/>
    <col min="4371" max="4371" width="0" style="1119" hidden="1" customWidth="1"/>
    <col min="4372" max="4607" width="9.140625" style="1119"/>
    <col min="4608" max="4608" width="20" style="1119" customWidth="1"/>
    <col min="4609" max="4609" width="18.140625" style="1119" customWidth="1"/>
    <col min="4610" max="4610" width="10.5703125" style="1119" customWidth="1"/>
    <col min="4611" max="4611" width="9.140625" style="1119" customWidth="1"/>
    <col min="4612" max="4615" width="7.5703125" style="1119" customWidth="1"/>
    <col min="4616" max="4616" width="26.42578125" style="1119" customWidth="1"/>
    <col min="4617" max="4617" width="11" style="1119" customWidth="1"/>
    <col min="4618" max="4618" width="8.28515625" style="1119" customWidth="1"/>
    <col min="4619" max="4619" width="5.42578125" style="1119" customWidth="1"/>
    <col min="4620" max="4620" width="9.85546875" style="1119" customWidth="1"/>
    <col min="4621" max="4621" width="9.140625" style="1119"/>
    <col min="4622" max="4622" width="13.85546875" style="1119" customWidth="1"/>
    <col min="4623" max="4623" width="19.7109375" style="1119" customWidth="1"/>
    <col min="4624" max="4624" width="11.42578125" style="1119" customWidth="1"/>
    <col min="4625" max="4626" width="9.140625" style="1119"/>
    <col min="4627" max="4627" width="0" style="1119" hidden="1" customWidth="1"/>
    <col min="4628" max="4863" width="9.140625" style="1119"/>
    <col min="4864" max="4864" width="20" style="1119" customWidth="1"/>
    <col min="4865" max="4865" width="18.140625" style="1119" customWidth="1"/>
    <col min="4866" max="4866" width="10.5703125" style="1119" customWidth="1"/>
    <col min="4867" max="4867" width="9.140625" style="1119" customWidth="1"/>
    <col min="4868" max="4871" width="7.5703125" style="1119" customWidth="1"/>
    <col min="4872" max="4872" width="26.42578125" style="1119" customWidth="1"/>
    <col min="4873" max="4873" width="11" style="1119" customWidth="1"/>
    <col min="4874" max="4874" width="8.28515625" style="1119" customWidth="1"/>
    <col min="4875" max="4875" width="5.42578125" style="1119" customWidth="1"/>
    <col min="4876" max="4876" width="9.85546875" style="1119" customWidth="1"/>
    <col min="4877" max="4877" width="9.140625" style="1119"/>
    <col min="4878" max="4878" width="13.85546875" style="1119" customWidth="1"/>
    <col min="4879" max="4879" width="19.7109375" style="1119" customWidth="1"/>
    <col min="4880" max="4880" width="11.42578125" style="1119" customWidth="1"/>
    <col min="4881" max="4882" width="9.140625" style="1119"/>
    <col min="4883" max="4883" width="0" style="1119" hidden="1" customWidth="1"/>
    <col min="4884" max="5119" width="9.140625" style="1119"/>
    <col min="5120" max="5120" width="20" style="1119" customWidth="1"/>
    <col min="5121" max="5121" width="18.140625" style="1119" customWidth="1"/>
    <col min="5122" max="5122" width="10.5703125" style="1119" customWidth="1"/>
    <col min="5123" max="5123" width="9.140625" style="1119" customWidth="1"/>
    <col min="5124" max="5127" width="7.5703125" style="1119" customWidth="1"/>
    <col min="5128" max="5128" width="26.42578125" style="1119" customWidth="1"/>
    <col min="5129" max="5129" width="11" style="1119" customWidth="1"/>
    <col min="5130" max="5130" width="8.28515625" style="1119" customWidth="1"/>
    <col min="5131" max="5131" width="5.42578125" style="1119" customWidth="1"/>
    <col min="5132" max="5132" width="9.85546875" style="1119" customWidth="1"/>
    <col min="5133" max="5133" width="9.140625" style="1119"/>
    <col min="5134" max="5134" width="13.85546875" style="1119" customWidth="1"/>
    <col min="5135" max="5135" width="19.7109375" style="1119" customWidth="1"/>
    <col min="5136" max="5136" width="11.42578125" style="1119" customWidth="1"/>
    <col min="5137" max="5138" width="9.140625" style="1119"/>
    <col min="5139" max="5139" width="0" style="1119" hidden="1" customWidth="1"/>
    <col min="5140" max="5375" width="9.140625" style="1119"/>
    <col min="5376" max="5376" width="20" style="1119" customWidth="1"/>
    <col min="5377" max="5377" width="18.140625" style="1119" customWidth="1"/>
    <col min="5378" max="5378" width="10.5703125" style="1119" customWidth="1"/>
    <col min="5379" max="5379" width="9.140625" style="1119" customWidth="1"/>
    <col min="5380" max="5383" width="7.5703125" style="1119" customWidth="1"/>
    <col min="5384" max="5384" width="26.42578125" style="1119" customWidth="1"/>
    <col min="5385" max="5385" width="11" style="1119" customWidth="1"/>
    <col min="5386" max="5386" width="8.28515625" style="1119" customWidth="1"/>
    <col min="5387" max="5387" width="5.42578125" style="1119" customWidth="1"/>
    <col min="5388" max="5388" width="9.85546875" style="1119" customWidth="1"/>
    <col min="5389" max="5389" width="9.140625" style="1119"/>
    <col min="5390" max="5390" width="13.85546875" style="1119" customWidth="1"/>
    <col min="5391" max="5391" width="19.7109375" style="1119" customWidth="1"/>
    <col min="5392" max="5392" width="11.42578125" style="1119" customWidth="1"/>
    <col min="5393" max="5394" width="9.140625" style="1119"/>
    <col min="5395" max="5395" width="0" style="1119" hidden="1" customWidth="1"/>
    <col min="5396" max="5631" width="9.140625" style="1119"/>
    <col min="5632" max="5632" width="20" style="1119" customWidth="1"/>
    <col min="5633" max="5633" width="18.140625" style="1119" customWidth="1"/>
    <col min="5634" max="5634" width="10.5703125" style="1119" customWidth="1"/>
    <col min="5635" max="5635" width="9.140625" style="1119" customWidth="1"/>
    <col min="5636" max="5639" width="7.5703125" style="1119" customWidth="1"/>
    <col min="5640" max="5640" width="26.42578125" style="1119" customWidth="1"/>
    <col min="5641" max="5641" width="11" style="1119" customWidth="1"/>
    <col min="5642" max="5642" width="8.28515625" style="1119" customWidth="1"/>
    <col min="5643" max="5643" width="5.42578125" style="1119" customWidth="1"/>
    <col min="5644" max="5644" width="9.85546875" style="1119" customWidth="1"/>
    <col min="5645" max="5645" width="9.140625" style="1119"/>
    <col min="5646" max="5646" width="13.85546875" style="1119" customWidth="1"/>
    <col min="5647" max="5647" width="19.7109375" style="1119" customWidth="1"/>
    <col min="5648" max="5648" width="11.42578125" style="1119" customWidth="1"/>
    <col min="5649" max="5650" width="9.140625" style="1119"/>
    <col min="5651" max="5651" width="0" style="1119" hidden="1" customWidth="1"/>
    <col min="5652" max="5887" width="9.140625" style="1119"/>
    <col min="5888" max="5888" width="20" style="1119" customWidth="1"/>
    <col min="5889" max="5889" width="18.140625" style="1119" customWidth="1"/>
    <col min="5890" max="5890" width="10.5703125" style="1119" customWidth="1"/>
    <col min="5891" max="5891" width="9.140625" style="1119" customWidth="1"/>
    <col min="5892" max="5895" width="7.5703125" style="1119" customWidth="1"/>
    <col min="5896" max="5896" width="26.42578125" style="1119" customWidth="1"/>
    <col min="5897" max="5897" width="11" style="1119" customWidth="1"/>
    <col min="5898" max="5898" width="8.28515625" style="1119" customWidth="1"/>
    <col min="5899" max="5899" width="5.42578125" style="1119" customWidth="1"/>
    <col min="5900" max="5900" width="9.85546875" style="1119" customWidth="1"/>
    <col min="5901" max="5901" width="9.140625" style="1119"/>
    <col min="5902" max="5902" width="13.85546875" style="1119" customWidth="1"/>
    <col min="5903" max="5903" width="19.7109375" style="1119" customWidth="1"/>
    <col min="5904" max="5904" width="11.42578125" style="1119" customWidth="1"/>
    <col min="5905" max="5906" width="9.140625" style="1119"/>
    <col min="5907" max="5907" width="0" style="1119" hidden="1" customWidth="1"/>
    <col min="5908" max="6143" width="9.140625" style="1119"/>
    <col min="6144" max="6144" width="20" style="1119" customWidth="1"/>
    <col min="6145" max="6145" width="18.140625" style="1119" customWidth="1"/>
    <col min="6146" max="6146" width="10.5703125" style="1119" customWidth="1"/>
    <col min="6147" max="6147" width="9.140625" style="1119" customWidth="1"/>
    <col min="6148" max="6151" width="7.5703125" style="1119" customWidth="1"/>
    <col min="6152" max="6152" width="26.42578125" style="1119" customWidth="1"/>
    <col min="6153" max="6153" width="11" style="1119" customWidth="1"/>
    <col min="6154" max="6154" width="8.28515625" style="1119" customWidth="1"/>
    <col min="6155" max="6155" width="5.42578125" style="1119" customWidth="1"/>
    <col min="6156" max="6156" width="9.85546875" style="1119" customWidth="1"/>
    <col min="6157" max="6157" width="9.140625" style="1119"/>
    <col min="6158" max="6158" width="13.85546875" style="1119" customWidth="1"/>
    <col min="6159" max="6159" width="19.7109375" style="1119" customWidth="1"/>
    <col min="6160" max="6160" width="11.42578125" style="1119" customWidth="1"/>
    <col min="6161" max="6162" width="9.140625" style="1119"/>
    <col min="6163" max="6163" width="0" style="1119" hidden="1" customWidth="1"/>
    <col min="6164" max="6399" width="9.140625" style="1119"/>
    <col min="6400" max="6400" width="20" style="1119" customWidth="1"/>
    <col min="6401" max="6401" width="18.140625" style="1119" customWidth="1"/>
    <col min="6402" max="6402" width="10.5703125" style="1119" customWidth="1"/>
    <col min="6403" max="6403" width="9.140625" style="1119" customWidth="1"/>
    <col min="6404" max="6407" width="7.5703125" style="1119" customWidth="1"/>
    <col min="6408" max="6408" width="26.42578125" style="1119" customWidth="1"/>
    <col min="6409" max="6409" width="11" style="1119" customWidth="1"/>
    <col min="6410" max="6410" width="8.28515625" style="1119" customWidth="1"/>
    <col min="6411" max="6411" width="5.42578125" style="1119" customWidth="1"/>
    <col min="6412" max="6412" width="9.85546875" style="1119" customWidth="1"/>
    <col min="6413" max="6413" width="9.140625" style="1119"/>
    <col min="6414" max="6414" width="13.85546875" style="1119" customWidth="1"/>
    <col min="6415" max="6415" width="19.7109375" style="1119" customWidth="1"/>
    <col min="6416" max="6416" width="11.42578125" style="1119" customWidth="1"/>
    <col min="6417" max="6418" width="9.140625" style="1119"/>
    <col min="6419" max="6419" width="0" style="1119" hidden="1" customWidth="1"/>
    <col min="6420" max="6655" width="9.140625" style="1119"/>
    <col min="6656" max="6656" width="20" style="1119" customWidth="1"/>
    <col min="6657" max="6657" width="18.140625" style="1119" customWidth="1"/>
    <col min="6658" max="6658" width="10.5703125" style="1119" customWidth="1"/>
    <col min="6659" max="6659" width="9.140625" style="1119" customWidth="1"/>
    <col min="6660" max="6663" width="7.5703125" style="1119" customWidth="1"/>
    <col min="6664" max="6664" width="26.42578125" style="1119" customWidth="1"/>
    <col min="6665" max="6665" width="11" style="1119" customWidth="1"/>
    <col min="6666" max="6666" width="8.28515625" style="1119" customWidth="1"/>
    <col min="6667" max="6667" width="5.42578125" style="1119" customWidth="1"/>
    <col min="6668" max="6668" width="9.85546875" style="1119" customWidth="1"/>
    <col min="6669" max="6669" width="9.140625" style="1119"/>
    <col min="6670" max="6670" width="13.85546875" style="1119" customWidth="1"/>
    <col min="6671" max="6671" width="19.7109375" style="1119" customWidth="1"/>
    <col min="6672" max="6672" width="11.42578125" style="1119" customWidth="1"/>
    <col min="6673" max="6674" width="9.140625" style="1119"/>
    <col min="6675" max="6675" width="0" style="1119" hidden="1" customWidth="1"/>
    <col min="6676" max="6911" width="9.140625" style="1119"/>
    <col min="6912" max="6912" width="20" style="1119" customWidth="1"/>
    <col min="6913" max="6913" width="18.140625" style="1119" customWidth="1"/>
    <col min="6914" max="6914" width="10.5703125" style="1119" customWidth="1"/>
    <col min="6915" max="6915" width="9.140625" style="1119" customWidth="1"/>
    <col min="6916" max="6919" width="7.5703125" style="1119" customWidth="1"/>
    <col min="6920" max="6920" width="26.42578125" style="1119" customWidth="1"/>
    <col min="6921" max="6921" width="11" style="1119" customWidth="1"/>
    <col min="6922" max="6922" width="8.28515625" style="1119" customWidth="1"/>
    <col min="6923" max="6923" width="5.42578125" style="1119" customWidth="1"/>
    <col min="6924" max="6924" width="9.85546875" style="1119" customWidth="1"/>
    <col min="6925" max="6925" width="9.140625" style="1119"/>
    <col min="6926" max="6926" width="13.85546875" style="1119" customWidth="1"/>
    <col min="6927" max="6927" width="19.7109375" style="1119" customWidth="1"/>
    <col min="6928" max="6928" width="11.42578125" style="1119" customWidth="1"/>
    <col min="6929" max="6930" width="9.140625" style="1119"/>
    <col min="6931" max="6931" width="0" style="1119" hidden="1" customWidth="1"/>
    <col min="6932" max="7167" width="9.140625" style="1119"/>
    <col min="7168" max="7168" width="20" style="1119" customWidth="1"/>
    <col min="7169" max="7169" width="18.140625" style="1119" customWidth="1"/>
    <col min="7170" max="7170" width="10.5703125" style="1119" customWidth="1"/>
    <col min="7171" max="7171" width="9.140625" style="1119" customWidth="1"/>
    <col min="7172" max="7175" width="7.5703125" style="1119" customWidth="1"/>
    <col min="7176" max="7176" width="26.42578125" style="1119" customWidth="1"/>
    <col min="7177" max="7177" width="11" style="1119" customWidth="1"/>
    <col min="7178" max="7178" width="8.28515625" style="1119" customWidth="1"/>
    <col min="7179" max="7179" width="5.42578125" style="1119" customWidth="1"/>
    <col min="7180" max="7180" width="9.85546875" style="1119" customWidth="1"/>
    <col min="7181" max="7181" width="9.140625" style="1119"/>
    <col min="7182" max="7182" width="13.85546875" style="1119" customWidth="1"/>
    <col min="7183" max="7183" width="19.7109375" style="1119" customWidth="1"/>
    <col min="7184" max="7184" width="11.42578125" style="1119" customWidth="1"/>
    <col min="7185" max="7186" width="9.140625" style="1119"/>
    <col min="7187" max="7187" width="0" style="1119" hidden="1" customWidth="1"/>
    <col min="7188" max="7423" width="9.140625" style="1119"/>
    <col min="7424" max="7424" width="20" style="1119" customWidth="1"/>
    <col min="7425" max="7425" width="18.140625" style="1119" customWidth="1"/>
    <col min="7426" max="7426" width="10.5703125" style="1119" customWidth="1"/>
    <col min="7427" max="7427" width="9.140625" style="1119" customWidth="1"/>
    <col min="7428" max="7431" width="7.5703125" style="1119" customWidth="1"/>
    <col min="7432" max="7432" width="26.42578125" style="1119" customWidth="1"/>
    <col min="7433" max="7433" width="11" style="1119" customWidth="1"/>
    <col min="7434" max="7434" width="8.28515625" style="1119" customWidth="1"/>
    <col min="7435" max="7435" width="5.42578125" style="1119" customWidth="1"/>
    <col min="7436" max="7436" width="9.85546875" style="1119" customWidth="1"/>
    <col min="7437" max="7437" width="9.140625" style="1119"/>
    <col min="7438" max="7438" width="13.85546875" style="1119" customWidth="1"/>
    <col min="7439" max="7439" width="19.7109375" style="1119" customWidth="1"/>
    <col min="7440" max="7440" width="11.42578125" style="1119" customWidth="1"/>
    <col min="7441" max="7442" width="9.140625" style="1119"/>
    <col min="7443" max="7443" width="0" style="1119" hidden="1" customWidth="1"/>
    <col min="7444" max="7679" width="9.140625" style="1119"/>
    <col min="7680" max="7680" width="20" style="1119" customWidth="1"/>
    <col min="7681" max="7681" width="18.140625" style="1119" customWidth="1"/>
    <col min="7682" max="7682" width="10.5703125" style="1119" customWidth="1"/>
    <col min="7683" max="7683" width="9.140625" style="1119" customWidth="1"/>
    <col min="7684" max="7687" width="7.5703125" style="1119" customWidth="1"/>
    <col min="7688" max="7688" width="26.42578125" style="1119" customWidth="1"/>
    <col min="7689" max="7689" width="11" style="1119" customWidth="1"/>
    <col min="7690" max="7690" width="8.28515625" style="1119" customWidth="1"/>
    <col min="7691" max="7691" width="5.42578125" style="1119" customWidth="1"/>
    <col min="7692" max="7692" width="9.85546875" style="1119" customWidth="1"/>
    <col min="7693" max="7693" width="9.140625" style="1119"/>
    <col min="7694" max="7694" width="13.85546875" style="1119" customWidth="1"/>
    <col min="7695" max="7695" width="19.7109375" style="1119" customWidth="1"/>
    <col min="7696" max="7696" width="11.42578125" style="1119" customWidth="1"/>
    <col min="7697" max="7698" width="9.140625" style="1119"/>
    <col min="7699" max="7699" width="0" style="1119" hidden="1" customWidth="1"/>
    <col min="7700" max="7935" width="9.140625" style="1119"/>
    <col min="7936" max="7936" width="20" style="1119" customWidth="1"/>
    <col min="7937" max="7937" width="18.140625" style="1119" customWidth="1"/>
    <col min="7938" max="7938" width="10.5703125" style="1119" customWidth="1"/>
    <col min="7939" max="7939" width="9.140625" style="1119" customWidth="1"/>
    <col min="7940" max="7943" width="7.5703125" style="1119" customWidth="1"/>
    <col min="7944" max="7944" width="26.42578125" style="1119" customWidth="1"/>
    <col min="7945" max="7945" width="11" style="1119" customWidth="1"/>
    <col min="7946" max="7946" width="8.28515625" style="1119" customWidth="1"/>
    <col min="7947" max="7947" width="5.42578125" style="1119" customWidth="1"/>
    <col min="7948" max="7948" width="9.85546875" style="1119" customWidth="1"/>
    <col min="7949" max="7949" width="9.140625" style="1119"/>
    <col min="7950" max="7950" width="13.85546875" style="1119" customWidth="1"/>
    <col min="7951" max="7951" width="19.7109375" style="1119" customWidth="1"/>
    <col min="7952" max="7952" width="11.42578125" style="1119" customWidth="1"/>
    <col min="7953" max="7954" width="9.140625" style="1119"/>
    <col min="7955" max="7955" width="0" style="1119" hidden="1" customWidth="1"/>
    <col min="7956" max="8191" width="9.140625" style="1119"/>
    <col min="8192" max="8192" width="20" style="1119" customWidth="1"/>
    <col min="8193" max="8193" width="18.140625" style="1119" customWidth="1"/>
    <col min="8194" max="8194" width="10.5703125" style="1119" customWidth="1"/>
    <col min="8195" max="8195" width="9.140625" style="1119" customWidth="1"/>
    <col min="8196" max="8199" width="7.5703125" style="1119" customWidth="1"/>
    <col min="8200" max="8200" width="26.42578125" style="1119" customWidth="1"/>
    <col min="8201" max="8201" width="11" style="1119" customWidth="1"/>
    <col min="8202" max="8202" width="8.28515625" style="1119" customWidth="1"/>
    <col min="8203" max="8203" width="5.42578125" style="1119" customWidth="1"/>
    <col min="8204" max="8204" width="9.85546875" style="1119" customWidth="1"/>
    <col min="8205" max="8205" width="9.140625" style="1119"/>
    <col min="8206" max="8206" width="13.85546875" style="1119" customWidth="1"/>
    <col min="8207" max="8207" width="19.7109375" style="1119" customWidth="1"/>
    <col min="8208" max="8208" width="11.42578125" style="1119" customWidth="1"/>
    <col min="8209" max="8210" width="9.140625" style="1119"/>
    <col min="8211" max="8211" width="0" style="1119" hidden="1" customWidth="1"/>
    <col min="8212" max="8447" width="9.140625" style="1119"/>
    <col min="8448" max="8448" width="20" style="1119" customWidth="1"/>
    <col min="8449" max="8449" width="18.140625" style="1119" customWidth="1"/>
    <col min="8450" max="8450" width="10.5703125" style="1119" customWidth="1"/>
    <col min="8451" max="8451" width="9.140625" style="1119" customWidth="1"/>
    <col min="8452" max="8455" width="7.5703125" style="1119" customWidth="1"/>
    <col min="8456" max="8456" width="26.42578125" style="1119" customWidth="1"/>
    <col min="8457" max="8457" width="11" style="1119" customWidth="1"/>
    <col min="8458" max="8458" width="8.28515625" style="1119" customWidth="1"/>
    <col min="8459" max="8459" width="5.42578125" style="1119" customWidth="1"/>
    <col min="8460" max="8460" width="9.85546875" style="1119" customWidth="1"/>
    <col min="8461" max="8461" width="9.140625" style="1119"/>
    <col min="8462" max="8462" width="13.85546875" style="1119" customWidth="1"/>
    <col min="8463" max="8463" width="19.7109375" style="1119" customWidth="1"/>
    <col min="8464" max="8464" width="11.42578125" style="1119" customWidth="1"/>
    <col min="8465" max="8466" width="9.140625" style="1119"/>
    <col min="8467" max="8467" width="0" style="1119" hidden="1" customWidth="1"/>
    <col min="8468" max="8703" width="9.140625" style="1119"/>
    <col min="8704" max="8704" width="20" style="1119" customWidth="1"/>
    <col min="8705" max="8705" width="18.140625" style="1119" customWidth="1"/>
    <col min="8706" max="8706" width="10.5703125" style="1119" customWidth="1"/>
    <col min="8707" max="8707" width="9.140625" style="1119" customWidth="1"/>
    <col min="8708" max="8711" width="7.5703125" style="1119" customWidth="1"/>
    <col min="8712" max="8712" width="26.42578125" style="1119" customWidth="1"/>
    <col min="8713" max="8713" width="11" style="1119" customWidth="1"/>
    <col min="8714" max="8714" width="8.28515625" style="1119" customWidth="1"/>
    <col min="8715" max="8715" width="5.42578125" style="1119" customWidth="1"/>
    <col min="8716" max="8716" width="9.85546875" style="1119" customWidth="1"/>
    <col min="8717" max="8717" width="9.140625" style="1119"/>
    <col min="8718" max="8718" width="13.85546875" style="1119" customWidth="1"/>
    <col min="8719" max="8719" width="19.7109375" style="1119" customWidth="1"/>
    <col min="8720" max="8720" width="11.42578125" style="1119" customWidth="1"/>
    <col min="8721" max="8722" width="9.140625" style="1119"/>
    <col min="8723" max="8723" width="0" style="1119" hidden="1" customWidth="1"/>
    <col min="8724" max="8959" width="9.140625" style="1119"/>
    <col min="8960" max="8960" width="20" style="1119" customWidth="1"/>
    <col min="8961" max="8961" width="18.140625" style="1119" customWidth="1"/>
    <col min="8962" max="8962" width="10.5703125" style="1119" customWidth="1"/>
    <col min="8963" max="8963" width="9.140625" style="1119" customWidth="1"/>
    <col min="8964" max="8967" width="7.5703125" style="1119" customWidth="1"/>
    <col min="8968" max="8968" width="26.42578125" style="1119" customWidth="1"/>
    <col min="8969" max="8969" width="11" style="1119" customWidth="1"/>
    <col min="8970" max="8970" width="8.28515625" style="1119" customWidth="1"/>
    <col min="8971" max="8971" width="5.42578125" style="1119" customWidth="1"/>
    <col min="8972" max="8972" width="9.85546875" style="1119" customWidth="1"/>
    <col min="8973" max="8973" width="9.140625" style="1119"/>
    <col min="8974" max="8974" width="13.85546875" style="1119" customWidth="1"/>
    <col min="8975" max="8975" width="19.7109375" style="1119" customWidth="1"/>
    <col min="8976" max="8976" width="11.42578125" style="1119" customWidth="1"/>
    <col min="8977" max="8978" width="9.140625" style="1119"/>
    <col min="8979" max="8979" width="0" style="1119" hidden="1" customWidth="1"/>
    <col min="8980" max="9215" width="9.140625" style="1119"/>
    <col min="9216" max="9216" width="20" style="1119" customWidth="1"/>
    <col min="9217" max="9217" width="18.140625" style="1119" customWidth="1"/>
    <col min="9218" max="9218" width="10.5703125" style="1119" customWidth="1"/>
    <col min="9219" max="9219" width="9.140625" style="1119" customWidth="1"/>
    <col min="9220" max="9223" width="7.5703125" style="1119" customWidth="1"/>
    <col min="9224" max="9224" width="26.42578125" style="1119" customWidth="1"/>
    <col min="9225" max="9225" width="11" style="1119" customWidth="1"/>
    <col min="9226" max="9226" width="8.28515625" style="1119" customWidth="1"/>
    <col min="9227" max="9227" width="5.42578125" style="1119" customWidth="1"/>
    <col min="9228" max="9228" width="9.85546875" style="1119" customWidth="1"/>
    <col min="9229" max="9229" width="9.140625" style="1119"/>
    <col min="9230" max="9230" width="13.85546875" style="1119" customWidth="1"/>
    <col min="9231" max="9231" width="19.7109375" style="1119" customWidth="1"/>
    <col min="9232" max="9232" width="11.42578125" style="1119" customWidth="1"/>
    <col min="9233" max="9234" width="9.140625" style="1119"/>
    <col min="9235" max="9235" width="0" style="1119" hidden="1" customWidth="1"/>
    <col min="9236" max="9471" width="9.140625" style="1119"/>
    <col min="9472" max="9472" width="20" style="1119" customWidth="1"/>
    <col min="9473" max="9473" width="18.140625" style="1119" customWidth="1"/>
    <col min="9474" max="9474" width="10.5703125" style="1119" customWidth="1"/>
    <col min="9475" max="9475" width="9.140625" style="1119" customWidth="1"/>
    <col min="9476" max="9479" width="7.5703125" style="1119" customWidth="1"/>
    <col min="9480" max="9480" width="26.42578125" style="1119" customWidth="1"/>
    <col min="9481" max="9481" width="11" style="1119" customWidth="1"/>
    <col min="9482" max="9482" width="8.28515625" style="1119" customWidth="1"/>
    <col min="9483" max="9483" width="5.42578125" style="1119" customWidth="1"/>
    <col min="9484" max="9484" width="9.85546875" style="1119" customWidth="1"/>
    <col min="9485" max="9485" width="9.140625" style="1119"/>
    <col min="9486" max="9486" width="13.85546875" style="1119" customWidth="1"/>
    <col min="9487" max="9487" width="19.7109375" style="1119" customWidth="1"/>
    <col min="9488" max="9488" width="11.42578125" style="1119" customWidth="1"/>
    <col min="9489" max="9490" width="9.140625" style="1119"/>
    <col min="9491" max="9491" width="0" style="1119" hidden="1" customWidth="1"/>
    <col min="9492" max="9727" width="9.140625" style="1119"/>
    <col min="9728" max="9728" width="20" style="1119" customWidth="1"/>
    <col min="9729" max="9729" width="18.140625" style="1119" customWidth="1"/>
    <col min="9730" max="9730" width="10.5703125" style="1119" customWidth="1"/>
    <col min="9731" max="9731" width="9.140625" style="1119" customWidth="1"/>
    <col min="9732" max="9735" width="7.5703125" style="1119" customWidth="1"/>
    <col min="9736" max="9736" width="26.42578125" style="1119" customWidth="1"/>
    <col min="9737" max="9737" width="11" style="1119" customWidth="1"/>
    <col min="9738" max="9738" width="8.28515625" style="1119" customWidth="1"/>
    <col min="9739" max="9739" width="5.42578125" style="1119" customWidth="1"/>
    <col min="9740" max="9740" width="9.85546875" style="1119" customWidth="1"/>
    <col min="9741" max="9741" width="9.140625" style="1119"/>
    <col min="9742" max="9742" width="13.85546875" style="1119" customWidth="1"/>
    <col min="9743" max="9743" width="19.7109375" style="1119" customWidth="1"/>
    <col min="9744" max="9744" width="11.42578125" style="1119" customWidth="1"/>
    <col min="9745" max="9746" width="9.140625" style="1119"/>
    <col min="9747" max="9747" width="0" style="1119" hidden="1" customWidth="1"/>
    <col min="9748" max="9983" width="9.140625" style="1119"/>
    <col min="9984" max="9984" width="20" style="1119" customWidth="1"/>
    <col min="9985" max="9985" width="18.140625" style="1119" customWidth="1"/>
    <col min="9986" max="9986" width="10.5703125" style="1119" customWidth="1"/>
    <col min="9987" max="9987" width="9.140625" style="1119" customWidth="1"/>
    <col min="9988" max="9991" width="7.5703125" style="1119" customWidth="1"/>
    <col min="9992" max="9992" width="26.42578125" style="1119" customWidth="1"/>
    <col min="9993" max="9993" width="11" style="1119" customWidth="1"/>
    <col min="9994" max="9994" width="8.28515625" style="1119" customWidth="1"/>
    <col min="9995" max="9995" width="5.42578125" style="1119" customWidth="1"/>
    <col min="9996" max="9996" width="9.85546875" style="1119" customWidth="1"/>
    <col min="9997" max="9997" width="9.140625" style="1119"/>
    <col min="9998" max="9998" width="13.85546875" style="1119" customWidth="1"/>
    <col min="9999" max="9999" width="19.7109375" style="1119" customWidth="1"/>
    <col min="10000" max="10000" width="11.42578125" style="1119" customWidth="1"/>
    <col min="10001" max="10002" width="9.140625" style="1119"/>
    <col min="10003" max="10003" width="0" style="1119" hidden="1" customWidth="1"/>
    <col min="10004" max="10239" width="9.140625" style="1119"/>
    <col min="10240" max="10240" width="20" style="1119" customWidth="1"/>
    <col min="10241" max="10241" width="18.140625" style="1119" customWidth="1"/>
    <col min="10242" max="10242" width="10.5703125" style="1119" customWidth="1"/>
    <col min="10243" max="10243" width="9.140625" style="1119" customWidth="1"/>
    <col min="10244" max="10247" width="7.5703125" style="1119" customWidth="1"/>
    <col min="10248" max="10248" width="26.42578125" style="1119" customWidth="1"/>
    <col min="10249" max="10249" width="11" style="1119" customWidth="1"/>
    <col min="10250" max="10250" width="8.28515625" style="1119" customWidth="1"/>
    <col min="10251" max="10251" width="5.42578125" style="1119" customWidth="1"/>
    <col min="10252" max="10252" width="9.85546875" style="1119" customWidth="1"/>
    <col min="10253" max="10253" width="9.140625" style="1119"/>
    <col min="10254" max="10254" width="13.85546875" style="1119" customWidth="1"/>
    <col min="10255" max="10255" width="19.7109375" style="1119" customWidth="1"/>
    <col min="10256" max="10256" width="11.42578125" style="1119" customWidth="1"/>
    <col min="10257" max="10258" width="9.140625" style="1119"/>
    <col min="10259" max="10259" width="0" style="1119" hidden="1" customWidth="1"/>
    <col min="10260" max="10495" width="9.140625" style="1119"/>
    <col min="10496" max="10496" width="20" style="1119" customWidth="1"/>
    <col min="10497" max="10497" width="18.140625" style="1119" customWidth="1"/>
    <col min="10498" max="10498" width="10.5703125" style="1119" customWidth="1"/>
    <col min="10499" max="10499" width="9.140625" style="1119" customWidth="1"/>
    <col min="10500" max="10503" width="7.5703125" style="1119" customWidth="1"/>
    <col min="10504" max="10504" width="26.42578125" style="1119" customWidth="1"/>
    <col min="10505" max="10505" width="11" style="1119" customWidth="1"/>
    <col min="10506" max="10506" width="8.28515625" style="1119" customWidth="1"/>
    <col min="10507" max="10507" width="5.42578125" style="1119" customWidth="1"/>
    <col min="10508" max="10508" width="9.85546875" style="1119" customWidth="1"/>
    <col min="10509" max="10509" width="9.140625" style="1119"/>
    <col min="10510" max="10510" width="13.85546875" style="1119" customWidth="1"/>
    <col min="10511" max="10511" width="19.7109375" style="1119" customWidth="1"/>
    <col min="10512" max="10512" width="11.42578125" style="1119" customWidth="1"/>
    <col min="10513" max="10514" width="9.140625" style="1119"/>
    <col min="10515" max="10515" width="0" style="1119" hidden="1" customWidth="1"/>
    <col min="10516" max="10751" width="9.140625" style="1119"/>
    <col min="10752" max="10752" width="20" style="1119" customWidth="1"/>
    <col min="10753" max="10753" width="18.140625" style="1119" customWidth="1"/>
    <col min="10754" max="10754" width="10.5703125" style="1119" customWidth="1"/>
    <col min="10755" max="10755" width="9.140625" style="1119" customWidth="1"/>
    <col min="10756" max="10759" width="7.5703125" style="1119" customWidth="1"/>
    <col min="10760" max="10760" width="26.42578125" style="1119" customWidth="1"/>
    <col min="10761" max="10761" width="11" style="1119" customWidth="1"/>
    <col min="10762" max="10762" width="8.28515625" style="1119" customWidth="1"/>
    <col min="10763" max="10763" width="5.42578125" style="1119" customWidth="1"/>
    <col min="10764" max="10764" width="9.85546875" style="1119" customWidth="1"/>
    <col min="10765" max="10765" width="9.140625" style="1119"/>
    <col min="10766" max="10766" width="13.85546875" style="1119" customWidth="1"/>
    <col min="10767" max="10767" width="19.7109375" style="1119" customWidth="1"/>
    <col min="10768" max="10768" width="11.42578125" style="1119" customWidth="1"/>
    <col min="10769" max="10770" width="9.140625" style="1119"/>
    <col min="10771" max="10771" width="0" style="1119" hidden="1" customWidth="1"/>
    <col min="10772" max="11007" width="9.140625" style="1119"/>
    <col min="11008" max="11008" width="20" style="1119" customWidth="1"/>
    <col min="11009" max="11009" width="18.140625" style="1119" customWidth="1"/>
    <col min="11010" max="11010" width="10.5703125" style="1119" customWidth="1"/>
    <col min="11011" max="11011" width="9.140625" style="1119" customWidth="1"/>
    <col min="11012" max="11015" width="7.5703125" style="1119" customWidth="1"/>
    <col min="11016" max="11016" width="26.42578125" style="1119" customWidth="1"/>
    <col min="11017" max="11017" width="11" style="1119" customWidth="1"/>
    <col min="11018" max="11018" width="8.28515625" style="1119" customWidth="1"/>
    <col min="11019" max="11019" width="5.42578125" style="1119" customWidth="1"/>
    <col min="11020" max="11020" width="9.85546875" style="1119" customWidth="1"/>
    <col min="11021" max="11021" width="9.140625" style="1119"/>
    <col min="11022" max="11022" width="13.85546875" style="1119" customWidth="1"/>
    <col min="11023" max="11023" width="19.7109375" style="1119" customWidth="1"/>
    <col min="11024" max="11024" width="11.42578125" style="1119" customWidth="1"/>
    <col min="11025" max="11026" width="9.140625" style="1119"/>
    <col min="11027" max="11027" width="0" style="1119" hidden="1" customWidth="1"/>
    <col min="11028" max="11263" width="9.140625" style="1119"/>
    <col min="11264" max="11264" width="20" style="1119" customWidth="1"/>
    <col min="11265" max="11265" width="18.140625" style="1119" customWidth="1"/>
    <col min="11266" max="11266" width="10.5703125" style="1119" customWidth="1"/>
    <col min="11267" max="11267" width="9.140625" style="1119" customWidth="1"/>
    <col min="11268" max="11271" width="7.5703125" style="1119" customWidth="1"/>
    <col min="11272" max="11272" width="26.42578125" style="1119" customWidth="1"/>
    <col min="11273" max="11273" width="11" style="1119" customWidth="1"/>
    <col min="11274" max="11274" width="8.28515625" style="1119" customWidth="1"/>
    <col min="11275" max="11275" width="5.42578125" style="1119" customWidth="1"/>
    <col min="11276" max="11276" width="9.85546875" style="1119" customWidth="1"/>
    <col min="11277" max="11277" width="9.140625" style="1119"/>
    <col min="11278" max="11278" width="13.85546875" style="1119" customWidth="1"/>
    <col min="11279" max="11279" width="19.7109375" style="1119" customWidth="1"/>
    <col min="11280" max="11280" width="11.42578125" style="1119" customWidth="1"/>
    <col min="11281" max="11282" width="9.140625" style="1119"/>
    <col min="11283" max="11283" width="0" style="1119" hidden="1" customWidth="1"/>
    <col min="11284" max="11519" width="9.140625" style="1119"/>
    <col min="11520" max="11520" width="20" style="1119" customWidth="1"/>
    <col min="11521" max="11521" width="18.140625" style="1119" customWidth="1"/>
    <col min="11522" max="11522" width="10.5703125" style="1119" customWidth="1"/>
    <col min="11523" max="11523" width="9.140625" style="1119" customWidth="1"/>
    <col min="11524" max="11527" width="7.5703125" style="1119" customWidth="1"/>
    <col min="11528" max="11528" width="26.42578125" style="1119" customWidth="1"/>
    <col min="11529" max="11529" width="11" style="1119" customWidth="1"/>
    <col min="11530" max="11530" width="8.28515625" style="1119" customWidth="1"/>
    <col min="11531" max="11531" width="5.42578125" style="1119" customWidth="1"/>
    <col min="11532" max="11532" width="9.85546875" style="1119" customWidth="1"/>
    <col min="11533" max="11533" width="9.140625" style="1119"/>
    <col min="11534" max="11534" width="13.85546875" style="1119" customWidth="1"/>
    <col min="11535" max="11535" width="19.7109375" style="1119" customWidth="1"/>
    <col min="11536" max="11536" width="11.42578125" style="1119" customWidth="1"/>
    <col min="11537" max="11538" width="9.140625" style="1119"/>
    <col min="11539" max="11539" width="0" style="1119" hidden="1" customWidth="1"/>
    <col min="11540" max="11775" width="9.140625" style="1119"/>
    <col min="11776" max="11776" width="20" style="1119" customWidth="1"/>
    <col min="11777" max="11777" width="18.140625" style="1119" customWidth="1"/>
    <col min="11778" max="11778" width="10.5703125" style="1119" customWidth="1"/>
    <col min="11779" max="11779" width="9.140625" style="1119" customWidth="1"/>
    <col min="11780" max="11783" width="7.5703125" style="1119" customWidth="1"/>
    <col min="11784" max="11784" width="26.42578125" style="1119" customWidth="1"/>
    <col min="11785" max="11785" width="11" style="1119" customWidth="1"/>
    <col min="11786" max="11786" width="8.28515625" style="1119" customWidth="1"/>
    <col min="11787" max="11787" width="5.42578125" style="1119" customWidth="1"/>
    <col min="11788" max="11788" width="9.85546875" style="1119" customWidth="1"/>
    <col min="11789" max="11789" width="9.140625" style="1119"/>
    <col min="11790" max="11790" width="13.85546875" style="1119" customWidth="1"/>
    <col min="11791" max="11791" width="19.7109375" style="1119" customWidth="1"/>
    <col min="11792" max="11792" width="11.42578125" style="1119" customWidth="1"/>
    <col min="11793" max="11794" width="9.140625" style="1119"/>
    <col min="11795" max="11795" width="0" style="1119" hidden="1" customWidth="1"/>
    <col min="11796" max="12031" width="9.140625" style="1119"/>
    <col min="12032" max="12032" width="20" style="1119" customWidth="1"/>
    <col min="12033" max="12033" width="18.140625" style="1119" customWidth="1"/>
    <col min="12034" max="12034" width="10.5703125" style="1119" customWidth="1"/>
    <col min="12035" max="12035" width="9.140625" style="1119" customWidth="1"/>
    <col min="12036" max="12039" width="7.5703125" style="1119" customWidth="1"/>
    <col min="12040" max="12040" width="26.42578125" style="1119" customWidth="1"/>
    <col min="12041" max="12041" width="11" style="1119" customWidth="1"/>
    <col min="12042" max="12042" width="8.28515625" style="1119" customWidth="1"/>
    <col min="12043" max="12043" width="5.42578125" style="1119" customWidth="1"/>
    <col min="12044" max="12044" width="9.85546875" style="1119" customWidth="1"/>
    <col min="12045" max="12045" width="9.140625" style="1119"/>
    <col min="12046" max="12046" width="13.85546875" style="1119" customWidth="1"/>
    <col min="12047" max="12047" width="19.7109375" style="1119" customWidth="1"/>
    <col min="12048" max="12048" width="11.42578125" style="1119" customWidth="1"/>
    <col min="12049" max="12050" width="9.140625" style="1119"/>
    <col min="12051" max="12051" width="0" style="1119" hidden="1" customWidth="1"/>
    <col min="12052" max="12287" width="9.140625" style="1119"/>
    <col min="12288" max="12288" width="20" style="1119" customWidth="1"/>
    <col min="12289" max="12289" width="18.140625" style="1119" customWidth="1"/>
    <col min="12290" max="12290" width="10.5703125" style="1119" customWidth="1"/>
    <col min="12291" max="12291" width="9.140625" style="1119" customWidth="1"/>
    <col min="12292" max="12295" width="7.5703125" style="1119" customWidth="1"/>
    <col min="12296" max="12296" width="26.42578125" style="1119" customWidth="1"/>
    <col min="12297" max="12297" width="11" style="1119" customWidth="1"/>
    <col min="12298" max="12298" width="8.28515625" style="1119" customWidth="1"/>
    <col min="12299" max="12299" width="5.42578125" style="1119" customWidth="1"/>
    <col min="12300" max="12300" width="9.85546875" style="1119" customWidth="1"/>
    <col min="12301" max="12301" width="9.140625" style="1119"/>
    <col min="12302" max="12302" width="13.85546875" style="1119" customWidth="1"/>
    <col min="12303" max="12303" width="19.7109375" style="1119" customWidth="1"/>
    <col min="12304" max="12304" width="11.42578125" style="1119" customWidth="1"/>
    <col min="12305" max="12306" width="9.140625" style="1119"/>
    <col min="12307" max="12307" width="0" style="1119" hidden="1" customWidth="1"/>
    <col min="12308" max="12543" width="9.140625" style="1119"/>
    <col min="12544" max="12544" width="20" style="1119" customWidth="1"/>
    <col min="12545" max="12545" width="18.140625" style="1119" customWidth="1"/>
    <col min="12546" max="12546" width="10.5703125" style="1119" customWidth="1"/>
    <col min="12547" max="12547" width="9.140625" style="1119" customWidth="1"/>
    <col min="12548" max="12551" width="7.5703125" style="1119" customWidth="1"/>
    <col min="12552" max="12552" width="26.42578125" style="1119" customWidth="1"/>
    <col min="12553" max="12553" width="11" style="1119" customWidth="1"/>
    <col min="12554" max="12554" width="8.28515625" style="1119" customWidth="1"/>
    <col min="12555" max="12555" width="5.42578125" style="1119" customWidth="1"/>
    <col min="12556" max="12556" width="9.85546875" style="1119" customWidth="1"/>
    <col min="12557" max="12557" width="9.140625" style="1119"/>
    <col min="12558" max="12558" width="13.85546875" style="1119" customWidth="1"/>
    <col min="12559" max="12559" width="19.7109375" style="1119" customWidth="1"/>
    <col min="12560" max="12560" width="11.42578125" style="1119" customWidth="1"/>
    <col min="12561" max="12562" width="9.140625" style="1119"/>
    <col min="12563" max="12563" width="0" style="1119" hidden="1" customWidth="1"/>
    <col min="12564" max="12799" width="9.140625" style="1119"/>
    <col min="12800" max="12800" width="20" style="1119" customWidth="1"/>
    <col min="12801" max="12801" width="18.140625" style="1119" customWidth="1"/>
    <col min="12802" max="12802" width="10.5703125" style="1119" customWidth="1"/>
    <col min="12803" max="12803" width="9.140625" style="1119" customWidth="1"/>
    <col min="12804" max="12807" width="7.5703125" style="1119" customWidth="1"/>
    <col min="12808" max="12808" width="26.42578125" style="1119" customWidth="1"/>
    <col min="12809" max="12809" width="11" style="1119" customWidth="1"/>
    <col min="12810" max="12810" width="8.28515625" style="1119" customWidth="1"/>
    <col min="12811" max="12811" width="5.42578125" style="1119" customWidth="1"/>
    <col min="12812" max="12812" width="9.85546875" style="1119" customWidth="1"/>
    <col min="12813" max="12813" width="9.140625" style="1119"/>
    <col min="12814" max="12814" width="13.85546875" style="1119" customWidth="1"/>
    <col min="12815" max="12815" width="19.7109375" style="1119" customWidth="1"/>
    <col min="12816" max="12816" width="11.42578125" style="1119" customWidth="1"/>
    <col min="12817" max="12818" width="9.140625" style="1119"/>
    <col min="12819" max="12819" width="0" style="1119" hidden="1" customWidth="1"/>
    <col min="12820" max="13055" width="9.140625" style="1119"/>
    <col min="13056" max="13056" width="20" style="1119" customWidth="1"/>
    <col min="13057" max="13057" width="18.140625" style="1119" customWidth="1"/>
    <col min="13058" max="13058" width="10.5703125" style="1119" customWidth="1"/>
    <col min="13059" max="13059" width="9.140625" style="1119" customWidth="1"/>
    <col min="13060" max="13063" width="7.5703125" style="1119" customWidth="1"/>
    <col min="13064" max="13064" width="26.42578125" style="1119" customWidth="1"/>
    <col min="13065" max="13065" width="11" style="1119" customWidth="1"/>
    <col min="13066" max="13066" width="8.28515625" style="1119" customWidth="1"/>
    <col min="13067" max="13067" width="5.42578125" style="1119" customWidth="1"/>
    <col min="13068" max="13068" width="9.85546875" style="1119" customWidth="1"/>
    <col min="13069" max="13069" width="9.140625" style="1119"/>
    <col min="13070" max="13070" width="13.85546875" style="1119" customWidth="1"/>
    <col min="13071" max="13071" width="19.7109375" style="1119" customWidth="1"/>
    <col min="13072" max="13072" width="11.42578125" style="1119" customWidth="1"/>
    <col min="13073" max="13074" width="9.140625" style="1119"/>
    <col min="13075" max="13075" width="0" style="1119" hidden="1" customWidth="1"/>
    <col min="13076" max="13311" width="9.140625" style="1119"/>
    <col min="13312" max="13312" width="20" style="1119" customWidth="1"/>
    <col min="13313" max="13313" width="18.140625" style="1119" customWidth="1"/>
    <col min="13314" max="13314" width="10.5703125" style="1119" customWidth="1"/>
    <col min="13315" max="13315" width="9.140625" style="1119" customWidth="1"/>
    <col min="13316" max="13319" width="7.5703125" style="1119" customWidth="1"/>
    <col min="13320" max="13320" width="26.42578125" style="1119" customWidth="1"/>
    <col min="13321" max="13321" width="11" style="1119" customWidth="1"/>
    <col min="13322" max="13322" width="8.28515625" style="1119" customWidth="1"/>
    <col min="13323" max="13323" width="5.42578125" style="1119" customWidth="1"/>
    <col min="13324" max="13324" width="9.85546875" style="1119" customWidth="1"/>
    <col min="13325" max="13325" width="9.140625" style="1119"/>
    <col min="13326" max="13326" width="13.85546875" style="1119" customWidth="1"/>
    <col min="13327" max="13327" width="19.7109375" style="1119" customWidth="1"/>
    <col min="13328" max="13328" width="11.42578125" style="1119" customWidth="1"/>
    <col min="13329" max="13330" width="9.140625" style="1119"/>
    <col min="13331" max="13331" width="0" style="1119" hidden="1" customWidth="1"/>
    <col min="13332" max="13567" width="9.140625" style="1119"/>
    <col min="13568" max="13568" width="20" style="1119" customWidth="1"/>
    <col min="13569" max="13569" width="18.140625" style="1119" customWidth="1"/>
    <col min="13570" max="13570" width="10.5703125" style="1119" customWidth="1"/>
    <col min="13571" max="13571" width="9.140625" style="1119" customWidth="1"/>
    <col min="13572" max="13575" width="7.5703125" style="1119" customWidth="1"/>
    <col min="13576" max="13576" width="26.42578125" style="1119" customWidth="1"/>
    <col min="13577" max="13577" width="11" style="1119" customWidth="1"/>
    <col min="13578" max="13578" width="8.28515625" style="1119" customWidth="1"/>
    <col min="13579" max="13579" width="5.42578125" style="1119" customWidth="1"/>
    <col min="13580" max="13580" width="9.85546875" style="1119" customWidth="1"/>
    <col min="13581" max="13581" width="9.140625" style="1119"/>
    <col min="13582" max="13582" width="13.85546875" style="1119" customWidth="1"/>
    <col min="13583" max="13583" width="19.7109375" style="1119" customWidth="1"/>
    <col min="13584" max="13584" width="11.42578125" style="1119" customWidth="1"/>
    <col min="13585" max="13586" width="9.140625" style="1119"/>
    <col min="13587" max="13587" width="0" style="1119" hidden="1" customWidth="1"/>
    <col min="13588" max="13823" width="9.140625" style="1119"/>
    <col min="13824" max="13824" width="20" style="1119" customWidth="1"/>
    <col min="13825" max="13825" width="18.140625" style="1119" customWidth="1"/>
    <col min="13826" max="13826" width="10.5703125" style="1119" customWidth="1"/>
    <col min="13827" max="13827" width="9.140625" style="1119" customWidth="1"/>
    <col min="13828" max="13831" width="7.5703125" style="1119" customWidth="1"/>
    <col min="13832" max="13832" width="26.42578125" style="1119" customWidth="1"/>
    <col min="13833" max="13833" width="11" style="1119" customWidth="1"/>
    <col min="13834" max="13834" width="8.28515625" style="1119" customWidth="1"/>
    <col min="13835" max="13835" width="5.42578125" style="1119" customWidth="1"/>
    <col min="13836" max="13836" width="9.85546875" style="1119" customWidth="1"/>
    <col min="13837" max="13837" width="9.140625" style="1119"/>
    <col min="13838" max="13838" width="13.85546875" style="1119" customWidth="1"/>
    <col min="13839" max="13839" width="19.7109375" style="1119" customWidth="1"/>
    <col min="13840" max="13840" width="11.42578125" style="1119" customWidth="1"/>
    <col min="13841" max="13842" width="9.140625" style="1119"/>
    <col min="13843" max="13843" width="0" style="1119" hidden="1" customWidth="1"/>
    <col min="13844" max="14079" width="9.140625" style="1119"/>
    <col min="14080" max="14080" width="20" style="1119" customWidth="1"/>
    <col min="14081" max="14081" width="18.140625" style="1119" customWidth="1"/>
    <col min="14082" max="14082" width="10.5703125" style="1119" customWidth="1"/>
    <col min="14083" max="14083" width="9.140625" style="1119" customWidth="1"/>
    <col min="14084" max="14087" width="7.5703125" style="1119" customWidth="1"/>
    <col min="14088" max="14088" width="26.42578125" style="1119" customWidth="1"/>
    <col min="14089" max="14089" width="11" style="1119" customWidth="1"/>
    <col min="14090" max="14090" width="8.28515625" style="1119" customWidth="1"/>
    <col min="14091" max="14091" width="5.42578125" style="1119" customWidth="1"/>
    <col min="14092" max="14092" width="9.85546875" style="1119" customWidth="1"/>
    <col min="14093" max="14093" width="9.140625" style="1119"/>
    <col min="14094" max="14094" width="13.85546875" style="1119" customWidth="1"/>
    <col min="14095" max="14095" width="19.7109375" style="1119" customWidth="1"/>
    <col min="14096" max="14096" width="11.42578125" style="1119" customWidth="1"/>
    <col min="14097" max="14098" width="9.140625" style="1119"/>
    <col min="14099" max="14099" width="0" style="1119" hidden="1" customWidth="1"/>
    <col min="14100" max="14335" width="9.140625" style="1119"/>
    <col min="14336" max="14336" width="20" style="1119" customWidth="1"/>
    <col min="14337" max="14337" width="18.140625" style="1119" customWidth="1"/>
    <col min="14338" max="14338" width="10.5703125" style="1119" customWidth="1"/>
    <col min="14339" max="14339" width="9.140625" style="1119" customWidth="1"/>
    <col min="14340" max="14343" width="7.5703125" style="1119" customWidth="1"/>
    <col min="14344" max="14344" width="26.42578125" style="1119" customWidth="1"/>
    <col min="14345" max="14345" width="11" style="1119" customWidth="1"/>
    <col min="14346" max="14346" width="8.28515625" style="1119" customWidth="1"/>
    <col min="14347" max="14347" width="5.42578125" style="1119" customWidth="1"/>
    <col min="14348" max="14348" width="9.85546875" style="1119" customWidth="1"/>
    <col min="14349" max="14349" width="9.140625" style="1119"/>
    <col min="14350" max="14350" width="13.85546875" style="1119" customWidth="1"/>
    <col min="14351" max="14351" width="19.7109375" style="1119" customWidth="1"/>
    <col min="14352" max="14352" width="11.42578125" style="1119" customWidth="1"/>
    <col min="14353" max="14354" width="9.140625" style="1119"/>
    <col min="14355" max="14355" width="0" style="1119" hidden="1" customWidth="1"/>
    <col min="14356" max="14591" width="9.140625" style="1119"/>
    <col min="14592" max="14592" width="20" style="1119" customWidth="1"/>
    <col min="14593" max="14593" width="18.140625" style="1119" customWidth="1"/>
    <col min="14594" max="14594" width="10.5703125" style="1119" customWidth="1"/>
    <col min="14595" max="14595" width="9.140625" style="1119" customWidth="1"/>
    <col min="14596" max="14599" width="7.5703125" style="1119" customWidth="1"/>
    <col min="14600" max="14600" width="26.42578125" style="1119" customWidth="1"/>
    <col min="14601" max="14601" width="11" style="1119" customWidth="1"/>
    <col min="14602" max="14602" width="8.28515625" style="1119" customWidth="1"/>
    <col min="14603" max="14603" width="5.42578125" style="1119" customWidth="1"/>
    <col min="14604" max="14604" width="9.85546875" style="1119" customWidth="1"/>
    <col min="14605" max="14605" width="9.140625" style="1119"/>
    <col min="14606" max="14606" width="13.85546875" style="1119" customWidth="1"/>
    <col min="14607" max="14607" width="19.7109375" style="1119" customWidth="1"/>
    <col min="14608" max="14608" width="11.42578125" style="1119" customWidth="1"/>
    <col min="14609" max="14610" width="9.140625" style="1119"/>
    <col min="14611" max="14611" width="0" style="1119" hidden="1" customWidth="1"/>
    <col min="14612" max="14847" width="9.140625" style="1119"/>
    <col min="14848" max="14848" width="20" style="1119" customWidth="1"/>
    <col min="14849" max="14849" width="18.140625" style="1119" customWidth="1"/>
    <col min="14850" max="14850" width="10.5703125" style="1119" customWidth="1"/>
    <col min="14851" max="14851" width="9.140625" style="1119" customWidth="1"/>
    <col min="14852" max="14855" width="7.5703125" style="1119" customWidth="1"/>
    <col min="14856" max="14856" width="26.42578125" style="1119" customWidth="1"/>
    <col min="14857" max="14857" width="11" style="1119" customWidth="1"/>
    <col min="14858" max="14858" width="8.28515625" style="1119" customWidth="1"/>
    <col min="14859" max="14859" width="5.42578125" style="1119" customWidth="1"/>
    <col min="14860" max="14860" width="9.85546875" style="1119" customWidth="1"/>
    <col min="14861" max="14861" width="9.140625" style="1119"/>
    <col min="14862" max="14862" width="13.85546875" style="1119" customWidth="1"/>
    <col min="14863" max="14863" width="19.7109375" style="1119" customWidth="1"/>
    <col min="14864" max="14864" width="11.42578125" style="1119" customWidth="1"/>
    <col min="14865" max="14866" width="9.140625" style="1119"/>
    <col min="14867" max="14867" width="0" style="1119" hidden="1" customWidth="1"/>
    <col min="14868" max="15103" width="9.140625" style="1119"/>
    <col min="15104" max="15104" width="20" style="1119" customWidth="1"/>
    <col min="15105" max="15105" width="18.140625" style="1119" customWidth="1"/>
    <col min="15106" max="15106" width="10.5703125" style="1119" customWidth="1"/>
    <col min="15107" max="15107" width="9.140625" style="1119" customWidth="1"/>
    <col min="15108" max="15111" width="7.5703125" style="1119" customWidth="1"/>
    <col min="15112" max="15112" width="26.42578125" style="1119" customWidth="1"/>
    <col min="15113" max="15113" width="11" style="1119" customWidth="1"/>
    <col min="15114" max="15114" width="8.28515625" style="1119" customWidth="1"/>
    <col min="15115" max="15115" width="5.42578125" style="1119" customWidth="1"/>
    <col min="15116" max="15116" width="9.85546875" style="1119" customWidth="1"/>
    <col min="15117" max="15117" width="9.140625" style="1119"/>
    <col min="15118" max="15118" width="13.85546875" style="1119" customWidth="1"/>
    <col min="15119" max="15119" width="19.7109375" style="1119" customWidth="1"/>
    <col min="15120" max="15120" width="11.42578125" style="1119" customWidth="1"/>
    <col min="15121" max="15122" width="9.140625" style="1119"/>
    <col min="15123" max="15123" width="0" style="1119" hidden="1" customWidth="1"/>
    <col min="15124" max="15359" width="9.140625" style="1119"/>
    <col min="15360" max="15360" width="20" style="1119" customWidth="1"/>
    <col min="15361" max="15361" width="18.140625" style="1119" customWidth="1"/>
    <col min="15362" max="15362" width="10.5703125" style="1119" customWidth="1"/>
    <col min="15363" max="15363" width="9.140625" style="1119" customWidth="1"/>
    <col min="15364" max="15367" width="7.5703125" style="1119" customWidth="1"/>
    <col min="15368" max="15368" width="26.42578125" style="1119" customWidth="1"/>
    <col min="15369" max="15369" width="11" style="1119" customWidth="1"/>
    <col min="15370" max="15370" width="8.28515625" style="1119" customWidth="1"/>
    <col min="15371" max="15371" width="5.42578125" style="1119" customWidth="1"/>
    <col min="15372" max="15372" width="9.85546875" style="1119" customWidth="1"/>
    <col min="15373" max="15373" width="9.140625" style="1119"/>
    <col min="15374" max="15374" width="13.85546875" style="1119" customWidth="1"/>
    <col min="15375" max="15375" width="19.7109375" style="1119" customWidth="1"/>
    <col min="15376" max="15376" width="11.42578125" style="1119" customWidth="1"/>
    <col min="15377" max="15378" width="9.140625" style="1119"/>
    <col min="15379" max="15379" width="0" style="1119" hidden="1" customWidth="1"/>
    <col min="15380" max="15615" width="9.140625" style="1119"/>
    <col min="15616" max="15616" width="20" style="1119" customWidth="1"/>
    <col min="15617" max="15617" width="18.140625" style="1119" customWidth="1"/>
    <col min="15618" max="15618" width="10.5703125" style="1119" customWidth="1"/>
    <col min="15619" max="15619" width="9.140625" style="1119" customWidth="1"/>
    <col min="15620" max="15623" width="7.5703125" style="1119" customWidth="1"/>
    <col min="15624" max="15624" width="26.42578125" style="1119" customWidth="1"/>
    <col min="15625" max="15625" width="11" style="1119" customWidth="1"/>
    <col min="15626" max="15626" width="8.28515625" style="1119" customWidth="1"/>
    <col min="15627" max="15627" width="5.42578125" style="1119" customWidth="1"/>
    <col min="15628" max="15628" width="9.85546875" style="1119" customWidth="1"/>
    <col min="15629" max="15629" width="9.140625" style="1119"/>
    <col min="15630" max="15630" width="13.85546875" style="1119" customWidth="1"/>
    <col min="15631" max="15631" width="19.7109375" style="1119" customWidth="1"/>
    <col min="15632" max="15632" width="11.42578125" style="1119" customWidth="1"/>
    <col min="15633" max="15634" width="9.140625" style="1119"/>
    <col min="15635" max="15635" width="0" style="1119" hidden="1" customWidth="1"/>
    <col min="15636" max="15871" width="9.140625" style="1119"/>
    <col min="15872" max="15872" width="20" style="1119" customWidth="1"/>
    <col min="15873" max="15873" width="18.140625" style="1119" customWidth="1"/>
    <col min="15874" max="15874" width="10.5703125" style="1119" customWidth="1"/>
    <col min="15875" max="15875" width="9.140625" style="1119" customWidth="1"/>
    <col min="15876" max="15879" width="7.5703125" style="1119" customWidth="1"/>
    <col min="15880" max="15880" width="26.42578125" style="1119" customWidth="1"/>
    <col min="15881" max="15881" width="11" style="1119" customWidth="1"/>
    <col min="15882" max="15882" width="8.28515625" style="1119" customWidth="1"/>
    <col min="15883" max="15883" width="5.42578125" style="1119" customWidth="1"/>
    <col min="15884" max="15884" width="9.85546875" style="1119" customWidth="1"/>
    <col min="15885" max="15885" width="9.140625" style="1119"/>
    <col min="15886" max="15886" width="13.85546875" style="1119" customWidth="1"/>
    <col min="15887" max="15887" width="19.7109375" style="1119" customWidth="1"/>
    <col min="15888" max="15888" width="11.42578125" style="1119" customWidth="1"/>
    <col min="15889" max="15890" width="9.140625" style="1119"/>
    <col min="15891" max="15891" width="0" style="1119" hidden="1" customWidth="1"/>
    <col min="15892" max="16127" width="9.140625" style="1119"/>
    <col min="16128" max="16128" width="20" style="1119" customWidth="1"/>
    <col min="16129" max="16129" width="18.140625" style="1119" customWidth="1"/>
    <col min="16130" max="16130" width="10.5703125" style="1119" customWidth="1"/>
    <col min="16131" max="16131" width="9.140625" style="1119" customWidth="1"/>
    <col min="16132" max="16135" width="7.5703125" style="1119" customWidth="1"/>
    <col min="16136" max="16136" width="26.42578125" style="1119" customWidth="1"/>
    <col min="16137" max="16137" width="11" style="1119" customWidth="1"/>
    <col min="16138" max="16138" width="8.28515625" style="1119" customWidth="1"/>
    <col min="16139" max="16139" width="5.42578125" style="1119" customWidth="1"/>
    <col min="16140" max="16140" width="9.85546875" style="1119" customWidth="1"/>
    <col min="16141" max="16141" width="9.140625" style="1119"/>
    <col min="16142" max="16142" width="13.85546875" style="1119" customWidth="1"/>
    <col min="16143" max="16143" width="19.7109375" style="1119" customWidth="1"/>
    <col min="16144" max="16144" width="11.42578125" style="1119" customWidth="1"/>
    <col min="16145" max="16146" width="9.140625" style="1119"/>
    <col min="16147" max="16147" width="0" style="1119" hidden="1" customWidth="1"/>
    <col min="16148" max="16384" width="9.140625" style="1119"/>
  </cols>
  <sheetData>
    <row r="1" spans="1:17" ht="24" customHeight="1">
      <c r="A1" s="1881" t="s">
        <v>3609</v>
      </c>
      <c r="B1" s="1155" t="s">
        <v>4113</v>
      </c>
      <c r="C1" s="905"/>
      <c r="D1" s="905"/>
      <c r="E1" s="905"/>
      <c r="F1" s="905"/>
      <c r="G1" s="1104"/>
      <c r="H1" s="905"/>
      <c r="I1" s="1104"/>
      <c r="J1" s="1104"/>
      <c r="K1" s="1104"/>
      <c r="L1" s="1104"/>
      <c r="M1" s="1304" t="s">
        <v>2595</v>
      </c>
      <c r="N1" s="2572" t="s">
        <v>3610</v>
      </c>
      <c r="O1" s="2572"/>
    </row>
    <row r="2" spans="1:17">
      <c r="B2" s="1034" t="s">
        <v>3198</v>
      </c>
      <c r="C2" s="1035">
        <f>'Basic Info'!C29:D29</f>
        <v>0</v>
      </c>
      <c r="D2" s="923"/>
      <c r="E2" s="923"/>
      <c r="F2" s="923"/>
      <c r="G2" s="923"/>
      <c r="H2" s="923"/>
      <c r="I2" s="923"/>
      <c r="J2" s="923"/>
      <c r="K2" s="923"/>
      <c r="L2" s="923"/>
      <c r="M2" s="1194"/>
      <c r="N2" s="2420"/>
      <c r="O2" s="2420"/>
    </row>
    <row r="3" spans="1:17">
      <c r="B3" s="923"/>
      <c r="C3" s="923"/>
      <c r="D3" s="923"/>
      <c r="E3" s="923"/>
      <c r="F3" s="923"/>
      <c r="G3" s="923"/>
      <c r="H3" s="923"/>
      <c r="I3" s="923"/>
      <c r="J3" s="923"/>
      <c r="K3" s="923"/>
      <c r="L3" s="923"/>
      <c r="M3" s="1194"/>
      <c r="N3" s="2420"/>
      <c r="O3" s="2420"/>
    </row>
    <row r="4" spans="1:17">
      <c r="A4" s="1298"/>
      <c r="B4" s="923"/>
      <c r="C4" s="923"/>
      <c r="D4" s="923"/>
      <c r="E4" s="923"/>
      <c r="F4" s="923"/>
      <c r="G4" s="923"/>
      <c r="H4" s="923"/>
      <c r="I4" s="923"/>
      <c r="J4" s="923"/>
      <c r="K4" s="923"/>
      <c r="L4" s="923"/>
      <c r="M4" s="1194"/>
      <c r="N4" s="2420"/>
      <c r="O4" s="2420"/>
      <c r="P4" s="1298"/>
    </row>
    <row r="5" spans="1:17" s="1234" customFormat="1" ht="17.25" customHeight="1">
      <c r="B5" s="1239" t="s">
        <v>3981</v>
      </c>
      <c r="C5" s="923"/>
      <c r="D5" s="923"/>
      <c r="E5" s="923"/>
      <c r="F5" s="923"/>
      <c r="G5" s="923"/>
      <c r="H5" s="923"/>
      <c r="I5" s="923"/>
      <c r="J5" s="923"/>
      <c r="K5" s="923"/>
      <c r="L5" s="923"/>
      <c r="M5" s="923"/>
      <c r="N5" s="923"/>
      <c r="O5" s="923"/>
      <c r="P5" s="1300"/>
      <c r="Q5" s="1300"/>
    </row>
    <row r="6" spans="1:17" ht="24" customHeight="1">
      <c r="A6" s="898"/>
      <c r="B6" s="2395" t="s">
        <v>3741</v>
      </c>
      <c r="C6" s="2395"/>
      <c r="D6" s="2395"/>
      <c r="E6" s="2395"/>
      <c r="F6" s="2395"/>
      <c r="G6" s="2395"/>
      <c r="H6" s="2395"/>
      <c r="I6" s="2395"/>
      <c r="J6" s="2395"/>
      <c r="K6" s="2395"/>
      <c r="L6" s="2395"/>
      <c r="M6" s="2395"/>
      <c r="N6" s="2395"/>
      <c r="O6" s="2395"/>
      <c r="P6" s="898"/>
      <c r="Q6" s="898"/>
    </row>
    <row r="7" spans="1:17" ht="12" customHeight="1">
      <c r="A7" s="898"/>
      <c r="B7" s="2395" t="s">
        <v>3742</v>
      </c>
      <c r="C7" s="2395"/>
      <c r="D7" s="2395"/>
      <c r="E7" s="2395"/>
      <c r="F7" s="2395"/>
      <c r="G7" s="2395"/>
      <c r="H7" s="2395"/>
      <c r="I7" s="2395"/>
      <c r="J7" s="2395"/>
      <c r="K7" s="2395"/>
      <c r="L7" s="2395"/>
      <c r="M7" s="2395"/>
      <c r="N7" s="2395"/>
      <c r="O7" s="2395"/>
      <c r="P7" s="898"/>
      <c r="Q7" s="898"/>
    </row>
    <row r="8" spans="1:17">
      <c r="A8" s="898"/>
      <c r="B8" s="923"/>
      <c r="C8" s="923"/>
      <c r="D8" s="923"/>
      <c r="E8" s="923"/>
      <c r="F8" s="923"/>
      <c r="G8" s="923"/>
      <c r="H8" s="923"/>
      <c r="I8" s="923"/>
      <c r="J8" s="923"/>
      <c r="K8" s="923"/>
      <c r="L8" s="923"/>
      <c r="M8" s="2531"/>
      <c r="N8" s="2531"/>
      <c r="O8" s="1117"/>
      <c r="P8" s="898"/>
      <c r="Q8" s="898"/>
    </row>
    <row r="9" spans="1:17">
      <c r="A9" s="898"/>
      <c r="B9" s="1239" t="s">
        <v>3927</v>
      </c>
      <c r="C9" s="923"/>
      <c r="D9" s="923"/>
      <c r="E9" s="923"/>
      <c r="F9" s="923"/>
      <c r="G9" s="923"/>
      <c r="H9" s="923"/>
      <c r="I9" s="923"/>
      <c r="J9" s="923"/>
      <c r="K9" s="923"/>
      <c r="L9" s="923"/>
      <c r="M9" s="923"/>
      <c r="N9" s="2531"/>
      <c r="O9" s="2531"/>
      <c r="P9" s="898"/>
      <c r="Q9" s="898"/>
    </row>
    <row r="10" spans="1:17">
      <c r="A10" s="898"/>
      <c r="B10" s="923" t="s">
        <v>3743</v>
      </c>
      <c r="C10" s="923"/>
      <c r="D10" s="923"/>
      <c r="E10" s="923"/>
      <c r="F10" s="923"/>
      <c r="G10" s="923"/>
      <c r="H10" s="923"/>
      <c r="I10" s="923"/>
      <c r="J10" s="923"/>
      <c r="K10" s="923"/>
      <c r="L10" s="923"/>
      <c r="M10" s="923"/>
      <c r="N10" s="923"/>
      <c r="O10" s="923"/>
      <c r="P10" s="898"/>
      <c r="Q10" s="898"/>
    </row>
    <row r="11" spans="1:17">
      <c r="A11" s="898"/>
      <c r="B11" s="923" t="s">
        <v>4539</v>
      </c>
      <c r="C11" s="923"/>
      <c r="D11" s="923"/>
      <c r="E11" s="923"/>
      <c r="F11" s="923"/>
      <c r="G11" s="923"/>
      <c r="H11" s="923"/>
      <c r="I11" s="923"/>
      <c r="J11" s="923"/>
      <c r="K11" s="923"/>
      <c r="L11" s="923"/>
      <c r="M11" s="923"/>
      <c r="N11" s="923"/>
      <c r="O11" s="923"/>
      <c r="P11" s="898"/>
      <c r="Q11" s="898"/>
    </row>
    <row r="12" spans="1:17">
      <c r="A12" s="1236"/>
      <c r="B12" s="923" t="s">
        <v>4540</v>
      </c>
      <c r="C12" s="923"/>
      <c r="D12" s="923"/>
      <c r="E12" s="923"/>
      <c r="F12" s="923"/>
      <c r="G12" s="923"/>
      <c r="H12" s="923"/>
      <c r="I12" s="923"/>
      <c r="J12" s="923"/>
      <c r="K12" s="923"/>
      <c r="L12" s="923"/>
      <c r="M12" s="923"/>
      <c r="N12" s="923"/>
      <c r="O12" s="923"/>
      <c r="P12" s="898"/>
    </row>
    <row r="13" spans="1:17">
      <c r="A13" s="1236"/>
      <c r="B13" s="923" t="s">
        <v>4541</v>
      </c>
      <c r="C13" s="923"/>
      <c r="D13" s="923"/>
      <c r="E13" s="923"/>
      <c r="F13" s="923"/>
      <c r="G13" s="923"/>
      <c r="H13" s="923"/>
      <c r="I13" s="923"/>
      <c r="J13" s="923"/>
      <c r="K13" s="923"/>
      <c r="L13" s="923"/>
      <c r="M13" s="923"/>
      <c r="N13" s="923"/>
      <c r="O13" s="923"/>
      <c r="P13" s="898"/>
      <c r="Q13" s="898"/>
    </row>
    <row r="14" spans="1:17">
      <c r="A14" s="1236"/>
      <c r="B14" s="923"/>
      <c r="C14" s="923"/>
      <c r="D14" s="923"/>
      <c r="E14" s="923"/>
      <c r="F14" s="923"/>
      <c r="G14" s="923"/>
      <c r="H14" s="923"/>
      <c r="I14" s="923"/>
      <c r="J14" s="923"/>
      <c r="K14" s="923"/>
      <c r="L14" s="923"/>
      <c r="M14" s="923"/>
      <c r="N14" s="923"/>
      <c r="O14" s="923"/>
      <c r="P14" s="898"/>
      <c r="Q14" s="898"/>
    </row>
    <row r="15" spans="1:17">
      <c r="A15" s="1236"/>
      <c r="B15" s="1011" t="s">
        <v>3982</v>
      </c>
      <c r="C15" s="923"/>
      <c r="D15" s="923"/>
      <c r="E15" s="923"/>
      <c r="F15" s="923"/>
      <c r="G15" s="923"/>
      <c r="H15" s="923"/>
      <c r="I15" s="923"/>
      <c r="J15" s="923"/>
      <c r="K15" s="923"/>
      <c r="L15" s="923"/>
      <c r="M15" s="923"/>
      <c r="N15" s="923"/>
      <c r="O15" s="923"/>
      <c r="P15" s="898"/>
      <c r="Q15" s="898"/>
    </row>
    <row r="16" spans="1:17" ht="25.5" customHeight="1">
      <c r="A16" s="1236"/>
      <c r="B16" s="2395" t="s">
        <v>4097</v>
      </c>
      <c r="C16" s="2395"/>
      <c r="D16" s="2395"/>
      <c r="E16" s="2395"/>
      <c r="F16" s="2395"/>
      <c r="G16" s="2395"/>
      <c r="H16" s="2395"/>
      <c r="I16" s="2395"/>
      <c r="J16" s="2395"/>
      <c r="K16" s="2395"/>
      <c r="L16" s="2395"/>
      <c r="M16" s="2395"/>
      <c r="N16" s="2395"/>
      <c r="O16" s="2395"/>
      <c r="P16" s="898"/>
      <c r="Q16" s="898"/>
    </row>
    <row r="17" spans="1:17" ht="25.5" customHeight="1">
      <c r="A17" s="1236"/>
      <c r="B17" s="2395" t="s">
        <v>4098</v>
      </c>
      <c r="C17" s="2395"/>
      <c r="D17" s="2395"/>
      <c r="E17" s="2395"/>
      <c r="F17" s="2395"/>
      <c r="G17" s="2395"/>
      <c r="H17" s="2395"/>
      <c r="I17" s="2395"/>
      <c r="J17" s="2395"/>
      <c r="K17" s="2395"/>
      <c r="L17" s="2395"/>
      <c r="M17" s="2395"/>
      <c r="N17" s="2395"/>
      <c r="O17" s="2395"/>
      <c r="P17" s="898"/>
      <c r="Q17" s="898"/>
    </row>
    <row r="18" spans="1:17">
      <c r="A18" s="1236"/>
      <c r="B18" s="2395" t="s">
        <v>4114</v>
      </c>
      <c r="C18" s="2395"/>
      <c r="D18" s="2395"/>
      <c r="E18" s="2395"/>
      <c r="F18" s="2395"/>
      <c r="G18" s="2395"/>
      <c r="H18" s="2395"/>
      <c r="I18" s="2395"/>
      <c r="J18" s="2395"/>
      <c r="K18" s="2395"/>
      <c r="L18" s="2395"/>
      <c r="M18" s="2395"/>
      <c r="N18" s="923"/>
      <c r="O18" s="923"/>
      <c r="P18" s="898"/>
      <c r="Q18" s="898"/>
    </row>
    <row r="19" spans="1:17">
      <c r="A19" s="1236"/>
      <c r="B19" s="2459" t="s">
        <v>4115</v>
      </c>
      <c r="C19" s="2583"/>
      <c r="D19" s="2583"/>
      <c r="E19" s="2583"/>
      <c r="F19" s="2583"/>
      <c r="G19" s="2583"/>
      <c r="H19" s="2583"/>
      <c r="I19" s="2583"/>
      <c r="J19" s="2583"/>
      <c r="K19" s="2583"/>
      <c r="L19" s="2583"/>
      <c r="M19" s="2583"/>
      <c r="N19" s="1308"/>
      <c r="O19" s="1308"/>
      <c r="P19" s="898"/>
      <c r="Q19" s="898"/>
    </row>
    <row r="20" spans="1:17">
      <c r="A20" s="1236"/>
      <c r="B20" s="2459" t="s">
        <v>4543</v>
      </c>
      <c r="C20" s="2459"/>
      <c r="D20" s="2459"/>
      <c r="E20" s="2459"/>
      <c r="F20" s="2459"/>
      <c r="G20" s="2459"/>
      <c r="H20" s="2459"/>
      <c r="I20" s="2459"/>
      <c r="J20" s="2459"/>
      <c r="K20" s="2459"/>
      <c r="L20" s="2459"/>
      <c r="M20" s="2459"/>
      <c r="N20" s="2459"/>
      <c r="O20" s="2459"/>
      <c r="P20" s="898"/>
      <c r="Q20" s="898"/>
    </row>
    <row r="21" spans="1:17">
      <c r="A21" s="1236"/>
      <c r="B21" s="2459" t="s">
        <v>4116</v>
      </c>
      <c r="C21" s="2459"/>
      <c r="D21" s="2459"/>
      <c r="E21" s="2459"/>
      <c r="F21" s="2459"/>
      <c r="G21" s="2459"/>
      <c r="H21" s="2459"/>
      <c r="I21" s="2459"/>
      <c r="J21" s="2459"/>
      <c r="K21" s="2459"/>
      <c r="L21" s="2459"/>
      <c r="M21" s="2459"/>
      <c r="N21" s="2459"/>
      <c r="O21" s="2459"/>
      <c r="P21" s="898"/>
      <c r="Q21" s="898"/>
    </row>
    <row r="22" spans="1:17">
      <c r="A22" s="1236"/>
      <c r="B22" s="2459" t="s">
        <v>4120</v>
      </c>
      <c r="C22" s="2459"/>
      <c r="D22" s="2459"/>
      <c r="E22" s="2459"/>
      <c r="F22" s="2459"/>
      <c r="G22" s="2459"/>
      <c r="H22" s="2459"/>
      <c r="I22" s="2459"/>
      <c r="J22" s="2459"/>
      <c r="K22" s="2459"/>
      <c r="L22" s="2459"/>
      <c r="M22" s="2459"/>
      <c r="N22" s="2459"/>
      <c r="O22" s="2459"/>
      <c r="P22" s="898"/>
      <c r="Q22" s="898"/>
    </row>
    <row r="23" spans="1:17">
      <c r="A23" s="1236"/>
      <c r="B23" s="2459" t="s">
        <v>4117</v>
      </c>
      <c r="C23" s="2459"/>
      <c r="D23" s="2459"/>
      <c r="E23" s="2459"/>
      <c r="F23" s="2459"/>
      <c r="G23" s="2459"/>
      <c r="H23" s="2459"/>
      <c r="I23" s="2459"/>
      <c r="J23" s="2459"/>
      <c r="K23" s="2459"/>
      <c r="L23" s="2459"/>
      <c r="M23" s="2459"/>
      <c r="N23" s="2459"/>
      <c r="O23" s="2459"/>
      <c r="P23" s="898"/>
      <c r="Q23" s="898"/>
    </row>
    <row r="24" spans="1:17">
      <c r="A24" s="1236"/>
      <c r="B24" s="2459" t="s">
        <v>4118</v>
      </c>
      <c r="C24" s="2459"/>
      <c r="D24" s="2459"/>
      <c r="E24" s="2459"/>
      <c r="F24" s="2459"/>
      <c r="G24" s="2459"/>
      <c r="H24" s="2459"/>
      <c r="I24" s="2459"/>
      <c r="J24" s="2459"/>
      <c r="K24" s="2459"/>
      <c r="L24" s="2459"/>
      <c r="M24" s="2459"/>
      <c r="N24" s="2459"/>
      <c r="O24" s="2459"/>
      <c r="P24" s="898"/>
      <c r="Q24" s="898"/>
    </row>
    <row r="25" spans="1:17">
      <c r="A25" s="1236"/>
      <c r="B25" s="2459" t="s">
        <v>4119</v>
      </c>
      <c r="C25" s="2459"/>
      <c r="D25" s="2459"/>
      <c r="E25" s="2459"/>
      <c r="F25" s="2459"/>
      <c r="G25" s="2459"/>
      <c r="H25" s="2459"/>
      <c r="I25" s="2459"/>
      <c r="J25" s="2459"/>
      <c r="K25" s="2459"/>
      <c r="L25" s="2459"/>
      <c r="M25" s="2459"/>
      <c r="N25" s="2459"/>
      <c r="O25" s="2459"/>
      <c r="P25" s="898"/>
      <c r="Q25" s="898"/>
    </row>
    <row r="26" spans="1:17">
      <c r="A26" s="1236"/>
      <c r="B26" s="1306"/>
      <c r="C26" s="1307"/>
      <c r="D26" s="1307"/>
      <c r="E26" s="1307"/>
      <c r="F26" s="1307"/>
      <c r="G26" s="1307"/>
      <c r="H26" s="1307"/>
      <c r="I26" s="1307"/>
      <c r="J26" s="1307"/>
      <c r="K26" s="1307"/>
      <c r="L26" s="1307"/>
      <c r="M26" s="1307"/>
      <c r="N26" s="923"/>
      <c r="O26" s="923"/>
      <c r="P26" s="898"/>
      <c r="Q26" s="898"/>
    </row>
    <row r="27" spans="1:17">
      <c r="A27" s="1236"/>
      <c r="B27" s="1165" t="s">
        <v>3928</v>
      </c>
      <c r="C27" s="1204"/>
      <c r="D27" s="967"/>
      <c r="E27" s="967"/>
      <c r="F27" s="1103"/>
      <c r="G27" s="1103"/>
      <c r="H27" s="1236"/>
      <c r="I27" s="1236"/>
      <c r="O27" s="898"/>
      <c r="P27" s="898"/>
      <c r="Q27" s="898"/>
    </row>
    <row r="28" spans="1:17" ht="12.75">
      <c r="A28" s="1236"/>
      <c r="B28" s="2582" t="s">
        <v>4128</v>
      </c>
      <c r="C28" s="2582"/>
      <c r="D28" s="2582"/>
      <c r="E28" s="2582"/>
      <c r="F28" s="2582"/>
      <c r="G28" s="2582"/>
      <c r="H28" s="2582"/>
      <c r="I28" s="2582"/>
      <c r="J28" s="2582"/>
      <c r="K28" s="2582"/>
      <c r="L28" s="2582"/>
      <c r="M28" s="2582"/>
      <c r="N28" s="2582"/>
      <c r="O28" s="2582"/>
    </row>
    <row r="29" spans="1:17">
      <c r="A29" s="1236"/>
      <c r="B29" s="2576" t="s">
        <v>4127</v>
      </c>
      <c r="C29" s="2576"/>
      <c r="D29" s="2576"/>
      <c r="E29" s="2576"/>
      <c r="F29" s="2576"/>
      <c r="G29" s="2576"/>
      <c r="H29" s="2576"/>
      <c r="I29" s="2576"/>
      <c r="J29" s="2576"/>
      <c r="K29" s="2576"/>
      <c r="L29" s="2576"/>
      <c r="M29" s="2576"/>
      <c r="N29" s="2576"/>
      <c r="O29" s="2576"/>
    </row>
    <row r="30" spans="1:17">
      <c r="A30" s="1236"/>
      <c r="B30" s="2576" t="s">
        <v>4121</v>
      </c>
      <c r="C30" s="2576"/>
      <c r="D30" s="2576"/>
      <c r="E30" s="2576"/>
      <c r="F30" s="2576"/>
      <c r="G30" s="2576"/>
      <c r="H30" s="2576"/>
      <c r="I30" s="2576"/>
      <c r="J30" s="2576"/>
      <c r="K30" s="2576"/>
      <c r="L30" s="2576"/>
      <c r="M30" s="2576"/>
      <c r="N30" s="2576"/>
      <c r="O30" s="2576"/>
    </row>
    <row r="31" spans="1:17">
      <c r="A31" s="1236"/>
      <c r="B31" s="2576" t="s">
        <v>4122</v>
      </c>
      <c r="C31" s="2576"/>
      <c r="D31" s="2576"/>
      <c r="E31" s="2576"/>
      <c r="F31" s="2576"/>
      <c r="G31" s="2576"/>
      <c r="H31" s="2576"/>
      <c r="I31" s="2576"/>
      <c r="J31" s="2576"/>
      <c r="K31" s="2576"/>
      <c r="L31" s="2576"/>
      <c r="M31" s="2576"/>
      <c r="N31" s="2576"/>
      <c r="O31" s="2576"/>
    </row>
    <row r="32" spans="1:17">
      <c r="A32" s="1236"/>
      <c r="B32" s="2576" t="s">
        <v>4123</v>
      </c>
      <c r="C32" s="2576"/>
      <c r="D32" s="2576"/>
      <c r="E32" s="2576"/>
      <c r="F32" s="2576"/>
      <c r="G32" s="2576"/>
      <c r="H32" s="2576"/>
      <c r="I32" s="2576"/>
      <c r="J32" s="2576"/>
      <c r="K32" s="2576"/>
      <c r="L32" s="2576"/>
      <c r="M32" s="2576"/>
      <c r="N32" s="2576"/>
      <c r="O32" s="2576"/>
    </row>
    <row r="33" spans="1:15">
      <c r="A33" s="1236"/>
      <c r="B33" s="2576" t="s">
        <v>4124</v>
      </c>
      <c r="C33" s="2576"/>
      <c r="D33" s="2576"/>
      <c r="E33" s="2576"/>
      <c r="F33" s="2576"/>
      <c r="G33" s="2576"/>
      <c r="H33" s="2576"/>
      <c r="I33" s="2576"/>
      <c r="J33" s="2576"/>
      <c r="K33" s="2576"/>
      <c r="L33" s="2576"/>
      <c r="M33" s="2576"/>
      <c r="N33" s="2576"/>
      <c r="O33" s="2576"/>
    </row>
    <row r="34" spans="1:15" ht="4.5" customHeight="1">
      <c r="A34" s="1236"/>
      <c r="B34" s="2395"/>
      <c r="C34" s="2395"/>
      <c r="D34" s="2395"/>
      <c r="E34" s="2395"/>
      <c r="F34" s="2395"/>
      <c r="G34" s="2395"/>
      <c r="H34" s="2395"/>
      <c r="I34" s="2395"/>
      <c r="J34" s="2395"/>
      <c r="K34" s="2395"/>
      <c r="L34" s="2395"/>
      <c r="M34" s="2395"/>
      <c r="N34" s="2395"/>
      <c r="O34" s="2395"/>
    </row>
    <row r="35" spans="1:15" ht="12.75">
      <c r="A35" s="1236"/>
      <c r="B35" s="2582" t="s">
        <v>3413</v>
      </c>
      <c r="C35" s="2582"/>
      <c r="D35" s="2582"/>
      <c r="E35" s="2582"/>
      <c r="F35" s="2582"/>
      <c r="G35" s="2582"/>
      <c r="H35" s="2582"/>
      <c r="I35" s="2582"/>
      <c r="J35" s="2582"/>
      <c r="K35" s="2582"/>
      <c r="L35" s="2582"/>
      <c r="M35" s="2582"/>
      <c r="N35" s="2582"/>
      <c r="O35" s="2582"/>
    </row>
    <row r="36" spans="1:15">
      <c r="A36" s="1236"/>
      <c r="B36" s="2576" t="s">
        <v>4126</v>
      </c>
      <c r="C36" s="2576"/>
      <c r="D36" s="2576"/>
      <c r="E36" s="2576"/>
      <c r="F36" s="2576"/>
      <c r="G36" s="2576"/>
      <c r="H36" s="2576"/>
      <c r="I36" s="2576"/>
      <c r="J36" s="2576"/>
      <c r="K36" s="2576"/>
      <c r="L36" s="2576"/>
      <c r="M36" s="2576"/>
      <c r="N36" s="2576"/>
      <c r="O36" s="2576"/>
    </row>
    <row r="37" spans="1:15">
      <c r="A37" s="1236"/>
      <c r="B37" s="2576" t="s">
        <v>4125</v>
      </c>
      <c r="C37" s="2576"/>
      <c r="D37" s="2576"/>
      <c r="E37" s="2576"/>
      <c r="F37" s="2576"/>
      <c r="G37" s="2576"/>
      <c r="H37" s="2576"/>
      <c r="I37" s="2576"/>
      <c r="J37" s="2576"/>
      <c r="K37" s="2576"/>
      <c r="L37" s="2576"/>
      <c r="M37" s="2576"/>
      <c r="N37" s="2576"/>
      <c r="O37" s="2576"/>
    </row>
    <row r="38" spans="1:15" ht="5.25" customHeight="1">
      <c r="A38" s="1236"/>
      <c r="B38" s="1104"/>
      <c r="C38" s="1104"/>
      <c r="D38" s="1104"/>
      <c r="E38" s="1104"/>
      <c r="F38" s="1104"/>
      <c r="G38" s="1104"/>
      <c r="H38" s="1104"/>
      <c r="I38" s="1104"/>
      <c r="J38" s="1104"/>
      <c r="K38" s="1104"/>
      <c r="L38" s="1104"/>
      <c r="M38" s="1104"/>
      <c r="N38" s="1104"/>
      <c r="O38" s="1104"/>
    </row>
    <row r="39" spans="1:15" ht="12.75">
      <c r="A39" s="1236"/>
      <c r="B39" s="2582" t="s">
        <v>4135</v>
      </c>
      <c r="C39" s="2582"/>
      <c r="D39" s="2582"/>
      <c r="E39" s="2582"/>
      <c r="F39" s="2582"/>
      <c r="G39" s="2582"/>
      <c r="H39" s="2582"/>
      <c r="I39" s="2582"/>
      <c r="J39" s="2582"/>
      <c r="K39" s="2582"/>
      <c r="L39" s="2582"/>
      <c r="M39" s="2582"/>
      <c r="N39" s="2582"/>
      <c r="O39" s="2582"/>
    </row>
    <row r="40" spans="1:15">
      <c r="A40" s="1236"/>
      <c r="B40" s="2574" t="s">
        <v>4129</v>
      </c>
      <c r="C40" s="2574"/>
      <c r="D40" s="2574"/>
      <c r="E40" s="2574"/>
      <c r="F40" s="2574"/>
      <c r="G40" s="2574"/>
      <c r="H40" s="2574"/>
      <c r="I40" s="2574"/>
      <c r="J40" s="2574"/>
      <c r="K40" s="2574"/>
      <c r="L40" s="2574"/>
      <c r="M40" s="2574"/>
      <c r="N40" s="2574"/>
      <c r="O40" s="2574"/>
    </row>
    <row r="41" spans="1:15">
      <c r="A41" s="1236"/>
      <c r="B41" s="2574" t="s">
        <v>4130</v>
      </c>
      <c r="C41" s="2574"/>
      <c r="D41" s="2574"/>
      <c r="E41" s="2574"/>
      <c r="F41" s="2574"/>
      <c r="G41" s="2574"/>
      <c r="H41" s="2574"/>
      <c r="I41" s="2574"/>
      <c r="J41" s="2574"/>
      <c r="K41" s="2574"/>
      <c r="L41" s="2574"/>
      <c r="M41" s="2574"/>
      <c r="N41" s="2574"/>
      <c r="O41" s="2574"/>
    </row>
    <row r="42" spans="1:15" ht="25.5" customHeight="1">
      <c r="A42" s="1236"/>
      <c r="B42" s="2573" t="s">
        <v>4131</v>
      </c>
      <c r="C42" s="2573"/>
      <c r="D42" s="2573"/>
      <c r="E42" s="2573"/>
      <c r="F42" s="2573"/>
      <c r="G42" s="2573"/>
      <c r="H42" s="2573"/>
      <c r="I42" s="2573"/>
      <c r="J42" s="2573"/>
      <c r="K42" s="2573"/>
      <c r="L42" s="2573"/>
      <c r="M42" s="2573"/>
      <c r="N42" s="2573"/>
      <c r="O42" s="2573"/>
    </row>
    <row r="43" spans="1:15">
      <c r="A43" s="1236"/>
      <c r="B43" s="2574" t="s">
        <v>4132</v>
      </c>
      <c r="C43" s="2574"/>
      <c r="D43" s="2574"/>
      <c r="E43" s="2574"/>
      <c r="F43" s="2574"/>
      <c r="G43" s="2574"/>
      <c r="H43" s="2574"/>
      <c r="I43" s="2574"/>
      <c r="J43" s="2574"/>
      <c r="K43" s="2574"/>
      <c r="L43" s="2574"/>
      <c r="M43" s="2574"/>
      <c r="N43" s="2574"/>
      <c r="O43" s="2574"/>
    </row>
    <row r="44" spans="1:15">
      <c r="A44" s="1236"/>
      <c r="B44" s="2574" t="s">
        <v>4133</v>
      </c>
      <c r="C44" s="2574"/>
      <c r="D44" s="2574"/>
      <c r="E44" s="2574"/>
      <c r="F44" s="2574"/>
      <c r="G44" s="2574"/>
      <c r="H44" s="2574"/>
      <c r="I44" s="2574"/>
      <c r="J44" s="2574"/>
      <c r="K44" s="2574"/>
      <c r="L44" s="2574"/>
      <c r="M44" s="2574"/>
      <c r="N44" s="2574"/>
      <c r="O44" s="2574"/>
    </row>
    <row r="45" spans="1:15">
      <c r="A45" s="1236"/>
      <c r="B45" s="2574" t="s">
        <v>4134</v>
      </c>
      <c r="C45" s="2574"/>
      <c r="D45" s="2574"/>
      <c r="E45" s="2574"/>
      <c r="F45" s="2574"/>
      <c r="G45" s="2574"/>
      <c r="H45" s="2574"/>
      <c r="I45" s="2574"/>
      <c r="J45" s="2574"/>
      <c r="K45" s="2574"/>
      <c r="L45" s="2574"/>
      <c r="M45" s="2574"/>
      <c r="N45" s="2574"/>
      <c r="O45" s="2574"/>
    </row>
    <row r="46" spans="1:15">
      <c r="A46" s="1236"/>
      <c r="B46" s="1218"/>
      <c r="C46" s="923"/>
      <c r="D46" s="923"/>
      <c r="E46" s="923"/>
      <c r="F46" s="923"/>
      <c r="G46" s="923"/>
      <c r="H46" s="923"/>
      <c r="I46" s="923"/>
      <c r="J46" s="923"/>
      <c r="K46" s="923"/>
      <c r="L46" s="923"/>
      <c r="M46" s="923"/>
      <c r="N46" s="923"/>
      <c r="O46" s="923"/>
    </row>
    <row r="47" spans="1:15">
      <c r="A47" s="1236"/>
      <c r="B47" s="1218" t="s">
        <v>4099</v>
      </c>
      <c r="C47" s="923"/>
      <c r="D47" s="923"/>
      <c r="E47" s="923"/>
      <c r="F47" s="923"/>
      <c r="G47" s="923"/>
      <c r="H47" s="923"/>
      <c r="I47" s="923"/>
      <c r="J47" s="1301"/>
      <c r="K47" s="923"/>
      <c r="L47" s="923"/>
      <c r="M47" s="923"/>
      <c r="N47" s="923"/>
      <c r="O47" s="923"/>
    </row>
    <row r="48" spans="1:15" ht="60" customHeight="1">
      <c r="A48" s="1236"/>
      <c r="B48" s="1162" t="s">
        <v>4100</v>
      </c>
      <c r="C48" s="1162" t="s">
        <v>3744</v>
      </c>
      <c r="D48" s="2428" t="s">
        <v>3745</v>
      </c>
      <c r="E48" s="2428"/>
      <c r="F48" s="2428" t="s">
        <v>3624</v>
      </c>
      <c r="G48" s="2428"/>
      <c r="H48" s="2428" t="s">
        <v>3746</v>
      </c>
      <c r="I48" s="2428"/>
      <c r="J48" s="1162" t="s">
        <v>3747</v>
      </c>
      <c r="K48" s="1083" t="s">
        <v>3627</v>
      </c>
      <c r="L48" s="2428" t="s">
        <v>3975</v>
      </c>
      <c r="M48" s="2428"/>
      <c r="N48" s="2428"/>
      <c r="O48" s="2428"/>
    </row>
    <row r="49" spans="1:17">
      <c r="A49" s="1236"/>
      <c r="B49" s="1171"/>
      <c r="C49" s="1171"/>
      <c r="D49" s="2456"/>
      <c r="E49" s="2456"/>
      <c r="F49" s="2456"/>
      <c r="G49" s="2456"/>
      <c r="H49" s="2456"/>
      <c r="I49" s="2456"/>
      <c r="J49" s="1171"/>
      <c r="K49" s="1171"/>
      <c r="L49" s="2456"/>
      <c r="M49" s="2456"/>
      <c r="N49" s="2456"/>
      <c r="O49" s="2456"/>
    </row>
    <row r="50" spans="1:17">
      <c r="A50" s="1236"/>
      <c r="B50" s="1171"/>
      <c r="C50" s="1171"/>
      <c r="D50" s="2456"/>
      <c r="E50" s="2456"/>
      <c r="F50" s="2456"/>
      <c r="G50" s="2456"/>
      <c r="H50" s="2456"/>
      <c r="I50" s="2456"/>
      <c r="J50" s="1171"/>
      <c r="K50" s="1171"/>
      <c r="L50" s="2456"/>
      <c r="M50" s="2456"/>
      <c r="N50" s="2456"/>
      <c r="O50" s="2456"/>
    </row>
    <row r="51" spans="1:17">
      <c r="A51" s="1236"/>
      <c r="B51" s="1171"/>
      <c r="C51" s="1171"/>
      <c r="D51" s="2456"/>
      <c r="E51" s="2456"/>
      <c r="F51" s="2456"/>
      <c r="G51" s="2456"/>
      <c r="H51" s="2456"/>
      <c r="I51" s="2456"/>
      <c r="J51" s="1171"/>
      <c r="K51" s="1171"/>
      <c r="L51" s="2456"/>
      <c r="M51" s="2456"/>
      <c r="N51" s="2456"/>
      <c r="O51" s="2456"/>
    </row>
    <row r="52" spans="1:17">
      <c r="A52" s="1236"/>
      <c r="B52" s="1171"/>
      <c r="C52" s="1171"/>
      <c r="D52" s="2456"/>
      <c r="E52" s="2456"/>
      <c r="F52" s="2456"/>
      <c r="G52" s="2456"/>
      <c r="H52" s="2456"/>
      <c r="I52" s="2456"/>
      <c r="J52" s="1171"/>
      <c r="K52" s="1171"/>
      <c r="L52" s="2456"/>
      <c r="M52" s="2456"/>
      <c r="N52" s="2456"/>
      <c r="O52" s="2456"/>
    </row>
    <row r="53" spans="1:17">
      <c r="A53" s="1302"/>
      <c r="B53" s="1171"/>
      <c r="C53" s="1171"/>
      <c r="D53" s="2456"/>
      <c r="E53" s="2456"/>
      <c r="F53" s="2456"/>
      <c r="G53" s="2456"/>
      <c r="H53" s="2456"/>
      <c r="I53" s="2456"/>
      <c r="J53" s="1171"/>
      <c r="K53" s="1171"/>
      <c r="L53" s="2456"/>
      <c r="M53" s="2456"/>
      <c r="N53" s="2456"/>
      <c r="O53" s="2456"/>
    </row>
    <row r="54" spans="1:17">
      <c r="A54" s="1236"/>
      <c r="B54" s="1171"/>
      <c r="C54" s="1171"/>
      <c r="D54" s="2456"/>
      <c r="E54" s="2456"/>
      <c r="F54" s="2456"/>
      <c r="G54" s="2456"/>
      <c r="H54" s="2456"/>
      <c r="I54" s="2456"/>
      <c r="J54" s="1171"/>
      <c r="K54" s="1171"/>
      <c r="L54" s="2456"/>
      <c r="M54" s="2456"/>
      <c r="N54" s="2456"/>
      <c r="O54" s="2456"/>
    </row>
    <row r="55" spans="1:17">
      <c r="A55" s="1236"/>
      <c r="B55" s="1171"/>
      <c r="C55" s="1171"/>
      <c r="D55" s="2456"/>
      <c r="E55" s="2456"/>
      <c r="F55" s="2456"/>
      <c r="G55" s="2456"/>
      <c r="H55" s="2456"/>
      <c r="I55" s="2456"/>
      <c r="J55" s="1171"/>
      <c r="K55" s="1171"/>
      <c r="L55" s="2456"/>
      <c r="M55" s="2456"/>
      <c r="N55" s="2456"/>
      <c r="O55" s="2456"/>
    </row>
    <row r="56" spans="1:17">
      <c r="A56" s="1236"/>
      <c r="B56" s="1171"/>
      <c r="C56" s="1171"/>
      <c r="D56" s="2456"/>
      <c r="E56" s="2456"/>
      <c r="F56" s="2456"/>
      <c r="G56" s="2456"/>
      <c r="H56" s="2456"/>
      <c r="I56" s="2456"/>
      <c r="J56" s="1171"/>
      <c r="K56" s="1171"/>
      <c r="L56" s="2456"/>
      <c r="M56" s="2456"/>
      <c r="N56" s="2456"/>
      <c r="O56" s="2456"/>
    </row>
    <row r="57" spans="1:17">
      <c r="A57" s="1236"/>
      <c r="B57" s="1171"/>
      <c r="C57" s="1171"/>
      <c r="D57" s="2456"/>
      <c r="E57" s="2456"/>
      <c r="F57" s="2456"/>
      <c r="G57" s="2456"/>
      <c r="H57" s="2456"/>
      <c r="I57" s="2456"/>
      <c r="J57" s="1171"/>
      <c r="K57" s="1171"/>
      <c r="L57" s="2456"/>
      <c r="M57" s="2456"/>
      <c r="N57" s="2456"/>
      <c r="O57" s="2456"/>
    </row>
    <row r="58" spans="1:17">
      <c r="A58" s="1236"/>
      <c r="B58" s="1171"/>
      <c r="C58" s="1171"/>
      <c r="D58" s="2456"/>
      <c r="E58" s="2456"/>
      <c r="F58" s="2456"/>
      <c r="G58" s="2456"/>
      <c r="H58" s="2456"/>
      <c r="I58" s="2456"/>
      <c r="J58" s="1171"/>
      <c r="K58" s="1171"/>
      <c r="L58" s="2456"/>
      <c r="M58" s="2456"/>
      <c r="N58" s="2456"/>
      <c r="O58" s="2456"/>
    </row>
    <row r="59" spans="1:17" ht="12.75" customHeight="1">
      <c r="A59" s="1236"/>
      <c r="B59" s="1822" t="s">
        <v>4542</v>
      </c>
      <c r="C59" s="1822"/>
      <c r="D59" s="1822"/>
      <c r="E59" s="1822"/>
      <c r="F59" s="1822"/>
      <c r="G59" s="1822"/>
      <c r="H59" s="1822"/>
      <c r="I59" s="1822"/>
      <c r="J59" s="1822"/>
      <c r="K59" s="1822"/>
      <c r="L59" s="1822"/>
      <c r="M59" s="1822"/>
      <c r="N59" s="1822"/>
      <c r="O59" s="1822"/>
      <c r="P59" s="1303"/>
      <c r="Q59" s="898"/>
    </row>
    <row r="60" spans="1:17" ht="26.25" customHeight="1">
      <c r="A60" s="1236"/>
      <c r="B60" s="1218" t="s">
        <v>4101</v>
      </c>
      <c r="C60" s="1204"/>
      <c r="D60" s="1038"/>
      <c r="E60" s="1038"/>
      <c r="F60" s="1103"/>
      <c r="G60" s="1103"/>
      <c r="H60" s="1103"/>
      <c r="I60" s="1103"/>
      <c r="J60" s="1103"/>
      <c r="K60" s="1038"/>
      <c r="L60" s="1152"/>
      <c r="M60" s="1152"/>
      <c r="N60" s="2394"/>
      <c r="O60" s="2581"/>
      <c r="P60" s="1303"/>
      <c r="Q60" s="898"/>
    </row>
    <row r="61" spans="1:17" ht="60" customHeight="1">
      <c r="A61" s="1236"/>
      <c r="B61" s="1162" t="s">
        <v>3748</v>
      </c>
      <c r="C61" s="1162" t="s">
        <v>3749</v>
      </c>
      <c r="D61" s="1162" t="s">
        <v>3623</v>
      </c>
      <c r="E61" s="1162" t="s">
        <v>3750</v>
      </c>
      <c r="F61" s="2428" t="s">
        <v>3744</v>
      </c>
      <c r="G61" s="2428"/>
      <c r="H61" s="2428" t="s">
        <v>3751</v>
      </c>
      <c r="I61" s="2428"/>
      <c r="J61" s="1162" t="s">
        <v>3752</v>
      </c>
      <c r="K61" s="1083" t="s">
        <v>3627</v>
      </c>
      <c r="L61" s="2428" t="s">
        <v>3975</v>
      </c>
      <c r="M61" s="2428"/>
      <c r="N61" s="2428"/>
      <c r="O61" s="2428"/>
    </row>
    <row r="62" spans="1:17">
      <c r="A62" s="1236"/>
      <c r="B62" s="1171"/>
      <c r="C62" s="1171"/>
      <c r="D62" s="1171"/>
      <c r="E62" s="1171"/>
      <c r="F62" s="2391" t="e">
        <f>VLOOKUP(E62,$B$49:$C$59,2,FALSE)</f>
        <v>#N/A</v>
      </c>
      <c r="G62" s="2417"/>
      <c r="H62" s="2391" t="e">
        <f t="shared" ref="H62:H73" si="0">F62*D62</f>
        <v>#N/A</v>
      </c>
      <c r="I62" s="2417"/>
      <c r="J62" s="1171"/>
      <c r="K62" s="1171"/>
      <c r="L62" s="2456"/>
      <c r="M62" s="2456"/>
      <c r="N62" s="2456"/>
      <c r="O62" s="2456"/>
    </row>
    <row r="63" spans="1:17">
      <c r="A63" s="1236"/>
      <c r="B63" s="1171"/>
      <c r="C63" s="1171"/>
      <c r="D63" s="1171"/>
      <c r="E63" s="1171"/>
      <c r="F63" s="2391" t="e">
        <f t="shared" ref="F63:F76" si="1">VLOOKUP(E63,$B$49:$C$59,2,FALSE)</f>
        <v>#N/A</v>
      </c>
      <c r="G63" s="2417"/>
      <c r="H63" s="2391" t="e">
        <f t="shared" si="0"/>
        <v>#N/A</v>
      </c>
      <c r="I63" s="2417"/>
      <c r="J63" s="1171"/>
      <c r="K63" s="1171"/>
      <c r="L63" s="2456"/>
      <c r="M63" s="2456"/>
      <c r="N63" s="2456"/>
      <c r="O63" s="2456"/>
    </row>
    <row r="64" spans="1:17">
      <c r="A64" s="1236"/>
      <c r="B64" s="1171"/>
      <c r="C64" s="1171"/>
      <c r="D64" s="1171"/>
      <c r="E64" s="1171"/>
      <c r="F64" s="2391" t="e">
        <f t="shared" si="1"/>
        <v>#N/A</v>
      </c>
      <c r="G64" s="2417"/>
      <c r="H64" s="2391" t="e">
        <f t="shared" si="0"/>
        <v>#N/A</v>
      </c>
      <c r="I64" s="2417"/>
      <c r="J64" s="1171"/>
      <c r="K64" s="1171"/>
      <c r="L64" s="2456"/>
      <c r="M64" s="2456"/>
      <c r="N64" s="2456"/>
      <c r="O64" s="2456"/>
    </row>
    <row r="65" spans="1:17">
      <c r="A65" s="1236"/>
      <c r="B65" s="1171"/>
      <c r="C65" s="1171"/>
      <c r="D65" s="1171"/>
      <c r="E65" s="1171"/>
      <c r="F65" s="2391" t="e">
        <f t="shared" si="1"/>
        <v>#N/A</v>
      </c>
      <c r="G65" s="2417"/>
      <c r="H65" s="2391" t="e">
        <f t="shared" si="0"/>
        <v>#N/A</v>
      </c>
      <c r="I65" s="2417"/>
      <c r="J65" s="1171"/>
      <c r="K65" s="1171"/>
      <c r="L65" s="2456"/>
      <c r="M65" s="2456"/>
      <c r="N65" s="2456"/>
      <c r="O65" s="2456"/>
    </row>
    <row r="66" spans="1:17" s="931" customFormat="1">
      <c r="A66" s="1302"/>
      <c r="B66" s="1171"/>
      <c r="C66" s="1171"/>
      <c r="D66" s="1171"/>
      <c r="E66" s="1171"/>
      <c r="F66" s="2391" t="e">
        <f t="shared" si="1"/>
        <v>#N/A</v>
      </c>
      <c r="G66" s="2417"/>
      <c r="H66" s="2391" t="e">
        <f t="shared" si="0"/>
        <v>#N/A</v>
      </c>
      <c r="I66" s="2417"/>
      <c r="J66" s="1171"/>
      <c r="K66" s="1171"/>
      <c r="L66" s="2456"/>
      <c r="M66" s="2456"/>
      <c r="N66" s="2456"/>
      <c r="O66" s="2456"/>
    </row>
    <row r="67" spans="1:17" s="931" customFormat="1">
      <c r="A67" s="1203"/>
      <c r="B67" s="1171"/>
      <c r="C67" s="1171"/>
      <c r="D67" s="1171"/>
      <c r="E67" s="1171"/>
      <c r="F67" s="2391" t="e">
        <f t="shared" si="1"/>
        <v>#N/A</v>
      </c>
      <c r="G67" s="2417"/>
      <c r="H67" s="2391" t="e">
        <f>F67*D67</f>
        <v>#N/A</v>
      </c>
      <c r="I67" s="2417"/>
      <c r="J67" s="1171"/>
      <c r="K67" s="1171"/>
      <c r="L67" s="2456"/>
      <c r="M67" s="2456"/>
      <c r="N67" s="2456"/>
      <c r="O67" s="2456"/>
    </row>
    <row r="68" spans="1:17" s="931" customFormat="1">
      <c r="A68" s="1203"/>
      <c r="B68" s="1171"/>
      <c r="C68" s="1171"/>
      <c r="D68" s="1171"/>
      <c r="E68" s="1171"/>
      <c r="F68" s="2391" t="e">
        <f t="shared" si="1"/>
        <v>#N/A</v>
      </c>
      <c r="G68" s="2417"/>
      <c r="H68" s="2391" t="e">
        <f>F68*D68</f>
        <v>#N/A</v>
      </c>
      <c r="I68" s="2417"/>
      <c r="J68" s="1171"/>
      <c r="K68" s="1171"/>
      <c r="L68" s="2456"/>
      <c r="M68" s="2456"/>
      <c r="N68" s="2456"/>
      <c r="O68" s="2456"/>
    </row>
    <row r="69" spans="1:17" s="931" customFormat="1">
      <c r="A69" s="1203"/>
      <c r="B69" s="1171"/>
      <c r="C69" s="1171"/>
      <c r="D69" s="1171"/>
      <c r="E69" s="1171"/>
      <c r="F69" s="2391" t="e">
        <f t="shared" si="1"/>
        <v>#N/A</v>
      </c>
      <c r="G69" s="2417"/>
      <c r="H69" s="2391" t="e">
        <f t="shared" si="0"/>
        <v>#N/A</v>
      </c>
      <c r="I69" s="2417"/>
      <c r="J69" s="1171"/>
      <c r="K69" s="1171"/>
      <c r="L69" s="2456"/>
      <c r="M69" s="2456"/>
      <c r="N69" s="2456"/>
      <c r="O69" s="2456"/>
    </row>
    <row r="70" spans="1:17" s="931" customFormat="1">
      <c r="A70" s="1203"/>
      <c r="B70" s="1171"/>
      <c r="C70" s="1171"/>
      <c r="D70" s="1171"/>
      <c r="E70" s="1171"/>
      <c r="F70" s="2391" t="e">
        <f t="shared" si="1"/>
        <v>#N/A</v>
      </c>
      <c r="G70" s="2417"/>
      <c r="H70" s="2391" t="e">
        <f t="shared" si="0"/>
        <v>#N/A</v>
      </c>
      <c r="I70" s="2417"/>
      <c r="J70" s="1171"/>
      <c r="K70" s="1171"/>
      <c r="L70" s="2456"/>
      <c r="M70" s="2456"/>
      <c r="N70" s="2456"/>
      <c r="O70" s="2456"/>
    </row>
    <row r="71" spans="1:17" s="931" customFormat="1">
      <c r="A71" s="1203"/>
      <c r="B71" s="1171"/>
      <c r="C71" s="1171"/>
      <c r="D71" s="1171"/>
      <c r="E71" s="1171"/>
      <c r="F71" s="2391" t="e">
        <f t="shared" si="1"/>
        <v>#N/A</v>
      </c>
      <c r="G71" s="2417"/>
      <c r="H71" s="2391" t="e">
        <f t="shared" si="0"/>
        <v>#N/A</v>
      </c>
      <c r="I71" s="2417"/>
      <c r="J71" s="1171"/>
      <c r="K71" s="1171"/>
      <c r="L71" s="2456"/>
      <c r="M71" s="2456"/>
      <c r="N71" s="2456"/>
      <c r="O71" s="2456"/>
    </row>
    <row r="72" spans="1:17" s="931" customFormat="1">
      <c r="A72" s="1203"/>
      <c r="B72" s="1171"/>
      <c r="C72" s="1171"/>
      <c r="D72" s="1171"/>
      <c r="E72" s="1171"/>
      <c r="F72" s="2391" t="e">
        <f t="shared" si="1"/>
        <v>#N/A</v>
      </c>
      <c r="G72" s="2417"/>
      <c r="H72" s="2391" t="e">
        <f t="shared" si="0"/>
        <v>#N/A</v>
      </c>
      <c r="I72" s="2417"/>
      <c r="J72" s="1171"/>
      <c r="K72" s="1171"/>
      <c r="L72" s="2456"/>
      <c r="M72" s="2456"/>
      <c r="N72" s="2456"/>
      <c r="O72" s="2456"/>
    </row>
    <row r="73" spans="1:17" s="931" customFormat="1">
      <c r="A73" s="1203"/>
      <c r="B73" s="1171"/>
      <c r="C73" s="1171"/>
      <c r="D73" s="1171"/>
      <c r="E73" s="1171"/>
      <c r="F73" s="2391" t="e">
        <f t="shared" si="1"/>
        <v>#N/A</v>
      </c>
      <c r="G73" s="2417"/>
      <c r="H73" s="2391" t="e">
        <f t="shared" si="0"/>
        <v>#N/A</v>
      </c>
      <c r="I73" s="2417"/>
      <c r="J73" s="1171"/>
      <c r="K73" s="1171"/>
      <c r="L73" s="2456"/>
      <c r="M73" s="2456"/>
      <c r="N73" s="2456"/>
      <c r="O73" s="2456"/>
    </row>
    <row r="74" spans="1:17" s="931" customFormat="1">
      <c r="A74" s="1203"/>
      <c r="B74" s="1171"/>
      <c r="C74" s="1171"/>
      <c r="D74" s="1171"/>
      <c r="E74" s="1171"/>
      <c r="F74" s="2391" t="e">
        <f t="shared" si="1"/>
        <v>#N/A</v>
      </c>
      <c r="G74" s="2417"/>
      <c r="H74" s="2391" t="e">
        <f>F74*D74</f>
        <v>#N/A</v>
      </c>
      <c r="I74" s="2417"/>
      <c r="J74" s="1171"/>
      <c r="K74" s="1171"/>
      <c r="L74" s="2456"/>
      <c r="M74" s="2456"/>
      <c r="N74" s="2456"/>
      <c r="O74" s="2456"/>
    </row>
    <row r="75" spans="1:17" s="931" customFormat="1">
      <c r="A75" s="1203"/>
      <c r="B75" s="1171"/>
      <c r="C75" s="1171"/>
      <c r="D75" s="1171"/>
      <c r="E75" s="1171"/>
      <c r="F75" s="2391" t="e">
        <f t="shared" si="1"/>
        <v>#N/A</v>
      </c>
      <c r="G75" s="2417"/>
      <c r="H75" s="2391" t="e">
        <f>F75*D75</f>
        <v>#N/A</v>
      </c>
      <c r="I75" s="2417"/>
      <c r="J75" s="1171"/>
      <c r="K75" s="1171"/>
      <c r="L75" s="2456"/>
      <c r="M75" s="2456"/>
      <c r="N75" s="2456"/>
      <c r="O75" s="2456"/>
    </row>
    <row r="76" spans="1:17" s="931" customFormat="1">
      <c r="A76" s="1203"/>
      <c r="B76" s="1171"/>
      <c r="C76" s="1171"/>
      <c r="D76" s="1311"/>
      <c r="E76" s="1311"/>
      <c r="F76" s="2391" t="e">
        <f t="shared" si="1"/>
        <v>#N/A</v>
      </c>
      <c r="G76" s="2417"/>
      <c r="H76" s="2391" t="e">
        <f>F76*D76</f>
        <v>#N/A</v>
      </c>
      <c r="I76" s="2417"/>
      <c r="J76" s="1171"/>
      <c r="K76" s="1171"/>
      <c r="L76" s="2456"/>
      <c r="M76" s="2456"/>
      <c r="N76" s="2456"/>
      <c r="O76" s="2456"/>
    </row>
    <row r="77" spans="1:17" s="931" customFormat="1">
      <c r="A77" s="1203"/>
      <c r="B77" s="1310"/>
      <c r="C77" s="1310"/>
      <c r="D77" s="1310"/>
      <c r="E77" s="1310"/>
      <c r="F77" s="1111"/>
      <c r="G77" s="1111"/>
      <c r="H77" s="1111"/>
      <c r="I77" s="1111"/>
      <c r="J77" s="1310"/>
      <c r="K77" s="1310"/>
      <c r="L77" s="1310"/>
      <c r="M77" s="1310"/>
      <c r="N77" s="1310"/>
      <c r="O77" s="1310"/>
    </row>
    <row r="78" spans="1:17" s="931" customFormat="1">
      <c r="A78" s="1203"/>
      <c r="B78" s="1218" t="s">
        <v>4102</v>
      </c>
      <c r="C78" s="1204"/>
      <c r="D78" s="1103"/>
      <c r="E78" s="1103"/>
      <c r="F78" s="1103"/>
      <c r="G78" s="1103"/>
      <c r="H78" s="1103"/>
      <c r="I78" s="1103"/>
      <c r="J78" s="1103"/>
      <c r="K78" s="1038"/>
      <c r="L78" s="1152"/>
      <c r="M78" s="1152"/>
      <c r="N78" s="2394"/>
      <c r="O78" s="2581"/>
      <c r="P78" s="1202"/>
      <c r="Q78" s="1202"/>
    </row>
    <row r="79" spans="1:17" s="931" customFormat="1" ht="57" customHeight="1">
      <c r="A79" s="1203"/>
      <c r="B79" s="1162" t="s">
        <v>3748</v>
      </c>
      <c r="C79" s="1162" t="s">
        <v>3749</v>
      </c>
      <c r="D79" s="1162" t="s">
        <v>3623</v>
      </c>
      <c r="E79" s="1162" t="s">
        <v>3750</v>
      </c>
      <c r="F79" s="2428" t="s">
        <v>3744</v>
      </c>
      <c r="G79" s="2428"/>
      <c r="H79" s="2428" t="s">
        <v>3751</v>
      </c>
      <c r="I79" s="2428"/>
      <c r="J79" s="1162" t="s">
        <v>3752</v>
      </c>
      <c r="K79" s="1083" t="s">
        <v>3627</v>
      </c>
      <c r="L79" s="2428" t="s">
        <v>3975</v>
      </c>
      <c r="M79" s="2428"/>
      <c r="N79" s="2428"/>
      <c r="O79" s="2428"/>
    </row>
    <row r="80" spans="1:17" s="931" customFormat="1">
      <c r="A80" s="1203"/>
      <c r="B80" s="1171"/>
      <c r="C80" s="1171"/>
      <c r="D80" s="1171"/>
      <c r="E80" s="1171"/>
      <c r="F80" s="2391" t="e">
        <f t="shared" ref="F80:F94" si="2">VLOOKUP(E80,$B$49:$C$59,2,FALSE)</f>
        <v>#N/A</v>
      </c>
      <c r="G80" s="2417"/>
      <c r="H80" s="2391" t="e">
        <f t="shared" ref="H80:H94" si="3">F80*D80</f>
        <v>#N/A</v>
      </c>
      <c r="I80" s="2417"/>
      <c r="J80" s="1171"/>
      <c r="K80" s="1171"/>
      <c r="L80" s="2456"/>
      <c r="M80" s="2456"/>
      <c r="N80" s="2456"/>
      <c r="O80" s="2456"/>
    </row>
    <row r="81" spans="1:17" s="931" customFormat="1">
      <c r="A81" s="1203"/>
      <c r="B81" s="1171"/>
      <c r="C81" s="1171"/>
      <c r="D81" s="1171"/>
      <c r="E81" s="1171"/>
      <c r="F81" s="2391" t="e">
        <f t="shared" si="2"/>
        <v>#N/A</v>
      </c>
      <c r="G81" s="2417"/>
      <c r="H81" s="2391" t="e">
        <f t="shared" si="3"/>
        <v>#N/A</v>
      </c>
      <c r="I81" s="2417"/>
      <c r="J81" s="1171"/>
      <c r="K81" s="1171"/>
      <c r="L81" s="2456"/>
      <c r="M81" s="2456"/>
      <c r="N81" s="2456"/>
      <c r="O81" s="2456"/>
    </row>
    <row r="82" spans="1:17" s="931" customFormat="1">
      <c r="A82" s="1203"/>
      <c r="B82" s="1171"/>
      <c r="C82" s="1171"/>
      <c r="D82" s="1171"/>
      <c r="E82" s="1171"/>
      <c r="F82" s="2391" t="e">
        <f t="shared" si="2"/>
        <v>#N/A</v>
      </c>
      <c r="G82" s="2417"/>
      <c r="H82" s="1108" t="e">
        <f t="shared" si="3"/>
        <v>#N/A</v>
      </c>
      <c r="I82" s="1113"/>
      <c r="J82" s="1171"/>
      <c r="K82" s="1171"/>
      <c r="L82" s="2577"/>
      <c r="M82" s="2578"/>
      <c r="N82" s="2578"/>
      <c r="O82" s="2579"/>
    </row>
    <row r="83" spans="1:17">
      <c r="A83" s="1236"/>
      <c r="B83" s="1171"/>
      <c r="C83" s="1171"/>
      <c r="D83" s="1171"/>
      <c r="E83" s="1171"/>
      <c r="F83" s="2391" t="e">
        <f t="shared" si="2"/>
        <v>#N/A</v>
      </c>
      <c r="G83" s="2417"/>
      <c r="H83" s="1108" t="e">
        <f t="shared" si="3"/>
        <v>#N/A</v>
      </c>
      <c r="I83" s="1113"/>
      <c r="J83" s="1171"/>
      <c r="K83" s="1171"/>
      <c r="L83" s="2577"/>
      <c r="M83" s="2578"/>
      <c r="N83" s="2578"/>
      <c r="O83" s="2579"/>
    </row>
    <row r="84" spans="1:17" s="931" customFormat="1">
      <c r="A84" s="1302"/>
      <c r="B84" s="1171"/>
      <c r="C84" s="1171"/>
      <c r="D84" s="1171"/>
      <c r="E84" s="1171"/>
      <c r="F84" s="2391" t="e">
        <f t="shared" si="2"/>
        <v>#N/A</v>
      </c>
      <c r="G84" s="2417"/>
      <c r="H84" s="1108" t="e">
        <f t="shared" si="3"/>
        <v>#N/A</v>
      </c>
      <c r="I84" s="1113"/>
      <c r="J84" s="1171"/>
      <c r="K84" s="1171"/>
      <c r="L84" s="2577"/>
      <c r="M84" s="2578"/>
      <c r="N84" s="2578"/>
      <c r="O84" s="2579"/>
    </row>
    <row r="85" spans="1:17" s="931" customFormat="1">
      <c r="A85" s="1203"/>
      <c r="B85" s="1171"/>
      <c r="C85" s="1171"/>
      <c r="D85" s="1171"/>
      <c r="E85" s="1171"/>
      <c r="F85" s="2391" t="e">
        <f t="shared" si="2"/>
        <v>#N/A</v>
      </c>
      <c r="G85" s="2417"/>
      <c r="H85" s="1108" t="e">
        <f t="shared" si="3"/>
        <v>#N/A</v>
      </c>
      <c r="I85" s="1113"/>
      <c r="J85" s="1171"/>
      <c r="K85" s="1171"/>
      <c r="L85" s="2577"/>
      <c r="M85" s="2578"/>
      <c r="N85" s="2578"/>
      <c r="O85" s="2579"/>
    </row>
    <row r="86" spans="1:17" s="931" customFormat="1">
      <c r="A86" s="1203"/>
      <c r="B86" s="1171"/>
      <c r="C86" s="1171"/>
      <c r="D86" s="1171"/>
      <c r="E86" s="1171"/>
      <c r="F86" s="2391" t="e">
        <f t="shared" si="2"/>
        <v>#N/A</v>
      </c>
      <c r="G86" s="2417"/>
      <c r="H86" s="1108" t="e">
        <f t="shared" si="3"/>
        <v>#N/A</v>
      </c>
      <c r="I86" s="1113"/>
      <c r="J86" s="1171"/>
      <c r="K86" s="1171"/>
      <c r="L86" s="2577"/>
      <c r="M86" s="2578"/>
      <c r="N86" s="2578"/>
      <c r="O86" s="2579"/>
    </row>
    <row r="87" spans="1:17" s="931" customFormat="1">
      <c r="A87" s="1203"/>
      <c r="B87" s="1171"/>
      <c r="C87" s="1171"/>
      <c r="D87" s="1171"/>
      <c r="E87" s="1171"/>
      <c r="F87" s="2391" t="e">
        <f t="shared" si="2"/>
        <v>#N/A</v>
      </c>
      <c r="G87" s="2417"/>
      <c r="H87" s="2391" t="e">
        <f t="shared" si="3"/>
        <v>#N/A</v>
      </c>
      <c r="I87" s="2417"/>
      <c r="J87" s="1171"/>
      <c r="K87" s="1171"/>
      <c r="L87" s="2456"/>
      <c r="M87" s="2456"/>
      <c r="N87" s="2456"/>
      <c r="O87" s="2456"/>
    </row>
    <row r="88" spans="1:17" s="931" customFormat="1">
      <c r="A88" s="1203"/>
      <c r="B88" s="1171"/>
      <c r="C88" s="1171"/>
      <c r="D88" s="1171"/>
      <c r="E88" s="1171"/>
      <c r="F88" s="2391" t="e">
        <f t="shared" si="2"/>
        <v>#N/A</v>
      </c>
      <c r="G88" s="2417"/>
      <c r="H88" s="2391" t="e">
        <f t="shared" si="3"/>
        <v>#N/A</v>
      </c>
      <c r="I88" s="2417"/>
      <c r="J88" s="1171"/>
      <c r="K88" s="1171"/>
      <c r="L88" s="2456"/>
      <c r="M88" s="2456"/>
      <c r="N88" s="2456"/>
      <c r="O88" s="2456"/>
    </row>
    <row r="89" spans="1:17" s="931" customFormat="1">
      <c r="A89" s="1203"/>
      <c r="B89" s="1171"/>
      <c r="C89" s="1171"/>
      <c r="D89" s="1171"/>
      <c r="E89" s="1171"/>
      <c r="F89" s="2391" t="e">
        <f t="shared" si="2"/>
        <v>#N/A</v>
      </c>
      <c r="G89" s="2417"/>
      <c r="H89" s="2391" t="e">
        <f t="shared" si="3"/>
        <v>#N/A</v>
      </c>
      <c r="I89" s="2417"/>
      <c r="J89" s="1171"/>
      <c r="K89" s="1171"/>
      <c r="L89" s="2456"/>
      <c r="M89" s="2456"/>
      <c r="N89" s="2456"/>
      <c r="O89" s="2456"/>
    </row>
    <row r="90" spans="1:17" s="931" customFormat="1">
      <c r="A90" s="1203"/>
      <c r="B90" s="1171"/>
      <c r="C90" s="1171"/>
      <c r="D90" s="1171"/>
      <c r="E90" s="1171"/>
      <c r="F90" s="2391" t="e">
        <f t="shared" si="2"/>
        <v>#N/A</v>
      </c>
      <c r="G90" s="2417"/>
      <c r="H90" s="1108" t="e">
        <f t="shared" si="3"/>
        <v>#N/A</v>
      </c>
      <c r="I90" s="1113"/>
      <c r="J90" s="1171"/>
      <c r="K90" s="1171"/>
      <c r="L90" s="2577"/>
      <c r="M90" s="2578"/>
      <c r="N90" s="2578"/>
      <c r="O90" s="2579"/>
    </row>
    <row r="91" spans="1:17" s="931" customFormat="1">
      <c r="A91" s="1203"/>
      <c r="B91" s="1171"/>
      <c r="C91" s="1171"/>
      <c r="D91" s="1171"/>
      <c r="E91" s="1171"/>
      <c r="F91" s="2391" t="e">
        <f t="shared" si="2"/>
        <v>#N/A</v>
      </c>
      <c r="G91" s="2417"/>
      <c r="H91" s="1108" t="e">
        <f t="shared" si="3"/>
        <v>#N/A</v>
      </c>
      <c r="I91" s="1113"/>
      <c r="J91" s="1171"/>
      <c r="K91" s="1171"/>
      <c r="L91" s="2577"/>
      <c r="M91" s="2578"/>
      <c r="N91" s="2578"/>
      <c r="O91" s="2579"/>
    </row>
    <row r="92" spans="1:17" s="931" customFormat="1">
      <c r="A92" s="1203"/>
      <c r="B92" s="1171"/>
      <c r="C92" s="1171"/>
      <c r="D92" s="1171"/>
      <c r="E92" s="1171"/>
      <c r="F92" s="2391" t="e">
        <f t="shared" si="2"/>
        <v>#N/A</v>
      </c>
      <c r="G92" s="2417"/>
      <c r="H92" s="1108" t="e">
        <f t="shared" si="3"/>
        <v>#N/A</v>
      </c>
      <c r="I92" s="1113"/>
      <c r="J92" s="1171"/>
      <c r="K92" s="1171"/>
      <c r="L92" s="2577"/>
      <c r="M92" s="2578"/>
      <c r="N92" s="2578"/>
      <c r="O92" s="2579"/>
    </row>
    <row r="93" spans="1:17" s="931" customFormat="1">
      <c r="A93" s="1203"/>
      <c r="B93" s="1171"/>
      <c r="C93" s="1171"/>
      <c r="D93" s="1171"/>
      <c r="E93" s="1171"/>
      <c r="F93" s="2391" t="e">
        <f t="shared" si="2"/>
        <v>#N/A</v>
      </c>
      <c r="G93" s="2417"/>
      <c r="H93" s="1108" t="e">
        <f t="shared" si="3"/>
        <v>#N/A</v>
      </c>
      <c r="I93" s="1113"/>
      <c r="J93" s="1171"/>
      <c r="K93" s="1171"/>
      <c r="L93" s="2577"/>
      <c r="M93" s="2578"/>
      <c r="N93" s="2578"/>
      <c r="O93" s="2579"/>
    </row>
    <row r="94" spans="1:17" s="931" customFormat="1">
      <c r="A94" s="1203"/>
      <c r="B94" s="1171"/>
      <c r="C94" s="1171"/>
      <c r="D94" s="1171"/>
      <c r="E94" s="1171"/>
      <c r="F94" s="2391" t="e">
        <f t="shared" si="2"/>
        <v>#N/A</v>
      </c>
      <c r="G94" s="2417"/>
      <c r="H94" s="1108" t="e">
        <f t="shared" si="3"/>
        <v>#N/A</v>
      </c>
      <c r="I94" s="1113"/>
      <c r="J94" s="1171"/>
      <c r="K94" s="1171"/>
      <c r="L94" s="2577"/>
      <c r="M94" s="2578"/>
      <c r="N94" s="2578"/>
      <c r="O94" s="2579"/>
    </row>
    <row r="95" spans="1:17" s="931" customFormat="1" ht="12.75" customHeight="1">
      <c r="A95" s="1203"/>
      <c r="B95" s="1204"/>
      <c r="C95" s="1204"/>
      <c r="D95" s="1103"/>
      <c r="E95" s="1103"/>
      <c r="F95" s="1103"/>
      <c r="G95" s="1103"/>
      <c r="H95" s="1103"/>
      <c r="I95" s="1103"/>
      <c r="J95" s="1103"/>
      <c r="K95" s="1038"/>
      <c r="L95" s="1152"/>
      <c r="M95" s="1152"/>
      <c r="N95" s="2394"/>
      <c r="O95" s="2581"/>
      <c r="P95" s="1202"/>
      <c r="Q95" s="1202"/>
    </row>
    <row r="96" spans="1:17" s="931" customFormat="1" ht="51.75" customHeight="1">
      <c r="A96" s="1203"/>
      <c r="B96" s="2391" t="s">
        <v>4103</v>
      </c>
      <c r="C96" s="2400"/>
      <c r="D96" s="2400"/>
      <c r="E96" s="2400"/>
      <c r="F96" s="2400"/>
      <c r="G96" s="2400"/>
      <c r="H96" s="2400"/>
      <c r="I96" s="2400"/>
      <c r="J96" s="2401"/>
      <c r="K96" s="1101"/>
      <c r="L96" s="2383"/>
      <c r="M96" s="2383"/>
      <c r="N96" s="2383"/>
      <c r="O96" s="2383"/>
    </row>
    <row r="97" spans="1:17" s="1038" customFormat="1">
      <c r="B97" s="1104"/>
      <c r="C97" s="1104"/>
      <c r="D97" s="1104"/>
      <c r="E97" s="1104"/>
      <c r="F97" s="1104"/>
      <c r="G97" s="1104"/>
      <c r="H97" s="1104"/>
      <c r="I97" s="1104"/>
      <c r="J97" s="1104"/>
      <c r="K97" s="1263"/>
      <c r="L97" s="1263"/>
      <c r="M97" s="1263"/>
      <c r="N97" s="1263"/>
      <c r="O97" s="1263"/>
    </row>
    <row r="98" spans="1:17" s="931" customFormat="1" ht="70.5" customHeight="1">
      <c r="A98" s="1203"/>
      <c r="B98" s="2575"/>
      <c r="C98" s="2575"/>
      <c r="D98" s="2428" t="s">
        <v>3968</v>
      </c>
      <c r="E98" s="2428"/>
      <c r="F98" s="2428"/>
      <c r="G98" s="2428"/>
      <c r="H98" s="2443" t="s">
        <v>3693</v>
      </c>
      <c r="I98" s="2443"/>
      <c r="J98" s="1818" t="s">
        <v>3620</v>
      </c>
      <c r="K98" s="1083" t="s">
        <v>3627</v>
      </c>
      <c r="L98" s="2428" t="s">
        <v>3975</v>
      </c>
      <c r="M98" s="2428"/>
      <c r="N98" s="2428"/>
      <c r="O98" s="2428"/>
    </row>
    <row r="99" spans="1:17" s="931" customFormat="1" ht="26.25" customHeight="1">
      <c r="A99" s="1203"/>
      <c r="B99" s="2381" t="s">
        <v>4483</v>
      </c>
      <c r="C99" s="2416"/>
      <c r="D99" s="2398" t="s">
        <v>4484</v>
      </c>
      <c r="E99" s="2398"/>
      <c r="F99" s="2398"/>
      <c r="G99" s="2398"/>
      <c r="H99" s="2580" t="s">
        <v>3651</v>
      </c>
      <c r="I99" s="2417"/>
      <c r="J99" s="1051" t="s">
        <v>3651</v>
      </c>
      <c r="K99" s="1767"/>
      <c r="L99" s="2393"/>
      <c r="M99" s="2393"/>
      <c r="N99" s="2393"/>
      <c r="O99" s="2393"/>
    </row>
    <row r="100" spans="1:17" s="931" customFormat="1" ht="162" customHeight="1">
      <c r="A100" s="1203"/>
      <c r="B100" s="2381" t="s">
        <v>4104</v>
      </c>
      <c r="C100" s="2416"/>
      <c r="D100" s="2398" t="s">
        <v>3601</v>
      </c>
      <c r="E100" s="2398"/>
      <c r="F100" s="2398"/>
      <c r="G100" s="2398"/>
      <c r="H100" s="2580">
        <f>ERMs!C54</f>
        <v>0</v>
      </c>
      <c r="I100" s="2417"/>
      <c r="J100" s="1051" t="str">
        <f>ERMs!D54</f>
        <v xml:space="preserve">Baseline: N/A
Proposed: </v>
      </c>
      <c r="K100" s="1107"/>
      <c r="L100" s="2393"/>
      <c r="M100" s="2393"/>
      <c r="N100" s="2393"/>
      <c r="O100" s="2393"/>
    </row>
    <row r="101" spans="1:17" s="931" customFormat="1" ht="195" customHeight="1">
      <c r="A101" s="1203"/>
      <c r="B101" s="2391" t="s">
        <v>4544</v>
      </c>
      <c r="C101" s="2417"/>
      <c r="D101" s="2398" t="s">
        <v>4546</v>
      </c>
      <c r="E101" s="2398"/>
      <c r="F101" s="2398"/>
      <c r="G101" s="2398"/>
      <c r="H101" s="2391">
        <f>ERMs!C55</f>
        <v>0</v>
      </c>
      <c r="I101" s="2417"/>
      <c r="J101" s="1051" t="str">
        <f>ERMs!D55</f>
        <v xml:space="preserve">Baseline: 
Proposed: </v>
      </c>
      <c r="K101" s="1101"/>
      <c r="L101" s="2383"/>
      <c r="M101" s="2383"/>
      <c r="N101" s="2383"/>
      <c r="O101" s="2383"/>
    </row>
    <row r="102" spans="1:17" ht="87" customHeight="1">
      <c r="A102" s="1236"/>
      <c r="B102" s="2391" t="s">
        <v>4105</v>
      </c>
      <c r="C102" s="2417"/>
      <c r="D102" s="2398" t="s">
        <v>4485</v>
      </c>
      <c r="E102" s="2398"/>
      <c r="F102" s="2398"/>
      <c r="G102" s="2398"/>
      <c r="H102" s="2391" t="str">
        <f>ERMs!C56</f>
        <v xml:space="preserve"> kW</v>
      </c>
      <c r="I102" s="2417"/>
      <c r="J102" s="1051" t="str">
        <f>ERMs!D56</f>
        <v>Baseline:  kW
Proposed:  kW</v>
      </c>
      <c r="K102" s="1101"/>
      <c r="L102" s="2383"/>
      <c r="M102" s="2383"/>
      <c r="N102" s="2383"/>
      <c r="O102" s="2383"/>
    </row>
    <row r="103" spans="1:17" ht="87.75" customHeight="1">
      <c r="A103" s="1236"/>
      <c r="B103" s="2391" t="s">
        <v>4106</v>
      </c>
      <c r="C103" s="2417"/>
      <c r="D103" s="2398" t="s">
        <v>3603</v>
      </c>
      <c r="E103" s="2398"/>
      <c r="F103" s="2398"/>
      <c r="G103" s="2398"/>
      <c r="H103" s="2391" t="str">
        <f>ERMs!C57</f>
        <v xml:space="preserve"> kW</v>
      </c>
      <c r="I103" s="2417"/>
      <c r="J103" s="1051" t="str">
        <f>ERMs!D57</f>
        <v>Baseline:  kW, 12 hr/day
Proposed:  kW, 12 hr/day</v>
      </c>
      <c r="K103" s="1101"/>
      <c r="L103" s="2383"/>
      <c r="M103" s="2383"/>
      <c r="N103" s="2383"/>
      <c r="O103" s="2383"/>
    </row>
    <row r="104" spans="1:17" ht="166.5" customHeight="1">
      <c r="A104" s="1236"/>
      <c r="B104" s="2391" t="s">
        <v>4107</v>
      </c>
      <c r="C104" s="2417"/>
      <c r="D104" s="2398" t="s">
        <v>3602</v>
      </c>
      <c r="E104" s="2398"/>
      <c r="F104" s="2398"/>
      <c r="G104" s="2398"/>
      <c r="H104" s="2391" t="str">
        <f>ERMs!C58</f>
        <v xml:space="preserve"> W/SF</v>
      </c>
      <c r="I104" s="2417"/>
      <c r="J104" s="1051" t="str">
        <f>ERMs!D58</f>
        <v>Baseline:  W/SF, 24 hr/day
Proposed:  W/SF, 24 hr/day</v>
      </c>
      <c r="K104" s="1101"/>
      <c r="L104" s="2383"/>
      <c r="M104" s="2383"/>
      <c r="N104" s="2383"/>
      <c r="O104" s="2383"/>
    </row>
    <row r="105" spans="1:17" ht="149.25" customHeight="1">
      <c r="A105" s="1236"/>
      <c r="B105" s="2391" t="s">
        <v>4108</v>
      </c>
      <c r="C105" s="2417"/>
      <c r="D105" s="2398" t="s">
        <v>4545</v>
      </c>
      <c r="E105" s="2398"/>
      <c r="F105" s="2398"/>
      <c r="G105" s="2398"/>
      <c r="H105" s="2391" t="str">
        <f>ERMs!C59</f>
        <v xml:space="preserve"> W/SF</v>
      </c>
      <c r="I105" s="2417"/>
      <c r="J105" s="1051" t="str">
        <f>ERMs!D59</f>
        <v>Baseline: 0.7 W/SF, 2.34 hr/day
Proposed:  W/SF, 2.34 hr/day</v>
      </c>
      <c r="K105" s="1101"/>
      <c r="L105" s="2383"/>
      <c r="M105" s="2383"/>
      <c r="N105" s="2383"/>
      <c r="O105" s="2383"/>
    </row>
    <row r="106" spans="1:17" ht="26.25" customHeight="1">
      <c r="A106" s="1236"/>
      <c r="B106" s="2381" t="s">
        <v>4109</v>
      </c>
      <c r="C106" s="2382"/>
      <c r="D106" s="2382"/>
      <c r="E106" s="2382"/>
      <c r="F106" s="2382"/>
      <c r="G106" s="2382"/>
      <c r="H106" s="2382"/>
      <c r="I106" s="2382"/>
      <c r="J106" s="2382"/>
      <c r="K106" s="1101"/>
      <c r="L106" s="2383"/>
      <c r="M106" s="2383"/>
      <c r="N106" s="2383"/>
      <c r="O106" s="2383"/>
    </row>
    <row r="107" spans="1:17" ht="27" customHeight="1">
      <c r="A107" s="1236"/>
      <c r="B107" s="2391" t="s">
        <v>4110</v>
      </c>
      <c r="C107" s="2400"/>
      <c r="D107" s="2400"/>
      <c r="E107" s="2400"/>
      <c r="F107" s="2400"/>
      <c r="G107" s="2400"/>
      <c r="H107" s="2400"/>
      <c r="I107" s="2400"/>
      <c r="J107" s="2400"/>
      <c r="K107" s="1101"/>
      <c r="L107" s="2383"/>
      <c r="M107" s="2383"/>
      <c r="N107" s="2383"/>
      <c r="O107" s="2383"/>
    </row>
    <row r="108" spans="1:17" ht="51" customHeight="1">
      <c r="A108" s="1236"/>
      <c r="B108" s="2391" t="s">
        <v>4111</v>
      </c>
      <c r="C108" s="2400"/>
      <c r="D108" s="2400"/>
      <c r="E108" s="2400"/>
      <c r="F108" s="2400"/>
      <c r="G108" s="2400"/>
      <c r="H108" s="2400"/>
      <c r="I108" s="2400"/>
      <c r="J108" s="2400"/>
      <c r="K108" s="1101"/>
      <c r="L108" s="2383"/>
      <c r="M108" s="2383"/>
      <c r="N108" s="2383"/>
      <c r="O108" s="2383"/>
    </row>
    <row r="109" spans="1:17" ht="51" customHeight="1">
      <c r="A109" s="1236"/>
      <c r="B109" s="2391" t="s">
        <v>4112</v>
      </c>
      <c r="C109" s="2400"/>
      <c r="D109" s="2400"/>
      <c r="E109" s="2400"/>
      <c r="F109" s="2400"/>
      <c r="G109" s="2400"/>
      <c r="H109" s="2400"/>
      <c r="I109" s="2400"/>
      <c r="J109" s="2400"/>
      <c r="K109" s="1101"/>
      <c r="L109" s="2383"/>
      <c r="M109" s="2383"/>
      <c r="N109" s="2383"/>
      <c r="O109" s="2383"/>
    </row>
    <row r="110" spans="1:17" ht="203.25" customHeight="1">
      <c r="A110" s="1236"/>
      <c r="P110" s="898"/>
      <c r="Q110" s="898"/>
    </row>
    <row r="111" spans="1:17" ht="27.75" customHeight="1">
      <c r="A111" s="1236"/>
      <c r="P111" s="898"/>
      <c r="Q111" s="898"/>
    </row>
    <row r="112" spans="1:17" ht="27" customHeight="1">
      <c r="A112" s="1236"/>
      <c r="P112" s="898"/>
      <c r="Q112" s="898"/>
    </row>
    <row r="113" spans="1:19" ht="53.25" customHeight="1">
      <c r="A113" s="1236"/>
      <c r="P113" s="898"/>
      <c r="Q113" s="898"/>
    </row>
    <row r="114" spans="1:19" ht="51.75" customHeight="1">
      <c r="A114" s="1236"/>
      <c r="P114" s="898"/>
      <c r="Q114" s="898"/>
    </row>
    <row r="115" spans="1:19">
      <c r="A115" s="1236"/>
      <c r="P115" s="898"/>
      <c r="Q115" s="898"/>
    </row>
    <row r="119" spans="1:19">
      <c r="S119" s="1119" t="s">
        <v>1493</v>
      </c>
    </row>
    <row r="120" spans="1:19">
      <c r="A120" s="1236"/>
      <c r="P120" s="898"/>
      <c r="Q120" s="898"/>
      <c r="S120" s="1119" t="s">
        <v>1494</v>
      </c>
    </row>
    <row r="121" spans="1:19">
      <c r="A121" s="1236"/>
      <c r="P121" s="898"/>
      <c r="Q121" s="898"/>
      <c r="S121" s="1119" t="s">
        <v>2677</v>
      </c>
    </row>
    <row r="122" spans="1:19">
      <c r="A122" s="1236"/>
      <c r="B122" s="931"/>
      <c r="P122" s="898"/>
      <c r="Q122" s="898"/>
    </row>
    <row r="123" spans="1:19">
      <c r="A123" s="1236"/>
      <c r="B123" s="931"/>
      <c r="P123" s="898"/>
      <c r="Q123" s="898"/>
    </row>
    <row r="124" spans="1:19">
      <c r="A124" s="1236"/>
      <c r="P124" s="898"/>
      <c r="Q124" s="898"/>
    </row>
    <row r="125" spans="1:19">
      <c r="A125" s="1236"/>
      <c r="P125" s="898"/>
      <c r="Q125" s="898"/>
    </row>
    <row r="126" spans="1:19">
      <c r="P126" s="898"/>
      <c r="Q126" s="898"/>
    </row>
    <row r="127" spans="1:19">
      <c r="P127" s="898"/>
      <c r="Q127" s="898"/>
    </row>
  </sheetData>
  <sheetProtection formatCells="0" formatColumns="0" formatRows="0" insertColumns="0" insertRows="0"/>
  <mergeCells count="210">
    <mergeCell ref="D49:E49"/>
    <mergeCell ref="F49:G49"/>
    <mergeCell ref="H49:I49"/>
    <mergeCell ref="B6:O6"/>
    <mergeCell ref="B7:O7"/>
    <mergeCell ref="B20:O20"/>
    <mergeCell ref="B21:O21"/>
    <mergeCell ref="B22:O22"/>
    <mergeCell ref="B23:O23"/>
    <mergeCell ref="B24:O24"/>
    <mergeCell ref="B25:O25"/>
    <mergeCell ref="B28:O28"/>
    <mergeCell ref="N9:O9"/>
    <mergeCell ref="B18:M18"/>
    <mergeCell ref="B19:M19"/>
    <mergeCell ref="M8:N8"/>
    <mergeCell ref="B35:O35"/>
    <mergeCell ref="L49:O49"/>
    <mergeCell ref="B39:O39"/>
    <mergeCell ref="B30:O30"/>
    <mergeCell ref="D48:E48"/>
    <mergeCell ref="F48:G48"/>
    <mergeCell ref="H48:I48"/>
    <mergeCell ref="L48:O48"/>
    <mergeCell ref="D52:E52"/>
    <mergeCell ref="F52:G52"/>
    <mergeCell ref="H52:I52"/>
    <mergeCell ref="L52:O52"/>
    <mergeCell ref="D53:E53"/>
    <mergeCell ref="F53:G53"/>
    <mergeCell ref="H53:I53"/>
    <mergeCell ref="L53:O53"/>
    <mergeCell ref="D50:E50"/>
    <mergeCell ref="F50:G50"/>
    <mergeCell ref="H50:I50"/>
    <mergeCell ref="L50:O50"/>
    <mergeCell ref="D51:E51"/>
    <mergeCell ref="F51:G51"/>
    <mergeCell ref="H51:I51"/>
    <mergeCell ref="L51:O51"/>
    <mergeCell ref="D56:E56"/>
    <mergeCell ref="F56:G56"/>
    <mergeCell ref="H56:I56"/>
    <mergeCell ref="L56:O56"/>
    <mergeCell ref="D57:E57"/>
    <mergeCell ref="F57:G57"/>
    <mergeCell ref="H57:I57"/>
    <mergeCell ref="L57:O57"/>
    <mergeCell ref="D54:E54"/>
    <mergeCell ref="F54:G54"/>
    <mergeCell ref="H54:I54"/>
    <mergeCell ref="L54:O54"/>
    <mergeCell ref="D55:E55"/>
    <mergeCell ref="F55:G55"/>
    <mergeCell ref="H55:I55"/>
    <mergeCell ref="L55:O55"/>
    <mergeCell ref="F62:G62"/>
    <mergeCell ref="H62:I62"/>
    <mergeCell ref="L62:O62"/>
    <mergeCell ref="F63:G63"/>
    <mergeCell ref="H63:I63"/>
    <mergeCell ref="L63:O63"/>
    <mergeCell ref="D58:E58"/>
    <mergeCell ref="F58:G58"/>
    <mergeCell ref="H58:I58"/>
    <mergeCell ref="L58:O58"/>
    <mergeCell ref="N60:O60"/>
    <mergeCell ref="F61:G61"/>
    <mergeCell ref="H61:I61"/>
    <mergeCell ref="L61:O61"/>
    <mergeCell ref="F66:G66"/>
    <mergeCell ref="H66:I66"/>
    <mergeCell ref="L66:O66"/>
    <mergeCell ref="F67:G67"/>
    <mergeCell ref="H67:I67"/>
    <mergeCell ref="L67:O67"/>
    <mergeCell ref="F64:G64"/>
    <mergeCell ref="H64:I64"/>
    <mergeCell ref="L64:O64"/>
    <mergeCell ref="F65:G65"/>
    <mergeCell ref="H65:I65"/>
    <mergeCell ref="L65:O65"/>
    <mergeCell ref="F70:G70"/>
    <mergeCell ref="H70:I70"/>
    <mergeCell ref="L70:O70"/>
    <mergeCell ref="F71:G71"/>
    <mergeCell ref="H71:I71"/>
    <mergeCell ref="L71:O71"/>
    <mergeCell ref="F68:G68"/>
    <mergeCell ref="H68:I68"/>
    <mergeCell ref="L68:O68"/>
    <mergeCell ref="F69:G69"/>
    <mergeCell ref="H69:I69"/>
    <mergeCell ref="L69:O69"/>
    <mergeCell ref="F74:G74"/>
    <mergeCell ref="H74:I74"/>
    <mergeCell ref="L74:O74"/>
    <mergeCell ref="F75:G75"/>
    <mergeCell ref="H75:I75"/>
    <mergeCell ref="L75:O75"/>
    <mergeCell ref="F72:G72"/>
    <mergeCell ref="H72:I72"/>
    <mergeCell ref="L72:O72"/>
    <mergeCell ref="F73:G73"/>
    <mergeCell ref="H73:I73"/>
    <mergeCell ref="L73:O73"/>
    <mergeCell ref="F80:G80"/>
    <mergeCell ref="H80:I80"/>
    <mergeCell ref="L80:O80"/>
    <mergeCell ref="F81:G81"/>
    <mergeCell ref="H81:I81"/>
    <mergeCell ref="L81:O81"/>
    <mergeCell ref="F76:G76"/>
    <mergeCell ref="H76:I76"/>
    <mergeCell ref="L76:O76"/>
    <mergeCell ref="N78:O78"/>
    <mergeCell ref="F79:G79"/>
    <mergeCell ref="H79:I79"/>
    <mergeCell ref="L79:O79"/>
    <mergeCell ref="L82:O82"/>
    <mergeCell ref="L83:O83"/>
    <mergeCell ref="L84:O84"/>
    <mergeCell ref="L85:O85"/>
    <mergeCell ref="L86:O86"/>
    <mergeCell ref="F87:G87"/>
    <mergeCell ref="H87:I87"/>
    <mergeCell ref="L87:O87"/>
    <mergeCell ref="L94:O94"/>
    <mergeCell ref="F88:G88"/>
    <mergeCell ref="H88:I88"/>
    <mergeCell ref="F82:G82"/>
    <mergeCell ref="F83:G83"/>
    <mergeCell ref="F84:G84"/>
    <mergeCell ref="F85:G85"/>
    <mergeCell ref="F86:G86"/>
    <mergeCell ref="F90:G90"/>
    <mergeCell ref="F91:G91"/>
    <mergeCell ref="F92:G92"/>
    <mergeCell ref="F93:G93"/>
    <mergeCell ref="F94:G94"/>
    <mergeCell ref="D103:G103"/>
    <mergeCell ref="D104:G104"/>
    <mergeCell ref="L88:O88"/>
    <mergeCell ref="F89:G89"/>
    <mergeCell ref="H89:I89"/>
    <mergeCell ref="L89:O89"/>
    <mergeCell ref="D98:G98"/>
    <mergeCell ref="D100:G100"/>
    <mergeCell ref="D101:G101"/>
    <mergeCell ref="N95:O95"/>
    <mergeCell ref="L109:O109"/>
    <mergeCell ref="B105:C105"/>
    <mergeCell ref="L105:O105"/>
    <mergeCell ref="L106:O106"/>
    <mergeCell ref="B107:J107"/>
    <mergeCell ref="B108:J108"/>
    <mergeCell ref="B109:J109"/>
    <mergeCell ref="D105:G105"/>
    <mergeCell ref="H105:I105"/>
    <mergeCell ref="L107:O107"/>
    <mergeCell ref="L108:O108"/>
    <mergeCell ref="B106:J106"/>
    <mergeCell ref="B37:O37"/>
    <mergeCell ref="B36:O36"/>
    <mergeCell ref="B40:O40"/>
    <mergeCell ref="B41:O41"/>
    <mergeCell ref="B104:C104"/>
    <mergeCell ref="L104:O104"/>
    <mergeCell ref="H104:I104"/>
    <mergeCell ref="B102:C102"/>
    <mergeCell ref="L102:O102"/>
    <mergeCell ref="B103:C103"/>
    <mergeCell ref="L103:O103"/>
    <mergeCell ref="H103:I103"/>
    <mergeCell ref="H102:I102"/>
    <mergeCell ref="B99:C99"/>
    <mergeCell ref="D99:G99"/>
    <mergeCell ref="H99:I99"/>
    <mergeCell ref="L99:O99"/>
    <mergeCell ref="B100:C100"/>
    <mergeCell ref="L100:O100"/>
    <mergeCell ref="B101:C101"/>
    <mergeCell ref="L101:O101"/>
    <mergeCell ref="H101:I101"/>
    <mergeCell ref="H100:I100"/>
    <mergeCell ref="D102:G102"/>
    <mergeCell ref="N1:O1"/>
    <mergeCell ref="N2:O2"/>
    <mergeCell ref="N3:O3"/>
    <mergeCell ref="N4:O4"/>
    <mergeCell ref="H98:I98"/>
    <mergeCell ref="B42:O42"/>
    <mergeCell ref="B43:O43"/>
    <mergeCell ref="B44:O44"/>
    <mergeCell ref="B45:O45"/>
    <mergeCell ref="B16:O16"/>
    <mergeCell ref="B17:O17"/>
    <mergeCell ref="B96:J96"/>
    <mergeCell ref="B98:C98"/>
    <mergeCell ref="B29:O29"/>
    <mergeCell ref="L96:O96"/>
    <mergeCell ref="L98:O98"/>
    <mergeCell ref="L90:O90"/>
    <mergeCell ref="L91:O91"/>
    <mergeCell ref="L92:O92"/>
    <mergeCell ref="L93:O93"/>
    <mergeCell ref="B31:O31"/>
    <mergeCell ref="B32:O32"/>
    <mergeCell ref="B33:O33"/>
    <mergeCell ref="B34:O34"/>
  </mergeCells>
  <dataValidations count="1">
    <dataValidation type="list" allowBlank="1" showInputMessage="1" showErrorMessage="1" sqref="L983121:M983135 L917585:M917599 L852049:M852063 L786513:M786527 L720977:M720991 L655441:M655455 L589905:M589919 L524369:M524383 L458833:M458847 L393297:M393311 L327761:M327775 L262225:M262239 L196689:M196703 L131153:M131167 L65617:M65631 K80:K94 L983139:L983145 L917603:L917609 L852067:L852073 L786531:L786537 L720995:L721001 L655459:L655465 L589923:L589929 L524387:L524393 L458851:L458857 L393315:L393321 L327779:L327785 L262243:L262249 L196707:L196713 L131171:L131177 L65635:L65641 L983091:M983100 L917555:M917564 L852019:M852028 L786483:M786492 L720947:M720956 L655411:M655420 L589875:M589884 L524339:M524348 L458803:M458812 L393267:M393276 L327731:M327740 L262195:M262204 L196659:M196668 L131123:M131132 L65587:M65596 K49:K58 L983084:L983086 L917548:L917550 L852012:L852014 L786476:L786478 L720940:L720942 L655404:L655406 L589868:L589870 L524332:L524334 L458796:L458798 L393260:L393262 L327724:L327726 L262188:L262190 L196652:L196654 L131116:L131118 L65580:L65582 L983147:L983149 L917611:L917613 L852075:L852077 L786539:L786541 L721003:L721005 L655467:L655469 L589931:L589933 L524395:L524397 L458859:L458861 L393323:L393325 L327787:L327789 L262251:L262253 L196715:L196717 L131179:L131181 L65643:L65645 K100:K109 M983139:M983149 M917603:M917613 M852067:M852077 M786531:M786541 M720995:M721005 M655459:M655469 M589923:M589933 M524387:M524397 M458851:M458861 M393315:M393325 M327779:M327789 M262243:M262253 M196707:M196717 M131171:M131181 M65635:M65645 L983104:M983118 L917568:M917582 L852032:M852046 L786496:M786510 L720960:M720974 L655424:M655438 L589888:M589902 L524352:M524366 L458816:M458830 L393280:M393294 L327744:M327758 L262208:M262222 L196672:M196686 L131136:M131150 L65600:M65614 K62:K77 L983137:M983137 L917601:M917601 L852065:M852065 L786529:M786529 L720993:M720993 L655457:M655457 L589921:M589921 L524385:M524385 L458849:M458849 L393313:M393313 L327777:M327777 L262241:M262241 L196705:M196705 L131169:M131169 L65633:M65633 WVR983126:WVS983140 WLV983126:WLW983140 WBZ983126:WCA983140 VSD983126:VSE983140 VIH983126:VII983140 UYL983126:UYM983140 UOP983126:UOQ983140 UET983126:UEU983140 TUX983126:TUY983140 TLB983126:TLC983140 TBF983126:TBG983140 SRJ983126:SRK983140 SHN983126:SHO983140 RXR983126:RXS983140 RNV983126:RNW983140 RDZ983126:REA983140 QUD983126:QUE983140 QKH983126:QKI983140 QAL983126:QAM983140 PQP983126:PQQ983140 PGT983126:PGU983140 OWX983126:OWY983140 ONB983126:ONC983140 ODF983126:ODG983140 NTJ983126:NTK983140 NJN983126:NJO983140 MZR983126:MZS983140 MPV983126:MPW983140 MFZ983126:MGA983140 LWD983126:LWE983140 LMH983126:LMI983140 LCL983126:LCM983140 KSP983126:KSQ983140 KIT983126:KIU983140 JYX983126:JYY983140 JPB983126:JPC983140 JFF983126:JFG983140 IVJ983126:IVK983140 ILN983126:ILO983140 IBR983126:IBS983140 HRV983126:HRW983140 HHZ983126:HIA983140 GYD983126:GYE983140 GOH983126:GOI983140 GEL983126:GEM983140 FUP983126:FUQ983140 FKT983126:FKU983140 FAX983126:FAY983140 ERB983126:ERC983140 EHF983126:EHG983140 DXJ983126:DXK983140 DNN983126:DNO983140 DDR983126:DDS983140 CTV983126:CTW983140 CJZ983126:CKA983140 CAD983126:CAE983140 BQH983126:BQI983140 BGL983126:BGM983140 AWP983126:AWQ983140 AMT983126:AMU983140 ACX983126:ACY983140 TB983126:TC983140 JF983126:JG983140 WVR917590:WVS917604 WLV917590:WLW917604 WBZ917590:WCA917604 VSD917590:VSE917604 VIH917590:VII917604 UYL917590:UYM917604 UOP917590:UOQ917604 UET917590:UEU917604 TUX917590:TUY917604 TLB917590:TLC917604 TBF917590:TBG917604 SRJ917590:SRK917604 SHN917590:SHO917604 RXR917590:RXS917604 RNV917590:RNW917604 RDZ917590:REA917604 QUD917590:QUE917604 QKH917590:QKI917604 QAL917590:QAM917604 PQP917590:PQQ917604 PGT917590:PGU917604 OWX917590:OWY917604 ONB917590:ONC917604 ODF917590:ODG917604 NTJ917590:NTK917604 NJN917590:NJO917604 MZR917590:MZS917604 MPV917590:MPW917604 MFZ917590:MGA917604 LWD917590:LWE917604 LMH917590:LMI917604 LCL917590:LCM917604 KSP917590:KSQ917604 KIT917590:KIU917604 JYX917590:JYY917604 JPB917590:JPC917604 JFF917590:JFG917604 IVJ917590:IVK917604 ILN917590:ILO917604 IBR917590:IBS917604 HRV917590:HRW917604 HHZ917590:HIA917604 GYD917590:GYE917604 GOH917590:GOI917604 GEL917590:GEM917604 FUP917590:FUQ917604 FKT917590:FKU917604 FAX917590:FAY917604 ERB917590:ERC917604 EHF917590:EHG917604 DXJ917590:DXK917604 DNN917590:DNO917604 DDR917590:DDS917604 CTV917590:CTW917604 CJZ917590:CKA917604 CAD917590:CAE917604 BQH917590:BQI917604 BGL917590:BGM917604 AWP917590:AWQ917604 AMT917590:AMU917604 ACX917590:ACY917604 TB917590:TC917604 JF917590:JG917604 WVR852054:WVS852068 WLV852054:WLW852068 WBZ852054:WCA852068 VSD852054:VSE852068 VIH852054:VII852068 UYL852054:UYM852068 UOP852054:UOQ852068 UET852054:UEU852068 TUX852054:TUY852068 TLB852054:TLC852068 TBF852054:TBG852068 SRJ852054:SRK852068 SHN852054:SHO852068 RXR852054:RXS852068 RNV852054:RNW852068 RDZ852054:REA852068 QUD852054:QUE852068 QKH852054:QKI852068 QAL852054:QAM852068 PQP852054:PQQ852068 PGT852054:PGU852068 OWX852054:OWY852068 ONB852054:ONC852068 ODF852054:ODG852068 NTJ852054:NTK852068 NJN852054:NJO852068 MZR852054:MZS852068 MPV852054:MPW852068 MFZ852054:MGA852068 LWD852054:LWE852068 LMH852054:LMI852068 LCL852054:LCM852068 KSP852054:KSQ852068 KIT852054:KIU852068 JYX852054:JYY852068 JPB852054:JPC852068 JFF852054:JFG852068 IVJ852054:IVK852068 ILN852054:ILO852068 IBR852054:IBS852068 HRV852054:HRW852068 HHZ852054:HIA852068 GYD852054:GYE852068 GOH852054:GOI852068 GEL852054:GEM852068 FUP852054:FUQ852068 FKT852054:FKU852068 FAX852054:FAY852068 ERB852054:ERC852068 EHF852054:EHG852068 DXJ852054:DXK852068 DNN852054:DNO852068 DDR852054:DDS852068 CTV852054:CTW852068 CJZ852054:CKA852068 CAD852054:CAE852068 BQH852054:BQI852068 BGL852054:BGM852068 AWP852054:AWQ852068 AMT852054:AMU852068 ACX852054:ACY852068 TB852054:TC852068 JF852054:JG852068 WVR786518:WVS786532 WLV786518:WLW786532 WBZ786518:WCA786532 VSD786518:VSE786532 VIH786518:VII786532 UYL786518:UYM786532 UOP786518:UOQ786532 UET786518:UEU786532 TUX786518:TUY786532 TLB786518:TLC786532 TBF786518:TBG786532 SRJ786518:SRK786532 SHN786518:SHO786532 RXR786518:RXS786532 RNV786518:RNW786532 RDZ786518:REA786532 QUD786518:QUE786532 QKH786518:QKI786532 QAL786518:QAM786532 PQP786518:PQQ786532 PGT786518:PGU786532 OWX786518:OWY786532 ONB786518:ONC786532 ODF786518:ODG786532 NTJ786518:NTK786532 NJN786518:NJO786532 MZR786518:MZS786532 MPV786518:MPW786532 MFZ786518:MGA786532 LWD786518:LWE786532 LMH786518:LMI786532 LCL786518:LCM786532 KSP786518:KSQ786532 KIT786518:KIU786532 JYX786518:JYY786532 JPB786518:JPC786532 JFF786518:JFG786532 IVJ786518:IVK786532 ILN786518:ILO786532 IBR786518:IBS786532 HRV786518:HRW786532 HHZ786518:HIA786532 GYD786518:GYE786532 GOH786518:GOI786532 GEL786518:GEM786532 FUP786518:FUQ786532 FKT786518:FKU786532 FAX786518:FAY786532 ERB786518:ERC786532 EHF786518:EHG786532 DXJ786518:DXK786532 DNN786518:DNO786532 DDR786518:DDS786532 CTV786518:CTW786532 CJZ786518:CKA786532 CAD786518:CAE786532 BQH786518:BQI786532 BGL786518:BGM786532 AWP786518:AWQ786532 AMT786518:AMU786532 ACX786518:ACY786532 TB786518:TC786532 JF786518:JG786532 WVR720982:WVS720996 WLV720982:WLW720996 WBZ720982:WCA720996 VSD720982:VSE720996 VIH720982:VII720996 UYL720982:UYM720996 UOP720982:UOQ720996 UET720982:UEU720996 TUX720982:TUY720996 TLB720982:TLC720996 TBF720982:TBG720996 SRJ720982:SRK720996 SHN720982:SHO720996 RXR720982:RXS720996 RNV720982:RNW720996 RDZ720982:REA720996 QUD720982:QUE720996 QKH720982:QKI720996 QAL720982:QAM720996 PQP720982:PQQ720996 PGT720982:PGU720996 OWX720982:OWY720996 ONB720982:ONC720996 ODF720982:ODG720996 NTJ720982:NTK720996 NJN720982:NJO720996 MZR720982:MZS720996 MPV720982:MPW720996 MFZ720982:MGA720996 LWD720982:LWE720996 LMH720982:LMI720996 LCL720982:LCM720996 KSP720982:KSQ720996 KIT720982:KIU720996 JYX720982:JYY720996 JPB720982:JPC720996 JFF720982:JFG720996 IVJ720982:IVK720996 ILN720982:ILO720996 IBR720982:IBS720996 HRV720982:HRW720996 HHZ720982:HIA720996 GYD720982:GYE720996 GOH720982:GOI720996 GEL720982:GEM720996 FUP720982:FUQ720996 FKT720982:FKU720996 FAX720982:FAY720996 ERB720982:ERC720996 EHF720982:EHG720996 DXJ720982:DXK720996 DNN720982:DNO720996 DDR720982:DDS720996 CTV720982:CTW720996 CJZ720982:CKA720996 CAD720982:CAE720996 BQH720982:BQI720996 BGL720982:BGM720996 AWP720982:AWQ720996 AMT720982:AMU720996 ACX720982:ACY720996 TB720982:TC720996 JF720982:JG720996 WVR655446:WVS655460 WLV655446:WLW655460 WBZ655446:WCA655460 VSD655446:VSE655460 VIH655446:VII655460 UYL655446:UYM655460 UOP655446:UOQ655460 UET655446:UEU655460 TUX655446:TUY655460 TLB655446:TLC655460 TBF655446:TBG655460 SRJ655446:SRK655460 SHN655446:SHO655460 RXR655446:RXS655460 RNV655446:RNW655460 RDZ655446:REA655460 QUD655446:QUE655460 QKH655446:QKI655460 QAL655446:QAM655460 PQP655446:PQQ655460 PGT655446:PGU655460 OWX655446:OWY655460 ONB655446:ONC655460 ODF655446:ODG655460 NTJ655446:NTK655460 NJN655446:NJO655460 MZR655446:MZS655460 MPV655446:MPW655460 MFZ655446:MGA655460 LWD655446:LWE655460 LMH655446:LMI655460 LCL655446:LCM655460 KSP655446:KSQ655460 KIT655446:KIU655460 JYX655446:JYY655460 JPB655446:JPC655460 JFF655446:JFG655460 IVJ655446:IVK655460 ILN655446:ILO655460 IBR655446:IBS655460 HRV655446:HRW655460 HHZ655446:HIA655460 GYD655446:GYE655460 GOH655446:GOI655460 GEL655446:GEM655460 FUP655446:FUQ655460 FKT655446:FKU655460 FAX655446:FAY655460 ERB655446:ERC655460 EHF655446:EHG655460 DXJ655446:DXK655460 DNN655446:DNO655460 DDR655446:DDS655460 CTV655446:CTW655460 CJZ655446:CKA655460 CAD655446:CAE655460 BQH655446:BQI655460 BGL655446:BGM655460 AWP655446:AWQ655460 AMT655446:AMU655460 ACX655446:ACY655460 TB655446:TC655460 JF655446:JG655460 WVR589910:WVS589924 WLV589910:WLW589924 WBZ589910:WCA589924 VSD589910:VSE589924 VIH589910:VII589924 UYL589910:UYM589924 UOP589910:UOQ589924 UET589910:UEU589924 TUX589910:TUY589924 TLB589910:TLC589924 TBF589910:TBG589924 SRJ589910:SRK589924 SHN589910:SHO589924 RXR589910:RXS589924 RNV589910:RNW589924 RDZ589910:REA589924 QUD589910:QUE589924 QKH589910:QKI589924 QAL589910:QAM589924 PQP589910:PQQ589924 PGT589910:PGU589924 OWX589910:OWY589924 ONB589910:ONC589924 ODF589910:ODG589924 NTJ589910:NTK589924 NJN589910:NJO589924 MZR589910:MZS589924 MPV589910:MPW589924 MFZ589910:MGA589924 LWD589910:LWE589924 LMH589910:LMI589924 LCL589910:LCM589924 KSP589910:KSQ589924 KIT589910:KIU589924 JYX589910:JYY589924 JPB589910:JPC589924 JFF589910:JFG589924 IVJ589910:IVK589924 ILN589910:ILO589924 IBR589910:IBS589924 HRV589910:HRW589924 HHZ589910:HIA589924 GYD589910:GYE589924 GOH589910:GOI589924 GEL589910:GEM589924 FUP589910:FUQ589924 FKT589910:FKU589924 FAX589910:FAY589924 ERB589910:ERC589924 EHF589910:EHG589924 DXJ589910:DXK589924 DNN589910:DNO589924 DDR589910:DDS589924 CTV589910:CTW589924 CJZ589910:CKA589924 CAD589910:CAE589924 BQH589910:BQI589924 BGL589910:BGM589924 AWP589910:AWQ589924 AMT589910:AMU589924 ACX589910:ACY589924 TB589910:TC589924 JF589910:JG589924 WVR524374:WVS524388 WLV524374:WLW524388 WBZ524374:WCA524388 VSD524374:VSE524388 VIH524374:VII524388 UYL524374:UYM524388 UOP524374:UOQ524388 UET524374:UEU524388 TUX524374:TUY524388 TLB524374:TLC524388 TBF524374:TBG524388 SRJ524374:SRK524388 SHN524374:SHO524388 RXR524374:RXS524388 RNV524374:RNW524388 RDZ524374:REA524388 QUD524374:QUE524388 QKH524374:QKI524388 QAL524374:QAM524388 PQP524374:PQQ524388 PGT524374:PGU524388 OWX524374:OWY524388 ONB524374:ONC524388 ODF524374:ODG524388 NTJ524374:NTK524388 NJN524374:NJO524388 MZR524374:MZS524388 MPV524374:MPW524388 MFZ524374:MGA524388 LWD524374:LWE524388 LMH524374:LMI524388 LCL524374:LCM524388 KSP524374:KSQ524388 KIT524374:KIU524388 JYX524374:JYY524388 JPB524374:JPC524388 JFF524374:JFG524388 IVJ524374:IVK524388 ILN524374:ILO524388 IBR524374:IBS524388 HRV524374:HRW524388 HHZ524374:HIA524388 GYD524374:GYE524388 GOH524374:GOI524388 GEL524374:GEM524388 FUP524374:FUQ524388 FKT524374:FKU524388 FAX524374:FAY524388 ERB524374:ERC524388 EHF524374:EHG524388 DXJ524374:DXK524388 DNN524374:DNO524388 DDR524374:DDS524388 CTV524374:CTW524388 CJZ524374:CKA524388 CAD524374:CAE524388 BQH524374:BQI524388 BGL524374:BGM524388 AWP524374:AWQ524388 AMT524374:AMU524388 ACX524374:ACY524388 TB524374:TC524388 JF524374:JG524388 WVR458838:WVS458852 WLV458838:WLW458852 WBZ458838:WCA458852 VSD458838:VSE458852 VIH458838:VII458852 UYL458838:UYM458852 UOP458838:UOQ458852 UET458838:UEU458852 TUX458838:TUY458852 TLB458838:TLC458852 TBF458838:TBG458852 SRJ458838:SRK458852 SHN458838:SHO458852 RXR458838:RXS458852 RNV458838:RNW458852 RDZ458838:REA458852 QUD458838:QUE458852 QKH458838:QKI458852 QAL458838:QAM458852 PQP458838:PQQ458852 PGT458838:PGU458852 OWX458838:OWY458852 ONB458838:ONC458852 ODF458838:ODG458852 NTJ458838:NTK458852 NJN458838:NJO458852 MZR458838:MZS458852 MPV458838:MPW458852 MFZ458838:MGA458852 LWD458838:LWE458852 LMH458838:LMI458852 LCL458838:LCM458852 KSP458838:KSQ458852 KIT458838:KIU458852 JYX458838:JYY458852 JPB458838:JPC458852 JFF458838:JFG458852 IVJ458838:IVK458852 ILN458838:ILO458852 IBR458838:IBS458852 HRV458838:HRW458852 HHZ458838:HIA458852 GYD458838:GYE458852 GOH458838:GOI458852 GEL458838:GEM458852 FUP458838:FUQ458852 FKT458838:FKU458852 FAX458838:FAY458852 ERB458838:ERC458852 EHF458838:EHG458852 DXJ458838:DXK458852 DNN458838:DNO458852 DDR458838:DDS458852 CTV458838:CTW458852 CJZ458838:CKA458852 CAD458838:CAE458852 BQH458838:BQI458852 BGL458838:BGM458852 AWP458838:AWQ458852 AMT458838:AMU458852 ACX458838:ACY458852 TB458838:TC458852 JF458838:JG458852 WVR393302:WVS393316 WLV393302:WLW393316 WBZ393302:WCA393316 VSD393302:VSE393316 VIH393302:VII393316 UYL393302:UYM393316 UOP393302:UOQ393316 UET393302:UEU393316 TUX393302:TUY393316 TLB393302:TLC393316 TBF393302:TBG393316 SRJ393302:SRK393316 SHN393302:SHO393316 RXR393302:RXS393316 RNV393302:RNW393316 RDZ393302:REA393316 QUD393302:QUE393316 QKH393302:QKI393316 QAL393302:QAM393316 PQP393302:PQQ393316 PGT393302:PGU393316 OWX393302:OWY393316 ONB393302:ONC393316 ODF393302:ODG393316 NTJ393302:NTK393316 NJN393302:NJO393316 MZR393302:MZS393316 MPV393302:MPW393316 MFZ393302:MGA393316 LWD393302:LWE393316 LMH393302:LMI393316 LCL393302:LCM393316 KSP393302:KSQ393316 KIT393302:KIU393316 JYX393302:JYY393316 JPB393302:JPC393316 JFF393302:JFG393316 IVJ393302:IVK393316 ILN393302:ILO393316 IBR393302:IBS393316 HRV393302:HRW393316 HHZ393302:HIA393316 GYD393302:GYE393316 GOH393302:GOI393316 GEL393302:GEM393316 FUP393302:FUQ393316 FKT393302:FKU393316 FAX393302:FAY393316 ERB393302:ERC393316 EHF393302:EHG393316 DXJ393302:DXK393316 DNN393302:DNO393316 DDR393302:DDS393316 CTV393302:CTW393316 CJZ393302:CKA393316 CAD393302:CAE393316 BQH393302:BQI393316 BGL393302:BGM393316 AWP393302:AWQ393316 AMT393302:AMU393316 ACX393302:ACY393316 TB393302:TC393316 JF393302:JG393316 WVR327766:WVS327780 WLV327766:WLW327780 WBZ327766:WCA327780 VSD327766:VSE327780 VIH327766:VII327780 UYL327766:UYM327780 UOP327766:UOQ327780 UET327766:UEU327780 TUX327766:TUY327780 TLB327766:TLC327780 TBF327766:TBG327780 SRJ327766:SRK327780 SHN327766:SHO327780 RXR327766:RXS327780 RNV327766:RNW327780 RDZ327766:REA327780 QUD327766:QUE327780 QKH327766:QKI327780 QAL327766:QAM327780 PQP327766:PQQ327780 PGT327766:PGU327780 OWX327766:OWY327780 ONB327766:ONC327780 ODF327766:ODG327780 NTJ327766:NTK327780 NJN327766:NJO327780 MZR327766:MZS327780 MPV327766:MPW327780 MFZ327766:MGA327780 LWD327766:LWE327780 LMH327766:LMI327780 LCL327766:LCM327780 KSP327766:KSQ327780 KIT327766:KIU327780 JYX327766:JYY327780 JPB327766:JPC327780 JFF327766:JFG327780 IVJ327766:IVK327780 ILN327766:ILO327780 IBR327766:IBS327780 HRV327766:HRW327780 HHZ327766:HIA327780 GYD327766:GYE327780 GOH327766:GOI327780 GEL327766:GEM327780 FUP327766:FUQ327780 FKT327766:FKU327780 FAX327766:FAY327780 ERB327766:ERC327780 EHF327766:EHG327780 DXJ327766:DXK327780 DNN327766:DNO327780 DDR327766:DDS327780 CTV327766:CTW327780 CJZ327766:CKA327780 CAD327766:CAE327780 BQH327766:BQI327780 BGL327766:BGM327780 AWP327766:AWQ327780 AMT327766:AMU327780 ACX327766:ACY327780 TB327766:TC327780 JF327766:JG327780 WVR262230:WVS262244 WLV262230:WLW262244 WBZ262230:WCA262244 VSD262230:VSE262244 VIH262230:VII262244 UYL262230:UYM262244 UOP262230:UOQ262244 UET262230:UEU262244 TUX262230:TUY262244 TLB262230:TLC262244 TBF262230:TBG262244 SRJ262230:SRK262244 SHN262230:SHO262244 RXR262230:RXS262244 RNV262230:RNW262244 RDZ262230:REA262244 QUD262230:QUE262244 QKH262230:QKI262244 QAL262230:QAM262244 PQP262230:PQQ262244 PGT262230:PGU262244 OWX262230:OWY262244 ONB262230:ONC262244 ODF262230:ODG262244 NTJ262230:NTK262244 NJN262230:NJO262244 MZR262230:MZS262244 MPV262230:MPW262244 MFZ262230:MGA262244 LWD262230:LWE262244 LMH262230:LMI262244 LCL262230:LCM262244 KSP262230:KSQ262244 KIT262230:KIU262244 JYX262230:JYY262244 JPB262230:JPC262244 JFF262230:JFG262244 IVJ262230:IVK262244 ILN262230:ILO262244 IBR262230:IBS262244 HRV262230:HRW262244 HHZ262230:HIA262244 GYD262230:GYE262244 GOH262230:GOI262244 GEL262230:GEM262244 FUP262230:FUQ262244 FKT262230:FKU262244 FAX262230:FAY262244 ERB262230:ERC262244 EHF262230:EHG262244 DXJ262230:DXK262244 DNN262230:DNO262244 DDR262230:DDS262244 CTV262230:CTW262244 CJZ262230:CKA262244 CAD262230:CAE262244 BQH262230:BQI262244 BGL262230:BGM262244 AWP262230:AWQ262244 AMT262230:AMU262244 ACX262230:ACY262244 TB262230:TC262244 JF262230:JG262244 WVR196694:WVS196708 WLV196694:WLW196708 WBZ196694:WCA196708 VSD196694:VSE196708 VIH196694:VII196708 UYL196694:UYM196708 UOP196694:UOQ196708 UET196694:UEU196708 TUX196694:TUY196708 TLB196694:TLC196708 TBF196694:TBG196708 SRJ196694:SRK196708 SHN196694:SHO196708 RXR196694:RXS196708 RNV196694:RNW196708 RDZ196694:REA196708 QUD196694:QUE196708 QKH196694:QKI196708 QAL196694:QAM196708 PQP196694:PQQ196708 PGT196694:PGU196708 OWX196694:OWY196708 ONB196694:ONC196708 ODF196694:ODG196708 NTJ196694:NTK196708 NJN196694:NJO196708 MZR196694:MZS196708 MPV196694:MPW196708 MFZ196694:MGA196708 LWD196694:LWE196708 LMH196694:LMI196708 LCL196694:LCM196708 KSP196694:KSQ196708 KIT196694:KIU196708 JYX196694:JYY196708 JPB196694:JPC196708 JFF196694:JFG196708 IVJ196694:IVK196708 ILN196694:ILO196708 IBR196694:IBS196708 HRV196694:HRW196708 HHZ196694:HIA196708 GYD196694:GYE196708 GOH196694:GOI196708 GEL196694:GEM196708 FUP196694:FUQ196708 FKT196694:FKU196708 FAX196694:FAY196708 ERB196694:ERC196708 EHF196694:EHG196708 DXJ196694:DXK196708 DNN196694:DNO196708 DDR196694:DDS196708 CTV196694:CTW196708 CJZ196694:CKA196708 CAD196694:CAE196708 BQH196694:BQI196708 BGL196694:BGM196708 AWP196694:AWQ196708 AMT196694:AMU196708 ACX196694:ACY196708 TB196694:TC196708 JF196694:JG196708 WVR131158:WVS131172 WLV131158:WLW131172 WBZ131158:WCA131172 VSD131158:VSE131172 VIH131158:VII131172 UYL131158:UYM131172 UOP131158:UOQ131172 UET131158:UEU131172 TUX131158:TUY131172 TLB131158:TLC131172 TBF131158:TBG131172 SRJ131158:SRK131172 SHN131158:SHO131172 RXR131158:RXS131172 RNV131158:RNW131172 RDZ131158:REA131172 QUD131158:QUE131172 QKH131158:QKI131172 QAL131158:QAM131172 PQP131158:PQQ131172 PGT131158:PGU131172 OWX131158:OWY131172 ONB131158:ONC131172 ODF131158:ODG131172 NTJ131158:NTK131172 NJN131158:NJO131172 MZR131158:MZS131172 MPV131158:MPW131172 MFZ131158:MGA131172 LWD131158:LWE131172 LMH131158:LMI131172 LCL131158:LCM131172 KSP131158:KSQ131172 KIT131158:KIU131172 JYX131158:JYY131172 JPB131158:JPC131172 JFF131158:JFG131172 IVJ131158:IVK131172 ILN131158:ILO131172 IBR131158:IBS131172 HRV131158:HRW131172 HHZ131158:HIA131172 GYD131158:GYE131172 GOH131158:GOI131172 GEL131158:GEM131172 FUP131158:FUQ131172 FKT131158:FKU131172 FAX131158:FAY131172 ERB131158:ERC131172 EHF131158:EHG131172 DXJ131158:DXK131172 DNN131158:DNO131172 DDR131158:DDS131172 CTV131158:CTW131172 CJZ131158:CKA131172 CAD131158:CAE131172 BQH131158:BQI131172 BGL131158:BGM131172 AWP131158:AWQ131172 AMT131158:AMU131172 ACX131158:ACY131172 TB131158:TC131172 JF131158:JG131172 WVR65622:WVS65636 WLV65622:WLW65636 WBZ65622:WCA65636 VSD65622:VSE65636 VIH65622:VII65636 UYL65622:UYM65636 UOP65622:UOQ65636 UET65622:UEU65636 TUX65622:TUY65636 TLB65622:TLC65636 TBF65622:TBG65636 SRJ65622:SRK65636 SHN65622:SHO65636 RXR65622:RXS65636 RNV65622:RNW65636 RDZ65622:REA65636 QUD65622:QUE65636 QKH65622:QKI65636 QAL65622:QAM65636 PQP65622:PQQ65636 PGT65622:PGU65636 OWX65622:OWY65636 ONB65622:ONC65636 ODF65622:ODG65636 NTJ65622:NTK65636 NJN65622:NJO65636 MZR65622:MZS65636 MPV65622:MPW65636 MFZ65622:MGA65636 LWD65622:LWE65636 LMH65622:LMI65636 LCL65622:LCM65636 KSP65622:KSQ65636 KIT65622:KIU65636 JYX65622:JYY65636 JPB65622:JPC65636 JFF65622:JFG65636 IVJ65622:IVK65636 ILN65622:ILO65636 IBR65622:IBS65636 HRV65622:HRW65636 HHZ65622:HIA65636 GYD65622:GYE65636 GOH65622:GOI65636 GEL65622:GEM65636 FUP65622:FUQ65636 FKT65622:FKU65636 FAX65622:FAY65636 ERB65622:ERC65636 EHF65622:EHG65636 DXJ65622:DXK65636 DNN65622:DNO65636 DDR65622:DDS65636 CTV65622:CTW65636 CJZ65622:CKA65636 CAD65622:CAE65636 BQH65622:BQI65636 BGL65622:BGM65636 AWP65622:AWQ65636 AMT65622:AMU65636 ACX65622:ACY65636 TB65622:TC65636 JF65622:JG65636 WVR95:WVS95 WVP85:WVQ94 WLV95:WLW95 WLT85:WLU94 WBZ95:WCA95 WBX85:WBY94 VSD95:VSE95 VSB85:VSC94 VIH95:VII95 VIF85:VIG94 UYL95:UYM95 UYJ85:UYK94 UOP95:UOQ95 UON85:UOO94 UET95:UEU95 UER85:UES94 TUX95:TUY95 TUV85:TUW94 TLB95:TLC95 TKZ85:TLA94 TBF95:TBG95 TBD85:TBE94 SRJ95:SRK95 SRH85:SRI94 SHN95:SHO95 SHL85:SHM94 RXR95:RXS95 RXP85:RXQ94 RNV95:RNW95 RNT85:RNU94 RDZ95:REA95 RDX85:RDY94 QUD95:QUE95 QUB85:QUC94 QKH95:QKI95 QKF85:QKG94 QAL95:QAM95 QAJ85:QAK94 PQP95:PQQ95 PQN85:PQO94 PGT95:PGU95 PGR85:PGS94 OWX95:OWY95 OWV85:OWW94 ONB95:ONC95 OMZ85:ONA94 ODF95:ODG95 ODD85:ODE94 NTJ95:NTK95 NTH85:NTI94 NJN95:NJO95 NJL85:NJM94 MZR95:MZS95 MZP85:MZQ94 MPV95:MPW95 MPT85:MPU94 MFZ95:MGA95 MFX85:MFY94 LWD95:LWE95 LWB85:LWC94 LMH95:LMI95 LMF85:LMG94 LCL95:LCM95 LCJ85:LCK94 KSP95:KSQ95 KSN85:KSO94 KIT95:KIU95 KIR85:KIS94 JYX95:JYY95 JYV85:JYW94 JPB95:JPC95 JOZ85:JPA94 JFF95:JFG95 JFD85:JFE94 IVJ95:IVK95 IVH85:IVI94 ILN95:ILO95 ILL85:ILM94 IBR95:IBS95 IBP85:IBQ94 HRV95:HRW95 HRT85:HRU94 HHZ95:HIA95 HHX85:HHY94 GYD95:GYE95 GYB85:GYC94 GOH95:GOI95 GOF85:GOG94 GEL95:GEM95 GEJ85:GEK94 FUP95:FUQ95 FUN85:FUO94 FKT95:FKU95 FKR85:FKS94 FAX95:FAY95 FAV85:FAW94 ERB95:ERC95 EQZ85:ERA94 EHF95:EHG95 EHD85:EHE94 DXJ95:DXK95 DXH85:DXI94 DNN95:DNO95 DNL85:DNM94 DDR95:DDS95 DDP85:DDQ94 CTV95:CTW95 CTT85:CTU94 CJZ95:CKA95 CJX85:CJY94 CAD95:CAE95 CAB85:CAC94 BQH95:BQI95 BQF85:BQG94 BGL95:BGM95 BGJ85:BGK94 AWP95:AWQ95 AWN85:AWO94 AMT95:AMU95 AMR85:AMS94 ACX95:ACY95 ACV85:ACW94 TB95:TC95 SZ85:TA94 JD96:JE102 JF95:JG95 JD85:JE94 WVR983144:WVR983150 WLV983144:WLV983150 WBZ983144:WBZ983150 VSD983144:VSD983150 VIH983144:VIH983150 UYL983144:UYL983150 UOP983144:UOP983150 UET983144:UET983150 TUX983144:TUX983150 TLB983144:TLB983150 TBF983144:TBF983150 SRJ983144:SRJ983150 SHN983144:SHN983150 RXR983144:RXR983150 RNV983144:RNV983150 RDZ983144:RDZ983150 QUD983144:QUD983150 QKH983144:QKH983150 QAL983144:QAL983150 PQP983144:PQP983150 PGT983144:PGT983150 OWX983144:OWX983150 ONB983144:ONB983150 ODF983144:ODF983150 NTJ983144:NTJ983150 NJN983144:NJN983150 MZR983144:MZR983150 MPV983144:MPV983150 MFZ983144:MFZ983150 LWD983144:LWD983150 LMH983144:LMH983150 LCL983144:LCL983150 KSP983144:KSP983150 KIT983144:KIT983150 JYX983144:JYX983150 JPB983144:JPB983150 JFF983144:JFF983150 IVJ983144:IVJ983150 ILN983144:ILN983150 IBR983144:IBR983150 HRV983144:HRV983150 HHZ983144:HHZ983150 GYD983144:GYD983150 GOH983144:GOH983150 GEL983144:GEL983150 FUP983144:FUP983150 FKT983144:FKT983150 FAX983144:FAX983150 ERB983144:ERB983150 EHF983144:EHF983150 DXJ983144:DXJ983150 DNN983144:DNN983150 DDR983144:DDR983150 CTV983144:CTV983150 CJZ983144:CJZ983150 CAD983144:CAD983150 BQH983144:BQH983150 BGL983144:BGL983150 AWP983144:AWP983150 AMT983144:AMT983150 ACX983144:ACX983150 TB983144:TB983150 JF983144:JF983150 WVR917608:WVR917614 WLV917608:WLV917614 WBZ917608:WBZ917614 VSD917608:VSD917614 VIH917608:VIH917614 UYL917608:UYL917614 UOP917608:UOP917614 UET917608:UET917614 TUX917608:TUX917614 TLB917608:TLB917614 TBF917608:TBF917614 SRJ917608:SRJ917614 SHN917608:SHN917614 RXR917608:RXR917614 RNV917608:RNV917614 RDZ917608:RDZ917614 QUD917608:QUD917614 QKH917608:QKH917614 QAL917608:QAL917614 PQP917608:PQP917614 PGT917608:PGT917614 OWX917608:OWX917614 ONB917608:ONB917614 ODF917608:ODF917614 NTJ917608:NTJ917614 NJN917608:NJN917614 MZR917608:MZR917614 MPV917608:MPV917614 MFZ917608:MFZ917614 LWD917608:LWD917614 LMH917608:LMH917614 LCL917608:LCL917614 KSP917608:KSP917614 KIT917608:KIT917614 JYX917608:JYX917614 JPB917608:JPB917614 JFF917608:JFF917614 IVJ917608:IVJ917614 ILN917608:ILN917614 IBR917608:IBR917614 HRV917608:HRV917614 HHZ917608:HHZ917614 GYD917608:GYD917614 GOH917608:GOH917614 GEL917608:GEL917614 FUP917608:FUP917614 FKT917608:FKT917614 FAX917608:FAX917614 ERB917608:ERB917614 EHF917608:EHF917614 DXJ917608:DXJ917614 DNN917608:DNN917614 DDR917608:DDR917614 CTV917608:CTV917614 CJZ917608:CJZ917614 CAD917608:CAD917614 BQH917608:BQH917614 BGL917608:BGL917614 AWP917608:AWP917614 AMT917608:AMT917614 ACX917608:ACX917614 TB917608:TB917614 JF917608:JF917614 WVR852072:WVR852078 WLV852072:WLV852078 WBZ852072:WBZ852078 VSD852072:VSD852078 VIH852072:VIH852078 UYL852072:UYL852078 UOP852072:UOP852078 UET852072:UET852078 TUX852072:TUX852078 TLB852072:TLB852078 TBF852072:TBF852078 SRJ852072:SRJ852078 SHN852072:SHN852078 RXR852072:RXR852078 RNV852072:RNV852078 RDZ852072:RDZ852078 QUD852072:QUD852078 QKH852072:QKH852078 QAL852072:QAL852078 PQP852072:PQP852078 PGT852072:PGT852078 OWX852072:OWX852078 ONB852072:ONB852078 ODF852072:ODF852078 NTJ852072:NTJ852078 NJN852072:NJN852078 MZR852072:MZR852078 MPV852072:MPV852078 MFZ852072:MFZ852078 LWD852072:LWD852078 LMH852072:LMH852078 LCL852072:LCL852078 KSP852072:KSP852078 KIT852072:KIT852078 JYX852072:JYX852078 JPB852072:JPB852078 JFF852072:JFF852078 IVJ852072:IVJ852078 ILN852072:ILN852078 IBR852072:IBR852078 HRV852072:HRV852078 HHZ852072:HHZ852078 GYD852072:GYD852078 GOH852072:GOH852078 GEL852072:GEL852078 FUP852072:FUP852078 FKT852072:FKT852078 FAX852072:FAX852078 ERB852072:ERB852078 EHF852072:EHF852078 DXJ852072:DXJ852078 DNN852072:DNN852078 DDR852072:DDR852078 CTV852072:CTV852078 CJZ852072:CJZ852078 CAD852072:CAD852078 BQH852072:BQH852078 BGL852072:BGL852078 AWP852072:AWP852078 AMT852072:AMT852078 ACX852072:ACX852078 TB852072:TB852078 JF852072:JF852078 WVR786536:WVR786542 WLV786536:WLV786542 WBZ786536:WBZ786542 VSD786536:VSD786542 VIH786536:VIH786542 UYL786536:UYL786542 UOP786536:UOP786542 UET786536:UET786542 TUX786536:TUX786542 TLB786536:TLB786542 TBF786536:TBF786542 SRJ786536:SRJ786542 SHN786536:SHN786542 RXR786536:RXR786542 RNV786536:RNV786542 RDZ786536:RDZ786542 QUD786536:QUD786542 QKH786536:QKH786542 QAL786536:QAL786542 PQP786536:PQP786542 PGT786536:PGT786542 OWX786536:OWX786542 ONB786536:ONB786542 ODF786536:ODF786542 NTJ786536:NTJ786542 NJN786536:NJN786542 MZR786536:MZR786542 MPV786536:MPV786542 MFZ786536:MFZ786542 LWD786536:LWD786542 LMH786536:LMH786542 LCL786536:LCL786542 KSP786536:KSP786542 KIT786536:KIT786542 JYX786536:JYX786542 JPB786536:JPB786542 JFF786536:JFF786542 IVJ786536:IVJ786542 ILN786536:ILN786542 IBR786536:IBR786542 HRV786536:HRV786542 HHZ786536:HHZ786542 GYD786536:GYD786542 GOH786536:GOH786542 GEL786536:GEL786542 FUP786536:FUP786542 FKT786536:FKT786542 FAX786536:FAX786542 ERB786536:ERB786542 EHF786536:EHF786542 DXJ786536:DXJ786542 DNN786536:DNN786542 DDR786536:DDR786542 CTV786536:CTV786542 CJZ786536:CJZ786542 CAD786536:CAD786542 BQH786536:BQH786542 BGL786536:BGL786542 AWP786536:AWP786542 AMT786536:AMT786542 ACX786536:ACX786542 TB786536:TB786542 JF786536:JF786542 WVR721000:WVR721006 WLV721000:WLV721006 WBZ721000:WBZ721006 VSD721000:VSD721006 VIH721000:VIH721006 UYL721000:UYL721006 UOP721000:UOP721006 UET721000:UET721006 TUX721000:TUX721006 TLB721000:TLB721006 TBF721000:TBF721006 SRJ721000:SRJ721006 SHN721000:SHN721006 RXR721000:RXR721006 RNV721000:RNV721006 RDZ721000:RDZ721006 QUD721000:QUD721006 QKH721000:QKH721006 QAL721000:QAL721006 PQP721000:PQP721006 PGT721000:PGT721006 OWX721000:OWX721006 ONB721000:ONB721006 ODF721000:ODF721006 NTJ721000:NTJ721006 NJN721000:NJN721006 MZR721000:MZR721006 MPV721000:MPV721006 MFZ721000:MFZ721006 LWD721000:LWD721006 LMH721000:LMH721006 LCL721000:LCL721006 KSP721000:KSP721006 KIT721000:KIT721006 JYX721000:JYX721006 JPB721000:JPB721006 JFF721000:JFF721006 IVJ721000:IVJ721006 ILN721000:ILN721006 IBR721000:IBR721006 HRV721000:HRV721006 HHZ721000:HHZ721006 GYD721000:GYD721006 GOH721000:GOH721006 GEL721000:GEL721006 FUP721000:FUP721006 FKT721000:FKT721006 FAX721000:FAX721006 ERB721000:ERB721006 EHF721000:EHF721006 DXJ721000:DXJ721006 DNN721000:DNN721006 DDR721000:DDR721006 CTV721000:CTV721006 CJZ721000:CJZ721006 CAD721000:CAD721006 BQH721000:BQH721006 BGL721000:BGL721006 AWP721000:AWP721006 AMT721000:AMT721006 ACX721000:ACX721006 TB721000:TB721006 JF721000:JF721006 WVR655464:WVR655470 WLV655464:WLV655470 WBZ655464:WBZ655470 VSD655464:VSD655470 VIH655464:VIH655470 UYL655464:UYL655470 UOP655464:UOP655470 UET655464:UET655470 TUX655464:TUX655470 TLB655464:TLB655470 TBF655464:TBF655470 SRJ655464:SRJ655470 SHN655464:SHN655470 RXR655464:RXR655470 RNV655464:RNV655470 RDZ655464:RDZ655470 QUD655464:QUD655470 QKH655464:QKH655470 QAL655464:QAL655470 PQP655464:PQP655470 PGT655464:PGT655470 OWX655464:OWX655470 ONB655464:ONB655470 ODF655464:ODF655470 NTJ655464:NTJ655470 NJN655464:NJN655470 MZR655464:MZR655470 MPV655464:MPV655470 MFZ655464:MFZ655470 LWD655464:LWD655470 LMH655464:LMH655470 LCL655464:LCL655470 KSP655464:KSP655470 KIT655464:KIT655470 JYX655464:JYX655470 JPB655464:JPB655470 JFF655464:JFF655470 IVJ655464:IVJ655470 ILN655464:ILN655470 IBR655464:IBR655470 HRV655464:HRV655470 HHZ655464:HHZ655470 GYD655464:GYD655470 GOH655464:GOH655470 GEL655464:GEL655470 FUP655464:FUP655470 FKT655464:FKT655470 FAX655464:FAX655470 ERB655464:ERB655470 EHF655464:EHF655470 DXJ655464:DXJ655470 DNN655464:DNN655470 DDR655464:DDR655470 CTV655464:CTV655470 CJZ655464:CJZ655470 CAD655464:CAD655470 BQH655464:BQH655470 BGL655464:BGL655470 AWP655464:AWP655470 AMT655464:AMT655470 ACX655464:ACX655470 TB655464:TB655470 JF655464:JF655470 WVR589928:WVR589934 WLV589928:WLV589934 WBZ589928:WBZ589934 VSD589928:VSD589934 VIH589928:VIH589934 UYL589928:UYL589934 UOP589928:UOP589934 UET589928:UET589934 TUX589928:TUX589934 TLB589928:TLB589934 TBF589928:TBF589934 SRJ589928:SRJ589934 SHN589928:SHN589934 RXR589928:RXR589934 RNV589928:RNV589934 RDZ589928:RDZ589934 QUD589928:QUD589934 QKH589928:QKH589934 QAL589928:QAL589934 PQP589928:PQP589934 PGT589928:PGT589934 OWX589928:OWX589934 ONB589928:ONB589934 ODF589928:ODF589934 NTJ589928:NTJ589934 NJN589928:NJN589934 MZR589928:MZR589934 MPV589928:MPV589934 MFZ589928:MFZ589934 LWD589928:LWD589934 LMH589928:LMH589934 LCL589928:LCL589934 KSP589928:KSP589934 KIT589928:KIT589934 JYX589928:JYX589934 JPB589928:JPB589934 JFF589928:JFF589934 IVJ589928:IVJ589934 ILN589928:ILN589934 IBR589928:IBR589934 HRV589928:HRV589934 HHZ589928:HHZ589934 GYD589928:GYD589934 GOH589928:GOH589934 GEL589928:GEL589934 FUP589928:FUP589934 FKT589928:FKT589934 FAX589928:FAX589934 ERB589928:ERB589934 EHF589928:EHF589934 DXJ589928:DXJ589934 DNN589928:DNN589934 DDR589928:DDR589934 CTV589928:CTV589934 CJZ589928:CJZ589934 CAD589928:CAD589934 BQH589928:BQH589934 BGL589928:BGL589934 AWP589928:AWP589934 AMT589928:AMT589934 ACX589928:ACX589934 TB589928:TB589934 JF589928:JF589934 WVR524392:WVR524398 WLV524392:WLV524398 WBZ524392:WBZ524398 VSD524392:VSD524398 VIH524392:VIH524398 UYL524392:UYL524398 UOP524392:UOP524398 UET524392:UET524398 TUX524392:TUX524398 TLB524392:TLB524398 TBF524392:TBF524398 SRJ524392:SRJ524398 SHN524392:SHN524398 RXR524392:RXR524398 RNV524392:RNV524398 RDZ524392:RDZ524398 QUD524392:QUD524398 QKH524392:QKH524398 QAL524392:QAL524398 PQP524392:PQP524398 PGT524392:PGT524398 OWX524392:OWX524398 ONB524392:ONB524398 ODF524392:ODF524398 NTJ524392:NTJ524398 NJN524392:NJN524398 MZR524392:MZR524398 MPV524392:MPV524398 MFZ524392:MFZ524398 LWD524392:LWD524398 LMH524392:LMH524398 LCL524392:LCL524398 KSP524392:KSP524398 KIT524392:KIT524398 JYX524392:JYX524398 JPB524392:JPB524398 JFF524392:JFF524398 IVJ524392:IVJ524398 ILN524392:ILN524398 IBR524392:IBR524398 HRV524392:HRV524398 HHZ524392:HHZ524398 GYD524392:GYD524398 GOH524392:GOH524398 GEL524392:GEL524398 FUP524392:FUP524398 FKT524392:FKT524398 FAX524392:FAX524398 ERB524392:ERB524398 EHF524392:EHF524398 DXJ524392:DXJ524398 DNN524392:DNN524398 DDR524392:DDR524398 CTV524392:CTV524398 CJZ524392:CJZ524398 CAD524392:CAD524398 BQH524392:BQH524398 BGL524392:BGL524398 AWP524392:AWP524398 AMT524392:AMT524398 ACX524392:ACX524398 TB524392:TB524398 JF524392:JF524398 WVR458856:WVR458862 WLV458856:WLV458862 WBZ458856:WBZ458862 VSD458856:VSD458862 VIH458856:VIH458862 UYL458856:UYL458862 UOP458856:UOP458862 UET458856:UET458862 TUX458856:TUX458862 TLB458856:TLB458862 TBF458856:TBF458862 SRJ458856:SRJ458862 SHN458856:SHN458862 RXR458856:RXR458862 RNV458856:RNV458862 RDZ458856:RDZ458862 QUD458856:QUD458862 QKH458856:QKH458862 QAL458856:QAL458862 PQP458856:PQP458862 PGT458856:PGT458862 OWX458856:OWX458862 ONB458856:ONB458862 ODF458856:ODF458862 NTJ458856:NTJ458862 NJN458856:NJN458862 MZR458856:MZR458862 MPV458856:MPV458862 MFZ458856:MFZ458862 LWD458856:LWD458862 LMH458856:LMH458862 LCL458856:LCL458862 KSP458856:KSP458862 KIT458856:KIT458862 JYX458856:JYX458862 JPB458856:JPB458862 JFF458856:JFF458862 IVJ458856:IVJ458862 ILN458856:ILN458862 IBR458856:IBR458862 HRV458856:HRV458862 HHZ458856:HHZ458862 GYD458856:GYD458862 GOH458856:GOH458862 GEL458856:GEL458862 FUP458856:FUP458862 FKT458856:FKT458862 FAX458856:FAX458862 ERB458856:ERB458862 EHF458856:EHF458862 DXJ458856:DXJ458862 DNN458856:DNN458862 DDR458856:DDR458862 CTV458856:CTV458862 CJZ458856:CJZ458862 CAD458856:CAD458862 BQH458856:BQH458862 BGL458856:BGL458862 AWP458856:AWP458862 AMT458856:AMT458862 ACX458856:ACX458862 TB458856:TB458862 JF458856:JF458862 WVR393320:WVR393326 WLV393320:WLV393326 WBZ393320:WBZ393326 VSD393320:VSD393326 VIH393320:VIH393326 UYL393320:UYL393326 UOP393320:UOP393326 UET393320:UET393326 TUX393320:TUX393326 TLB393320:TLB393326 TBF393320:TBF393326 SRJ393320:SRJ393326 SHN393320:SHN393326 RXR393320:RXR393326 RNV393320:RNV393326 RDZ393320:RDZ393326 QUD393320:QUD393326 QKH393320:QKH393326 QAL393320:QAL393326 PQP393320:PQP393326 PGT393320:PGT393326 OWX393320:OWX393326 ONB393320:ONB393326 ODF393320:ODF393326 NTJ393320:NTJ393326 NJN393320:NJN393326 MZR393320:MZR393326 MPV393320:MPV393326 MFZ393320:MFZ393326 LWD393320:LWD393326 LMH393320:LMH393326 LCL393320:LCL393326 KSP393320:KSP393326 KIT393320:KIT393326 JYX393320:JYX393326 JPB393320:JPB393326 JFF393320:JFF393326 IVJ393320:IVJ393326 ILN393320:ILN393326 IBR393320:IBR393326 HRV393320:HRV393326 HHZ393320:HHZ393326 GYD393320:GYD393326 GOH393320:GOH393326 GEL393320:GEL393326 FUP393320:FUP393326 FKT393320:FKT393326 FAX393320:FAX393326 ERB393320:ERB393326 EHF393320:EHF393326 DXJ393320:DXJ393326 DNN393320:DNN393326 DDR393320:DDR393326 CTV393320:CTV393326 CJZ393320:CJZ393326 CAD393320:CAD393326 BQH393320:BQH393326 BGL393320:BGL393326 AWP393320:AWP393326 AMT393320:AMT393326 ACX393320:ACX393326 TB393320:TB393326 JF393320:JF393326 WVR327784:WVR327790 WLV327784:WLV327790 WBZ327784:WBZ327790 VSD327784:VSD327790 VIH327784:VIH327790 UYL327784:UYL327790 UOP327784:UOP327790 UET327784:UET327790 TUX327784:TUX327790 TLB327784:TLB327790 TBF327784:TBF327790 SRJ327784:SRJ327790 SHN327784:SHN327790 RXR327784:RXR327790 RNV327784:RNV327790 RDZ327784:RDZ327790 QUD327784:QUD327790 QKH327784:QKH327790 QAL327784:QAL327790 PQP327784:PQP327790 PGT327784:PGT327790 OWX327784:OWX327790 ONB327784:ONB327790 ODF327784:ODF327790 NTJ327784:NTJ327790 NJN327784:NJN327790 MZR327784:MZR327790 MPV327784:MPV327790 MFZ327784:MFZ327790 LWD327784:LWD327790 LMH327784:LMH327790 LCL327784:LCL327790 KSP327784:KSP327790 KIT327784:KIT327790 JYX327784:JYX327790 JPB327784:JPB327790 JFF327784:JFF327790 IVJ327784:IVJ327790 ILN327784:ILN327790 IBR327784:IBR327790 HRV327784:HRV327790 HHZ327784:HHZ327790 GYD327784:GYD327790 GOH327784:GOH327790 GEL327784:GEL327790 FUP327784:FUP327790 FKT327784:FKT327790 FAX327784:FAX327790 ERB327784:ERB327790 EHF327784:EHF327790 DXJ327784:DXJ327790 DNN327784:DNN327790 DDR327784:DDR327790 CTV327784:CTV327790 CJZ327784:CJZ327790 CAD327784:CAD327790 BQH327784:BQH327790 BGL327784:BGL327790 AWP327784:AWP327790 AMT327784:AMT327790 ACX327784:ACX327790 TB327784:TB327790 JF327784:JF327790 WVR262248:WVR262254 WLV262248:WLV262254 WBZ262248:WBZ262254 VSD262248:VSD262254 VIH262248:VIH262254 UYL262248:UYL262254 UOP262248:UOP262254 UET262248:UET262254 TUX262248:TUX262254 TLB262248:TLB262254 TBF262248:TBF262254 SRJ262248:SRJ262254 SHN262248:SHN262254 RXR262248:RXR262254 RNV262248:RNV262254 RDZ262248:RDZ262254 QUD262248:QUD262254 QKH262248:QKH262254 QAL262248:QAL262254 PQP262248:PQP262254 PGT262248:PGT262254 OWX262248:OWX262254 ONB262248:ONB262254 ODF262248:ODF262254 NTJ262248:NTJ262254 NJN262248:NJN262254 MZR262248:MZR262254 MPV262248:MPV262254 MFZ262248:MFZ262254 LWD262248:LWD262254 LMH262248:LMH262254 LCL262248:LCL262254 KSP262248:KSP262254 KIT262248:KIT262254 JYX262248:JYX262254 JPB262248:JPB262254 JFF262248:JFF262254 IVJ262248:IVJ262254 ILN262248:ILN262254 IBR262248:IBR262254 HRV262248:HRV262254 HHZ262248:HHZ262254 GYD262248:GYD262254 GOH262248:GOH262254 GEL262248:GEL262254 FUP262248:FUP262254 FKT262248:FKT262254 FAX262248:FAX262254 ERB262248:ERB262254 EHF262248:EHF262254 DXJ262248:DXJ262254 DNN262248:DNN262254 DDR262248:DDR262254 CTV262248:CTV262254 CJZ262248:CJZ262254 CAD262248:CAD262254 BQH262248:BQH262254 BGL262248:BGL262254 AWP262248:AWP262254 AMT262248:AMT262254 ACX262248:ACX262254 TB262248:TB262254 JF262248:JF262254 WVR196712:WVR196718 WLV196712:WLV196718 WBZ196712:WBZ196718 VSD196712:VSD196718 VIH196712:VIH196718 UYL196712:UYL196718 UOP196712:UOP196718 UET196712:UET196718 TUX196712:TUX196718 TLB196712:TLB196718 TBF196712:TBF196718 SRJ196712:SRJ196718 SHN196712:SHN196718 RXR196712:RXR196718 RNV196712:RNV196718 RDZ196712:RDZ196718 QUD196712:QUD196718 QKH196712:QKH196718 QAL196712:QAL196718 PQP196712:PQP196718 PGT196712:PGT196718 OWX196712:OWX196718 ONB196712:ONB196718 ODF196712:ODF196718 NTJ196712:NTJ196718 NJN196712:NJN196718 MZR196712:MZR196718 MPV196712:MPV196718 MFZ196712:MFZ196718 LWD196712:LWD196718 LMH196712:LMH196718 LCL196712:LCL196718 KSP196712:KSP196718 KIT196712:KIT196718 JYX196712:JYX196718 JPB196712:JPB196718 JFF196712:JFF196718 IVJ196712:IVJ196718 ILN196712:ILN196718 IBR196712:IBR196718 HRV196712:HRV196718 HHZ196712:HHZ196718 GYD196712:GYD196718 GOH196712:GOH196718 GEL196712:GEL196718 FUP196712:FUP196718 FKT196712:FKT196718 FAX196712:FAX196718 ERB196712:ERB196718 EHF196712:EHF196718 DXJ196712:DXJ196718 DNN196712:DNN196718 DDR196712:DDR196718 CTV196712:CTV196718 CJZ196712:CJZ196718 CAD196712:CAD196718 BQH196712:BQH196718 BGL196712:BGL196718 AWP196712:AWP196718 AMT196712:AMT196718 ACX196712:ACX196718 TB196712:TB196718 JF196712:JF196718 WVR131176:WVR131182 WLV131176:WLV131182 WBZ131176:WBZ131182 VSD131176:VSD131182 VIH131176:VIH131182 UYL131176:UYL131182 UOP131176:UOP131182 UET131176:UET131182 TUX131176:TUX131182 TLB131176:TLB131182 TBF131176:TBF131182 SRJ131176:SRJ131182 SHN131176:SHN131182 RXR131176:RXR131182 RNV131176:RNV131182 RDZ131176:RDZ131182 QUD131176:QUD131182 QKH131176:QKH131182 QAL131176:QAL131182 PQP131176:PQP131182 PGT131176:PGT131182 OWX131176:OWX131182 ONB131176:ONB131182 ODF131176:ODF131182 NTJ131176:NTJ131182 NJN131176:NJN131182 MZR131176:MZR131182 MPV131176:MPV131182 MFZ131176:MFZ131182 LWD131176:LWD131182 LMH131176:LMH131182 LCL131176:LCL131182 KSP131176:KSP131182 KIT131176:KIT131182 JYX131176:JYX131182 JPB131176:JPB131182 JFF131176:JFF131182 IVJ131176:IVJ131182 ILN131176:ILN131182 IBR131176:IBR131182 HRV131176:HRV131182 HHZ131176:HHZ131182 GYD131176:GYD131182 GOH131176:GOH131182 GEL131176:GEL131182 FUP131176:FUP131182 FKT131176:FKT131182 FAX131176:FAX131182 ERB131176:ERB131182 EHF131176:EHF131182 DXJ131176:DXJ131182 DNN131176:DNN131182 DDR131176:DDR131182 CTV131176:CTV131182 CJZ131176:CJZ131182 CAD131176:CAD131182 BQH131176:BQH131182 BGL131176:BGL131182 AWP131176:AWP131182 AMT131176:AMT131182 ACX131176:ACX131182 TB131176:TB131182 JF131176:JF131182 WVR65640:WVR65646 WLV65640:WLV65646 WBZ65640:WBZ65646 VSD65640:VSD65646 VIH65640:VIH65646 UYL65640:UYL65646 UOP65640:UOP65646 UET65640:UET65646 TUX65640:TUX65646 TLB65640:TLB65646 TBF65640:TBF65646 SRJ65640:SRJ65646 SHN65640:SHN65646 RXR65640:RXR65646 RNV65640:RNV65646 RDZ65640:RDZ65646 QUD65640:QUD65646 QKH65640:QKH65646 QAL65640:QAL65646 PQP65640:PQP65646 PGT65640:PGT65646 OWX65640:OWX65646 ONB65640:ONB65646 ODF65640:ODF65646 NTJ65640:NTJ65646 NJN65640:NJN65646 MZR65640:MZR65646 MPV65640:MPV65646 MFZ65640:MFZ65646 LWD65640:LWD65646 LMH65640:LMH65646 LCL65640:LCL65646 KSP65640:KSP65646 KIT65640:KIT65646 JYX65640:JYX65646 JPB65640:JPB65646 JFF65640:JFF65646 IVJ65640:IVJ65646 ILN65640:ILN65646 IBR65640:IBR65646 HRV65640:HRV65646 HHZ65640:HHZ65646 GYD65640:GYD65646 GOH65640:GOH65646 GEL65640:GEL65646 FUP65640:FUP65646 FKT65640:FKT65646 FAX65640:FAX65646 ERB65640:ERB65646 EHF65640:EHF65646 DXJ65640:DXJ65646 DNN65640:DNN65646 DDR65640:DDR65646 CTV65640:CTV65646 CJZ65640:CJZ65646 CAD65640:CAD65646 BQH65640:BQH65646 BGL65640:BGL65646 AWP65640:AWP65646 AMT65640:AMT65646 ACX65640:ACX65646 TB65640:TB65646 JF65640:JF65646 WVR110 WLV110 WBZ110 VSD110 VIH110 UYL110 UOP110 UET110 TUX110 TLB110 TBF110 SRJ110 SHN110 RXR110 RNV110 RDZ110 QUD110 QKH110 QAL110 PQP110 PGT110 OWX110 ONB110 ODF110 NTJ110 NJN110 MZR110 MPV110 MFZ110 LWD110 LMH110 LCL110 KSP110 KIT110 JYX110 JPB110 JFF110 IVJ110 ILN110 IBR110 HRV110 HHZ110 GYD110 GOH110 GEL110 FUP110 FKT110 FAX110 ERB110 EHF110 DXJ110 DNN110 DDR110 CTV110 CJZ110 CAD110 BQH110 BGL110 AWP110 AMT110 ACX110 TB110 JF110 WVR983096:WVS983105 WLV983096:WLW983105 WBZ983096:WCA983105 VSD983096:VSE983105 VIH983096:VII983105 UYL983096:UYM983105 UOP983096:UOQ983105 UET983096:UEU983105 TUX983096:TUY983105 TLB983096:TLC983105 TBF983096:TBG983105 SRJ983096:SRK983105 SHN983096:SHO983105 RXR983096:RXS983105 RNV983096:RNW983105 RDZ983096:REA983105 QUD983096:QUE983105 QKH983096:QKI983105 QAL983096:QAM983105 PQP983096:PQQ983105 PGT983096:PGU983105 OWX983096:OWY983105 ONB983096:ONC983105 ODF983096:ODG983105 NTJ983096:NTK983105 NJN983096:NJO983105 MZR983096:MZS983105 MPV983096:MPW983105 MFZ983096:MGA983105 LWD983096:LWE983105 LMH983096:LMI983105 LCL983096:LCM983105 KSP983096:KSQ983105 KIT983096:KIU983105 JYX983096:JYY983105 JPB983096:JPC983105 JFF983096:JFG983105 IVJ983096:IVK983105 ILN983096:ILO983105 IBR983096:IBS983105 HRV983096:HRW983105 HHZ983096:HIA983105 GYD983096:GYE983105 GOH983096:GOI983105 GEL983096:GEM983105 FUP983096:FUQ983105 FKT983096:FKU983105 FAX983096:FAY983105 ERB983096:ERC983105 EHF983096:EHG983105 DXJ983096:DXK983105 DNN983096:DNO983105 DDR983096:DDS983105 CTV983096:CTW983105 CJZ983096:CKA983105 CAD983096:CAE983105 BQH983096:BQI983105 BGL983096:BGM983105 AWP983096:AWQ983105 AMT983096:AMU983105 ACX983096:ACY983105 TB983096:TC983105 JF983096:JG983105 WVR917560:WVS917569 WLV917560:WLW917569 WBZ917560:WCA917569 VSD917560:VSE917569 VIH917560:VII917569 UYL917560:UYM917569 UOP917560:UOQ917569 UET917560:UEU917569 TUX917560:TUY917569 TLB917560:TLC917569 TBF917560:TBG917569 SRJ917560:SRK917569 SHN917560:SHO917569 RXR917560:RXS917569 RNV917560:RNW917569 RDZ917560:REA917569 QUD917560:QUE917569 QKH917560:QKI917569 QAL917560:QAM917569 PQP917560:PQQ917569 PGT917560:PGU917569 OWX917560:OWY917569 ONB917560:ONC917569 ODF917560:ODG917569 NTJ917560:NTK917569 NJN917560:NJO917569 MZR917560:MZS917569 MPV917560:MPW917569 MFZ917560:MGA917569 LWD917560:LWE917569 LMH917560:LMI917569 LCL917560:LCM917569 KSP917560:KSQ917569 KIT917560:KIU917569 JYX917560:JYY917569 JPB917560:JPC917569 JFF917560:JFG917569 IVJ917560:IVK917569 ILN917560:ILO917569 IBR917560:IBS917569 HRV917560:HRW917569 HHZ917560:HIA917569 GYD917560:GYE917569 GOH917560:GOI917569 GEL917560:GEM917569 FUP917560:FUQ917569 FKT917560:FKU917569 FAX917560:FAY917569 ERB917560:ERC917569 EHF917560:EHG917569 DXJ917560:DXK917569 DNN917560:DNO917569 DDR917560:DDS917569 CTV917560:CTW917569 CJZ917560:CKA917569 CAD917560:CAE917569 BQH917560:BQI917569 BGL917560:BGM917569 AWP917560:AWQ917569 AMT917560:AMU917569 ACX917560:ACY917569 TB917560:TC917569 JF917560:JG917569 WVR852024:WVS852033 WLV852024:WLW852033 WBZ852024:WCA852033 VSD852024:VSE852033 VIH852024:VII852033 UYL852024:UYM852033 UOP852024:UOQ852033 UET852024:UEU852033 TUX852024:TUY852033 TLB852024:TLC852033 TBF852024:TBG852033 SRJ852024:SRK852033 SHN852024:SHO852033 RXR852024:RXS852033 RNV852024:RNW852033 RDZ852024:REA852033 QUD852024:QUE852033 QKH852024:QKI852033 QAL852024:QAM852033 PQP852024:PQQ852033 PGT852024:PGU852033 OWX852024:OWY852033 ONB852024:ONC852033 ODF852024:ODG852033 NTJ852024:NTK852033 NJN852024:NJO852033 MZR852024:MZS852033 MPV852024:MPW852033 MFZ852024:MGA852033 LWD852024:LWE852033 LMH852024:LMI852033 LCL852024:LCM852033 KSP852024:KSQ852033 KIT852024:KIU852033 JYX852024:JYY852033 JPB852024:JPC852033 JFF852024:JFG852033 IVJ852024:IVK852033 ILN852024:ILO852033 IBR852024:IBS852033 HRV852024:HRW852033 HHZ852024:HIA852033 GYD852024:GYE852033 GOH852024:GOI852033 GEL852024:GEM852033 FUP852024:FUQ852033 FKT852024:FKU852033 FAX852024:FAY852033 ERB852024:ERC852033 EHF852024:EHG852033 DXJ852024:DXK852033 DNN852024:DNO852033 DDR852024:DDS852033 CTV852024:CTW852033 CJZ852024:CKA852033 CAD852024:CAE852033 BQH852024:BQI852033 BGL852024:BGM852033 AWP852024:AWQ852033 AMT852024:AMU852033 ACX852024:ACY852033 TB852024:TC852033 JF852024:JG852033 WVR786488:WVS786497 WLV786488:WLW786497 WBZ786488:WCA786497 VSD786488:VSE786497 VIH786488:VII786497 UYL786488:UYM786497 UOP786488:UOQ786497 UET786488:UEU786497 TUX786488:TUY786497 TLB786488:TLC786497 TBF786488:TBG786497 SRJ786488:SRK786497 SHN786488:SHO786497 RXR786488:RXS786497 RNV786488:RNW786497 RDZ786488:REA786497 QUD786488:QUE786497 QKH786488:QKI786497 QAL786488:QAM786497 PQP786488:PQQ786497 PGT786488:PGU786497 OWX786488:OWY786497 ONB786488:ONC786497 ODF786488:ODG786497 NTJ786488:NTK786497 NJN786488:NJO786497 MZR786488:MZS786497 MPV786488:MPW786497 MFZ786488:MGA786497 LWD786488:LWE786497 LMH786488:LMI786497 LCL786488:LCM786497 KSP786488:KSQ786497 KIT786488:KIU786497 JYX786488:JYY786497 JPB786488:JPC786497 JFF786488:JFG786497 IVJ786488:IVK786497 ILN786488:ILO786497 IBR786488:IBS786497 HRV786488:HRW786497 HHZ786488:HIA786497 GYD786488:GYE786497 GOH786488:GOI786497 GEL786488:GEM786497 FUP786488:FUQ786497 FKT786488:FKU786497 FAX786488:FAY786497 ERB786488:ERC786497 EHF786488:EHG786497 DXJ786488:DXK786497 DNN786488:DNO786497 DDR786488:DDS786497 CTV786488:CTW786497 CJZ786488:CKA786497 CAD786488:CAE786497 BQH786488:BQI786497 BGL786488:BGM786497 AWP786488:AWQ786497 AMT786488:AMU786497 ACX786488:ACY786497 TB786488:TC786497 JF786488:JG786497 WVR720952:WVS720961 WLV720952:WLW720961 WBZ720952:WCA720961 VSD720952:VSE720961 VIH720952:VII720961 UYL720952:UYM720961 UOP720952:UOQ720961 UET720952:UEU720961 TUX720952:TUY720961 TLB720952:TLC720961 TBF720952:TBG720961 SRJ720952:SRK720961 SHN720952:SHO720961 RXR720952:RXS720961 RNV720952:RNW720961 RDZ720952:REA720961 QUD720952:QUE720961 QKH720952:QKI720961 QAL720952:QAM720961 PQP720952:PQQ720961 PGT720952:PGU720961 OWX720952:OWY720961 ONB720952:ONC720961 ODF720952:ODG720961 NTJ720952:NTK720961 NJN720952:NJO720961 MZR720952:MZS720961 MPV720952:MPW720961 MFZ720952:MGA720961 LWD720952:LWE720961 LMH720952:LMI720961 LCL720952:LCM720961 KSP720952:KSQ720961 KIT720952:KIU720961 JYX720952:JYY720961 JPB720952:JPC720961 JFF720952:JFG720961 IVJ720952:IVK720961 ILN720952:ILO720961 IBR720952:IBS720961 HRV720952:HRW720961 HHZ720952:HIA720961 GYD720952:GYE720961 GOH720952:GOI720961 GEL720952:GEM720961 FUP720952:FUQ720961 FKT720952:FKU720961 FAX720952:FAY720961 ERB720952:ERC720961 EHF720952:EHG720961 DXJ720952:DXK720961 DNN720952:DNO720961 DDR720952:DDS720961 CTV720952:CTW720961 CJZ720952:CKA720961 CAD720952:CAE720961 BQH720952:BQI720961 BGL720952:BGM720961 AWP720952:AWQ720961 AMT720952:AMU720961 ACX720952:ACY720961 TB720952:TC720961 JF720952:JG720961 WVR655416:WVS655425 WLV655416:WLW655425 WBZ655416:WCA655425 VSD655416:VSE655425 VIH655416:VII655425 UYL655416:UYM655425 UOP655416:UOQ655425 UET655416:UEU655425 TUX655416:TUY655425 TLB655416:TLC655425 TBF655416:TBG655425 SRJ655416:SRK655425 SHN655416:SHO655425 RXR655416:RXS655425 RNV655416:RNW655425 RDZ655416:REA655425 QUD655416:QUE655425 QKH655416:QKI655425 QAL655416:QAM655425 PQP655416:PQQ655425 PGT655416:PGU655425 OWX655416:OWY655425 ONB655416:ONC655425 ODF655416:ODG655425 NTJ655416:NTK655425 NJN655416:NJO655425 MZR655416:MZS655425 MPV655416:MPW655425 MFZ655416:MGA655425 LWD655416:LWE655425 LMH655416:LMI655425 LCL655416:LCM655425 KSP655416:KSQ655425 KIT655416:KIU655425 JYX655416:JYY655425 JPB655416:JPC655425 JFF655416:JFG655425 IVJ655416:IVK655425 ILN655416:ILO655425 IBR655416:IBS655425 HRV655416:HRW655425 HHZ655416:HIA655425 GYD655416:GYE655425 GOH655416:GOI655425 GEL655416:GEM655425 FUP655416:FUQ655425 FKT655416:FKU655425 FAX655416:FAY655425 ERB655416:ERC655425 EHF655416:EHG655425 DXJ655416:DXK655425 DNN655416:DNO655425 DDR655416:DDS655425 CTV655416:CTW655425 CJZ655416:CKA655425 CAD655416:CAE655425 BQH655416:BQI655425 BGL655416:BGM655425 AWP655416:AWQ655425 AMT655416:AMU655425 ACX655416:ACY655425 TB655416:TC655425 JF655416:JG655425 WVR589880:WVS589889 WLV589880:WLW589889 WBZ589880:WCA589889 VSD589880:VSE589889 VIH589880:VII589889 UYL589880:UYM589889 UOP589880:UOQ589889 UET589880:UEU589889 TUX589880:TUY589889 TLB589880:TLC589889 TBF589880:TBG589889 SRJ589880:SRK589889 SHN589880:SHO589889 RXR589880:RXS589889 RNV589880:RNW589889 RDZ589880:REA589889 QUD589880:QUE589889 QKH589880:QKI589889 QAL589880:QAM589889 PQP589880:PQQ589889 PGT589880:PGU589889 OWX589880:OWY589889 ONB589880:ONC589889 ODF589880:ODG589889 NTJ589880:NTK589889 NJN589880:NJO589889 MZR589880:MZS589889 MPV589880:MPW589889 MFZ589880:MGA589889 LWD589880:LWE589889 LMH589880:LMI589889 LCL589880:LCM589889 KSP589880:KSQ589889 KIT589880:KIU589889 JYX589880:JYY589889 JPB589880:JPC589889 JFF589880:JFG589889 IVJ589880:IVK589889 ILN589880:ILO589889 IBR589880:IBS589889 HRV589880:HRW589889 HHZ589880:HIA589889 GYD589880:GYE589889 GOH589880:GOI589889 GEL589880:GEM589889 FUP589880:FUQ589889 FKT589880:FKU589889 FAX589880:FAY589889 ERB589880:ERC589889 EHF589880:EHG589889 DXJ589880:DXK589889 DNN589880:DNO589889 DDR589880:DDS589889 CTV589880:CTW589889 CJZ589880:CKA589889 CAD589880:CAE589889 BQH589880:BQI589889 BGL589880:BGM589889 AWP589880:AWQ589889 AMT589880:AMU589889 ACX589880:ACY589889 TB589880:TC589889 JF589880:JG589889 WVR524344:WVS524353 WLV524344:WLW524353 WBZ524344:WCA524353 VSD524344:VSE524353 VIH524344:VII524353 UYL524344:UYM524353 UOP524344:UOQ524353 UET524344:UEU524353 TUX524344:TUY524353 TLB524344:TLC524353 TBF524344:TBG524353 SRJ524344:SRK524353 SHN524344:SHO524353 RXR524344:RXS524353 RNV524344:RNW524353 RDZ524344:REA524353 QUD524344:QUE524353 QKH524344:QKI524353 QAL524344:QAM524353 PQP524344:PQQ524353 PGT524344:PGU524353 OWX524344:OWY524353 ONB524344:ONC524353 ODF524344:ODG524353 NTJ524344:NTK524353 NJN524344:NJO524353 MZR524344:MZS524353 MPV524344:MPW524353 MFZ524344:MGA524353 LWD524344:LWE524353 LMH524344:LMI524353 LCL524344:LCM524353 KSP524344:KSQ524353 KIT524344:KIU524353 JYX524344:JYY524353 JPB524344:JPC524353 JFF524344:JFG524353 IVJ524344:IVK524353 ILN524344:ILO524353 IBR524344:IBS524353 HRV524344:HRW524353 HHZ524344:HIA524353 GYD524344:GYE524353 GOH524344:GOI524353 GEL524344:GEM524353 FUP524344:FUQ524353 FKT524344:FKU524353 FAX524344:FAY524353 ERB524344:ERC524353 EHF524344:EHG524353 DXJ524344:DXK524353 DNN524344:DNO524353 DDR524344:DDS524353 CTV524344:CTW524353 CJZ524344:CKA524353 CAD524344:CAE524353 BQH524344:BQI524353 BGL524344:BGM524353 AWP524344:AWQ524353 AMT524344:AMU524353 ACX524344:ACY524353 TB524344:TC524353 JF524344:JG524353 WVR458808:WVS458817 WLV458808:WLW458817 WBZ458808:WCA458817 VSD458808:VSE458817 VIH458808:VII458817 UYL458808:UYM458817 UOP458808:UOQ458817 UET458808:UEU458817 TUX458808:TUY458817 TLB458808:TLC458817 TBF458808:TBG458817 SRJ458808:SRK458817 SHN458808:SHO458817 RXR458808:RXS458817 RNV458808:RNW458817 RDZ458808:REA458817 QUD458808:QUE458817 QKH458808:QKI458817 QAL458808:QAM458817 PQP458808:PQQ458817 PGT458808:PGU458817 OWX458808:OWY458817 ONB458808:ONC458817 ODF458808:ODG458817 NTJ458808:NTK458817 NJN458808:NJO458817 MZR458808:MZS458817 MPV458808:MPW458817 MFZ458808:MGA458817 LWD458808:LWE458817 LMH458808:LMI458817 LCL458808:LCM458817 KSP458808:KSQ458817 KIT458808:KIU458817 JYX458808:JYY458817 JPB458808:JPC458817 JFF458808:JFG458817 IVJ458808:IVK458817 ILN458808:ILO458817 IBR458808:IBS458817 HRV458808:HRW458817 HHZ458808:HIA458817 GYD458808:GYE458817 GOH458808:GOI458817 GEL458808:GEM458817 FUP458808:FUQ458817 FKT458808:FKU458817 FAX458808:FAY458817 ERB458808:ERC458817 EHF458808:EHG458817 DXJ458808:DXK458817 DNN458808:DNO458817 DDR458808:DDS458817 CTV458808:CTW458817 CJZ458808:CKA458817 CAD458808:CAE458817 BQH458808:BQI458817 BGL458808:BGM458817 AWP458808:AWQ458817 AMT458808:AMU458817 ACX458808:ACY458817 TB458808:TC458817 JF458808:JG458817 WVR393272:WVS393281 WLV393272:WLW393281 WBZ393272:WCA393281 VSD393272:VSE393281 VIH393272:VII393281 UYL393272:UYM393281 UOP393272:UOQ393281 UET393272:UEU393281 TUX393272:TUY393281 TLB393272:TLC393281 TBF393272:TBG393281 SRJ393272:SRK393281 SHN393272:SHO393281 RXR393272:RXS393281 RNV393272:RNW393281 RDZ393272:REA393281 QUD393272:QUE393281 QKH393272:QKI393281 QAL393272:QAM393281 PQP393272:PQQ393281 PGT393272:PGU393281 OWX393272:OWY393281 ONB393272:ONC393281 ODF393272:ODG393281 NTJ393272:NTK393281 NJN393272:NJO393281 MZR393272:MZS393281 MPV393272:MPW393281 MFZ393272:MGA393281 LWD393272:LWE393281 LMH393272:LMI393281 LCL393272:LCM393281 KSP393272:KSQ393281 KIT393272:KIU393281 JYX393272:JYY393281 JPB393272:JPC393281 JFF393272:JFG393281 IVJ393272:IVK393281 ILN393272:ILO393281 IBR393272:IBS393281 HRV393272:HRW393281 HHZ393272:HIA393281 GYD393272:GYE393281 GOH393272:GOI393281 GEL393272:GEM393281 FUP393272:FUQ393281 FKT393272:FKU393281 FAX393272:FAY393281 ERB393272:ERC393281 EHF393272:EHG393281 DXJ393272:DXK393281 DNN393272:DNO393281 DDR393272:DDS393281 CTV393272:CTW393281 CJZ393272:CKA393281 CAD393272:CAE393281 BQH393272:BQI393281 BGL393272:BGM393281 AWP393272:AWQ393281 AMT393272:AMU393281 ACX393272:ACY393281 TB393272:TC393281 JF393272:JG393281 WVR327736:WVS327745 WLV327736:WLW327745 WBZ327736:WCA327745 VSD327736:VSE327745 VIH327736:VII327745 UYL327736:UYM327745 UOP327736:UOQ327745 UET327736:UEU327745 TUX327736:TUY327745 TLB327736:TLC327745 TBF327736:TBG327745 SRJ327736:SRK327745 SHN327736:SHO327745 RXR327736:RXS327745 RNV327736:RNW327745 RDZ327736:REA327745 QUD327736:QUE327745 QKH327736:QKI327745 QAL327736:QAM327745 PQP327736:PQQ327745 PGT327736:PGU327745 OWX327736:OWY327745 ONB327736:ONC327745 ODF327736:ODG327745 NTJ327736:NTK327745 NJN327736:NJO327745 MZR327736:MZS327745 MPV327736:MPW327745 MFZ327736:MGA327745 LWD327736:LWE327745 LMH327736:LMI327745 LCL327736:LCM327745 KSP327736:KSQ327745 KIT327736:KIU327745 JYX327736:JYY327745 JPB327736:JPC327745 JFF327736:JFG327745 IVJ327736:IVK327745 ILN327736:ILO327745 IBR327736:IBS327745 HRV327736:HRW327745 HHZ327736:HIA327745 GYD327736:GYE327745 GOH327736:GOI327745 GEL327736:GEM327745 FUP327736:FUQ327745 FKT327736:FKU327745 FAX327736:FAY327745 ERB327736:ERC327745 EHF327736:EHG327745 DXJ327736:DXK327745 DNN327736:DNO327745 DDR327736:DDS327745 CTV327736:CTW327745 CJZ327736:CKA327745 CAD327736:CAE327745 BQH327736:BQI327745 BGL327736:BGM327745 AWP327736:AWQ327745 AMT327736:AMU327745 ACX327736:ACY327745 TB327736:TC327745 JF327736:JG327745 WVR262200:WVS262209 WLV262200:WLW262209 WBZ262200:WCA262209 VSD262200:VSE262209 VIH262200:VII262209 UYL262200:UYM262209 UOP262200:UOQ262209 UET262200:UEU262209 TUX262200:TUY262209 TLB262200:TLC262209 TBF262200:TBG262209 SRJ262200:SRK262209 SHN262200:SHO262209 RXR262200:RXS262209 RNV262200:RNW262209 RDZ262200:REA262209 QUD262200:QUE262209 QKH262200:QKI262209 QAL262200:QAM262209 PQP262200:PQQ262209 PGT262200:PGU262209 OWX262200:OWY262209 ONB262200:ONC262209 ODF262200:ODG262209 NTJ262200:NTK262209 NJN262200:NJO262209 MZR262200:MZS262209 MPV262200:MPW262209 MFZ262200:MGA262209 LWD262200:LWE262209 LMH262200:LMI262209 LCL262200:LCM262209 KSP262200:KSQ262209 KIT262200:KIU262209 JYX262200:JYY262209 JPB262200:JPC262209 JFF262200:JFG262209 IVJ262200:IVK262209 ILN262200:ILO262209 IBR262200:IBS262209 HRV262200:HRW262209 HHZ262200:HIA262209 GYD262200:GYE262209 GOH262200:GOI262209 GEL262200:GEM262209 FUP262200:FUQ262209 FKT262200:FKU262209 FAX262200:FAY262209 ERB262200:ERC262209 EHF262200:EHG262209 DXJ262200:DXK262209 DNN262200:DNO262209 DDR262200:DDS262209 CTV262200:CTW262209 CJZ262200:CKA262209 CAD262200:CAE262209 BQH262200:BQI262209 BGL262200:BGM262209 AWP262200:AWQ262209 AMT262200:AMU262209 ACX262200:ACY262209 TB262200:TC262209 JF262200:JG262209 WVR196664:WVS196673 WLV196664:WLW196673 WBZ196664:WCA196673 VSD196664:VSE196673 VIH196664:VII196673 UYL196664:UYM196673 UOP196664:UOQ196673 UET196664:UEU196673 TUX196664:TUY196673 TLB196664:TLC196673 TBF196664:TBG196673 SRJ196664:SRK196673 SHN196664:SHO196673 RXR196664:RXS196673 RNV196664:RNW196673 RDZ196664:REA196673 QUD196664:QUE196673 QKH196664:QKI196673 QAL196664:QAM196673 PQP196664:PQQ196673 PGT196664:PGU196673 OWX196664:OWY196673 ONB196664:ONC196673 ODF196664:ODG196673 NTJ196664:NTK196673 NJN196664:NJO196673 MZR196664:MZS196673 MPV196664:MPW196673 MFZ196664:MGA196673 LWD196664:LWE196673 LMH196664:LMI196673 LCL196664:LCM196673 KSP196664:KSQ196673 KIT196664:KIU196673 JYX196664:JYY196673 JPB196664:JPC196673 JFF196664:JFG196673 IVJ196664:IVK196673 ILN196664:ILO196673 IBR196664:IBS196673 HRV196664:HRW196673 HHZ196664:HIA196673 GYD196664:GYE196673 GOH196664:GOI196673 GEL196664:GEM196673 FUP196664:FUQ196673 FKT196664:FKU196673 FAX196664:FAY196673 ERB196664:ERC196673 EHF196664:EHG196673 DXJ196664:DXK196673 DNN196664:DNO196673 DDR196664:DDS196673 CTV196664:CTW196673 CJZ196664:CKA196673 CAD196664:CAE196673 BQH196664:BQI196673 BGL196664:BGM196673 AWP196664:AWQ196673 AMT196664:AMU196673 ACX196664:ACY196673 TB196664:TC196673 JF196664:JG196673 WVR131128:WVS131137 WLV131128:WLW131137 WBZ131128:WCA131137 VSD131128:VSE131137 VIH131128:VII131137 UYL131128:UYM131137 UOP131128:UOQ131137 UET131128:UEU131137 TUX131128:TUY131137 TLB131128:TLC131137 TBF131128:TBG131137 SRJ131128:SRK131137 SHN131128:SHO131137 RXR131128:RXS131137 RNV131128:RNW131137 RDZ131128:REA131137 QUD131128:QUE131137 QKH131128:QKI131137 QAL131128:QAM131137 PQP131128:PQQ131137 PGT131128:PGU131137 OWX131128:OWY131137 ONB131128:ONC131137 ODF131128:ODG131137 NTJ131128:NTK131137 NJN131128:NJO131137 MZR131128:MZS131137 MPV131128:MPW131137 MFZ131128:MGA131137 LWD131128:LWE131137 LMH131128:LMI131137 LCL131128:LCM131137 KSP131128:KSQ131137 KIT131128:KIU131137 JYX131128:JYY131137 JPB131128:JPC131137 JFF131128:JFG131137 IVJ131128:IVK131137 ILN131128:ILO131137 IBR131128:IBS131137 HRV131128:HRW131137 HHZ131128:HIA131137 GYD131128:GYE131137 GOH131128:GOI131137 GEL131128:GEM131137 FUP131128:FUQ131137 FKT131128:FKU131137 FAX131128:FAY131137 ERB131128:ERC131137 EHF131128:EHG131137 DXJ131128:DXK131137 DNN131128:DNO131137 DDR131128:DDS131137 CTV131128:CTW131137 CJZ131128:CKA131137 CAD131128:CAE131137 BQH131128:BQI131137 BGL131128:BGM131137 AWP131128:AWQ131137 AMT131128:AMU131137 ACX131128:ACY131137 TB131128:TC131137 JF131128:JG131137 WVR65592:WVS65601 WLV65592:WLW65601 WBZ65592:WCA65601 VSD65592:VSE65601 VIH65592:VII65601 UYL65592:UYM65601 UOP65592:UOQ65601 UET65592:UEU65601 TUX65592:TUY65601 TLB65592:TLC65601 TBF65592:TBG65601 SRJ65592:SRK65601 SHN65592:SHO65601 RXR65592:RXS65601 RNV65592:RNW65601 RDZ65592:REA65601 QUD65592:QUE65601 QKH65592:QKI65601 QAL65592:QAM65601 PQP65592:PQQ65601 PGT65592:PGU65601 OWX65592:OWY65601 ONB65592:ONC65601 ODF65592:ODG65601 NTJ65592:NTK65601 NJN65592:NJO65601 MZR65592:MZS65601 MPV65592:MPW65601 MFZ65592:MGA65601 LWD65592:LWE65601 LMH65592:LMI65601 LCL65592:LCM65601 KSP65592:KSQ65601 KIT65592:KIU65601 JYX65592:JYY65601 JPB65592:JPC65601 JFF65592:JFG65601 IVJ65592:IVK65601 ILN65592:ILO65601 IBR65592:IBS65601 HRV65592:HRW65601 HHZ65592:HIA65601 GYD65592:GYE65601 GOH65592:GOI65601 GEL65592:GEM65601 FUP65592:FUQ65601 FKT65592:FKU65601 FAX65592:FAY65601 ERB65592:ERC65601 EHF65592:EHG65601 DXJ65592:DXK65601 DNN65592:DNO65601 DDR65592:DDS65601 CTV65592:CTW65601 CJZ65592:CKA65601 CAD65592:CAE65601 BQH65592:BQI65601 BGL65592:BGM65601 AWP65592:AWQ65601 AMT65592:AMU65601 ACX65592:ACY65601 TB65592:TC65601 JF65592:JG65601 WVP61:WVQ63 WVR59:WVS60 WVP54:WVQ58 WLT61:WLU63 WLV59:WLW60 WLT54:WLU58 WBX61:WBY63 WBZ59:WCA60 WBX54:WBY58 VSB61:VSC63 VSD59:VSE60 VSB54:VSC58 VIF61:VIG63 VIH59:VII60 VIF54:VIG58 UYJ61:UYK63 UYL59:UYM60 UYJ54:UYK58 UON61:UOO63 UOP59:UOQ60 UON54:UOO58 UER61:UES63 UET59:UEU60 UER54:UES58 TUV61:TUW63 TUX59:TUY60 TUV54:TUW58 TKZ61:TLA63 TLB59:TLC60 TKZ54:TLA58 TBD61:TBE63 TBF59:TBG60 TBD54:TBE58 SRH61:SRI63 SRJ59:SRK60 SRH54:SRI58 SHL61:SHM63 SHN59:SHO60 SHL54:SHM58 RXP61:RXQ63 RXR59:RXS60 RXP54:RXQ58 RNT61:RNU63 RNV59:RNW60 RNT54:RNU58 RDX61:RDY63 RDZ59:REA60 RDX54:RDY58 QUB61:QUC63 QUD59:QUE60 QUB54:QUC58 QKF61:QKG63 QKH59:QKI60 QKF54:QKG58 QAJ61:QAK63 QAL59:QAM60 QAJ54:QAK58 PQN61:PQO63 PQP59:PQQ60 PQN54:PQO58 PGR61:PGS63 PGT59:PGU60 PGR54:PGS58 OWV61:OWW63 OWX59:OWY60 OWV54:OWW58 OMZ61:ONA63 ONB59:ONC60 OMZ54:ONA58 ODD61:ODE63 ODF59:ODG60 ODD54:ODE58 NTH61:NTI63 NTJ59:NTK60 NTH54:NTI58 NJL61:NJM63 NJN59:NJO60 NJL54:NJM58 MZP61:MZQ63 MZR59:MZS60 MZP54:MZQ58 MPT61:MPU63 MPV59:MPW60 MPT54:MPU58 MFX61:MFY63 MFZ59:MGA60 MFX54:MFY58 LWB61:LWC63 LWD59:LWE60 LWB54:LWC58 LMF61:LMG63 LMH59:LMI60 LMF54:LMG58 LCJ61:LCK63 LCL59:LCM60 LCJ54:LCK58 KSN61:KSO63 KSP59:KSQ60 KSN54:KSO58 KIR61:KIS63 KIT59:KIU60 KIR54:KIS58 JYV61:JYW63 JYX59:JYY60 JYV54:JYW58 JOZ61:JPA63 JPB59:JPC60 JOZ54:JPA58 JFD61:JFE63 JFF59:JFG60 JFD54:JFE58 IVH61:IVI63 IVJ59:IVK60 IVH54:IVI58 ILL61:ILM63 ILN59:ILO60 ILL54:ILM58 IBP61:IBQ63 IBR59:IBS60 IBP54:IBQ58 HRT61:HRU63 HRV59:HRW60 HRT54:HRU58 HHX61:HHY63 HHZ59:HIA60 HHX54:HHY58 GYB61:GYC63 GYD59:GYE60 GYB54:GYC58 GOF61:GOG63 GOH59:GOI60 GOF54:GOG58 GEJ61:GEK63 GEL59:GEM60 GEJ54:GEK58 FUN61:FUO63 FUP59:FUQ60 FUN54:FUO58 FKR61:FKS63 FKT59:FKU60 FKR54:FKS58 FAV61:FAW63 FAX59:FAY60 FAV54:FAW58 EQZ61:ERA63 ERB59:ERC60 EQZ54:ERA58 EHD61:EHE63 EHF59:EHG60 EHD54:EHE58 DXH61:DXI63 DXJ59:DXK60 DXH54:DXI58 DNL61:DNM63 DNN59:DNO60 DNL54:DNM58 DDP61:DDQ63 DDR59:DDS60 DDP54:DDQ58 CTT61:CTU63 CTV59:CTW60 CTT54:CTU58 CJX61:CJY63 CJZ59:CKA60 CJX54:CJY58 CAB61:CAC63 CAD59:CAE60 CAB54:CAC58 BQF61:BQG63 BQH59:BQI60 BQF54:BQG58 BGJ61:BGK63 BGL59:BGM60 BGJ54:BGK58 AWN61:AWO63 AWP59:AWQ60 AWN54:AWO58 AMR61:AMS63 AMT59:AMU60 AMR54:AMS58 ACV61:ACW63 ACX59:ACY60 ACV54:ACW58 SZ61:TA63 TB59:TC60 SZ54:TA58 JD61:JE63 JF59:JG60 JD54:JE58 WVR983089:WVR983091 WLV983089:WLV983091 WBZ983089:WBZ983091 VSD983089:VSD983091 VIH983089:VIH983091 UYL983089:UYL983091 UOP983089:UOP983091 UET983089:UET983091 TUX983089:TUX983091 TLB983089:TLB983091 TBF983089:TBF983091 SRJ983089:SRJ983091 SHN983089:SHN983091 RXR983089:RXR983091 RNV983089:RNV983091 RDZ983089:RDZ983091 QUD983089:QUD983091 QKH983089:QKH983091 QAL983089:QAL983091 PQP983089:PQP983091 PGT983089:PGT983091 OWX983089:OWX983091 ONB983089:ONB983091 ODF983089:ODF983091 NTJ983089:NTJ983091 NJN983089:NJN983091 MZR983089:MZR983091 MPV983089:MPV983091 MFZ983089:MFZ983091 LWD983089:LWD983091 LMH983089:LMH983091 LCL983089:LCL983091 KSP983089:KSP983091 KIT983089:KIT983091 JYX983089:JYX983091 JPB983089:JPB983091 JFF983089:JFF983091 IVJ983089:IVJ983091 ILN983089:ILN983091 IBR983089:IBR983091 HRV983089:HRV983091 HHZ983089:HHZ983091 GYD983089:GYD983091 GOH983089:GOH983091 GEL983089:GEL983091 FUP983089:FUP983091 FKT983089:FKT983091 FAX983089:FAX983091 ERB983089:ERB983091 EHF983089:EHF983091 DXJ983089:DXJ983091 DNN983089:DNN983091 DDR983089:DDR983091 CTV983089:CTV983091 CJZ983089:CJZ983091 CAD983089:CAD983091 BQH983089:BQH983091 BGL983089:BGL983091 AWP983089:AWP983091 AMT983089:AMT983091 ACX983089:ACX983091 TB983089:TB983091 JF983089:JF983091 WVR917553:WVR917555 WLV917553:WLV917555 WBZ917553:WBZ917555 VSD917553:VSD917555 VIH917553:VIH917555 UYL917553:UYL917555 UOP917553:UOP917555 UET917553:UET917555 TUX917553:TUX917555 TLB917553:TLB917555 TBF917553:TBF917555 SRJ917553:SRJ917555 SHN917553:SHN917555 RXR917553:RXR917555 RNV917553:RNV917555 RDZ917553:RDZ917555 QUD917553:QUD917555 QKH917553:QKH917555 QAL917553:QAL917555 PQP917553:PQP917555 PGT917553:PGT917555 OWX917553:OWX917555 ONB917553:ONB917555 ODF917553:ODF917555 NTJ917553:NTJ917555 NJN917553:NJN917555 MZR917553:MZR917555 MPV917553:MPV917555 MFZ917553:MFZ917555 LWD917553:LWD917555 LMH917553:LMH917555 LCL917553:LCL917555 KSP917553:KSP917555 KIT917553:KIT917555 JYX917553:JYX917555 JPB917553:JPB917555 JFF917553:JFF917555 IVJ917553:IVJ917555 ILN917553:ILN917555 IBR917553:IBR917555 HRV917553:HRV917555 HHZ917553:HHZ917555 GYD917553:GYD917555 GOH917553:GOH917555 GEL917553:GEL917555 FUP917553:FUP917555 FKT917553:FKT917555 FAX917553:FAX917555 ERB917553:ERB917555 EHF917553:EHF917555 DXJ917553:DXJ917555 DNN917553:DNN917555 DDR917553:DDR917555 CTV917553:CTV917555 CJZ917553:CJZ917555 CAD917553:CAD917555 BQH917553:BQH917555 BGL917553:BGL917555 AWP917553:AWP917555 AMT917553:AMT917555 ACX917553:ACX917555 TB917553:TB917555 JF917553:JF917555 WVR852017:WVR852019 WLV852017:WLV852019 WBZ852017:WBZ852019 VSD852017:VSD852019 VIH852017:VIH852019 UYL852017:UYL852019 UOP852017:UOP852019 UET852017:UET852019 TUX852017:TUX852019 TLB852017:TLB852019 TBF852017:TBF852019 SRJ852017:SRJ852019 SHN852017:SHN852019 RXR852017:RXR852019 RNV852017:RNV852019 RDZ852017:RDZ852019 QUD852017:QUD852019 QKH852017:QKH852019 QAL852017:QAL852019 PQP852017:PQP852019 PGT852017:PGT852019 OWX852017:OWX852019 ONB852017:ONB852019 ODF852017:ODF852019 NTJ852017:NTJ852019 NJN852017:NJN852019 MZR852017:MZR852019 MPV852017:MPV852019 MFZ852017:MFZ852019 LWD852017:LWD852019 LMH852017:LMH852019 LCL852017:LCL852019 KSP852017:KSP852019 KIT852017:KIT852019 JYX852017:JYX852019 JPB852017:JPB852019 JFF852017:JFF852019 IVJ852017:IVJ852019 ILN852017:ILN852019 IBR852017:IBR852019 HRV852017:HRV852019 HHZ852017:HHZ852019 GYD852017:GYD852019 GOH852017:GOH852019 GEL852017:GEL852019 FUP852017:FUP852019 FKT852017:FKT852019 FAX852017:FAX852019 ERB852017:ERB852019 EHF852017:EHF852019 DXJ852017:DXJ852019 DNN852017:DNN852019 DDR852017:DDR852019 CTV852017:CTV852019 CJZ852017:CJZ852019 CAD852017:CAD852019 BQH852017:BQH852019 BGL852017:BGL852019 AWP852017:AWP852019 AMT852017:AMT852019 ACX852017:ACX852019 TB852017:TB852019 JF852017:JF852019 WVR786481:WVR786483 WLV786481:WLV786483 WBZ786481:WBZ786483 VSD786481:VSD786483 VIH786481:VIH786483 UYL786481:UYL786483 UOP786481:UOP786483 UET786481:UET786483 TUX786481:TUX786483 TLB786481:TLB786483 TBF786481:TBF786483 SRJ786481:SRJ786483 SHN786481:SHN786483 RXR786481:RXR786483 RNV786481:RNV786483 RDZ786481:RDZ786483 QUD786481:QUD786483 QKH786481:QKH786483 QAL786481:QAL786483 PQP786481:PQP786483 PGT786481:PGT786483 OWX786481:OWX786483 ONB786481:ONB786483 ODF786481:ODF786483 NTJ786481:NTJ786483 NJN786481:NJN786483 MZR786481:MZR786483 MPV786481:MPV786483 MFZ786481:MFZ786483 LWD786481:LWD786483 LMH786481:LMH786483 LCL786481:LCL786483 KSP786481:KSP786483 KIT786481:KIT786483 JYX786481:JYX786483 JPB786481:JPB786483 JFF786481:JFF786483 IVJ786481:IVJ786483 ILN786481:ILN786483 IBR786481:IBR786483 HRV786481:HRV786483 HHZ786481:HHZ786483 GYD786481:GYD786483 GOH786481:GOH786483 GEL786481:GEL786483 FUP786481:FUP786483 FKT786481:FKT786483 FAX786481:FAX786483 ERB786481:ERB786483 EHF786481:EHF786483 DXJ786481:DXJ786483 DNN786481:DNN786483 DDR786481:DDR786483 CTV786481:CTV786483 CJZ786481:CJZ786483 CAD786481:CAD786483 BQH786481:BQH786483 BGL786481:BGL786483 AWP786481:AWP786483 AMT786481:AMT786483 ACX786481:ACX786483 TB786481:TB786483 JF786481:JF786483 WVR720945:WVR720947 WLV720945:WLV720947 WBZ720945:WBZ720947 VSD720945:VSD720947 VIH720945:VIH720947 UYL720945:UYL720947 UOP720945:UOP720947 UET720945:UET720947 TUX720945:TUX720947 TLB720945:TLB720947 TBF720945:TBF720947 SRJ720945:SRJ720947 SHN720945:SHN720947 RXR720945:RXR720947 RNV720945:RNV720947 RDZ720945:RDZ720947 QUD720945:QUD720947 QKH720945:QKH720947 QAL720945:QAL720947 PQP720945:PQP720947 PGT720945:PGT720947 OWX720945:OWX720947 ONB720945:ONB720947 ODF720945:ODF720947 NTJ720945:NTJ720947 NJN720945:NJN720947 MZR720945:MZR720947 MPV720945:MPV720947 MFZ720945:MFZ720947 LWD720945:LWD720947 LMH720945:LMH720947 LCL720945:LCL720947 KSP720945:KSP720947 KIT720945:KIT720947 JYX720945:JYX720947 JPB720945:JPB720947 JFF720945:JFF720947 IVJ720945:IVJ720947 ILN720945:ILN720947 IBR720945:IBR720947 HRV720945:HRV720947 HHZ720945:HHZ720947 GYD720945:GYD720947 GOH720945:GOH720947 GEL720945:GEL720947 FUP720945:FUP720947 FKT720945:FKT720947 FAX720945:FAX720947 ERB720945:ERB720947 EHF720945:EHF720947 DXJ720945:DXJ720947 DNN720945:DNN720947 DDR720945:DDR720947 CTV720945:CTV720947 CJZ720945:CJZ720947 CAD720945:CAD720947 BQH720945:BQH720947 BGL720945:BGL720947 AWP720945:AWP720947 AMT720945:AMT720947 ACX720945:ACX720947 TB720945:TB720947 JF720945:JF720947 WVR655409:WVR655411 WLV655409:WLV655411 WBZ655409:WBZ655411 VSD655409:VSD655411 VIH655409:VIH655411 UYL655409:UYL655411 UOP655409:UOP655411 UET655409:UET655411 TUX655409:TUX655411 TLB655409:TLB655411 TBF655409:TBF655411 SRJ655409:SRJ655411 SHN655409:SHN655411 RXR655409:RXR655411 RNV655409:RNV655411 RDZ655409:RDZ655411 QUD655409:QUD655411 QKH655409:QKH655411 QAL655409:QAL655411 PQP655409:PQP655411 PGT655409:PGT655411 OWX655409:OWX655411 ONB655409:ONB655411 ODF655409:ODF655411 NTJ655409:NTJ655411 NJN655409:NJN655411 MZR655409:MZR655411 MPV655409:MPV655411 MFZ655409:MFZ655411 LWD655409:LWD655411 LMH655409:LMH655411 LCL655409:LCL655411 KSP655409:KSP655411 KIT655409:KIT655411 JYX655409:JYX655411 JPB655409:JPB655411 JFF655409:JFF655411 IVJ655409:IVJ655411 ILN655409:ILN655411 IBR655409:IBR655411 HRV655409:HRV655411 HHZ655409:HHZ655411 GYD655409:GYD655411 GOH655409:GOH655411 GEL655409:GEL655411 FUP655409:FUP655411 FKT655409:FKT655411 FAX655409:FAX655411 ERB655409:ERB655411 EHF655409:EHF655411 DXJ655409:DXJ655411 DNN655409:DNN655411 DDR655409:DDR655411 CTV655409:CTV655411 CJZ655409:CJZ655411 CAD655409:CAD655411 BQH655409:BQH655411 BGL655409:BGL655411 AWP655409:AWP655411 AMT655409:AMT655411 ACX655409:ACX655411 TB655409:TB655411 JF655409:JF655411 WVR589873:WVR589875 WLV589873:WLV589875 WBZ589873:WBZ589875 VSD589873:VSD589875 VIH589873:VIH589875 UYL589873:UYL589875 UOP589873:UOP589875 UET589873:UET589875 TUX589873:TUX589875 TLB589873:TLB589875 TBF589873:TBF589875 SRJ589873:SRJ589875 SHN589873:SHN589875 RXR589873:RXR589875 RNV589873:RNV589875 RDZ589873:RDZ589875 QUD589873:QUD589875 QKH589873:QKH589875 QAL589873:QAL589875 PQP589873:PQP589875 PGT589873:PGT589875 OWX589873:OWX589875 ONB589873:ONB589875 ODF589873:ODF589875 NTJ589873:NTJ589875 NJN589873:NJN589875 MZR589873:MZR589875 MPV589873:MPV589875 MFZ589873:MFZ589875 LWD589873:LWD589875 LMH589873:LMH589875 LCL589873:LCL589875 KSP589873:KSP589875 KIT589873:KIT589875 JYX589873:JYX589875 JPB589873:JPB589875 JFF589873:JFF589875 IVJ589873:IVJ589875 ILN589873:ILN589875 IBR589873:IBR589875 HRV589873:HRV589875 HHZ589873:HHZ589875 GYD589873:GYD589875 GOH589873:GOH589875 GEL589873:GEL589875 FUP589873:FUP589875 FKT589873:FKT589875 FAX589873:FAX589875 ERB589873:ERB589875 EHF589873:EHF589875 DXJ589873:DXJ589875 DNN589873:DNN589875 DDR589873:DDR589875 CTV589873:CTV589875 CJZ589873:CJZ589875 CAD589873:CAD589875 BQH589873:BQH589875 BGL589873:BGL589875 AWP589873:AWP589875 AMT589873:AMT589875 ACX589873:ACX589875 TB589873:TB589875 JF589873:JF589875 WVR524337:WVR524339 WLV524337:WLV524339 WBZ524337:WBZ524339 VSD524337:VSD524339 VIH524337:VIH524339 UYL524337:UYL524339 UOP524337:UOP524339 UET524337:UET524339 TUX524337:TUX524339 TLB524337:TLB524339 TBF524337:TBF524339 SRJ524337:SRJ524339 SHN524337:SHN524339 RXR524337:RXR524339 RNV524337:RNV524339 RDZ524337:RDZ524339 QUD524337:QUD524339 QKH524337:QKH524339 QAL524337:QAL524339 PQP524337:PQP524339 PGT524337:PGT524339 OWX524337:OWX524339 ONB524337:ONB524339 ODF524337:ODF524339 NTJ524337:NTJ524339 NJN524337:NJN524339 MZR524337:MZR524339 MPV524337:MPV524339 MFZ524337:MFZ524339 LWD524337:LWD524339 LMH524337:LMH524339 LCL524337:LCL524339 KSP524337:KSP524339 KIT524337:KIT524339 JYX524337:JYX524339 JPB524337:JPB524339 JFF524337:JFF524339 IVJ524337:IVJ524339 ILN524337:ILN524339 IBR524337:IBR524339 HRV524337:HRV524339 HHZ524337:HHZ524339 GYD524337:GYD524339 GOH524337:GOH524339 GEL524337:GEL524339 FUP524337:FUP524339 FKT524337:FKT524339 FAX524337:FAX524339 ERB524337:ERB524339 EHF524337:EHF524339 DXJ524337:DXJ524339 DNN524337:DNN524339 DDR524337:DDR524339 CTV524337:CTV524339 CJZ524337:CJZ524339 CAD524337:CAD524339 BQH524337:BQH524339 BGL524337:BGL524339 AWP524337:AWP524339 AMT524337:AMT524339 ACX524337:ACX524339 TB524337:TB524339 JF524337:JF524339 WVR458801:WVR458803 WLV458801:WLV458803 WBZ458801:WBZ458803 VSD458801:VSD458803 VIH458801:VIH458803 UYL458801:UYL458803 UOP458801:UOP458803 UET458801:UET458803 TUX458801:TUX458803 TLB458801:TLB458803 TBF458801:TBF458803 SRJ458801:SRJ458803 SHN458801:SHN458803 RXR458801:RXR458803 RNV458801:RNV458803 RDZ458801:RDZ458803 QUD458801:QUD458803 QKH458801:QKH458803 QAL458801:QAL458803 PQP458801:PQP458803 PGT458801:PGT458803 OWX458801:OWX458803 ONB458801:ONB458803 ODF458801:ODF458803 NTJ458801:NTJ458803 NJN458801:NJN458803 MZR458801:MZR458803 MPV458801:MPV458803 MFZ458801:MFZ458803 LWD458801:LWD458803 LMH458801:LMH458803 LCL458801:LCL458803 KSP458801:KSP458803 KIT458801:KIT458803 JYX458801:JYX458803 JPB458801:JPB458803 JFF458801:JFF458803 IVJ458801:IVJ458803 ILN458801:ILN458803 IBR458801:IBR458803 HRV458801:HRV458803 HHZ458801:HHZ458803 GYD458801:GYD458803 GOH458801:GOH458803 GEL458801:GEL458803 FUP458801:FUP458803 FKT458801:FKT458803 FAX458801:FAX458803 ERB458801:ERB458803 EHF458801:EHF458803 DXJ458801:DXJ458803 DNN458801:DNN458803 DDR458801:DDR458803 CTV458801:CTV458803 CJZ458801:CJZ458803 CAD458801:CAD458803 BQH458801:BQH458803 BGL458801:BGL458803 AWP458801:AWP458803 AMT458801:AMT458803 ACX458801:ACX458803 TB458801:TB458803 JF458801:JF458803 WVR393265:WVR393267 WLV393265:WLV393267 WBZ393265:WBZ393267 VSD393265:VSD393267 VIH393265:VIH393267 UYL393265:UYL393267 UOP393265:UOP393267 UET393265:UET393267 TUX393265:TUX393267 TLB393265:TLB393267 TBF393265:TBF393267 SRJ393265:SRJ393267 SHN393265:SHN393267 RXR393265:RXR393267 RNV393265:RNV393267 RDZ393265:RDZ393267 QUD393265:QUD393267 QKH393265:QKH393267 QAL393265:QAL393267 PQP393265:PQP393267 PGT393265:PGT393267 OWX393265:OWX393267 ONB393265:ONB393267 ODF393265:ODF393267 NTJ393265:NTJ393267 NJN393265:NJN393267 MZR393265:MZR393267 MPV393265:MPV393267 MFZ393265:MFZ393267 LWD393265:LWD393267 LMH393265:LMH393267 LCL393265:LCL393267 KSP393265:KSP393267 KIT393265:KIT393267 JYX393265:JYX393267 JPB393265:JPB393267 JFF393265:JFF393267 IVJ393265:IVJ393267 ILN393265:ILN393267 IBR393265:IBR393267 HRV393265:HRV393267 HHZ393265:HHZ393267 GYD393265:GYD393267 GOH393265:GOH393267 GEL393265:GEL393267 FUP393265:FUP393267 FKT393265:FKT393267 FAX393265:FAX393267 ERB393265:ERB393267 EHF393265:EHF393267 DXJ393265:DXJ393267 DNN393265:DNN393267 DDR393265:DDR393267 CTV393265:CTV393267 CJZ393265:CJZ393267 CAD393265:CAD393267 BQH393265:BQH393267 BGL393265:BGL393267 AWP393265:AWP393267 AMT393265:AMT393267 ACX393265:ACX393267 TB393265:TB393267 JF393265:JF393267 WVR327729:WVR327731 WLV327729:WLV327731 WBZ327729:WBZ327731 VSD327729:VSD327731 VIH327729:VIH327731 UYL327729:UYL327731 UOP327729:UOP327731 UET327729:UET327731 TUX327729:TUX327731 TLB327729:TLB327731 TBF327729:TBF327731 SRJ327729:SRJ327731 SHN327729:SHN327731 RXR327729:RXR327731 RNV327729:RNV327731 RDZ327729:RDZ327731 QUD327729:QUD327731 QKH327729:QKH327731 QAL327729:QAL327731 PQP327729:PQP327731 PGT327729:PGT327731 OWX327729:OWX327731 ONB327729:ONB327731 ODF327729:ODF327731 NTJ327729:NTJ327731 NJN327729:NJN327731 MZR327729:MZR327731 MPV327729:MPV327731 MFZ327729:MFZ327731 LWD327729:LWD327731 LMH327729:LMH327731 LCL327729:LCL327731 KSP327729:KSP327731 KIT327729:KIT327731 JYX327729:JYX327731 JPB327729:JPB327731 JFF327729:JFF327731 IVJ327729:IVJ327731 ILN327729:ILN327731 IBR327729:IBR327731 HRV327729:HRV327731 HHZ327729:HHZ327731 GYD327729:GYD327731 GOH327729:GOH327731 GEL327729:GEL327731 FUP327729:FUP327731 FKT327729:FKT327731 FAX327729:FAX327731 ERB327729:ERB327731 EHF327729:EHF327731 DXJ327729:DXJ327731 DNN327729:DNN327731 DDR327729:DDR327731 CTV327729:CTV327731 CJZ327729:CJZ327731 CAD327729:CAD327731 BQH327729:BQH327731 BGL327729:BGL327731 AWP327729:AWP327731 AMT327729:AMT327731 ACX327729:ACX327731 TB327729:TB327731 JF327729:JF327731 WVR262193:WVR262195 WLV262193:WLV262195 WBZ262193:WBZ262195 VSD262193:VSD262195 VIH262193:VIH262195 UYL262193:UYL262195 UOP262193:UOP262195 UET262193:UET262195 TUX262193:TUX262195 TLB262193:TLB262195 TBF262193:TBF262195 SRJ262193:SRJ262195 SHN262193:SHN262195 RXR262193:RXR262195 RNV262193:RNV262195 RDZ262193:RDZ262195 QUD262193:QUD262195 QKH262193:QKH262195 QAL262193:QAL262195 PQP262193:PQP262195 PGT262193:PGT262195 OWX262193:OWX262195 ONB262193:ONB262195 ODF262193:ODF262195 NTJ262193:NTJ262195 NJN262193:NJN262195 MZR262193:MZR262195 MPV262193:MPV262195 MFZ262193:MFZ262195 LWD262193:LWD262195 LMH262193:LMH262195 LCL262193:LCL262195 KSP262193:KSP262195 KIT262193:KIT262195 JYX262193:JYX262195 JPB262193:JPB262195 JFF262193:JFF262195 IVJ262193:IVJ262195 ILN262193:ILN262195 IBR262193:IBR262195 HRV262193:HRV262195 HHZ262193:HHZ262195 GYD262193:GYD262195 GOH262193:GOH262195 GEL262193:GEL262195 FUP262193:FUP262195 FKT262193:FKT262195 FAX262193:FAX262195 ERB262193:ERB262195 EHF262193:EHF262195 DXJ262193:DXJ262195 DNN262193:DNN262195 DDR262193:DDR262195 CTV262193:CTV262195 CJZ262193:CJZ262195 CAD262193:CAD262195 BQH262193:BQH262195 BGL262193:BGL262195 AWP262193:AWP262195 AMT262193:AMT262195 ACX262193:ACX262195 TB262193:TB262195 JF262193:JF262195 WVR196657:WVR196659 WLV196657:WLV196659 WBZ196657:WBZ196659 VSD196657:VSD196659 VIH196657:VIH196659 UYL196657:UYL196659 UOP196657:UOP196659 UET196657:UET196659 TUX196657:TUX196659 TLB196657:TLB196659 TBF196657:TBF196659 SRJ196657:SRJ196659 SHN196657:SHN196659 RXR196657:RXR196659 RNV196657:RNV196659 RDZ196657:RDZ196659 QUD196657:QUD196659 QKH196657:QKH196659 QAL196657:QAL196659 PQP196657:PQP196659 PGT196657:PGT196659 OWX196657:OWX196659 ONB196657:ONB196659 ODF196657:ODF196659 NTJ196657:NTJ196659 NJN196657:NJN196659 MZR196657:MZR196659 MPV196657:MPV196659 MFZ196657:MFZ196659 LWD196657:LWD196659 LMH196657:LMH196659 LCL196657:LCL196659 KSP196657:KSP196659 KIT196657:KIT196659 JYX196657:JYX196659 JPB196657:JPB196659 JFF196657:JFF196659 IVJ196657:IVJ196659 ILN196657:ILN196659 IBR196657:IBR196659 HRV196657:HRV196659 HHZ196657:HHZ196659 GYD196657:GYD196659 GOH196657:GOH196659 GEL196657:GEL196659 FUP196657:FUP196659 FKT196657:FKT196659 FAX196657:FAX196659 ERB196657:ERB196659 EHF196657:EHF196659 DXJ196657:DXJ196659 DNN196657:DNN196659 DDR196657:DDR196659 CTV196657:CTV196659 CJZ196657:CJZ196659 CAD196657:CAD196659 BQH196657:BQH196659 BGL196657:BGL196659 AWP196657:AWP196659 AMT196657:AMT196659 ACX196657:ACX196659 TB196657:TB196659 JF196657:JF196659 WVR131121:WVR131123 WLV131121:WLV131123 WBZ131121:WBZ131123 VSD131121:VSD131123 VIH131121:VIH131123 UYL131121:UYL131123 UOP131121:UOP131123 UET131121:UET131123 TUX131121:TUX131123 TLB131121:TLB131123 TBF131121:TBF131123 SRJ131121:SRJ131123 SHN131121:SHN131123 RXR131121:RXR131123 RNV131121:RNV131123 RDZ131121:RDZ131123 QUD131121:QUD131123 QKH131121:QKH131123 QAL131121:QAL131123 PQP131121:PQP131123 PGT131121:PGT131123 OWX131121:OWX131123 ONB131121:ONB131123 ODF131121:ODF131123 NTJ131121:NTJ131123 NJN131121:NJN131123 MZR131121:MZR131123 MPV131121:MPV131123 MFZ131121:MFZ131123 LWD131121:LWD131123 LMH131121:LMH131123 LCL131121:LCL131123 KSP131121:KSP131123 KIT131121:KIT131123 JYX131121:JYX131123 JPB131121:JPB131123 JFF131121:JFF131123 IVJ131121:IVJ131123 ILN131121:ILN131123 IBR131121:IBR131123 HRV131121:HRV131123 HHZ131121:HHZ131123 GYD131121:GYD131123 GOH131121:GOH131123 GEL131121:GEL131123 FUP131121:FUP131123 FKT131121:FKT131123 FAX131121:FAX131123 ERB131121:ERB131123 EHF131121:EHF131123 DXJ131121:DXJ131123 DNN131121:DNN131123 DDR131121:DDR131123 CTV131121:CTV131123 CJZ131121:CJZ131123 CAD131121:CAD131123 BQH131121:BQH131123 BGL131121:BGL131123 AWP131121:AWP131123 AMT131121:AMT131123 ACX131121:ACX131123 TB131121:TB131123 JF131121:JF131123 WVR65585:WVR65587 WLV65585:WLV65587 WBZ65585:WBZ65587 VSD65585:VSD65587 VIH65585:VIH65587 UYL65585:UYL65587 UOP65585:UOP65587 UET65585:UET65587 TUX65585:TUX65587 TLB65585:TLB65587 TBF65585:TBF65587 SRJ65585:SRJ65587 SHN65585:SHN65587 RXR65585:RXR65587 RNV65585:RNV65587 RDZ65585:RDZ65587 QUD65585:QUD65587 QKH65585:QKH65587 QAL65585:QAL65587 PQP65585:PQP65587 PGT65585:PGT65587 OWX65585:OWX65587 ONB65585:ONB65587 ODF65585:ODF65587 NTJ65585:NTJ65587 NJN65585:NJN65587 MZR65585:MZR65587 MPV65585:MPV65587 MFZ65585:MFZ65587 LWD65585:LWD65587 LMH65585:LMH65587 LCL65585:LCL65587 KSP65585:KSP65587 KIT65585:KIT65587 JYX65585:JYX65587 JPB65585:JPB65587 JFF65585:JFF65587 IVJ65585:IVJ65587 ILN65585:ILN65587 IBR65585:IBR65587 HRV65585:HRV65587 HHZ65585:HHZ65587 GYD65585:GYD65587 GOH65585:GOH65587 GEL65585:GEL65587 FUP65585:FUP65587 FKT65585:FKT65587 FAX65585:FAX65587 ERB65585:ERB65587 EHF65585:EHF65587 DXJ65585:DXJ65587 DNN65585:DNN65587 DDR65585:DDR65587 CTV65585:CTV65587 CJZ65585:CJZ65587 CAD65585:CAD65587 BQH65585:BQH65587 BGL65585:BGL65587 AWP65585:AWP65587 AMT65585:AMT65587 ACX65585:ACX65587 TB65585:TB65587 JF65585:JF65587 WVR47 WVP48:WVP49 WLV47 WLT48:WLT49 WBZ47 WBX48:WBX49 VSD47 VSB48:VSB49 VIH47 VIF48:VIF49 UYL47 UYJ48:UYJ49 UOP47 UON48:UON49 UET47 UER48:UER49 TUX47 TUV48:TUV49 TLB47 TKZ48:TKZ49 TBF47 TBD48:TBD49 SRJ47 SRH48:SRH49 SHN47 SHL48:SHL49 RXR47 RXP48:RXP49 RNV47 RNT48:RNT49 RDZ47 RDX48:RDX49 QUD47 QUB48:QUB49 QKH47 QKF48:QKF49 QAL47 QAJ48:QAJ49 PQP47 PQN48:PQN49 PGT47 PGR48:PGR49 OWX47 OWV48:OWV49 ONB47 OMZ48:OMZ49 ODF47 ODD48:ODD49 NTJ47 NTH48:NTH49 NJN47 NJL48:NJL49 MZR47 MZP48:MZP49 MPV47 MPT48:MPT49 MFZ47 MFX48:MFX49 LWD47 LWB48:LWB49 LMH47 LMF48:LMF49 LCL47 LCJ48:LCJ49 KSP47 KSN48:KSN49 KIT47 KIR48:KIR49 JYX47 JYV48:JYV49 JPB47 JOZ48:JOZ49 JFF47 JFD48:JFD49 IVJ47 IVH48:IVH49 ILN47 ILL48:ILL49 IBR47 IBP48:IBP49 HRV47 HRT48:HRT49 HHZ47 HHX48:HHX49 GYD47 GYB48:GYB49 GOH47 GOF48:GOF49 GEL47 GEJ48:GEJ49 FUP47 FUN48:FUN49 FKT47 FKR48:FKR49 FAX47 FAV48:FAV49 ERB47 EQZ48:EQZ49 EHF47 EHD48:EHD49 DXJ47 DXH48:DXH49 DNN47 DNL48:DNL49 DDR47 DDP48:DDP49 CTV47 CTT48:CTT49 CJZ47 CJX48:CJX49 CAD47 CAB48:CAB49 BQH47 BQF48:BQF49 BGL47 BGJ48:BGJ49 AWP47 AWN48:AWN49 AMT47 AMR48:AMR49 ACX47 ACV48:ACV49 TB47 SZ48:SZ49 JF47 JD48:JD49 WVR983152:WVR983154 WLV983152:WLV983154 WBZ983152:WBZ983154 VSD983152:VSD983154 VIH983152:VIH983154 UYL983152:UYL983154 UOP983152:UOP983154 UET983152:UET983154 TUX983152:TUX983154 TLB983152:TLB983154 TBF983152:TBF983154 SRJ983152:SRJ983154 SHN983152:SHN983154 RXR983152:RXR983154 RNV983152:RNV983154 RDZ983152:RDZ983154 QUD983152:QUD983154 QKH983152:QKH983154 QAL983152:QAL983154 PQP983152:PQP983154 PGT983152:PGT983154 OWX983152:OWX983154 ONB983152:ONB983154 ODF983152:ODF983154 NTJ983152:NTJ983154 NJN983152:NJN983154 MZR983152:MZR983154 MPV983152:MPV983154 MFZ983152:MFZ983154 LWD983152:LWD983154 LMH983152:LMH983154 LCL983152:LCL983154 KSP983152:KSP983154 KIT983152:KIT983154 JYX983152:JYX983154 JPB983152:JPB983154 JFF983152:JFF983154 IVJ983152:IVJ983154 ILN983152:ILN983154 IBR983152:IBR983154 HRV983152:HRV983154 HHZ983152:HHZ983154 GYD983152:GYD983154 GOH983152:GOH983154 GEL983152:GEL983154 FUP983152:FUP983154 FKT983152:FKT983154 FAX983152:FAX983154 ERB983152:ERB983154 EHF983152:EHF983154 DXJ983152:DXJ983154 DNN983152:DNN983154 DDR983152:DDR983154 CTV983152:CTV983154 CJZ983152:CJZ983154 CAD983152:CAD983154 BQH983152:BQH983154 BGL983152:BGL983154 AWP983152:AWP983154 AMT983152:AMT983154 ACX983152:ACX983154 TB983152:TB983154 JF983152:JF983154 WVR917616:WVR917618 WLV917616:WLV917618 WBZ917616:WBZ917618 VSD917616:VSD917618 VIH917616:VIH917618 UYL917616:UYL917618 UOP917616:UOP917618 UET917616:UET917618 TUX917616:TUX917618 TLB917616:TLB917618 TBF917616:TBF917618 SRJ917616:SRJ917618 SHN917616:SHN917618 RXR917616:RXR917618 RNV917616:RNV917618 RDZ917616:RDZ917618 QUD917616:QUD917618 QKH917616:QKH917618 QAL917616:QAL917618 PQP917616:PQP917618 PGT917616:PGT917618 OWX917616:OWX917618 ONB917616:ONB917618 ODF917616:ODF917618 NTJ917616:NTJ917618 NJN917616:NJN917618 MZR917616:MZR917618 MPV917616:MPV917618 MFZ917616:MFZ917618 LWD917616:LWD917618 LMH917616:LMH917618 LCL917616:LCL917618 KSP917616:KSP917618 KIT917616:KIT917618 JYX917616:JYX917618 JPB917616:JPB917618 JFF917616:JFF917618 IVJ917616:IVJ917618 ILN917616:ILN917618 IBR917616:IBR917618 HRV917616:HRV917618 HHZ917616:HHZ917618 GYD917616:GYD917618 GOH917616:GOH917618 GEL917616:GEL917618 FUP917616:FUP917618 FKT917616:FKT917618 FAX917616:FAX917618 ERB917616:ERB917618 EHF917616:EHF917618 DXJ917616:DXJ917618 DNN917616:DNN917618 DDR917616:DDR917618 CTV917616:CTV917618 CJZ917616:CJZ917618 CAD917616:CAD917618 BQH917616:BQH917618 BGL917616:BGL917618 AWP917616:AWP917618 AMT917616:AMT917618 ACX917616:ACX917618 TB917616:TB917618 JF917616:JF917618 WVR852080:WVR852082 WLV852080:WLV852082 WBZ852080:WBZ852082 VSD852080:VSD852082 VIH852080:VIH852082 UYL852080:UYL852082 UOP852080:UOP852082 UET852080:UET852082 TUX852080:TUX852082 TLB852080:TLB852082 TBF852080:TBF852082 SRJ852080:SRJ852082 SHN852080:SHN852082 RXR852080:RXR852082 RNV852080:RNV852082 RDZ852080:RDZ852082 QUD852080:QUD852082 QKH852080:QKH852082 QAL852080:QAL852082 PQP852080:PQP852082 PGT852080:PGT852082 OWX852080:OWX852082 ONB852080:ONB852082 ODF852080:ODF852082 NTJ852080:NTJ852082 NJN852080:NJN852082 MZR852080:MZR852082 MPV852080:MPV852082 MFZ852080:MFZ852082 LWD852080:LWD852082 LMH852080:LMH852082 LCL852080:LCL852082 KSP852080:KSP852082 KIT852080:KIT852082 JYX852080:JYX852082 JPB852080:JPB852082 JFF852080:JFF852082 IVJ852080:IVJ852082 ILN852080:ILN852082 IBR852080:IBR852082 HRV852080:HRV852082 HHZ852080:HHZ852082 GYD852080:GYD852082 GOH852080:GOH852082 GEL852080:GEL852082 FUP852080:FUP852082 FKT852080:FKT852082 FAX852080:FAX852082 ERB852080:ERB852082 EHF852080:EHF852082 DXJ852080:DXJ852082 DNN852080:DNN852082 DDR852080:DDR852082 CTV852080:CTV852082 CJZ852080:CJZ852082 CAD852080:CAD852082 BQH852080:BQH852082 BGL852080:BGL852082 AWP852080:AWP852082 AMT852080:AMT852082 ACX852080:ACX852082 TB852080:TB852082 JF852080:JF852082 WVR786544:WVR786546 WLV786544:WLV786546 WBZ786544:WBZ786546 VSD786544:VSD786546 VIH786544:VIH786546 UYL786544:UYL786546 UOP786544:UOP786546 UET786544:UET786546 TUX786544:TUX786546 TLB786544:TLB786546 TBF786544:TBF786546 SRJ786544:SRJ786546 SHN786544:SHN786546 RXR786544:RXR786546 RNV786544:RNV786546 RDZ786544:RDZ786546 QUD786544:QUD786546 QKH786544:QKH786546 QAL786544:QAL786546 PQP786544:PQP786546 PGT786544:PGT786546 OWX786544:OWX786546 ONB786544:ONB786546 ODF786544:ODF786546 NTJ786544:NTJ786546 NJN786544:NJN786546 MZR786544:MZR786546 MPV786544:MPV786546 MFZ786544:MFZ786546 LWD786544:LWD786546 LMH786544:LMH786546 LCL786544:LCL786546 KSP786544:KSP786546 KIT786544:KIT786546 JYX786544:JYX786546 JPB786544:JPB786546 JFF786544:JFF786546 IVJ786544:IVJ786546 ILN786544:ILN786546 IBR786544:IBR786546 HRV786544:HRV786546 HHZ786544:HHZ786546 GYD786544:GYD786546 GOH786544:GOH786546 GEL786544:GEL786546 FUP786544:FUP786546 FKT786544:FKT786546 FAX786544:FAX786546 ERB786544:ERB786546 EHF786544:EHF786546 DXJ786544:DXJ786546 DNN786544:DNN786546 DDR786544:DDR786546 CTV786544:CTV786546 CJZ786544:CJZ786546 CAD786544:CAD786546 BQH786544:BQH786546 BGL786544:BGL786546 AWP786544:AWP786546 AMT786544:AMT786546 ACX786544:ACX786546 TB786544:TB786546 JF786544:JF786546 WVR721008:WVR721010 WLV721008:WLV721010 WBZ721008:WBZ721010 VSD721008:VSD721010 VIH721008:VIH721010 UYL721008:UYL721010 UOP721008:UOP721010 UET721008:UET721010 TUX721008:TUX721010 TLB721008:TLB721010 TBF721008:TBF721010 SRJ721008:SRJ721010 SHN721008:SHN721010 RXR721008:RXR721010 RNV721008:RNV721010 RDZ721008:RDZ721010 QUD721008:QUD721010 QKH721008:QKH721010 QAL721008:QAL721010 PQP721008:PQP721010 PGT721008:PGT721010 OWX721008:OWX721010 ONB721008:ONB721010 ODF721008:ODF721010 NTJ721008:NTJ721010 NJN721008:NJN721010 MZR721008:MZR721010 MPV721008:MPV721010 MFZ721008:MFZ721010 LWD721008:LWD721010 LMH721008:LMH721010 LCL721008:LCL721010 KSP721008:KSP721010 KIT721008:KIT721010 JYX721008:JYX721010 JPB721008:JPB721010 JFF721008:JFF721010 IVJ721008:IVJ721010 ILN721008:ILN721010 IBR721008:IBR721010 HRV721008:HRV721010 HHZ721008:HHZ721010 GYD721008:GYD721010 GOH721008:GOH721010 GEL721008:GEL721010 FUP721008:FUP721010 FKT721008:FKT721010 FAX721008:FAX721010 ERB721008:ERB721010 EHF721008:EHF721010 DXJ721008:DXJ721010 DNN721008:DNN721010 DDR721008:DDR721010 CTV721008:CTV721010 CJZ721008:CJZ721010 CAD721008:CAD721010 BQH721008:BQH721010 BGL721008:BGL721010 AWP721008:AWP721010 AMT721008:AMT721010 ACX721008:ACX721010 TB721008:TB721010 JF721008:JF721010 WVR655472:WVR655474 WLV655472:WLV655474 WBZ655472:WBZ655474 VSD655472:VSD655474 VIH655472:VIH655474 UYL655472:UYL655474 UOP655472:UOP655474 UET655472:UET655474 TUX655472:TUX655474 TLB655472:TLB655474 TBF655472:TBF655474 SRJ655472:SRJ655474 SHN655472:SHN655474 RXR655472:RXR655474 RNV655472:RNV655474 RDZ655472:RDZ655474 QUD655472:QUD655474 QKH655472:QKH655474 QAL655472:QAL655474 PQP655472:PQP655474 PGT655472:PGT655474 OWX655472:OWX655474 ONB655472:ONB655474 ODF655472:ODF655474 NTJ655472:NTJ655474 NJN655472:NJN655474 MZR655472:MZR655474 MPV655472:MPV655474 MFZ655472:MFZ655474 LWD655472:LWD655474 LMH655472:LMH655474 LCL655472:LCL655474 KSP655472:KSP655474 KIT655472:KIT655474 JYX655472:JYX655474 JPB655472:JPB655474 JFF655472:JFF655474 IVJ655472:IVJ655474 ILN655472:ILN655474 IBR655472:IBR655474 HRV655472:HRV655474 HHZ655472:HHZ655474 GYD655472:GYD655474 GOH655472:GOH655474 GEL655472:GEL655474 FUP655472:FUP655474 FKT655472:FKT655474 FAX655472:FAX655474 ERB655472:ERB655474 EHF655472:EHF655474 DXJ655472:DXJ655474 DNN655472:DNN655474 DDR655472:DDR655474 CTV655472:CTV655474 CJZ655472:CJZ655474 CAD655472:CAD655474 BQH655472:BQH655474 BGL655472:BGL655474 AWP655472:AWP655474 AMT655472:AMT655474 ACX655472:ACX655474 TB655472:TB655474 JF655472:JF655474 WVR589936:WVR589938 WLV589936:WLV589938 WBZ589936:WBZ589938 VSD589936:VSD589938 VIH589936:VIH589938 UYL589936:UYL589938 UOP589936:UOP589938 UET589936:UET589938 TUX589936:TUX589938 TLB589936:TLB589938 TBF589936:TBF589938 SRJ589936:SRJ589938 SHN589936:SHN589938 RXR589936:RXR589938 RNV589936:RNV589938 RDZ589936:RDZ589938 QUD589936:QUD589938 QKH589936:QKH589938 QAL589936:QAL589938 PQP589936:PQP589938 PGT589936:PGT589938 OWX589936:OWX589938 ONB589936:ONB589938 ODF589936:ODF589938 NTJ589936:NTJ589938 NJN589936:NJN589938 MZR589936:MZR589938 MPV589936:MPV589938 MFZ589936:MFZ589938 LWD589936:LWD589938 LMH589936:LMH589938 LCL589936:LCL589938 KSP589936:KSP589938 KIT589936:KIT589938 JYX589936:JYX589938 JPB589936:JPB589938 JFF589936:JFF589938 IVJ589936:IVJ589938 ILN589936:ILN589938 IBR589936:IBR589938 HRV589936:HRV589938 HHZ589936:HHZ589938 GYD589936:GYD589938 GOH589936:GOH589938 GEL589936:GEL589938 FUP589936:FUP589938 FKT589936:FKT589938 FAX589936:FAX589938 ERB589936:ERB589938 EHF589936:EHF589938 DXJ589936:DXJ589938 DNN589936:DNN589938 DDR589936:DDR589938 CTV589936:CTV589938 CJZ589936:CJZ589938 CAD589936:CAD589938 BQH589936:BQH589938 BGL589936:BGL589938 AWP589936:AWP589938 AMT589936:AMT589938 ACX589936:ACX589938 TB589936:TB589938 JF589936:JF589938 WVR524400:WVR524402 WLV524400:WLV524402 WBZ524400:WBZ524402 VSD524400:VSD524402 VIH524400:VIH524402 UYL524400:UYL524402 UOP524400:UOP524402 UET524400:UET524402 TUX524400:TUX524402 TLB524400:TLB524402 TBF524400:TBF524402 SRJ524400:SRJ524402 SHN524400:SHN524402 RXR524400:RXR524402 RNV524400:RNV524402 RDZ524400:RDZ524402 QUD524400:QUD524402 QKH524400:QKH524402 QAL524400:QAL524402 PQP524400:PQP524402 PGT524400:PGT524402 OWX524400:OWX524402 ONB524400:ONB524402 ODF524400:ODF524402 NTJ524400:NTJ524402 NJN524400:NJN524402 MZR524400:MZR524402 MPV524400:MPV524402 MFZ524400:MFZ524402 LWD524400:LWD524402 LMH524400:LMH524402 LCL524400:LCL524402 KSP524400:KSP524402 KIT524400:KIT524402 JYX524400:JYX524402 JPB524400:JPB524402 JFF524400:JFF524402 IVJ524400:IVJ524402 ILN524400:ILN524402 IBR524400:IBR524402 HRV524400:HRV524402 HHZ524400:HHZ524402 GYD524400:GYD524402 GOH524400:GOH524402 GEL524400:GEL524402 FUP524400:FUP524402 FKT524400:FKT524402 FAX524400:FAX524402 ERB524400:ERB524402 EHF524400:EHF524402 DXJ524400:DXJ524402 DNN524400:DNN524402 DDR524400:DDR524402 CTV524400:CTV524402 CJZ524400:CJZ524402 CAD524400:CAD524402 BQH524400:BQH524402 BGL524400:BGL524402 AWP524400:AWP524402 AMT524400:AMT524402 ACX524400:ACX524402 TB524400:TB524402 JF524400:JF524402 WVR458864:WVR458866 WLV458864:WLV458866 WBZ458864:WBZ458866 VSD458864:VSD458866 VIH458864:VIH458866 UYL458864:UYL458866 UOP458864:UOP458866 UET458864:UET458866 TUX458864:TUX458866 TLB458864:TLB458866 TBF458864:TBF458866 SRJ458864:SRJ458866 SHN458864:SHN458866 RXR458864:RXR458866 RNV458864:RNV458866 RDZ458864:RDZ458866 QUD458864:QUD458866 QKH458864:QKH458866 QAL458864:QAL458866 PQP458864:PQP458866 PGT458864:PGT458866 OWX458864:OWX458866 ONB458864:ONB458866 ODF458864:ODF458866 NTJ458864:NTJ458866 NJN458864:NJN458866 MZR458864:MZR458866 MPV458864:MPV458866 MFZ458864:MFZ458866 LWD458864:LWD458866 LMH458864:LMH458866 LCL458864:LCL458866 KSP458864:KSP458866 KIT458864:KIT458866 JYX458864:JYX458866 JPB458864:JPB458866 JFF458864:JFF458866 IVJ458864:IVJ458866 ILN458864:ILN458866 IBR458864:IBR458866 HRV458864:HRV458866 HHZ458864:HHZ458866 GYD458864:GYD458866 GOH458864:GOH458866 GEL458864:GEL458866 FUP458864:FUP458866 FKT458864:FKT458866 FAX458864:FAX458866 ERB458864:ERB458866 EHF458864:EHF458866 DXJ458864:DXJ458866 DNN458864:DNN458866 DDR458864:DDR458866 CTV458864:CTV458866 CJZ458864:CJZ458866 CAD458864:CAD458866 BQH458864:BQH458866 BGL458864:BGL458866 AWP458864:AWP458866 AMT458864:AMT458866 ACX458864:ACX458866 TB458864:TB458866 JF458864:JF458866 WVR393328:WVR393330 WLV393328:WLV393330 WBZ393328:WBZ393330 VSD393328:VSD393330 VIH393328:VIH393330 UYL393328:UYL393330 UOP393328:UOP393330 UET393328:UET393330 TUX393328:TUX393330 TLB393328:TLB393330 TBF393328:TBF393330 SRJ393328:SRJ393330 SHN393328:SHN393330 RXR393328:RXR393330 RNV393328:RNV393330 RDZ393328:RDZ393330 QUD393328:QUD393330 QKH393328:QKH393330 QAL393328:QAL393330 PQP393328:PQP393330 PGT393328:PGT393330 OWX393328:OWX393330 ONB393328:ONB393330 ODF393328:ODF393330 NTJ393328:NTJ393330 NJN393328:NJN393330 MZR393328:MZR393330 MPV393328:MPV393330 MFZ393328:MFZ393330 LWD393328:LWD393330 LMH393328:LMH393330 LCL393328:LCL393330 KSP393328:KSP393330 KIT393328:KIT393330 JYX393328:JYX393330 JPB393328:JPB393330 JFF393328:JFF393330 IVJ393328:IVJ393330 ILN393328:ILN393330 IBR393328:IBR393330 HRV393328:HRV393330 HHZ393328:HHZ393330 GYD393328:GYD393330 GOH393328:GOH393330 GEL393328:GEL393330 FUP393328:FUP393330 FKT393328:FKT393330 FAX393328:FAX393330 ERB393328:ERB393330 EHF393328:EHF393330 DXJ393328:DXJ393330 DNN393328:DNN393330 DDR393328:DDR393330 CTV393328:CTV393330 CJZ393328:CJZ393330 CAD393328:CAD393330 BQH393328:BQH393330 BGL393328:BGL393330 AWP393328:AWP393330 AMT393328:AMT393330 ACX393328:ACX393330 TB393328:TB393330 JF393328:JF393330 WVR327792:WVR327794 WLV327792:WLV327794 WBZ327792:WBZ327794 VSD327792:VSD327794 VIH327792:VIH327794 UYL327792:UYL327794 UOP327792:UOP327794 UET327792:UET327794 TUX327792:TUX327794 TLB327792:TLB327794 TBF327792:TBF327794 SRJ327792:SRJ327794 SHN327792:SHN327794 RXR327792:RXR327794 RNV327792:RNV327794 RDZ327792:RDZ327794 QUD327792:QUD327794 QKH327792:QKH327794 QAL327792:QAL327794 PQP327792:PQP327794 PGT327792:PGT327794 OWX327792:OWX327794 ONB327792:ONB327794 ODF327792:ODF327794 NTJ327792:NTJ327794 NJN327792:NJN327794 MZR327792:MZR327794 MPV327792:MPV327794 MFZ327792:MFZ327794 LWD327792:LWD327794 LMH327792:LMH327794 LCL327792:LCL327794 KSP327792:KSP327794 KIT327792:KIT327794 JYX327792:JYX327794 JPB327792:JPB327794 JFF327792:JFF327794 IVJ327792:IVJ327794 ILN327792:ILN327794 IBR327792:IBR327794 HRV327792:HRV327794 HHZ327792:HHZ327794 GYD327792:GYD327794 GOH327792:GOH327794 GEL327792:GEL327794 FUP327792:FUP327794 FKT327792:FKT327794 FAX327792:FAX327794 ERB327792:ERB327794 EHF327792:EHF327794 DXJ327792:DXJ327794 DNN327792:DNN327794 DDR327792:DDR327794 CTV327792:CTV327794 CJZ327792:CJZ327794 CAD327792:CAD327794 BQH327792:BQH327794 BGL327792:BGL327794 AWP327792:AWP327794 AMT327792:AMT327794 ACX327792:ACX327794 TB327792:TB327794 JF327792:JF327794 WVR262256:WVR262258 WLV262256:WLV262258 WBZ262256:WBZ262258 VSD262256:VSD262258 VIH262256:VIH262258 UYL262256:UYL262258 UOP262256:UOP262258 UET262256:UET262258 TUX262256:TUX262258 TLB262256:TLB262258 TBF262256:TBF262258 SRJ262256:SRJ262258 SHN262256:SHN262258 RXR262256:RXR262258 RNV262256:RNV262258 RDZ262256:RDZ262258 QUD262256:QUD262258 QKH262256:QKH262258 QAL262256:QAL262258 PQP262256:PQP262258 PGT262256:PGT262258 OWX262256:OWX262258 ONB262256:ONB262258 ODF262256:ODF262258 NTJ262256:NTJ262258 NJN262256:NJN262258 MZR262256:MZR262258 MPV262256:MPV262258 MFZ262256:MFZ262258 LWD262256:LWD262258 LMH262256:LMH262258 LCL262256:LCL262258 KSP262256:KSP262258 KIT262256:KIT262258 JYX262256:JYX262258 JPB262256:JPB262258 JFF262256:JFF262258 IVJ262256:IVJ262258 ILN262256:ILN262258 IBR262256:IBR262258 HRV262256:HRV262258 HHZ262256:HHZ262258 GYD262256:GYD262258 GOH262256:GOH262258 GEL262256:GEL262258 FUP262256:FUP262258 FKT262256:FKT262258 FAX262256:FAX262258 ERB262256:ERB262258 EHF262256:EHF262258 DXJ262256:DXJ262258 DNN262256:DNN262258 DDR262256:DDR262258 CTV262256:CTV262258 CJZ262256:CJZ262258 CAD262256:CAD262258 BQH262256:BQH262258 BGL262256:BGL262258 AWP262256:AWP262258 AMT262256:AMT262258 ACX262256:ACX262258 TB262256:TB262258 JF262256:JF262258 WVR196720:WVR196722 WLV196720:WLV196722 WBZ196720:WBZ196722 VSD196720:VSD196722 VIH196720:VIH196722 UYL196720:UYL196722 UOP196720:UOP196722 UET196720:UET196722 TUX196720:TUX196722 TLB196720:TLB196722 TBF196720:TBF196722 SRJ196720:SRJ196722 SHN196720:SHN196722 RXR196720:RXR196722 RNV196720:RNV196722 RDZ196720:RDZ196722 QUD196720:QUD196722 QKH196720:QKH196722 QAL196720:QAL196722 PQP196720:PQP196722 PGT196720:PGT196722 OWX196720:OWX196722 ONB196720:ONB196722 ODF196720:ODF196722 NTJ196720:NTJ196722 NJN196720:NJN196722 MZR196720:MZR196722 MPV196720:MPV196722 MFZ196720:MFZ196722 LWD196720:LWD196722 LMH196720:LMH196722 LCL196720:LCL196722 KSP196720:KSP196722 KIT196720:KIT196722 JYX196720:JYX196722 JPB196720:JPB196722 JFF196720:JFF196722 IVJ196720:IVJ196722 ILN196720:ILN196722 IBR196720:IBR196722 HRV196720:HRV196722 HHZ196720:HHZ196722 GYD196720:GYD196722 GOH196720:GOH196722 GEL196720:GEL196722 FUP196720:FUP196722 FKT196720:FKT196722 FAX196720:FAX196722 ERB196720:ERB196722 EHF196720:EHF196722 DXJ196720:DXJ196722 DNN196720:DNN196722 DDR196720:DDR196722 CTV196720:CTV196722 CJZ196720:CJZ196722 CAD196720:CAD196722 BQH196720:BQH196722 BGL196720:BGL196722 AWP196720:AWP196722 AMT196720:AMT196722 ACX196720:ACX196722 TB196720:TB196722 JF196720:JF196722 WVR131184:WVR131186 WLV131184:WLV131186 WBZ131184:WBZ131186 VSD131184:VSD131186 VIH131184:VIH131186 UYL131184:UYL131186 UOP131184:UOP131186 UET131184:UET131186 TUX131184:TUX131186 TLB131184:TLB131186 TBF131184:TBF131186 SRJ131184:SRJ131186 SHN131184:SHN131186 RXR131184:RXR131186 RNV131184:RNV131186 RDZ131184:RDZ131186 QUD131184:QUD131186 QKH131184:QKH131186 QAL131184:QAL131186 PQP131184:PQP131186 PGT131184:PGT131186 OWX131184:OWX131186 ONB131184:ONB131186 ODF131184:ODF131186 NTJ131184:NTJ131186 NJN131184:NJN131186 MZR131184:MZR131186 MPV131184:MPV131186 MFZ131184:MFZ131186 LWD131184:LWD131186 LMH131184:LMH131186 LCL131184:LCL131186 KSP131184:KSP131186 KIT131184:KIT131186 JYX131184:JYX131186 JPB131184:JPB131186 JFF131184:JFF131186 IVJ131184:IVJ131186 ILN131184:ILN131186 IBR131184:IBR131186 HRV131184:HRV131186 HHZ131184:HHZ131186 GYD131184:GYD131186 GOH131184:GOH131186 GEL131184:GEL131186 FUP131184:FUP131186 FKT131184:FKT131186 FAX131184:FAX131186 ERB131184:ERB131186 EHF131184:EHF131186 DXJ131184:DXJ131186 DNN131184:DNN131186 DDR131184:DDR131186 CTV131184:CTV131186 CJZ131184:CJZ131186 CAD131184:CAD131186 BQH131184:BQH131186 BGL131184:BGL131186 AWP131184:AWP131186 AMT131184:AMT131186 ACX131184:ACX131186 TB131184:TB131186 JF131184:JF131186 WVR65648:WVR65650 WLV65648:WLV65650 WBZ65648:WBZ65650 VSD65648:VSD65650 VIH65648:VIH65650 UYL65648:UYL65650 UOP65648:UOP65650 UET65648:UET65650 TUX65648:TUX65650 TLB65648:TLB65650 TBF65648:TBF65650 SRJ65648:SRJ65650 SHN65648:SHN65650 RXR65648:RXR65650 RNV65648:RNV65650 RDZ65648:RDZ65650 QUD65648:QUD65650 QKH65648:QKH65650 QAL65648:QAL65650 PQP65648:PQP65650 PGT65648:PGT65650 OWX65648:OWX65650 ONB65648:ONB65650 ODF65648:ODF65650 NTJ65648:NTJ65650 NJN65648:NJN65650 MZR65648:MZR65650 MPV65648:MPV65650 MFZ65648:MFZ65650 LWD65648:LWD65650 LMH65648:LMH65650 LCL65648:LCL65650 KSP65648:KSP65650 KIT65648:KIT65650 JYX65648:JYX65650 JPB65648:JPB65650 JFF65648:JFF65650 IVJ65648:IVJ65650 ILN65648:ILN65650 IBR65648:IBR65650 HRV65648:HRV65650 HHZ65648:HHZ65650 GYD65648:GYD65650 GOH65648:GOH65650 GEL65648:GEL65650 FUP65648:FUP65650 FKT65648:FKT65650 FAX65648:FAX65650 ERB65648:ERB65650 EHF65648:EHF65650 DXJ65648:DXJ65650 DNN65648:DNN65650 DDR65648:DDR65650 CTV65648:CTV65650 CJZ65648:CJZ65650 CAD65648:CAD65650 BQH65648:BQH65650 BGL65648:BGL65650 AWP65648:AWP65650 AMT65648:AMT65650 ACX65648:ACX65650 TB65648:TB65650 JF65648:JF65650 WVR112:WVR114 WLV112:WLV114 WBZ112:WBZ114 VSD112:VSD114 VIH112:VIH114 UYL112:UYL114 UOP112:UOP114 UET112:UET114 TUX112:TUX114 TLB112:TLB114 TBF112:TBF114 SRJ112:SRJ114 SHN112:SHN114 RXR112:RXR114 RNV112:RNV114 RDZ112:RDZ114 QUD112:QUD114 QKH112:QKH114 QAL112:QAL114 PQP112:PQP114 PGT112:PGT114 OWX112:OWX114 ONB112:ONB114 ODF112:ODF114 NTJ112:NTJ114 NJN112:NJN114 MZR112:MZR114 MPV112:MPV114 MFZ112:MFZ114 LWD112:LWD114 LMH112:LMH114 LCL112:LCL114 KSP112:KSP114 KIT112:KIT114 JYX112:JYX114 JPB112:JPB114 JFF112:JFF114 IVJ112:IVJ114 ILN112:ILN114 IBR112:IBR114 HRV112:HRV114 HHZ112:HHZ114 GYD112:GYD114 GOH112:GOH114 GEL112:GEL114 FUP112:FUP114 FKT112:FKT114 FAX112:FAX114 ERB112:ERB114 EHF112:EHF114 DXJ112:DXJ114 DNN112:DNN114 DDR112:DDR114 CTV112:CTV114 CJZ112:CJZ114 CAD112:CAD114 BQH112:BQH114 BGL112:BGL114 AWP112:AWP114 AMT112:AMT114 ACX112:ACX114 TB112:TB114 JF112:JF114 WVS983144:WVS983154 WLW983144:WLW983154 WCA983144:WCA983154 VSE983144:VSE983154 VII983144:VII983154 UYM983144:UYM983154 UOQ983144:UOQ983154 UEU983144:UEU983154 TUY983144:TUY983154 TLC983144:TLC983154 TBG983144:TBG983154 SRK983144:SRK983154 SHO983144:SHO983154 RXS983144:RXS983154 RNW983144:RNW983154 REA983144:REA983154 QUE983144:QUE983154 QKI983144:QKI983154 QAM983144:QAM983154 PQQ983144:PQQ983154 PGU983144:PGU983154 OWY983144:OWY983154 ONC983144:ONC983154 ODG983144:ODG983154 NTK983144:NTK983154 NJO983144:NJO983154 MZS983144:MZS983154 MPW983144:MPW983154 MGA983144:MGA983154 LWE983144:LWE983154 LMI983144:LMI983154 LCM983144:LCM983154 KSQ983144:KSQ983154 KIU983144:KIU983154 JYY983144:JYY983154 JPC983144:JPC983154 JFG983144:JFG983154 IVK983144:IVK983154 ILO983144:ILO983154 IBS983144:IBS983154 HRW983144:HRW983154 HIA983144:HIA983154 GYE983144:GYE983154 GOI983144:GOI983154 GEM983144:GEM983154 FUQ983144:FUQ983154 FKU983144:FKU983154 FAY983144:FAY983154 ERC983144:ERC983154 EHG983144:EHG983154 DXK983144:DXK983154 DNO983144:DNO983154 DDS983144:DDS983154 CTW983144:CTW983154 CKA983144:CKA983154 CAE983144:CAE983154 BQI983144:BQI983154 BGM983144:BGM983154 AWQ983144:AWQ983154 AMU983144:AMU983154 ACY983144:ACY983154 TC983144:TC983154 JG983144:JG983154 WVS917608:WVS917618 WLW917608:WLW917618 WCA917608:WCA917618 VSE917608:VSE917618 VII917608:VII917618 UYM917608:UYM917618 UOQ917608:UOQ917618 UEU917608:UEU917618 TUY917608:TUY917618 TLC917608:TLC917618 TBG917608:TBG917618 SRK917608:SRK917618 SHO917608:SHO917618 RXS917608:RXS917618 RNW917608:RNW917618 REA917608:REA917618 QUE917608:QUE917618 QKI917608:QKI917618 QAM917608:QAM917618 PQQ917608:PQQ917618 PGU917608:PGU917618 OWY917608:OWY917618 ONC917608:ONC917618 ODG917608:ODG917618 NTK917608:NTK917618 NJO917608:NJO917618 MZS917608:MZS917618 MPW917608:MPW917618 MGA917608:MGA917618 LWE917608:LWE917618 LMI917608:LMI917618 LCM917608:LCM917618 KSQ917608:KSQ917618 KIU917608:KIU917618 JYY917608:JYY917618 JPC917608:JPC917618 JFG917608:JFG917618 IVK917608:IVK917618 ILO917608:ILO917618 IBS917608:IBS917618 HRW917608:HRW917618 HIA917608:HIA917618 GYE917608:GYE917618 GOI917608:GOI917618 GEM917608:GEM917618 FUQ917608:FUQ917618 FKU917608:FKU917618 FAY917608:FAY917618 ERC917608:ERC917618 EHG917608:EHG917618 DXK917608:DXK917618 DNO917608:DNO917618 DDS917608:DDS917618 CTW917608:CTW917618 CKA917608:CKA917618 CAE917608:CAE917618 BQI917608:BQI917618 BGM917608:BGM917618 AWQ917608:AWQ917618 AMU917608:AMU917618 ACY917608:ACY917618 TC917608:TC917618 JG917608:JG917618 WVS852072:WVS852082 WLW852072:WLW852082 WCA852072:WCA852082 VSE852072:VSE852082 VII852072:VII852082 UYM852072:UYM852082 UOQ852072:UOQ852082 UEU852072:UEU852082 TUY852072:TUY852082 TLC852072:TLC852082 TBG852072:TBG852082 SRK852072:SRK852082 SHO852072:SHO852082 RXS852072:RXS852082 RNW852072:RNW852082 REA852072:REA852082 QUE852072:QUE852082 QKI852072:QKI852082 QAM852072:QAM852082 PQQ852072:PQQ852082 PGU852072:PGU852082 OWY852072:OWY852082 ONC852072:ONC852082 ODG852072:ODG852082 NTK852072:NTK852082 NJO852072:NJO852082 MZS852072:MZS852082 MPW852072:MPW852082 MGA852072:MGA852082 LWE852072:LWE852082 LMI852072:LMI852082 LCM852072:LCM852082 KSQ852072:KSQ852082 KIU852072:KIU852082 JYY852072:JYY852082 JPC852072:JPC852082 JFG852072:JFG852082 IVK852072:IVK852082 ILO852072:ILO852082 IBS852072:IBS852082 HRW852072:HRW852082 HIA852072:HIA852082 GYE852072:GYE852082 GOI852072:GOI852082 GEM852072:GEM852082 FUQ852072:FUQ852082 FKU852072:FKU852082 FAY852072:FAY852082 ERC852072:ERC852082 EHG852072:EHG852082 DXK852072:DXK852082 DNO852072:DNO852082 DDS852072:DDS852082 CTW852072:CTW852082 CKA852072:CKA852082 CAE852072:CAE852082 BQI852072:BQI852082 BGM852072:BGM852082 AWQ852072:AWQ852082 AMU852072:AMU852082 ACY852072:ACY852082 TC852072:TC852082 JG852072:JG852082 WVS786536:WVS786546 WLW786536:WLW786546 WCA786536:WCA786546 VSE786536:VSE786546 VII786536:VII786546 UYM786536:UYM786546 UOQ786536:UOQ786546 UEU786536:UEU786546 TUY786536:TUY786546 TLC786536:TLC786546 TBG786536:TBG786546 SRK786536:SRK786546 SHO786536:SHO786546 RXS786536:RXS786546 RNW786536:RNW786546 REA786536:REA786546 QUE786536:QUE786546 QKI786536:QKI786546 QAM786536:QAM786546 PQQ786536:PQQ786546 PGU786536:PGU786546 OWY786536:OWY786546 ONC786536:ONC786546 ODG786536:ODG786546 NTK786536:NTK786546 NJO786536:NJO786546 MZS786536:MZS786546 MPW786536:MPW786546 MGA786536:MGA786546 LWE786536:LWE786546 LMI786536:LMI786546 LCM786536:LCM786546 KSQ786536:KSQ786546 KIU786536:KIU786546 JYY786536:JYY786546 JPC786536:JPC786546 JFG786536:JFG786546 IVK786536:IVK786546 ILO786536:ILO786546 IBS786536:IBS786546 HRW786536:HRW786546 HIA786536:HIA786546 GYE786536:GYE786546 GOI786536:GOI786546 GEM786536:GEM786546 FUQ786536:FUQ786546 FKU786536:FKU786546 FAY786536:FAY786546 ERC786536:ERC786546 EHG786536:EHG786546 DXK786536:DXK786546 DNO786536:DNO786546 DDS786536:DDS786546 CTW786536:CTW786546 CKA786536:CKA786546 CAE786536:CAE786546 BQI786536:BQI786546 BGM786536:BGM786546 AWQ786536:AWQ786546 AMU786536:AMU786546 ACY786536:ACY786546 TC786536:TC786546 JG786536:JG786546 WVS721000:WVS721010 WLW721000:WLW721010 WCA721000:WCA721010 VSE721000:VSE721010 VII721000:VII721010 UYM721000:UYM721010 UOQ721000:UOQ721010 UEU721000:UEU721010 TUY721000:TUY721010 TLC721000:TLC721010 TBG721000:TBG721010 SRK721000:SRK721010 SHO721000:SHO721010 RXS721000:RXS721010 RNW721000:RNW721010 REA721000:REA721010 QUE721000:QUE721010 QKI721000:QKI721010 QAM721000:QAM721010 PQQ721000:PQQ721010 PGU721000:PGU721010 OWY721000:OWY721010 ONC721000:ONC721010 ODG721000:ODG721010 NTK721000:NTK721010 NJO721000:NJO721010 MZS721000:MZS721010 MPW721000:MPW721010 MGA721000:MGA721010 LWE721000:LWE721010 LMI721000:LMI721010 LCM721000:LCM721010 KSQ721000:KSQ721010 KIU721000:KIU721010 JYY721000:JYY721010 JPC721000:JPC721010 JFG721000:JFG721010 IVK721000:IVK721010 ILO721000:ILO721010 IBS721000:IBS721010 HRW721000:HRW721010 HIA721000:HIA721010 GYE721000:GYE721010 GOI721000:GOI721010 GEM721000:GEM721010 FUQ721000:FUQ721010 FKU721000:FKU721010 FAY721000:FAY721010 ERC721000:ERC721010 EHG721000:EHG721010 DXK721000:DXK721010 DNO721000:DNO721010 DDS721000:DDS721010 CTW721000:CTW721010 CKA721000:CKA721010 CAE721000:CAE721010 BQI721000:BQI721010 BGM721000:BGM721010 AWQ721000:AWQ721010 AMU721000:AMU721010 ACY721000:ACY721010 TC721000:TC721010 JG721000:JG721010 WVS655464:WVS655474 WLW655464:WLW655474 WCA655464:WCA655474 VSE655464:VSE655474 VII655464:VII655474 UYM655464:UYM655474 UOQ655464:UOQ655474 UEU655464:UEU655474 TUY655464:TUY655474 TLC655464:TLC655474 TBG655464:TBG655474 SRK655464:SRK655474 SHO655464:SHO655474 RXS655464:RXS655474 RNW655464:RNW655474 REA655464:REA655474 QUE655464:QUE655474 QKI655464:QKI655474 QAM655464:QAM655474 PQQ655464:PQQ655474 PGU655464:PGU655474 OWY655464:OWY655474 ONC655464:ONC655474 ODG655464:ODG655474 NTK655464:NTK655474 NJO655464:NJO655474 MZS655464:MZS655474 MPW655464:MPW655474 MGA655464:MGA655474 LWE655464:LWE655474 LMI655464:LMI655474 LCM655464:LCM655474 KSQ655464:KSQ655474 KIU655464:KIU655474 JYY655464:JYY655474 JPC655464:JPC655474 JFG655464:JFG655474 IVK655464:IVK655474 ILO655464:ILO655474 IBS655464:IBS655474 HRW655464:HRW655474 HIA655464:HIA655474 GYE655464:GYE655474 GOI655464:GOI655474 GEM655464:GEM655474 FUQ655464:FUQ655474 FKU655464:FKU655474 FAY655464:FAY655474 ERC655464:ERC655474 EHG655464:EHG655474 DXK655464:DXK655474 DNO655464:DNO655474 DDS655464:DDS655474 CTW655464:CTW655474 CKA655464:CKA655474 CAE655464:CAE655474 BQI655464:BQI655474 BGM655464:BGM655474 AWQ655464:AWQ655474 AMU655464:AMU655474 ACY655464:ACY655474 TC655464:TC655474 JG655464:JG655474 WVS589928:WVS589938 WLW589928:WLW589938 WCA589928:WCA589938 VSE589928:VSE589938 VII589928:VII589938 UYM589928:UYM589938 UOQ589928:UOQ589938 UEU589928:UEU589938 TUY589928:TUY589938 TLC589928:TLC589938 TBG589928:TBG589938 SRK589928:SRK589938 SHO589928:SHO589938 RXS589928:RXS589938 RNW589928:RNW589938 REA589928:REA589938 QUE589928:QUE589938 QKI589928:QKI589938 QAM589928:QAM589938 PQQ589928:PQQ589938 PGU589928:PGU589938 OWY589928:OWY589938 ONC589928:ONC589938 ODG589928:ODG589938 NTK589928:NTK589938 NJO589928:NJO589938 MZS589928:MZS589938 MPW589928:MPW589938 MGA589928:MGA589938 LWE589928:LWE589938 LMI589928:LMI589938 LCM589928:LCM589938 KSQ589928:KSQ589938 KIU589928:KIU589938 JYY589928:JYY589938 JPC589928:JPC589938 JFG589928:JFG589938 IVK589928:IVK589938 ILO589928:ILO589938 IBS589928:IBS589938 HRW589928:HRW589938 HIA589928:HIA589938 GYE589928:GYE589938 GOI589928:GOI589938 GEM589928:GEM589938 FUQ589928:FUQ589938 FKU589928:FKU589938 FAY589928:FAY589938 ERC589928:ERC589938 EHG589928:EHG589938 DXK589928:DXK589938 DNO589928:DNO589938 DDS589928:DDS589938 CTW589928:CTW589938 CKA589928:CKA589938 CAE589928:CAE589938 BQI589928:BQI589938 BGM589928:BGM589938 AWQ589928:AWQ589938 AMU589928:AMU589938 ACY589928:ACY589938 TC589928:TC589938 JG589928:JG589938 WVS524392:WVS524402 WLW524392:WLW524402 WCA524392:WCA524402 VSE524392:VSE524402 VII524392:VII524402 UYM524392:UYM524402 UOQ524392:UOQ524402 UEU524392:UEU524402 TUY524392:TUY524402 TLC524392:TLC524402 TBG524392:TBG524402 SRK524392:SRK524402 SHO524392:SHO524402 RXS524392:RXS524402 RNW524392:RNW524402 REA524392:REA524402 QUE524392:QUE524402 QKI524392:QKI524402 QAM524392:QAM524402 PQQ524392:PQQ524402 PGU524392:PGU524402 OWY524392:OWY524402 ONC524392:ONC524402 ODG524392:ODG524402 NTK524392:NTK524402 NJO524392:NJO524402 MZS524392:MZS524402 MPW524392:MPW524402 MGA524392:MGA524402 LWE524392:LWE524402 LMI524392:LMI524402 LCM524392:LCM524402 KSQ524392:KSQ524402 KIU524392:KIU524402 JYY524392:JYY524402 JPC524392:JPC524402 JFG524392:JFG524402 IVK524392:IVK524402 ILO524392:ILO524402 IBS524392:IBS524402 HRW524392:HRW524402 HIA524392:HIA524402 GYE524392:GYE524402 GOI524392:GOI524402 GEM524392:GEM524402 FUQ524392:FUQ524402 FKU524392:FKU524402 FAY524392:FAY524402 ERC524392:ERC524402 EHG524392:EHG524402 DXK524392:DXK524402 DNO524392:DNO524402 DDS524392:DDS524402 CTW524392:CTW524402 CKA524392:CKA524402 CAE524392:CAE524402 BQI524392:BQI524402 BGM524392:BGM524402 AWQ524392:AWQ524402 AMU524392:AMU524402 ACY524392:ACY524402 TC524392:TC524402 JG524392:JG524402 WVS458856:WVS458866 WLW458856:WLW458866 WCA458856:WCA458866 VSE458856:VSE458866 VII458856:VII458866 UYM458856:UYM458866 UOQ458856:UOQ458866 UEU458856:UEU458866 TUY458856:TUY458866 TLC458856:TLC458866 TBG458856:TBG458866 SRK458856:SRK458866 SHO458856:SHO458866 RXS458856:RXS458866 RNW458856:RNW458866 REA458856:REA458866 QUE458856:QUE458866 QKI458856:QKI458866 QAM458856:QAM458866 PQQ458856:PQQ458866 PGU458856:PGU458866 OWY458856:OWY458866 ONC458856:ONC458866 ODG458856:ODG458866 NTK458856:NTK458866 NJO458856:NJO458866 MZS458856:MZS458866 MPW458856:MPW458866 MGA458856:MGA458866 LWE458856:LWE458866 LMI458856:LMI458866 LCM458856:LCM458866 KSQ458856:KSQ458866 KIU458856:KIU458866 JYY458856:JYY458866 JPC458856:JPC458866 JFG458856:JFG458866 IVK458856:IVK458866 ILO458856:ILO458866 IBS458856:IBS458866 HRW458856:HRW458866 HIA458856:HIA458866 GYE458856:GYE458866 GOI458856:GOI458866 GEM458856:GEM458866 FUQ458856:FUQ458866 FKU458856:FKU458866 FAY458856:FAY458866 ERC458856:ERC458866 EHG458856:EHG458866 DXK458856:DXK458866 DNO458856:DNO458866 DDS458856:DDS458866 CTW458856:CTW458866 CKA458856:CKA458866 CAE458856:CAE458866 BQI458856:BQI458866 BGM458856:BGM458866 AWQ458856:AWQ458866 AMU458856:AMU458866 ACY458856:ACY458866 TC458856:TC458866 JG458856:JG458866 WVS393320:WVS393330 WLW393320:WLW393330 WCA393320:WCA393330 VSE393320:VSE393330 VII393320:VII393330 UYM393320:UYM393330 UOQ393320:UOQ393330 UEU393320:UEU393330 TUY393320:TUY393330 TLC393320:TLC393330 TBG393320:TBG393330 SRK393320:SRK393330 SHO393320:SHO393330 RXS393320:RXS393330 RNW393320:RNW393330 REA393320:REA393330 QUE393320:QUE393330 QKI393320:QKI393330 QAM393320:QAM393330 PQQ393320:PQQ393330 PGU393320:PGU393330 OWY393320:OWY393330 ONC393320:ONC393330 ODG393320:ODG393330 NTK393320:NTK393330 NJO393320:NJO393330 MZS393320:MZS393330 MPW393320:MPW393330 MGA393320:MGA393330 LWE393320:LWE393330 LMI393320:LMI393330 LCM393320:LCM393330 KSQ393320:KSQ393330 KIU393320:KIU393330 JYY393320:JYY393330 JPC393320:JPC393330 JFG393320:JFG393330 IVK393320:IVK393330 ILO393320:ILO393330 IBS393320:IBS393330 HRW393320:HRW393330 HIA393320:HIA393330 GYE393320:GYE393330 GOI393320:GOI393330 GEM393320:GEM393330 FUQ393320:FUQ393330 FKU393320:FKU393330 FAY393320:FAY393330 ERC393320:ERC393330 EHG393320:EHG393330 DXK393320:DXK393330 DNO393320:DNO393330 DDS393320:DDS393330 CTW393320:CTW393330 CKA393320:CKA393330 CAE393320:CAE393330 BQI393320:BQI393330 BGM393320:BGM393330 AWQ393320:AWQ393330 AMU393320:AMU393330 ACY393320:ACY393330 TC393320:TC393330 JG393320:JG393330 WVS327784:WVS327794 WLW327784:WLW327794 WCA327784:WCA327794 VSE327784:VSE327794 VII327784:VII327794 UYM327784:UYM327794 UOQ327784:UOQ327794 UEU327784:UEU327794 TUY327784:TUY327794 TLC327784:TLC327794 TBG327784:TBG327794 SRK327784:SRK327794 SHO327784:SHO327794 RXS327784:RXS327794 RNW327784:RNW327794 REA327784:REA327794 QUE327784:QUE327794 QKI327784:QKI327794 QAM327784:QAM327794 PQQ327784:PQQ327794 PGU327784:PGU327794 OWY327784:OWY327794 ONC327784:ONC327794 ODG327784:ODG327794 NTK327784:NTK327794 NJO327784:NJO327794 MZS327784:MZS327794 MPW327784:MPW327794 MGA327784:MGA327794 LWE327784:LWE327794 LMI327784:LMI327794 LCM327784:LCM327794 KSQ327784:KSQ327794 KIU327784:KIU327794 JYY327784:JYY327794 JPC327784:JPC327794 JFG327784:JFG327794 IVK327784:IVK327794 ILO327784:ILO327794 IBS327784:IBS327794 HRW327784:HRW327794 HIA327784:HIA327794 GYE327784:GYE327794 GOI327784:GOI327794 GEM327784:GEM327794 FUQ327784:FUQ327794 FKU327784:FKU327794 FAY327784:FAY327794 ERC327784:ERC327794 EHG327784:EHG327794 DXK327784:DXK327794 DNO327784:DNO327794 DDS327784:DDS327794 CTW327784:CTW327794 CKA327784:CKA327794 CAE327784:CAE327794 BQI327784:BQI327794 BGM327784:BGM327794 AWQ327784:AWQ327794 AMU327784:AMU327794 ACY327784:ACY327794 TC327784:TC327794 JG327784:JG327794 WVS262248:WVS262258 WLW262248:WLW262258 WCA262248:WCA262258 VSE262248:VSE262258 VII262248:VII262258 UYM262248:UYM262258 UOQ262248:UOQ262258 UEU262248:UEU262258 TUY262248:TUY262258 TLC262248:TLC262258 TBG262248:TBG262258 SRK262248:SRK262258 SHO262248:SHO262258 RXS262248:RXS262258 RNW262248:RNW262258 REA262248:REA262258 QUE262248:QUE262258 QKI262248:QKI262258 QAM262248:QAM262258 PQQ262248:PQQ262258 PGU262248:PGU262258 OWY262248:OWY262258 ONC262248:ONC262258 ODG262248:ODG262258 NTK262248:NTK262258 NJO262248:NJO262258 MZS262248:MZS262258 MPW262248:MPW262258 MGA262248:MGA262258 LWE262248:LWE262258 LMI262248:LMI262258 LCM262248:LCM262258 KSQ262248:KSQ262258 KIU262248:KIU262258 JYY262248:JYY262258 JPC262248:JPC262258 JFG262248:JFG262258 IVK262248:IVK262258 ILO262248:ILO262258 IBS262248:IBS262258 HRW262248:HRW262258 HIA262248:HIA262258 GYE262248:GYE262258 GOI262248:GOI262258 GEM262248:GEM262258 FUQ262248:FUQ262258 FKU262248:FKU262258 FAY262248:FAY262258 ERC262248:ERC262258 EHG262248:EHG262258 DXK262248:DXK262258 DNO262248:DNO262258 DDS262248:DDS262258 CTW262248:CTW262258 CKA262248:CKA262258 CAE262248:CAE262258 BQI262248:BQI262258 BGM262248:BGM262258 AWQ262248:AWQ262258 AMU262248:AMU262258 ACY262248:ACY262258 TC262248:TC262258 JG262248:JG262258 WVS196712:WVS196722 WLW196712:WLW196722 WCA196712:WCA196722 VSE196712:VSE196722 VII196712:VII196722 UYM196712:UYM196722 UOQ196712:UOQ196722 UEU196712:UEU196722 TUY196712:TUY196722 TLC196712:TLC196722 TBG196712:TBG196722 SRK196712:SRK196722 SHO196712:SHO196722 RXS196712:RXS196722 RNW196712:RNW196722 REA196712:REA196722 QUE196712:QUE196722 QKI196712:QKI196722 QAM196712:QAM196722 PQQ196712:PQQ196722 PGU196712:PGU196722 OWY196712:OWY196722 ONC196712:ONC196722 ODG196712:ODG196722 NTK196712:NTK196722 NJO196712:NJO196722 MZS196712:MZS196722 MPW196712:MPW196722 MGA196712:MGA196722 LWE196712:LWE196722 LMI196712:LMI196722 LCM196712:LCM196722 KSQ196712:KSQ196722 KIU196712:KIU196722 JYY196712:JYY196722 JPC196712:JPC196722 JFG196712:JFG196722 IVK196712:IVK196722 ILO196712:ILO196722 IBS196712:IBS196722 HRW196712:HRW196722 HIA196712:HIA196722 GYE196712:GYE196722 GOI196712:GOI196722 GEM196712:GEM196722 FUQ196712:FUQ196722 FKU196712:FKU196722 FAY196712:FAY196722 ERC196712:ERC196722 EHG196712:EHG196722 DXK196712:DXK196722 DNO196712:DNO196722 DDS196712:DDS196722 CTW196712:CTW196722 CKA196712:CKA196722 CAE196712:CAE196722 BQI196712:BQI196722 BGM196712:BGM196722 AWQ196712:AWQ196722 AMU196712:AMU196722 ACY196712:ACY196722 TC196712:TC196722 JG196712:JG196722 WVS131176:WVS131186 WLW131176:WLW131186 WCA131176:WCA131186 VSE131176:VSE131186 VII131176:VII131186 UYM131176:UYM131186 UOQ131176:UOQ131186 UEU131176:UEU131186 TUY131176:TUY131186 TLC131176:TLC131186 TBG131176:TBG131186 SRK131176:SRK131186 SHO131176:SHO131186 RXS131176:RXS131186 RNW131176:RNW131186 REA131176:REA131186 QUE131176:QUE131186 QKI131176:QKI131186 QAM131176:QAM131186 PQQ131176:PQQ131186 PGU131176:PGU131186 OWY131176:OWY131186 ONC131176:ONC131186 ODG131176:ODG131186 NTK131176:NTK131186 NJO131176:NJO131186 MZS131176:MZS131186 MPW131176:MPW131186 MGA131176:MGA131186 LWE131176:LWE131186 LMI131176:LMI131186 LCM131176:LCM131186 KSQ131176:KSQ131186 KIU131176:KIU131186 JYY131176:JYY131186 JPC131176:JPC131186 JFG131176:JFG131186 IVK131176:IVK131186 ILO131176:ILO131186 IBS131176:IBS131186 HRW131176:HRW131186 HIA131176:HIA131186 GYE131176:GYE131186 GOI131176:GOI131186 GEM131176:GEM131186 FUQ131176:FUQ131186 FKU131176:FKU131186 FAY131176:FAY131186 ERC131176:ERC131186 EHG131176:EHG131186 DXK131176:DXK131186 DNO131176:DNO131186 DDS131176:DDS131186 CTW131176:CTW131186 CKA131176:CKA131186 CAE131176:CAE131186 BQI131176:BQI131186 BGM131176:BGM131186 AWQ131176:AWQ131186 AMU131176:AMU131186 ACY131176:ACY131186 TC131176:TC131186 JG131176:JG131186 WVS65640:WVS65650 WLW65640:WLW65650 WCA65640:WCA65650 VSE65640:VSE65650 VII65640:VII65650 UYM65640:UYM65650 UOQ65640:UOQ65650 UEU65640:UEU65650 TUY65640:TUY65650 TLC65640:TLC65650 TBG65640:TBG65650 SRK65640:SRK65650 SHO65640:SHO65650 RXS65640:RXS65650 RNW65640:RNW65650 REA65640:REA65650 QUE65640:QUE65650 QKI65640:QKI65650 QAM65640:QAM65650 PQQ65640:PQQ65650 PGU65640:PGU65650 OWY65640:OWY65650 ONC65640:ONC65650 ODG65640:ODG65650 NTK65640:NTK65650 NJO65640:NJO65650 MZS65640:MZS65650 MPW65640:MPW65650 MGA65640:MGA65650 LWE65640:LWE65650 LMI65640:LMI65650 LCM65640:LCM65650 KSQ65640:KSQ65650 KIU65640:KIU65650 JYY65640:JYY65650 JPC65640:JPC65650 JFG65640:JFG65650 IVK65640:IVK65650 ILO65640:ILO65650 IBS65640:IBS65650 HRW65640:HRW65650 HIA65640:HIA65650 GYE65640:GYE65650 GOI65640:GOI65650 GEM65640:GEM65650 FUQ65640:FUQ65650 FKU65640:FKU65650 FAY65640:FAY65650 ERC65640:ERC65650 EHG65640:EHG65650 DXK65640:DXK65650 DNO65640:DNO65650 DDS65640:DDS65650 CTW65640:CTW65650 CKA65640:CKA65650 CAE65640:CAE65650 BQI65640:BQI65650 BGM65640:BGM65650 AWQ65640:AWQ65650 AMU65640:AMU65650 ACY65640:ACY65650 TC65640:TC65650 JG65640:JG65650 WVP104:WVQ109 WVS110:WVS114 WLT104:WLU109 WLW110:WLW114 WBX104:WBY109 WCA110:WCA114 VSB104:VSC109 VSE110:VSE114 VIF104:VIG109 VII110:VII114 UYJ104:UYK109 UYM110:UYM114 UON104:UOO109 UOQ110:UOQ114 UER104:UES109 UEU110:UEU114 TUV104:TUW109 TUY110:TUY114 TKZ104:TLA109 TLC110:TLC114 TBD104:TBE109 TBG110:TBG114 SRH104:SRI109 SRK110:SRK114 SHL104:SHM109 SHO110:SHO114 RXP104:RXQ109 RXS110:RXS114 RNT104:RNU109 RNW110:RNW114 RDX104:RDY109 REA110:REA114 QUB104:QUC109 QUE110:QUE114 QKF104:QKG109 QKI110:QKI114 QAJ104:QAK109 QAM110:QAM114 PQN104:PQO109 PQQ110:PQQ114 PGR104:PGS109 PGU110:PGU114 OWV104:OWW109 OWY110:OWY114 OMZ104:ONA109 ONC110:ONC114 ODD104:ODE109 ODG110:ODG114 NTH104:NTI109 NTK110:NTK114 NJL104:NJM109 NJO110:NJO114 MZP104:MZQ109 MZS110:MZS114 MPT104:MPU109 MPW110:MPW114 MFX104:MFY109 MGA110:MGA114 LWB104:LWC109 LWE110:LWE114 LMF104:LMG109 LMI110:LMI114 LCJ104:LCK109 LCM110:LCM114 KSN104:KSO109 KSQ110:KSQ114 KIR104:KIS109 KIU110:KIU114 JYV104:JYW109 JYY110:JYY114 JOZ104:JPA109 JPC110:JPC114 JFD104:JFE109 JFG110:JFG114 IVH104:IVI109 IVK110:IVK114 ILL104:ILM109 ILO110:ILO114 IBP104:IBQ109 IBS110:IBS114 HRT104:HRU109 HRW110:HRW114 HHX104:HHY109 HIA110:HIA114 GYB104:GYC109 GYE110:GYE114 GOF104:GOG109 GOI110:GOI114 GEJ104:GEK109 GEM110:GEM114 FUN104:FUO109 FUQ110:FUQ114 FKR104:FKS109 FKU110:FKU114 FAV104:FAW109 FAY110:FAY114 EQZ104:ERA109 ERC110:ERC114 EHD104:EHE109 EHG110:EHG114 DXH104:DXI109 DXK110:DXK114 DNL104:DNM109 DNO110:DNO114 DDP104:DDQ109 DDS110:DDS114 CTT104:CTU109 CTW110:CTW114 CJX104:CJY109 CKA110:CKA114 CAB104:CAC109 CAE110:CAE114 BQF104:BQG109 BQI110:BQI114 BGJ104:BGK109 BGM110:BGM114 AWN104:AWO109 AWQ110:AWQ114 AMR104:AMS109 AMU110:AMU114 ACV104:ACW109 ACY110:ACY114 SZ104:TA109 TC110:TC114 JD104:JE109 JG110:JG114 WVR983109:WVS983123 WLV983109:WLW983123 WBZ983109:WCA983123 VSD983109:VSE983123 VIH983109:VII983123 UYL983109:UYM983123 UOP983109:UOQ983123 UET983109:UEU983123 TUX983109:TUY983123 TLB983109:TLC983123 TBF983109:TBG983123 SRJ983109:SRK983123 SHN983109:SHO983123 RXR983109:RXS983123 RNV983109:RNW983123 RDZ983109:REA983123 QUD983109:QUE983123 QKH983109:QKI983123 QAL983109:QAM983123 PQP983109:PQQ983123 PGT983109:PGU983123 OWX983109:OWY983123 ONB983109:ONC983123 ODF983109:ODG983123 NTJ983109:NTK983123 NJN983109:NJO983123 MZR983109:MZS983123 MPV983109:MPW983123 MFZ983109:MGA983123 LWD983109:LWE983123 LMH983109:LMI983123 LCL983109:LCM983123 KSP983109:KSQ983123 KIT983109:KIU983123 JYX983109:JYY983123 JPB983109:JPC983123 JFF983109:JFG983123 IVJ983109:IVK983123 ILN983109:ILO983123 IBR983109:IBS983123 HRV983109:HRW983123 HHZ983109:HIA983123 GYD983109:GYE983123 GOH983109:GOI983123 GEL983109:GEM983123 FUP983109:FUQ983123 FKT983109:FKU983123 FAX983109:FAY983123 ERB983109:ERC983123 EHF983109:EHG983123 DXJ983109:DXK983123 DNN983109:DNO983123 DDR983109:DDS983123 CTV983109:CTW983123 CJZ983109:CKA983123 CAD983109:CAE983123 BQH983109:BQI983123 BGL983109:BGM983123 AWP983109:AWQ983123 AMT983109:AMU983123 ACX983109:ACY983123 TB983109:TC983123 JF983109:JG983123 WVR917573:WVS917587 WLV917573:WLW917587 WBZ917573:WCA917587 VSD917573:VSE917587 VIH917573:VII917587 UYL917573:UYM917587 UOP917573:UOQ917587 UET917573:UEU917587 TUX917573:TUY917587 TLB917573:TLC917587 TBF917573:TBG917587 SRJ917573:SRK917587 SHN917573:SHO917587 RXR917573:RXS917587 RNV917573:RNW917587 RDZ917573:REA917587 QUD917573:QUE917587 QKH917573:QKI917587 QAL917573:QAM917587 PQP917573:PQQ917587 PGT917573:PGU917587 OWX917573:OWY917587 ONB917573:ONC917587 ODF917573:ODG917587 NTJ917573:NTK917587 NJN917573:NJO917587 MZR917573:MZS917587 MPV917573:MPW917587 MFZ917573:MGA917587 LWD917573:LWE917587 LMH917573:LMI917587 LCL917573:LCM917587 KSP917573:KSQ917587 KIT917573:KIU917587 JYX917573:JYY917587 JPB917573:JPC917587 JFF917573:JFG917587 IVJ917573:IVK917587 ILN917573:ILO917587 IBR917573:IBS917587 HRV917573:HRW917587 HHZ917573:HIA917587 GYD917573:GYE917587 GOH917573:GOI917587 GEL917573:GEM917587 FUP917573:FUQ917587 FKT917573:FKU917587 FAX917573:FAY917587 ERB917573:ERC917587 EHF917573:EHG917587 DXJ917573:DXK917587 DNN917573:DNO917587 DDR917573:DDS917587 CTV917573:CTW917587 CJZ917573:CKA917587 CAD917573:CAE917587 BQH917573:BQI917587 BGL917573:BGM917587 AWP917573:AWQ917587 AMT917573:AMU917587 ACX917573:ACY917587 TB917573:TC917587 JF917573:JG917587 WVR852037:WVS852051 WLV852037:WLW852051 WBZ852037:WCA852051 VSD852037:VSE852051 VIH852037:VII852051 UYL852037:UYM852051 UOP852037:UOQ852051 UET852037:UEU852051 TUX852037:TUY852051 TLB852037:TLC852051 TBF852037:TBG852051 SRJ852037:SRK852051 SHN852037:SHO852051 RXR852037:RXS852051 RNV852037:RNW852051 RDZ852037:REA852051 QUD852037:QUE852051 QKH852037:QKI852051 QAL852037:QAM852051 PQP852037:PQQ852051 PGT852037:PGU852051 OWX852037:OWY852051 ONB852037:ONC852051 ODF852037:ODG852051 NTJ852037:NTK852051 NJN852037:NJO852051 MZR852037:MZS852051 MPV852037:MPW852051 MFZ852037:MGA852051 LWD852037:LWE852051 LMH852037:LMI852051 LCL852037:LCM852051 KSP852037:KSQ852051 KIT852037:KIU852051 JYX852037:JYY852051 JPB852037:JPC852051 JFF852037:JFG852051 IVJ852037:IVK852051 ILN852037:ILO852051 IBR852037:IBS852051 HRV852037:HRW852051 HHZ852037:HIA852051 GYD852037:GYE852051 GOH852037:GOI852051 GEL852037:GEM852051 FUP852037:FUQ852051 FKT852037:FKU852051 FAX852037:FAY852051 ERB852037:ERC852051 EHF852037:EHG852051 DXJ852037:DXK852051 DNN852037:DNO852051 DDR852037:DDS852051 CTV852037:CTW852051 CJZ852037:CKA852051 CAD852037:CAE852051 BQH852037:BQI852051 BGL852037:BGM852051 AWP852037:AWQ852051 AMT852037:AMU852051 ACX852037:ACY852051 TB852037:TC852051 JF852037:JG852051 WVR786501:WVS786515 WLV786501:WLW786515 WBZ786501:WCA786515 VSD786501:VSE786515 VIH786501:VII786515 UYL786501:UYM786515 UOP786501:UOQ786515 UET786501:UEU786515 TUX786501:TUY786515 TLB786501:TLC786515 TBF786501:TBG786515 SRJ786501:SRK786515 SHN786501:SHO786515 RXR786501:RXS786515 RNV786501:RNW786515 RDZ786501:REA786515 QUD786501:QUE786515 QKH786501:QKI786515 QAL786501:QAM786515 PQP786501:PQQ786515 PGT786501:PGU786515 OWX786501:OWY786515 ONB786501:ONC786515 ODF786501:ODG786515 NTJ786501:NTK786515 NJN786501:NJO786515 MZR786501:MZS786515 MPV786501:MPW786515 MFZ786501:MGA786515 LWD786501:LWE786515 LMH786501:LMI786515 LCL786501:LCM786515 KSP786501:KSQ786515 KIT786501:KIU786515 JYX786501:JYY786515 JPB786501:JPC786515 JFF786501:JFG786515 IVJ786501:IVK786515 ILN786501:ILO786515 IBR786501:IBS786515 HRV786501:HRW786515 HHZ786501:HIA786515 GYD786501:GYE786515 GOH786501:GOI786515 GEL786501:GEM786515 FUP786501:FUQ786515 FKT786501:FKU786515 FAX786501:FAY786515 ERB786501:ERC786515 EHF786501:EHG786515 DXJ786501:DXK786515 DNN786501:DNO786515 DDR786501:DDS786515 CTV786501:CTW786515 CJZ786501:CKA786515 CAD786501:CAE786515 BQH786501:BQI786515 BGL786501:BGM786515 AWP786501:AWQ786515 AMT786501:AMU786515 ACX786501:ACY786515 TB786501:TC786515 JF786501:JG786515 WVR720965:WVS720979 WLV720965:WLW720979 WBZ720965:WCA720979 VSD720965:VSE720979 VIH720965:VII720979 UYL720965:UYM720979 UOP720965:UOQ720979 UET720965:UEU720979 TUX720965:TUY720979 TLB720965:TLC720979 TBF720965:TBG720979 SRJ720965:SRK720979 SHN720965:SHO720979 RXR720965:RXS720979 RNV720965:RNW720979 RDZ720965:REA720979 QUD720965:QUE720979 QKH720965:QKI720979 QAL720965:QAM720979 PQP720965:PQQ720979 PGT720965:PGU720979 OWX720965:OWY720979 ONB720965:ONC720979 ODF720965:ODG720979 NTJ720965:NTK720979 NJN720965:NJO720979 MZR720965:MZS720979 MPV720965:MPW720979 MFZ720965:MGA720979 LWD720965:LWE720979 LMH720965:LMI720979 LCL720965:LCM720979 KSP720965:KSQ720979 KIT720965:KIU720979 JYX720965:JYY720979 JPB720965:JPC720979 JFF720965:JFG720979 IVJ720965:IVK720979 ILN720965:ILO720979 IBR720965:IBS720979 HRV720965:HRW720979 HHZ720965:HIA720979 GYD720965:GYE720979 GOH720965:GOI720979 GEL720965:GEM720979 FUP720965:FUQ720979 FKT720965:FKU720979 FAX720965:FAY720979 ERB720965:ERC720979 EHF720965:EHG720979 DXJ720965:DXK720979 DNN720965:DNO720979 DDR720965:DDS720979 CTV720965:CTW720979 CJZ720965:CKA720979 CAD720965:CAE720979 BQH720965:BQI720979 BGL720965:BGM720979 AWP720965:AWQ720979 AMT720965:AMU720979 ACX720965:ACY720979 TB720965:TC720979 JF720965:JG720979 WVR655429:WVS655443 WLV655429:WLW655443 WBZ655429:WCA655443 VSD655429:VSE655443 VIH655429:VII655443 UYL655429:UYM655443 UOP655429:UOQ655443 UET655429:UEU655443 TUX655429:TUY655443 TLB655429:TLC655443 TBF655429:TBG655443 SRJ655429:SRK655443 SHN655429:SHO655443 RXR655429:RXS655443 RNV655429:RNW655443 RDZ655429:REA655443 QUD655429:QUE655443 QKH655429:QKI655443 QAL655429:QAM655443 PQP655429:PQQ655443 PGT655429:PGU655443 OWX655429:OWY655443 ONB655429:ONC655443 ODF655429:ODG655443 NTJ655429:NTK655443 NJN655429:NJO655443 MZR655429:MZS655443 MPV655429:MPW655443 MFZ655429:MGA655443 LWD655429:LWE655443 LMH655429:LMI655443 LCL655429:LCM655443 KSP655429:KSQ655443 KIT655429:KIU655443 JYX655429:JYY655443 JPB655429:JPC655443 JFF655429:JFG655443 IVJ655429:IVK655443 ILN655429:ILO655443 IBR655429:IBS655443 HRV655429:HRW655443 HHZ655429:HIA655443 GYD655429:GYE655443 GOH655429:GOI655443 GEL655429:GEM655443 FUP655429:FUQ655443 FKT655429:FKU655443 FAX655429:FAY655443 ERB655429:ERC655443 EHF655429:EHG655443 DXJ655429:DXK655443 DNN655429:DNO655443 DDR655429:DDS655443 CTV655429:CTW655443 CJZ655429:CKA655443 CAD655429:CAE655443 BQH655429:BQI655443 BGL655429:BGM655443 AWP655429:AWQ655443 AMT655429:AMU655443 ACX655429:ACY655443 TB655429:TC655443 JF655429:JG655443 WVR589893:WVS589907 WLV589893:WLW589907 WBZ589893:WCA589907 VSD589893:VSE589907 VIH589893:VII589907 UYL589893:UYM589907 UOP589893:UOQ589907 UET589893:UEU589907 TUX589893:TUY589907 TLB589893:TLC589907 TBF589893:TBG589907 SRJ589893:SRK589907 SHN589893:SHO589907 RXR589893:RXS589907 RNV589893:RNW589907 RDZ589893:REA589907 QUD589893:QUE589907 QKH589893:QKI589907 QAL589893:QAM589907 PQP589893:PQQ589907 PGT589893:PGU589907 OWX589893:OWY589907 ONB589893:ONC589907 ODF589893:ODG589907 NTJ589893:NTK589907 NJN589893:NJO589907 MZR589893:MZS589907 MPV589893:MPW589907 MFZ589893:MGA589907 LWD589893:LWE589907 LMH589893:LMI589907 LCL589893:LCM589907 KSP589893:KSQ589907 KIT589893:KIU589907 JYX589893:JYY589907 JPB589893:JPC589907 JFF589893:JFG589907 IVJ589893:IVK589907 ILN589893:ILO589907 IBR589893:IBS589907 HRV589893:HRW589907 HHZ589893:HIA589907 GYD589893:GYE589907 GOH589893:GOI589907 GEL589893:GEM589907 FUP589893:FUQ589907 FKT589893:FKU589907 FAX589893:FAY589907 ERB589893:ERC589907 EHF589893:EHG589907 DXJ589893:DXK589907 DNN589893:DNO589907 DDR589893:DDS589907 CTV589893:CTW589907 CJZ589893:CKA589907 CAD589893:CAE589907 BQH589893:BQI589907 BGL589893:BGM589907 AWP589893:AWQ589907 AMT589893:AMU589907 ACX589893:ACY589907 TB589893:TC589907 JF589893:JG589907 WVR524357:WVS524371 WLV524357:WLW524371 WBZ524357:WCA524371 VSD524357:VSE524371 VIH524357:VII524371 UYL524357:UYM524371 UOP524357:UOQ524371 UET524357:UEU524371 TUX524357:TUY524371 TLB524357:TLC524371 TBF524357:TBG524371 SRJ524357:SRK524371 SHN524357:SHO524371 RXR524357:RXS524371 RNV524357:RNW524371 RDZ524357:REA524371 QUD524357:QUE524371 QKH524357:QKI524371 QAL524357:QAM524371 PQP524357:PQQ524371 PGT524357:PGU524371 OWX524357:OWY524371 ONB524357:ONC524371 ODF524357:ODG524371 NTJ524357:NTK524371 NJN524357:NJO524371 MZR524357:MZS524371 MPV524357:MPW524371 MFZ524357:MGA524371 LWD524357:LWE524371 LMH524357:LMI524371 LCL524357:LCM524371 KSP524357:KSQ524371 KIT524357:KIU524371 JYX524357:JYY524371 JPB524357:JPC524371 JFF524357:JFG524371 IVJ524357:IVK524371 ILN524357:ILO524371 IBR524357:IBS524371 HRV524357:HRW524371 HHZ524357:HIA524371 GYD524357:GYE524371 GOH524357:GOI524371 GEL524357:GEM524371 FUP524357:FUQ524371 FKT524357:FKU524371 FAX524357:FAY524371 ERB524357:ERC524371 EHF524357:EHG524371 DXJ524357:DXK524371 DNN524357:DNO524371 DDR524357:DDS524371 CTV524357:CTW524371 CJZ524357:CKA524371 CAD524357:CAE524371 BQH524357:BQI524371 BGL524357:BGM524371 AWP524357:AWQ524371 AMT524357:AMU524371 ACX524357:ACY524371 TB524357:TC524371 JF524357:JG524371 WVR458821:WVS458835 WLV458821:WLW458835 WBZ458821:WCA458835 VSD458821:VSE458835 VIH458821:VII458835 UYL458821:UYM458835 UOP458821:UOQ458835 UET458821:UEU458835 TUX458821:TUY458835 TLB458821:TLC458835 TBF458821:TBG458835 SRJ458821:SRK458835 SHN458821:SHO458835 RXR458821:RXS458835 RNV458821:RNW458835 RDZ458821:REA458835 QUD458821:QUE458835 QKH458821:QKI458835 QAL458821:QAM458835 PQP458821:PQQ458835 PGT458821:PGU458835 OWX458821:OWY458835 ONB458821:ONC458835 ODF458821:ODG458835 NTJ458821:NTK458835 NJN458821:NJO458835 MZR458821:MZS458835 MPV458821:MPW458835 MFZ458821:MGA458835 LWD458821:LWE458835 LMH458821:LMI458835 LCL458821:LCM458835 KSP458821:KSQ458835 KIT458821:KIU458835 JYX458821:JYY458835 JPB458821:JPC458835 JFF458821:JFG458835 IVJ458821:IVK458835 ILN458821:ILO458835 IBR458821:IBS458835 HRV458821:HRW458835 HHZ458821:HIA458835 GYD458821:GYE458835 GOH458821:GOI458835 GEL458821:GEM458835 FUP458821:FUQ458835 FKT458821:FKU458835 FAX458821:FAY458835 ERB458821:ERC458835 EHF458821:EHG458835 DXJ458821:DXK458835 DNN458821:DNO458835 DDR458821:DDS458835 CTV458821:CTW458835 CJZ458821:CKA458835 CAD458821:CAE458835 BQH458821:BQI458835 BGL458821:BGM458835 AWP458821:AWQ458835 AMT458821:AMU458835 ACX458821:ACY458835 TB458821:TC458835 JF458821:JG458835 WVR393285:WVS393299 WLV393285:WLW393299 WBZ393285:WCA393299 VSD393285:VSE393299 VIH393285:VII393299 UYL393285:UYM393299 UOP393285:UOQ393299 UET393285:UEU393299 TUX393285:TUY393299 TLB393285:TLC393299 TBF393285:TBG393299 SRJ393285:SRK393299 SHN393285:SHO393299 RXR393285:RXS393299 RNV393285:RNW393299 RDZ393285:REA393299 QUD393285:QUE393299 QKH393285:QKI393299 QAL393285:QAM393299 PQP393285:PQQ393299 PGT393285:PGU393299 OWX393285:OWY393299 ONB393285:ONC393299 ODF393285:ODG393299 NTJ393285:NTK393299 NJN393285:NJO393299 MZR393285:MZS393299 MPV393285:MPW393299 MFZ393285:MGA393299 LWD393285:LWE393299 LMH393285:LMI393299 LCL393285:LCM393299 KSP393285:KSQ393299 KIT393285:KIU393299 JYX393285:JYY393299 JPB393285:JPC393299 JFF393285:JFG393299 IVJ393285:IVK393299 ILN393285:ILO393299 IBR393285:IBS393299 HRV393285:HRW393299 HHZ393285:HIA393299 GYD393285:GYE393299 GOH393285:GOI393299 GEL393285:GEM393299 FUP393285:FUQ393299 FKT393285:FKU393299 FAX393285:FAY393299 ERB393285:ERC393299 EHF393285:EHG393299 DXJ393285:DXK393299 DNN393285:DNO393299 DDR393285:DDS393299 CTV393285:CTW393299 CJZ393285:CKA393299 CAD393285:CAE393299 BQH393285:BQI393299 BGL393285:BGM393299 AWP393285:AWQ393299 AMT393285:AMU393299 ACX393285:ACY393299 TB393285:TC393299 JF393285:JG393299 WVR327749:WVS327763 WLV327749:WLW327763 WBZ327749:WCA327763 VSD327749:VSE327763 VIH327749:VII327763 UYL327749:UYM327763 UOP327749:UOQ327763 UET327749:UEU327763 TUX327749:TUY327763 TLB327749:TLC327763 TBF327749:TBG327763 SRJ327749:SRK327763 SHN327749:SHO327763 RXR327749:RXS327763 RNV327749:RNW327763 RDZ327749:REA327763 QUD327749:QUE327763 QKH327749:QKI327763 QAL327749:QAM327763 PQP327749:PQQ327763 PGT327749:PGU327763 OWX327749:OWY327763 ONB327749:ONC327763 ODF327749:ODG327763 NTJ327749:NTK327763 NJN327749:NJO327763 MZR327749:MZS327763 MPV327749:MPW327763 MFZ327749:MGA327763 LWD327749:LWE327763 LMH327749:LMI327763 LCL327749:LCM327763 KSP327749:KSQ327763 KIT327749:KIU327763 JYX327749:JYY327763 JPB327749:JPC327763 JFF327749:JFG327763 IVJ327749:IVK327763 ILN327749:ILO327763 IBR327749:IBS327763 HRV327749:HRW327763 HHZ327749:HIA327763 GYD327749:GYE327763 GOH327749:GOI327763 GEL327749:GEM327763 FUP327749:FUQ327763 FKT327749:FKU327763 FAX327749:FAY327763 ERB327749:ERC327763 EHF327749:EHG327763 DXJ327749:DXK327763 DNN327749:DNO327763 DDR327749:DDS327763 CTV327749:CTW327763 CJZ327749:CKA327763 CAD327749:CAE327763 BQH327749:BQI327763 BGL327749:BGM327763 AWP327749:AWQ327763 AMT327749:AMU327763 ACX327749:ACY327763 TB327749:TC327763 JF327749:JG327763 WVR262213:WVS262227 WLV262213:WLW262227 WBZ262213:WCA262227 VSD262213:VSE262227 VIH262213:VII262227 UYL262213:UYM262227 UOP262213:UOQ262227 UET262213:UEU262227 TUX262213:TUY262227 TLB262213:TLC262227 TBF262213:TBG262227 SRJ262213:SRK262227 SHN262213:SHO262227 RXR262213:RXS262227 RNV262213:RNW262227 RDZ262213:REA262227 QUD262213:QUE262227 QKH262213:QKI262227 QAL262213:QAM262227 PQP262213:PQQ262227 PGT262213:PGU262227 OWX262213:OWY262227 ONB262213:ONC262227 ODF262213:ODG262227 NTJ262213:NTK262227 NJN262213:NJO262227 MZR262213:MZS262227 MPV262213:MPW262227 MFZ262213:MGA262227 LWD262213:LWE262227 LMH262213:LMI262227 LCL262213:LCM262227 KSP262213:KSQ262227 KIT262213:KIU262227 JYX262213:JYY262227 JPB262213:JPC262227 JFF262213:JFG262227 IVJ262213:IVK262227 ILN262213:ILO262227 IBR262213:IBS262227 HRV262213:HRW262227 HHZ262213:HIA262227 GYD262213:GYE262227 GOH262213:GOI262227 GEL262213:GEM262227 FUP262213:FUQ262227 FKT262213:FKU262227 FAX262213:FAY262227 ERB262213:ERC262227 EHF262213:EHG262227 DXJ262213:DXK262227 DNN262213:DNO262227 DDR262213:DDS262227 CTV262213:CTW262227 CJZ262213:CKA262227 CAD262213:CAE262227 BQH262213:BQI262227 BGL262213:BGM262227 AWP262213:AWQ262227 AMT262213:AMU262227 ACX262213:ACY262227 TB262213:TC262227 JF262213:JG262227 WVR196677:WVS196691 WLV196677:WLW196691 WBZ196677:WCA196691 VSD196677:VSE196691 VIH196677:VII196691 UYL196677:UYM196691 UOP196677:UOQ196691 UET196677:UEU196691 TUX196677:TUY196691 TLB196677:TLC196691 TBF196677:TBG196691 SRJ196677:SRK196691 SHN196677:SHO196691 RXR196677:RXS196691 RNV196677:RNW196691 RDZ196677:REA196691 QUD196677:QUE196691 QKH196677:QKI196691 QAL196677:QAM196691 PQP196677:PQQ196691 PGT196677:PGU196691 OWX196677:OWY196691 ONB196677:ONC196691 ODF196677:ODG196691 NTJ196677:NTK196691 NJN196677:NJO196691 MZR196677:MZS196691 MPV196677:MPW196691 MFZ196677:MGA196691 LWD196677:LWE196691 LMH196677:LMI196691 LCL196677:LCM196691 KSP196677:KSQ196691 KIT196677:KIU196691 JYX196677:JYY196691 JPB196677:JPC196691 JFF196677:JFG196691 IVJ196677:IVK196691 ILN196677:ILO196691 IBR196677:IBS196691 HRV196677:HRW196691 HHZ196677:HIA196691 GYD196677:GYE196691 GOH196677:GOI196691 GEL196677:GEM196691 FUP196677:FUQ196691 FKT196677:FKU196691 FAX196677:FAY196691 ERB196677:ERC196691 EHF196677:EHG196691 DXJ196677:DXK196691 DNN196677:DNO196691 DDR196677:DDS196691 CTV196677:CTW196691 CJZ196677:CKA196691 CAD196677:CAE196691 BQH196677:BQI196691 BGL196677:BGM196691 AWP196677:AWQ196691 AMT196677:AMU196691 ACX196677:ACY196691 TB196677:TC196691 JF196677:JG196691 WVR131141:WVS131155 WLV131141:WLW131155 WBZ131141:WCA131155 VSD131141:VSE131155 VIH131141:VII131155 UYL131141:UYM131155 UOP131141:UOQ131155 UET131141:UEU131155 TUX131141:TUY131155 TLB131141:TLC131155 TBF131141:TBG131155 SRJ131141:SRK131155 SHN131141:SHO131155 RXR131141:RXS131155 RNV131141:RNW131155 RDZ131141:REA131155 QUD131141:QUE131155 QKH131141:QKI131155 QAL131141:QAM131155 PQP131141:PQQ131155 PGT131141:PGU131155 OWX131141:OWY131155 ONB131141:ONC131155 ODF131141:ODG131155 NTJ131141:NTK131155 NJN131141:NJO131155 MZR131141:MZS131155 MPV131141:MPW131155 MFZ131141:MGA131155 LWD131141:LWE131155 LMH131141:LMI131155 LCL131141:LCM131155 KSP131141:KSQ131155 KIT131141:KIU131155 JYX131141:JYY131155 JPB131141:JPC131155 JFF131141:JFG131155 IVJ131141:IVK131155 ILN131141:ILO131155 IBR131141:IBS131155 HRV131141:HRW131155 HHZ131141:HIA131155 GYD131141:GYE131155 GOH131141:GOI131155 GEL131141:GEM131155 FUP131141:FUQ131155 FKT131141:FKU131155 FAX131141:FAY131155 ERB131141:ERC131155 EHF131141:EHG131155 DXJ131141:DXK131155 DNN131141:DNO131155 DDR131141:DDS131155 CTV131141:CTW131155 CJZ131141:CKA131155 CAD131141:CAE131155 BQH131141:BQI131155 BGL131141:BGM131155 AWP131141:AWQ131155 AMT131141:AMU131155 ACX131141:ACY131155 TB131141:TC131155 JF131141:JG131155 WVR65605:WVS65619 WLV65605:WLW65619 WBZ65605:WCA65619 VSD65605:VSE65619 VIH65605:VII65619 UYL65605:UYM65619 UOP65605:UOQ65619 UET65605:UEU65619 TUX65605:TUY65619 TLB65605:TLC65619 TBF65605:TBG65619 SRJ65605:SRK65619 SHN65605:SHO65619 RXR65605:RXS65619 RNV65605:RNW65619 RDZ65605:REA65619 QUD65605:QUE65619 QKH65605:QKI65619 QAL65605:QAM65619 PQP65605:PQQ65619 PGT65605:PGU65619 OWX65605:OWY65619 ONB65605:ONC65619 ODF65605:ODG65619 NTJ65605:NTK65619 NJN65605:NJO65619 MZR65605:MZS65619 MPV65605:MPW65619 MFZ65605:MGA65619 LWD65605:LWE65619 LMH65605:LMI65619 LCL65605:LCM65619 KSP65605:KSQ65619 KIT65605:KIU65619 JYX65605:JYY65619 JPB65605:JPC65619 JFF65605:JFG65619 IVJ65605:IVK65619 ILN65605:ILO65619 IBR65605:IBS65619 HRV65605:HRW65619 HHZ65605:HIA65619 GYD65605:GYE65619 GOH65605:GOI65619 GEL65605:GEM65619 FUP65605:FUQ65619 FKT65605:FKU65619 FAX65605:FAY65619 ERB65605:ERC65619 EHF65605:EHG65619 DXJ65605:DXK65619 DNN65605:DNO65619 DDR65605:DDS65619 CTV65605:CTW65619 CJZ65605:CKA65619 CAD65605:CAE65619 BQH65605:BQI65619 BGL65605:BGM65619 AWP65605:AWQ65619 AMT65605:AMU65619 ACX65605:ACY65619 TB65605:TC65619 JF65605:JG65619 WVP67:WVQ77 WVR78:WVS78 WVP79:WVQ82 WLT67:WLU77 WLV78:WLW78 WLT79:WLU82 WBX67:WBY77 WBZ78:WCA78 WBX79:WBY82 VSB67:VSC77 VSD78:VSE78 VSB79:VSC82 VIF67:VIG77 VIH78:VII78 VIF79:VIG82 UYJ67:UYK77 UYL78:UYM78 UYJ79:UYK82 UON67:UOO77 UOP78:UOQ78 UON79:UOO82 UER67:UES77 UET78:UEU78 UER79:UES82 TUV67:TUW77 TUX78:TUY78 TUV79:TUW82 TKZ67:TLA77 TLB78:TLC78 TKZ79:TLA82 TBD67:TBE77 TBF78:TBG78 TBD79:TBE82 SRH67:SRI77 SRJ78:SRK78 SRH79:SRI82 SHL67:SHM77 SHN78:SHO78 SHL79:SHM82 RXP67:RXQ77 RXR78:RXS78 RXP79:RXQ82 RNT67:RNU77 RNV78:RNW78 RNT79:RNU82 RDX67:RDY77 RDZ78:REA78 RDX79:RDY82 QUB67:QUC77 QUD78:QUE78 QUB79:QUC82 QKF67:QKG77 QKH78:QKI78 QKF79:QKG82 QAJ67:QAK77 QAL78:QAM78 QAJ79:QAK82 PQN67:PQO77 PQP78:PQQ78 PQN79:PQO82 PGR67:PGS77 PGT78:PGU78 PGR79:PGS82 OWV67:OWW77 OWX78:OWY78 OWV79:OWW82 OMZ67:ONA77 ONB78:ONC78 OMZ79:ONA82 ODD67:ODE77 ODF78:ODG78 ODD79:ODE82 NTH67:NTI77 NTJ78:NTK78 NTH79:NTI82 NJL67:NJM77 NJN78:NJO78 NJL79:NJM82 MZP67:MZQ77 MZR78:MZS78 MZP79:MZQ82 MPT67:MPU77 MPV78:MPW78 MPT79:MPU82 MFX67:MFY77 MFZ78:MGA78 MFX79:MFY82 LWB67:LWC77 LWD78:LWE78 LWB79:LWC82 LMF67:LMG77 LMH78:LMI78 LMF79:LMG82 LCJ67:LCK77 LCL78:LCM78 LCJ79:LCK82 KSN67:KSO77 KSP78:KSQ78 KSN79:KSO82 KIR67:KIS77 KIT78:KIU78 KIR79:KIS82 JYV67:JYW77 JYX78:JYY78 JYV79:JYW82 JOZ67:JPA77 JPB78:JPC78 JOZ79:JPA82 JFD67:JFE77 JFF78:JFG78 JFD79:JFE82 IVH67:IVI77 IVJ78:IVK78 IVH79:IVI82 ILL67:ILM77 ILN78:ILO78 ILL79:ILM82 IBP67:IBQ77 IBR78:IBS78 IBP79:IBQ82 HRT67:HRU77 HRV78:HRW78 HRT79:HRU82 HHX67:HHY77 HHZ78:HIA78 HHX79:HHY82 GYB67:GYC77 GYD78:GYE78 GYB79:GYC82 GOF67:GOG77 GOH78:GOI78 GOF79:GOG82 GEJ67:GEK77 GEL78:GEM78 GEJ79:GEK82 FUN67:FUO77 FUP78:FUQ78 FUN79:FUO82 FKR67:FKS77 FKT78:FKU78 FKR79:FKS82 FAV67:FAW77 FAX78:FAY78 FAV79:FAW82 EQZ67:ERA77 ERB78:ERC78 EQZ79:ERA82 EHD67:EHE77 EHF78:EHG78 EHD79:EHE82 DXH67:DXI77 DXJ78:DXK78 DXH79:DXI82 DNL67:DNM77 DNN78:DNO78 DNL79:DNM82 DDP67:DDQ77 DDR78:DDS78 DDP79:DDQ82 CTT67:CTU77 CTV78:CTW78 CTT79:CTU82 CJX67:CJY77 CJZ78:CKA78 CJX79:CJY82 CAB67:CAC77 CAD78:CAE78 CAB79:CAC82 BQF67:BQG77 BQH78:BQI78 BQF79:BQG82 BGJ67:BGK77 BGL78:BGM78 BGJ79:BGK82 AWN67:AWO77 AWP78:AWQ78 AWN79:AWO82 AMR67:AMS77 AMT78:AMU78 AMR79:AMS82 ACV67:ACW77 ACX78:ACY78 ACV79:ACW82 SZ67:TA77 TB78:TC78 SZ79:TA82 JD67:JE77 JF78:JG78 JD79:JE82 WVR983142:WVS983142 WLV983142:WLW983142 WBZ983142:WCA983142 VSD983142:VSE983142 VIH983142:VII983142 UYL983142:UYM983142 UOP983142:UOQ983142 UET983142:UEU983142 TUX983142:TUY983142 TLB983142:TLC983142 TBF983142:TBG983142 SRJ983142:SRK983142 SHN983142:SHO983142 RXR983142:RXS983142 RNV983142:RNW983142 RDZ983142:REA983142 QUD983142:QUE983142 QKH983142:QKI983142 QAL983142:QAM983142 PQP983142:PQQ983142 PGT983142:PGU983142 OWX983142:OWY983142 ONB983142:ONC983142 ODF983142:ODG983142 NTJ983142:NTK983142 NJN983142:NJO983142 MZR983142:MZS983142 MPV983142:MPW983142 MFZ983142:MGA983142 LWD983142:LWE983142 LMH983142:LMI983142 LCL983142:LCM983142 KSP983142:KSQ983142 KIT983142:KIU983142 JYX983142:JYY983142 JPB983142:JPC983142 JFF983142:JFG983142 IVJ983142:IVK983142 ILN983142:ILO983142 IBR983142:IBS983142 HRV983142:HRW983142 HHZ983142:HIA983142 GYD983142:GYE983142 GOH983142:GOI983142 GEL983142:GEM983142 FUP983142:FUQ983142 FKT983142:FKU983142 FAX983142:FAY983142 ERB983142:ERC983142 EHF983142:EHG983142 DXJ983142:DXK983142 DNN983142:DNO983142 DDR983142:DDS983142 CTV983142:CTW983142 CJZ983142:CKA983142 CAD983142:CAE983142 BQH983142:BQI983142 BGL983142:BGM983142 AWP983142:AWQ983142 AMT983142:AMU983142 ACX983142:ACY983142 TB983142:TC983142 JF983142:JG983142 WVR917606:WVS917606 WLV917606:WLW917606 WBZ917606:WCA917606 VSD917606:VSE917606 VIH917606:VII917606 UYL917606:UYM917606 UOP917606:UOQ917606 UET917606:UEU917606 TUX917606:TUY917606 TLB917606:TLC917606 TBF917606:TBG917606 SRJ917606:SRK917606 SHN917606:SHO917606 RXR917606:RXS917606 RNV917606:RNW917606 RDZ917606:REA917606 QUD917606:QUE917606 QKH917606:QKI917606 QAL917606:QAM917606 PQP917606:PQQ917606 PGT917606:PGU917606 OWX917606:OWY917606 ONB917606:ONC917606 ODF917606:ODG917606 NTJ917606:NTK917606 NJN917606:NJO917606 MZR917606:MZS917606 MPV917606:MPW917606 MFZ917606:MGA917606 LWD917606:LWE917606 LMH917606:LMI917606 LCL917606:LCM917606 KSP917606:KSQ917606 KIT917606:KIU917606 JYX917606:JYY917606 JPB917606:JPC917606 JFF917606:JFG917606 IVJ917606:IVK917606 ILN917606:ILO917606 IBR917606:IBS917606 HRV917606:HRW917606 HHZ917606:HIA917606 GYD917606:GYE917606 GOH917606:GOI917606 GEL917606:GEM917606 FUP917606:FUQ917606 FKT917606:FKU917606 FAX917606:FAY917606 ERB917606:ERC917606 EHF917606:EHG917606 DXJ917606:DXK917606 DNN917606:DNO917606 DDR917606:DDS917606 CTV917606:CTW917606 CJZ917606:CKA917606 CAD917606:CAE917606 BQH917606:BQI917606 BGL917606:BGM917606 AWP917606:AWQ917606 AMT917606:AMU917606 ACX917606:ACY917606 TB917606:TC917606 JF917606:JG917606 WVR852070:WVS852070 WLV852070:WLW852070 WBZ852070:WCA852070 VSD852070:VSE852070 VIH852070:VII852070 UYL852070:UYM852070 UOP852070:UOQ852070 UET852070:UEU852070 TUX852070:TUY852070 TLB852070:TLC852070 TBF852070:TBG852070 SRJ852070:SRK852070 SHN852070:SHO852070 RXR852070:RXS852070 RNV852070:RNW852070 RDZ852070:REA852070 QUD852070:QUE852070 QKH852070:QKI852070 QAL852070:QAM852070 PQP852070:PQQ852070 PGT852070:PGU852070 OWX852070:OWY852070 ONB852070:ONC852070 ODF852070:ODG852070 NTJ852070:NTK852070 NJN852070:NJO852070 MZR852070:MZS852070 MPV852070:MPW852070 MFZ852070:MGA852070 LWD852070:LWE852070 LMH852070:LMI852070 LCL852070:LCM852070 KSP852070:KSQ852070 KIT852070:KIU852070 JYX852070:JYY852070 JPB852070:JPC852070 JFF852070:JFG852070 IVJ852070:IVK852070 ILN852070:ILO852070 IBR852070:IBS852070 HRV852070:HRW852070 HHZ852070:HIA852070 GYD852070:GYE852070 GOH852070:GOI852070 GEL852070:GEM852070 FUP852070:FUQ852070 FKT852070:FKU852070 FAX852070:FAY852070 ERB852070:ERC852070 EHF852070:EHG852070 DXJ852070:DXK852070 DNN852070:DNO852070 DDR852070:DDS852070 CTV852070:CTW852070 CJZ852070:CKA852070 CAD852070:CAE852070 BQH852070:BQI852070 BGL852070:BGM852070 AWP852070:AWQ852070 AMT852070:AMU852070 ACX852070:ACY852070 TB852070:TC852070 JF852070:JG852070 WVR786534:WVS786534 WLV786534:WLW786534 WBZ786534:WCA786534 VSD786534:VSE786534 VIH786534:VII786534 UYL786534:UYM786534 UOP786534:UOQ786534 UET786534:UEU786534 TUX786534:TUY786534 TLB786534:TLC786534 TBF786534:TBG786534 SRJ786534:SRK786534 SHN786534:SHO786534 RXR786534:RXS786534 RNV786534:RNW786534 RDZ786534:REA786534 QUD786534:QUE786534 QKH786534:QKI786534 QAL786534:QAM786534 PQP786534:PQQ786534 PGT786534:PGU786534 OWX786534:OWY786534 ONB786534:ONC786534 ODF786534:ODG786534 NTJ786534:NTK786534 NJN786534:NJO786534 MZR786534:MZS786534 MPV786534:MPW786534 MFZ786534:MGA786534 LWD786534:LWE786534 LMH786534:LMI786534 LCL786534:LCM786534 KSP786534:KSQ786534 KIT786534:KIU786534 JYX786534:JYY786534 JPB786534:JPC786534 JFF786534:JFG786534 IVJ786534:IVK786534 ILN786534:ILO786534 IBR786534:IBS786534 HRV786534:HRW786534 HHZ786534:HIA786534 GYD786534:GYE786534 GOH786534:GOI786534 GEL786534:GEM786534 FUP786534:FUQ786534 FKT786534:FKU786534 FAX786534:FAY786534 ERB786534:ERC786534 EHF786534:EHG786534 DXJ786534:DXK786534 DNN786534:DNO786534 DDR786534:DDS786534 CTV786534:CTW786534 CJZ786534:CKA786534 CAD786534:CAE786534 BQH786534:BQI786534 BGL786534:BGM786534 AWP786534:AWQ786534 AMT786534:AMU786534 ACX786534:ACY786534 TB786534:TC786534 JF786534:JG786534 WVR720998:WVS720998 WLV720998:WLW720998 WBZ720998:WCA720998 VSD720998:VSE720998 VIH720998:VII720998 UYL720998:UYM720998 UOP720998:UOQ720998 UET720998:UEU720998 TUX720998:TUY720998 TLB720998:TLC720998 TBF720998:TBG720998 SRJ720998:SRK720998 SHN720998:SHO720998 RXR720998:RXS720998 RNV720998:RNW720998 RDZ720998:REA720998 QUD720998:QUE720998 QKH720998:QKI720998 QAL720998:QAM720998 PQP720998:PQQ720998 PGT720998:PGU720998 OWX720998:OWY720998 ONB720998:ONC720998 ODF720998:ODG720998 NTJ720998:NTK720998 NJN720998:NJO720998 MZR720998:MZS720998 MPV720998:MPW720998 MFZ720998:MGA720998 LWD720998:LWE720998 LMH720998:LMI720998 LCL720998:LCM720998 KSP720998:KSQ720998 KIT720998:KIU720998 JYX720998:JYY720998 JPB720998:JPC720998 JFF720998:JFG720998 IVJ720998:IVK720998 ILN720998:ILO720998 IBR720998:IBS720998 HRV720998:HRW720998 HHZ720998:HIA720998 GYD720998:GYE720998 GOH720998:GOI720998 GEL720998:GEM720998 FUP720998:FUQ720998 FKT720998:FKU720998 FAX720998:FAY720998 ERB720998:ERC720998 EHF720998:EHG720998 DXJ720998:DXK720998 DNN720998:DNO720998 DDR720998:DDS720998 CTV720998:CTW720998 CJZ720998:CKA720998 CAD720998:CAE720998 BQH720998:BQI720998 BGL720998:BGM720998 AWP720998:AWQ720998 AMT720998:AMU720998 ACX720998:ACY720998 TB720998:TC720998 JF720998:JG720998 WVR655462:WVS655462 WLV655462:WLW655462 WBZ655462:WCA655462 VSD655462:VSE655462 VIH655462:VII655462 UYL655462:UYM655462 UOP655462:UOQ655462 UET655462:UEU655462 TUX655462:TUY655462 TLB655462:TLC655462 TBF655462:TBG655462 SRJ655462:SRK655462 SHN655462:SHO655462 RXR655462:RXS655462 RNV655462:RNW655462 RDZ655462:REA655462 QUD655462:QUE655462 QKH655462:QKI655462 QAL655462:QAM655462 PQP655462:PQQ655462 PGT655462:PGU655462 OWX655462:OWY655462 ONB655462:ONC655462 ODF655462:ODG655462 NTJ655462:NTK655462 NJN655462:NJO655462 MZR655462:MZS655462 MPV655462:MPW655462 MFZ655462:MGA655462 LWD655462:LWE655462 LMH655462:LMI655462 LCL655462:LCM655462 KSP655462:KSQ655462 KIT655462:KIU655462 JYX655462:JYY655462 JPB655462:JPC655462 JFF655462:JFG655462 IVJ655462:IVK655462 ILN655462:ILO655462 IBR655462:IBS655462 HRV655462:HRW655462 HHZ655462:HIA655462 GYD655462:GYE655462 GOH655462:GOI655462 GEL655462:GEM655462 FUP655462:FUQ655462 FKT655462:FKU655462 FAX655462:FAY655462 ERB655462:ERC655462 EHF655462:EHG655462 DXJ655462:DXK655462 DNN655462:DNO655462 DDR655462:DDS655462 CTV655462:CTW655462 CJZ655462:CKA655462 CAD655462:CAE655462 BQH655462:BQI655462 BGL655462:BGM655462 AWP655462:AWQ655462 AMT655462:AMU655462 ACX655462:ACY655462 TB655462:TC655462 JF655462:JG655462 WVR589926:WVS589926 WLV589926:WLW589926 WBZ589926:WCA589926 VSD589926:VSE589926 VIH589926:VII589926 UYL589926:UYM589926 UOP589926:UOQ589926 UET589926:UEU589926 TUX589926:TUY589926 TLB589926:TLC589926 TBF589926:TBG589926 SRJ589926:SRK589926 SHN589926:SHO589926 RXR589926:RXS589926 RNV589926:RNW589926 RDZ589926:REA589926 QUD589926:QUE589926 QKH589926:QKI589926 QAL589926:QAM589926 PQP589926:PQQ589926 PGT589926:PGU589926 OWX589926:OWY589926 ONB589926:ONC589926 ODF589926:ODG589926 NTJ589926:NTK589926 NJN589926:NJO589926 MZR589926:MZS589926 MPV589926:MPW589926 MFZ589926:MGA589926 LWD589926:LWE589926 LMH589926:LMI589926 LCL589926:LCM589926 KSP589926:KSQ589926 KIT589926:KIU589926 JYX589926:JYY589926 JPB589926:JPC589926 JFF589926:JFG589926 IVJ589926:IVK589926 ILN589926:ILO589926 IBR589926:IBS589926 HRV589926:HRW589926 HHZ589926:HIA589926 GYD589926:GYE589926 GOH589926:GOI589926 GEL589926:GEM589926 FUP589926:FUQ589926 FKT589926:FKU589926 FAX589926:FAY589926 ERB589926:ERC589926 EHF589926:EHG589926 DXJ589926:DXK589926 DNN589926:DNO589926 DDR589926:DDS589926 CTV589926:CTW589926 CJZ589926:CKA589926 CAD589926:CAE589926 BQH589926:BQI589926 BGL589926:BGM589926 AWP589926:AWQ589926 AMT589926:AMU589926 ACX589926:ACY589926 TB589926:TC589926 JF589926:JG589926 WVR524390:WVS524390 WLV524390:WLW524390 WBZ524390:WCA524390 VSD524390:VSE524390 VIH524390:VII524390 UYL524390:UYM524390 UOP524390:UOQ524390 UET524390:UEU524390 TUX524390:TUY524390 TLB524390:TLC524390 TBF524390:TBG524390 SRJ524390:SRK524390 SHN524390:SHO524390 RXR524390:RXS524390 RNV524390:RNW524390 RDZ524390:REA524390 QUD524390:QUE524390 QKH524390:QKI524390 QAL524390:QAM524390 PQP524390:PQQ524390 PGT524390:PGU524390 OWX524390:OWY524390 ONB524390:ONC524390 ODF524390:ODG524390 NTJ524390:NTK524390 NJN524390:NJO524390 MZR524390:MZS524390 MPV524390:MPW524390 MFZ524390:MGA524390 LWD524390:LWE524390 LMH524390:LMI524390 LCL524390:LCM524390 KSP524390:KSQ524390 KIT524390:KIU524390 JYX524390:JYY524390 JPB524390:JPC524390 JFF524390:JFG524390 IVJ524390:IVK524390 ILN524390:ILO524390 IBR524390:IBS524390 HRV524390:HRW524390 HHZ524390:HIA524390 GYD524390:GYE524390 GOH524390:GOI524390 GEL524390:GEM524390 FUP524390:FUQ524390 FKT524390:FKU524390 FAX524390:FAY524390 ERB524390:ERC524390 EHF524390:EHG524390 DXJ524390:DXK524390 DNN524390:DNO524390 DDR524390:DDS524390 CTV524390:CTW524390 CJZ524390:CKA524390 CAD524390:CAE524390 BQH524390:BQI524390 BGL524390:BGM524390 AWP524390:AWQ524390 AMT524390:AMU524390 ACX524390:ACY524390 TB524390:TC524390 JF524390:JG524390 WVR458854:WVS458854 WLV458854:WLW458854 WBZ458854:WCA458854 VSD458854:VSE458854 VIH458854:VII458854 UYL458854:UYM458854 UOP458854:UOQ458854 UET458854:UEU458854 TUX458854:TUY458854 TLB458854:TLC458854 TBF458854:TBG458854 SRJ458854:SRK458854 SHN458854:SHO458854 RXR458854:RXS458854 RNV458854:RNW458854 RDZ458854:REA458854 QUD458854:QUE458854 QKH458854:QKI458854 QAL458854:QAM458854 PQP458854:PQQ458854 PGT458854:PGU458854 OWX458854:OWY458854 ONB458854:ONC458854 ODF458854:ODG458854 NTJ458854:NTK458854 NJN458854:NJO458854 MZR458854:MZS458854 MPV458854:MPW458854 MFZ458854:MGA458854 LWD458854:LWE458854 LMH458854:LMI458854 LCL458854:LCM458854 KSP458854:KSQ458854 KIT458854:KIU458854 JYX458854:JYY458854 JPB458854:JPC458854 JFF458854:JFG458854 IVJ458854:IVK458854 ILN458854:ILO458854 IBR458854:IBS458854 HRV458854:HRW458854 HHZ458854:HIA458854 GYD458854:GYE458854 GOH458854:GOI458854 GEL458854:GEM458854 FUP458854:FUQ458854 FKT458854:FKU458854 FAX458854:FAY458854 ERB458854:ERC458854 EHF458854:EHG458854 DXJ458854:DXK458854 DNN458854:DNO458854 DDR458854:DDS458854 CTV458854:CTW458854 CJZ458854:CKA458854 CAD458854:CAE458854 BQH458854:BQI458854 BGL458854:BGM458854 AWP458854:AWQ458854 AMT458854:AMU458854 ACX458854:ACY458854 TB458854:TC458854 JF458854:JG458854 WVR393318:WVS393318 WLV393318:WLW393318 WBZ393318:WCA393318 VSD393318:VSE393318 VIH393318:VII393318 UYL393318:UYM393318 UOP393318:UOQ393318 UET393318:UEU393318 TUX393318:TUY393318 TLB393318:TLC393318 TBF393318:TBG393318 SRJ393318:SRK393318 SHN393318:SHO393318 RXR393318:RXS393318 RNV393318:RNW393318 RDZ393318:REA393318 QUD393318:QUE393318 QKH393318:QKI393318 QAL393318:QAM393318 PQP393318:PQQ393318 PGT393318:PGU393318 OWX393318:OWY393318 ONB393318:ONC393318 ODF393318:ODG393318 NTJ393318:NTK393318 NJN393318:NJO393318 MZR393318:MZS393318 MPV393318:MPW393318 MFZ393318:MGA393318 LWD393318:LWE393318 LMH393318:LMI393318 LCL393318:LCM393318 KSP393318:KSQ393318 KIT393318:KIU393318 JYX393318:JYY393318 JPB393318:JPC393318 JFF393318:JFG393318 IVJ393318:IVK393318 ILN393318:ILO393318 IBR393318:IBS393318 HRV393318:HRW393318 HHZ393318:HIA393318 GYD393318:GYE393318 GOH393318:GOI393318 GEL393318:GEM393318 FUP393318:FUQ393318 FKT393318:FKU393318 FAX393318:FAY393318 ERB393318:ERC393318 EHF393318:EHG393318 DXJ393318:DXK393318 DNN393318:DNO393318 DDR393318:DDS393318 CTV393318:CTW393318 CJZ393318:CKA393318 CAD393318:CAE393318 BQH393318:BQI393318 BGL393318:BGM393318 AWP393318:AWQ393318 AMT393318:AMU393318 ACX393318:ACY393318 TB393318:TC393318 JF393318:JG393318 WVR327782:WVS327782 WLV327782:WLW327782 WBZ327782:WCA327782 VSD327782:VSE327782 VIH327782:VII327782 UYL327782:UYM327782 UOP327782:UOQ327782 UET327782:UEU327782 TUX327782:TUY327782 TLB327782:TLC327782 TBF327782:TBG327782 SRJ327782:SRK327782 SHN327782:SHO327782 RXR327782:RXS327782 RNV327782:RNW327782 RDZ327782:REA327782 QUD327782:QUE327782 QKH327782:QKI327782 QAL327782:QAM327782 PQP327782:PQQ327782 PGT327782:PGU327782 OWX327782:OWY327782 ONB327782:ONC327782 ODF327782:ODG327782 NTJ327782:NTK327782 NJN327782:NJO327782 MZR327782:MZS327782 MPV327782:MPW327782 MFZ327782:MGA327782 LWD327782:LWE327782 LMH327782:LMI327782 LCL327782:LCM327782 KSP327782:KSQ327782 KIT327782:KIU327782 JYX327782:JYY327782 JPB327782:JPC327782 JFF327782:JFG327782 IVJ327782:IVK327782 ILN327782:ILO327782 IBR327782:IBS327782 HRV327782:HRW327782 HHZ327782:HIA327782 GYD327782:GYE327782 GOH327782:GOI327782 GEL327782:GEM327782 FUP327782:FUQ327782 FKT327782:FKU327782 FAX327782:FAY327782 ERB327782:ERC327782 EHF327782:EHG327782 DXJ327782:DXK327782 DNN327782:DNO327782 DDR327782:DDS327782 CTV327782:CTW327782 CJZ327782:CKA327782 CAD327782:CAE327782 BQH327782:BQI327782 BGL327782:BGM327782 AWP327782:AWQ327782 AMT327782:AMU327782 ACX327782:ACY327782 TB327782:TC327782 JF327782:JG327782 WVR262246:WVS262246 WLV262246:WLW262246 WBZ262246:WCA262246 VSD262246:VSE262246 VIH262246:VII262246 UYL262246:UYM262246 UOP262246:UOQ262246 UET262246:UEU262246 TUX262246:TUY262246 TLB262246:TLC262246 TBF262246:TBG262246 SRJ262246:SRK262246 SHN262246:SHO262246 RXR262246:RXS262246 RNV262246:RNW262246 RDZ262246:REA262246 QUD262246:QUE262246 QKH262246:QKI262246 QAL262246:QAM262246 PQP262246:PQQ262246 PGT262246:PGU262246 OWX262246:OWY262246 ONB262246:ONC262246 ODF262246:ODG262246 NTJ262246:NTK262246 NJN262246:NJO262246 MZR262246:MZS262246 MPV262246:MPW262246 MFZ262246:MGA262246 LWD262246:LWE262246 LMH262246:LMI262246 LCL262246:LCM262246 KSP262246:KSQ262246 KIT262246:KIU262246 JYX262246:JYY262246 JPB262246:JPC262246 JFF262246:JFG262246 IVJ262246:IVK262246 ILN262246:ILO262246 IBR262246:IBS262246 HRV262246:HRW262246 HHZ262246:HIA262246 GYD262246:GYE262246 GOH262246:GOI262246 GEL262246:GEM262246 FUP262246:FUQ262246 FKT262246:FKU262246 FAX262246:FAY262246 ERB262246:ERC262246 EHF262246:EHG262246 DXJ262246:DXK262246 DNN262246:DNO262246 DDR262246:DDS262246 CTV262246:CTW262246 CJZ262246:CKA262246 CAD262246:CAE262246 BQH262246:BQI262246 BGL262246:BGM262246 AWP262246:AWQ262246 AMT262246:AMU262246 ACX262246:ACY262246 TB262246:TC262246 JF262246:JG262246 WVR196710:WVS196710 WLV196710:WLW196710 WBZ196710:WCA196710 VSD196710:VSE196710 VIH196710:VII196710 UYL196710:UYM196710 UOP196710:UOQ196710 UET196710:UEU196710 TUX196710:TUY196710 TLB196710:TLC196710 TBF196710:TBG196710 SRJ196710:SRK196710 SHN196710:SHO196710 RXR196710:RXS196710 RNV196710:RNW196710 RDZ196710:REA196710 QUD196710:QUE196710 QKH196710:QKI196710 QAL196710:QAM196710 PQP196710:PQQ196710 PGT196710:PGU196710 OWX196710:OWY196710 ONB196710:ONC196710 ODF196710:ODG196710 NTJ196710:NTK196710 NJN196710:NJO196710 MZR196710:MZS196710 MPV196710:MPW196710 MFZ196710:MGA196710 LWD196710:LWE196710 LMH196710:LMI196710 LCL196710:LCM196710 KSP196710:KSQ196710 KIT196710:KIU196710 JYX196710:JYY196710 JPB196710:JPC196710 JFF196710:JFG196710 IVJ196710:IVK196710 ILN196710:ILO196710 IBR196710:IBS196710 HRV196710:HRW196710 HHZ196710:HIA196710 GYD196710:GYE196710 GOH196710:GOI196710 GEL196710:GEM196710 FUP196710:FUQ196710 FKT196710:FKU196710 FAX196710:FAY196710 ERB196710:ERC196710 EHF196710:EHG196710 DXJ196710:DXK196710 DNN196710:DNO196710 DDR196710:DDS196710 CTV196710:CTW196710 CJZ196710:CKA196710 CAD196710:CAE196710 BQH196710:BQI196710 BGL196710:BGM196710 AWP196710:AWQ196710 AMT196710:AMU196710 ACX196710:ACY196710 TB196710:TC196710 JF196710:JG196710 WVR131174:WVS131174 WLV131174:WLW131174 WBZ131174:WCA131174 VSD131174:VSE131174 VIH131174:VII131174 UYL131174:UYM131174 UOP131174:UOQ131174 UET131174:UEU131174 TUX131174:TUY131174 TLB131174:TLC131174 TBF131174:TBG131174 SRJ131174:SRK131174 SHN131174:SHO131174 RXR131174:RXS131174 RNV131174:RNW131174 RDZ131174:REA131174 QUD131174:QUE131174 QKH131174:QKI131174 QAL131174:QAM131174 PQP131174:PQQ131174 PGT131174:PGU131174 OWX131174:OWY131174 ONB131174:ONC131174 ODF131174:ODG131174 NTJ131174:NTK131174 NJN131174:NJO131174 MZR131174:MZS131174 MPV131174:MPW131174 MFZ131174:MGA131174 LWD131174:LWE131174 LMH131174:LMI131174 LCL131174:LCM131174 KSP131174:KSQ131174 KIT131174:KIU131174 JYX131174:JYY131174 JPB131174:JPC131174 JFF131174:JFG131174 IVJ131174:IVK131174 ILN131174:ILO131174 IBR131174:IBS131174 HRV131174:HRW131174 HHZ131174:HIA131174 GYD131174:GYE131174 GOH131174:GOI131174 GEL131174:GEM131174 FUP131174:FUQ131174 FKT131174:FKU131174 FAX131174:FAY131174 ERB131174:ERC131174 EHF131174:EHG131174 DXJ131174:DXK131174 DNN131174:DNO131174 DDR131174:DDS131174 CTV131174:CTW131174 CJZ131174:CKA131174 CAD131174:CAE131174 BQH131174:BQI131174 BGL131174:BGM131174 AWP131174:AWQ131174 AMT131174:AMU131174 ACX131174:ACY131174 TB131174:TC131174 JF131174:JG131174 WVR65638:WVS65638 WLV65638:WLW65638 WBZ65638:WCA65638 VSD65638:VSE65638 VIH65638:VII65638 UYL65638:UYM65638 UOP65638:UOQ65638 UET65638:UEU65638 TUX65638:TUY65638 TLB65638:TLC65638 TBF65638:TBG65638 SRJ65638:SRK65638 SHN65638:SHO65638 RXR65638:RXS65638 RNV65638:RNW65638 RDZ65638:REA65638 QUD65638:QUE65638 QKH65638:QKI65638 QAL65638:QAM65638 PQP65638:PQQ65638 PGT65638:PGU65638 OWX65638:OWY65638 ONB65638:ONC65638 ODF65638:ODG65638 NTJ65638:NTK65638 NJN65638:NJO65638 MZR65638:MZS65638 MPV65638:MPW65638 MFZ65638:MGA65638 LWD65638:LWE65638 LMH65638:LMI65638 LCL65638:LCM65638 KSP65638:KSQ65638 KIT65638:KIU65638 JYX65638:JYY65638 JPB65638:JPC65638 JFF65638:JFG65638 IVJ65638:IVK65638 ILN65638:ILO65638 IBR65638:IBS65638 HRV65638:HRW65638 HHZ65638:HIA65638 GYD65638:GYE65638 GOH65638:GOI65638 GEL65638:GEM65638 FUP65638:FUQ65638 FKT65638:FKU65638 FAX65638:FAY65638 ERB65638:ERC65638 EHF65638:EHG65638 DXJ65638:DXK65638 DNN65638:DNO65638 DDR65638:DDS65638 CTV65638:CTW65638 CJZ65638:CKA65638 CAD65638:CAE65638 BQH65638:BQI65638 BGL65638:BGM65638 AWP65638:AWQ65638 AMT65638:AMU65638 ACX65638:ACY65638 TB65638:TC65638 JF65638:JG65638 K96:K97 WVP96:WVQ102 WLT96:WLU102 WBX96:WBY102 VSB96:VSC102 VIF96:VIG102 UYJ96:UYK102 UON96:UOO102 UER96:UES102 TUV96:TUW102 TKZ96:TLA102 TBD96:TBE102 SRH96:SRI102 SHL96:SHM102 RXP96:RXQ102 RNT96:RNU102 RDX96:RDY102 QUB96:QUC102 QKF96:QKG102 QAJ96:QAK102 PQN96:PQO102 PGR96:PGS102 OWV96:OWW102 OMZ96:ONA102 ODD96:ODE102 NTH96:NTI102 NJL96:NJM102 MZP96:MZQ102 MPT96:MPU102 MFX96:MFY102 LWB96:LWC102 LMF96:LMG102 LCJ96:LCK102 KSN96:KSO102 KIR96:KIS102 JYV96:JYW102 JOZ96:JPA102 JFD96:JFE102 IVH96:IVI102 ILL96:ILM102 IBP96:IBQ102 HRT96:HRU102 HHX96:HHY102 GYB96:GYC102 GOF96:GOG102 GEJ96:GEK102 FUN96:FUO102 FKR96:FKS102 FAV96:FAW102 EQZ96:ERA102 EHD96:EHE102 DXH96:DXI102 DNL96:DNM102 DDP96:DDQ102 CTT96:CTU102 CJX96:CJY102 CAB96:CAC102 BQF96:BQG102 BGJ96:BGK102 AWN96:AWO102 AMR96:AMS102 ACV96:ACW102 SZ96:TA102">
      <formula1>$S$118:$S$121</formula1>
    </dataValidation>
  </dataValidations>
  <hyperlinks>
    <hyperlink ref="A1" location="'T&amp;V TOC'!A1" display="TOC"/>
  </hyperlinks>
  <pageMargins left="0.25" right="0.25" top="0.75" bottom="0.75" header="0.3" footer="0.3"/>
  <pageSetup scale="47" orientation="portrait" r:id="rId1"/>
  <headerFooter alignWithMargins="0"/>
  <legacyDrawingHF r:id="rId2"/>
</worksheet>
</file>

<file path=xl/worksheets/sheet31.xml><?xml version="1.0" encoding="utf-8"?>
<worksheet xmlns="http://schemas.openxmlformats.org/spreadsheetml/2006/main" xmlns:r="http://schemas.openxmlformats.org/officeDocument/2006/relationships">
  <sheetPr>
    <tabColor theme="3" tint="0.59999389629810485"/>
  </sheetPr>
  <dimension ref="A1:BO52"/>
  <sheetViews>
    <sheetView showGridLines="0" view="pageBreakPreview" zoomScaleNormal="100" zoomScaleSheetLayoutView="100" workbookViewId="0"/>
  </sheetViews>
  <sheetFormatPr defaultRowHeight="12"/>
  <cols>
    <col min="1" max="1" width="11" style="1119" customWidth="1"/>
    <col min="2" max="2" width="13" style="1119" customWidth="1"/>
    <col min="3" max="3" width="25.42578125" style="1119" customWidth="1"/>
    <col min="4" max="4" width="24.42578125" style="1119" customWidth="1"/>
    <col min="5" max="5" width="10.28515625" style="1119" customWidth="1"/>
    <col min="6" max="6" width="15.85546875" style="1119" customWidth="1"/>
    <col min="7" max="7" width="10.140625" style="1119" customWidth="1"/>
    <col min="8" max="8" width="12.42578125" style="1119" customWidth="1"/>
    <col min="9" max="9" width="14" style="1119" customWidth="1"/>
    <col min="10" max="10" width="5.85546875" style="1119" customWidth="1"/>
    <col min="11" max="11" width="30" style="1119" customWidth="1"/>
    <col min="12" max="14" width="9.140625" style="1119"/>
    <col min="15" max="15" width="9.140625" style="1119" hidden="1" customWidth="1"/>
    <col min="16" max="254" width="9.140625" style="1119"/>
    <col min="255" max="255" width="11" style="1119" customWidth="1"/>
    <col min="256" max="256" width="20" style="1119" customWidth="1"/>
    <col min="257" max="257" width="20.42578125" style="1119" customWidth="1"/>
    <col min="258" max="258" width="20.28515625" style="1119" customWidth="1"/>
    <col min="259" max="259" width="12.42578125" style="1119" customWidth="1"/>
    <col min="260" max="260" width="11.42578125" style="1119" customWidth="1"/>
    <col min="261" max="261" width="10.140625" style="1119" customWidth="1"/>
    <col min="262" max="262" width="12.42578125" style="1119" customWidth="1"/>
    <col min="263" max="263" width="14" style="1119" customWidth="1"/>
    <col min="264" max="264" width="14.5703125" style="1119" customWidth="1"/>
    <col min="265" max="265" width="5.7109375" style="1119" customWidth="1"/>
    <col min="266" max="266" width="7" style="1119" customWidth="1"/>
    <col min="267" max="267" width="33" style="1119" customWidth="1"/>
    <col min="268" max="270" width="9.140625" style="1119"/>
    <col min="271" max="271" width="0" style="1119" hidden="1" customWidth="1"/>
    <col min="272" max="510" width="9.140625" style="1119"/>
    <col min="511" max="511" width="11" style="1119" customWidth="1"/>
    <col min="512" max="512" width="20" style="1119" customWidth="1"/>
    <col min="513" max="513" width="20.42578125" style="1119" customWidth="1"/>
    <col min="514" max="514" width="20.28515625" style="1119" customWidth="1"/>
    <col min="515" max="515" width="12.42578125" style="1119" customWidth="1"/>
    <col min="516" max="516" width="11.42578125" style="1119" customWidth="1"/>
    <col min="517" max="517" width="10.140625" style="1119" customWidth="1"/>
    <col min="518" max="518" width="12.42578125" style="1119" customWidth="1"/>
    <col min="519" max="519" width="14" style="1119" customWidth="1"/>
    <col min="520" max="520" width="14.5703125" style="1119" customWidth="1"/>
    <col min="521" max="521" width="5.7109375" style="1119" customWidth="1"/>
    <col min="522" max="522" width="7" style="1119" customWidth="1"/>
    <col min="523" max="523" width="33" style="1119" customWidth="1"/>
    <col min="524" max="526" width="9.140625" style="1119"/>
    <col min="527" max="527" width="0" style="1119" hidden="1" customWidth="1"/>
    <col min="528" max="766" width="9.140625" style="1119"/>
    <col min="767" max="767" width="11" style="1119" customWidth="1"/>
    <col min="768" max="768" width="20" style="1119" customWidth="1"/>
    <col min="769" max="769" width="20.42578125" style="1119" customWidth="1"/>
    <col min="770" max="770" width="20.28515625" style="1119" customWidth="1"/>
    <col min="771" max="771" width="12.42578125" style="1119" customWidth="1"/>
    <col min="772" max="772" width="11.42578125" style="1119" customWidth="1"/>
    <col min="773" max="773" width="10.140625" style="1119" customWidth="1"/>
    <col min="774" max="774" width="12.42578125" style="1119" customWidth="1"/>
    <col min="775" max="775" width="14" style="1119" customWidth="1"/>
    <col min="776" max="776" width="14.5703125" style="1119" customWidth="1"/>
    <col min="777" max="777" width="5.7109375" style="1119" customWidth="1"/>
    <col min="778" max="778" width="7" style="1119" customWidth="1"/>
    <col min="779" max="779" width="33" style="1119" customWidth="1"/>
    <col min="780" max="782" width="9.140625" style="1119"/>
    <col min="783" max="783" width="0" style="1119" hidden="1" customWidth="1"/>
    <col min="784" max="1022" width="9.140625" style="1119"/>
    <col min="1023" max="1023" width="11" style="1119" customWidth="1"/>
    <col min="1024" max="1024" width="20" style="1119" customWidth="1"/>
    <col min="1025" max="1025" width="20.42578125" style="1119" customWidth="1"/>
    <col min="1026" max="1026" width="20.28515625" style="1119" customWidth="1"/>
    <col min="1027" max="1027" width="12.42578125" style="1119" customWidth="1"/>
    <col min="1028" max="1028" width="11.42578125" style="1119" customWidth="1"/>
    <col min="1029" max="1029" width="10.140625" style="1119" customWidth="1"/>
    <col min="1030" max="1030" width="12.42578125" style="1119" customWidth="1"/>
    <col min="1031" max="1031" width="14" style="1119" customWidth="1"/>
    <col min="1032" max="1032" width="14.5703125" style="1119" customWidth="1"/>
    <col min="1033" max="1033" width="5.7109375" style="1119" customWidth="1"/>
    <col min="1034" max="1034" width="7" style="1119" customWidth="1"/>
    <col min="1035" max="1035" width="33" style="1119" customWidth="1"/>
    <col min="1036" max="1038" width="9.140625" style="1119"/>
    <col min="1039" max="1039" width="0" style="1119" hidden="1" customWidth="1"/>
    <col min="1040" max="1278" width="9.140625" style="1119"/>
    <col min="1279" max="1279" width="11" style="1119" customWidth="1"/>
    <col min="1280" max="1280" width="20" style="1119" customWidth="1"/>
    <col min="1281" max="1281" width="20.42578125" style="1119" customWidth="1"/>
    <col min="1282" max="1282" width="20.28515625" style="1119" customWidth="1"/>
    <col min="1283" max="1283" width="12.42578125" style="1119" customWidth="1"/>
    <col min="1284" max="1284" width="11.42578125" style="1119" customWidth="1"/>
    <col min="1285" max="1285" width="10.140625" style="1119" customWidth="1"/>
    <col min="1286" max="1286" width="12.42578125" style="1119" customWidth="1"/>
    <col min="1287" max="1287" width="14" style="1119" customWidth="1"/>
    <col min="1288" max="1288" width="14.5703125" style="1119" customWidth="1"/>
    <col min="1289" max="1289" width="5.7109375" style="1119" customWidth="1"/>
    <col min="1290" max="1290" width="7" style="1119" customWidth="1"/>
    <col min="1291" max="1291" width="33" style="1119" customWidth="1"/>
    <col min="1292" max="1294" width="9.140625" style="1119"/>
    <col min="1295" max="1295" width="0" style="1119" hidden="1" customWidth="1"/>
    <col min="1296" max="1534" width="9.140625" style="1119"/>
    <col min="1535" max="1535" width="11" style="1119" customWidth="1"/>
    <col min="1536" max="1536" width="20" style="1119" customWidth="1"/>
    <col min="1537" max="1537" width="20.42578125" style="1119" customWidth="1"/>
    <col min="1538" max="1538" width="20.28515625" style="1119" customWidth="1"/>
    <col min="1539" max="1539" width="12.42578125" style="1119" customWidth="1"/>
    <col min="1540" max="1540" width="11.42578125" style="1119" customWidth="1"/>
    <col min="1541" max="1541" width="10.140625" style="1119" customWidth="1"/>
    <col min="1542" max="1542" width="12.42578125" style="1119" customWidth="1"/>
    <col min="1543" max="1543" width="14" style="1119" customWidth="1"/>
    <col min="1544" max="1544" width="14.5703125" style="1119" customWidth="1"/>
    <col min="1545" max="1545" width="5.7109375" style="1119" customWidth="1"/>
    <col min="1546" max="1546" width="7" style="1119" customWidth="1"/>
    <col min="1547" max="1547" width="33" style="1119" customWidth="1"/>
    <col min="1548" max="1550" width="9.140625" style="1119"/>
    <col min="1551" max="1551" width="0" style="1119" hidden="1" customWidth="1"/>
    <col min="1552" max="1790" width="9.140625" style="1119"/>
    <col min="1791" max="1791" width="11" style="1119" customWidth="1"/>
    <col min="1792" max="1792" width="20" style="1119" customWidth="1"/>
    <col min="1793" max="1793" width="20.42578125" style="1119" customWidth="1"/>
    <col min="1794" max="1794" width="20.28515625" style="1119" customWidth="1"/>
    <col min="1795" max="1795" width="12.42578125" style="1119" customWidth="1"/>
    <col min="1796" max="1796" width="11.42578125" style="1119" customWidth="1"/>
    <col min="1797" max="1797" width="10.140625" style="1119" customWidth="1"/>
    <col min="1798" max="1798" width="12.42578125" style="1119" customWidth="1"/>
    <col min="1799" max="1799" width="14" style="1119" customWidth="1"/>
    <col min="1800" max="1800" width="14.5703125" style="1119" customWidth="1"/>
    <col min="1801" max="1801" width="5.7109375" style="1119" customWidth="1"/>
    <col min="1802" max="1802" width="7" style="1119" customWidth="1"/>
    <col min="1803" max="1803" width="33" style="1119" customWidth="1"/>
    <col min="1804" max="1806" width="9.140625" style="1119"/>
    <col min="1807" max="1807" width="0" style="1119" hidden="1" customWidth="1"/>
    <col min="1808" max="2046" width="9.140625" style="1119"/>
    <col min="2047" max="2047" width="11" style="1119" customWidth="1"/>
    <col min="2048" max="2048" width="20" style="1119" customWidth="1"/>
    <col min="2049" max="2049" width="20.42578125" style="1119" customWidth="1"/>
    <col min="2050" max="2050" width="20.28515625" style="1119" customWidth="1"/>
    <col min="2051" max="2051" width="12.42578125" style="1119" customWidth="1"/>
    <col min="2052" max="2052" width="11.42578125" style="1119" customWidth="1"/>
    <col min="2053" max="2053" width="10.140625" style="1119" customWidth="1"/>
    <col min="2054" max="2054" width="12.42578125" style="1119" customWidth="1"/>
    <col min="2055" max="2055" width="14" style="1119" customWidth="1"/>
    <col min="2056" max="2056" width="14.5703125" style="1119" customWidth="1"/>
    <col min="2057" max="2057" width="5.7109375" style="1119" customWidth="1"/>
    <col min="2058" max="2058" width="7" style="1119" customWidth="1"/>
    <col min="2059" max="2059" width="33" style="1119" customWidth="1"/>
    <col min="2060" max="2062" width="9.140625" style="1119"/>
    <col min="2063" max="2063" width="0" style="1119" hidden="1" customWidth="1"/>
    <col min="2064" max="2302" width="9.140625" style="1119"/>
    <col min="2303" max="2303" width="11" style="1119" customWidth="1"/>
    <col min="2304" max="2304" width="20" style="1119" customWidth="1"/>
    <col min="2305" max="2305" width="20.42578125" style="1119" customWidth="1"/>
    <col min="2306" max="2306" width="20.28515625" style="1119" customWidth="1"/>
    <col min="2307" max="2307" width="12.42578125" style="1119" customWidth="1"/>
    <col min="2308" max="2308" width="11.42578125" style="1119" customWidth="1"/>
    <col min="2309" max="2309" width="10.140625" style="1119" customWidth="1"/>
    <col min="2310" max="2310" width="12.42578125" style="1119" customWidth="1"/>
    <col min="2311" max="2311" width="14" style="1119" customWidth="1"/>
    <col min="2312" max="2312" width="14.5703125" style="1119" customWidth="1"/>
    <col min="2313" max="2313" width="5.7109375" style="1119" customWidth="1"/>
    <col min="2314" max="2314" width="7" style="1119" customWidth="1"/>
    <col min="2315" max="2315" width="33" style="1119" customWidth="1"/>
    <col min="2316" max="2318" width="9.140625" style="1119"/>
    <col min="2319" max="2319" width="0" style="1119" hidden="1" customWidth="1"/>
    <col min="2320" max="2558" width="9.140625" style="1119"/>
    <col min="2559" max="2559" width="11" style="1119" customWidth="1"/>
    <col min="2560" max="2560" width="20" style="1119" customWidth="1"/>
    <col min="2561" max="2561" width="20.42578125" style="1119" customWidth="1"/>
    <col min="2562" max="2562" width="20.28515625" style="1119" customWidth="1"/>
    <col min="2563" max="2563" width="12.42578125" style="1119" customWidth="1"/>
    <col min="2564" max="2564" width="11.42578125" style="1119" customWidth="1"/>
    <col min="2565" max="2565" width="10.140625" style="1119" customWidth="1"/>
    <col min="2566" max="2566" width="12.42578125" style="1119" customWidth="1"/>
    <col min="2567" max="2567" width="14" style="1119" customWidth="1"/>
    <col min="2568" max="2568" width="14.5703125" style="1119" customWidth="1"/>
    <col min="2569" max="2569" width="5.7109375" style="1119" customWidth="1"/>
    <col min="2570" max="2570" width="7" style="1119" customWidth="1"/>
    <col min="2571" max="2571" width="33" style="1119" customWidth="1"/>
    <col min="2572" max="2574" width="9.140625" style="1119"/>
    <col min="2575" max="2575" width="0" style="1119" hidden="1" customWidth="1"/>
    <col min="2576" max="2814" width="9.140625" style="1119"/>
    <col min="2815" max="2815" width="11" style="1119" customWidth="1"/>
    <col min="2816" max="2816" width="20" style="1119" customWidth="1"/>
    <col min="2817" max="2817" width="20.42578125" style="1119" customWidth="1"/>
    <col min="2818" max="2818" width="20.28515625" style="1119" customWidth="1"/>
    <col min="2819" max="2819" width="12.42578125" style="1119" customWidth="1"/>
    <col min="2820" max="2820" width="11.42578125" style="1119" customWidth="1"/>
    <col min="2821" max="2821" width="10.140625" style="1119" customWidth="1"/>
    <col min="2822" max="2822" width="12.42578125" style="1119" customWidth="1"/>
    <col min="2823" max="2823" width="14" style="1119" customWidth="1"/>
    <col min="2824" max="2824" width="14.5703125" style="1119" customWidth="1"/>
    <col min="2825" max="2825" width="5.7109375" style="1119" customWidth="1"/>
    <col min="2826" max="2826" width="7" style="1119" customWidth="1"/>
    <col min="2827" max="2827" width="33" style="1119" customWidth="1"/>
    <col min="2828" max="2830" width="9.140625" style="1119"/>
    <col min="2831" max="2831" width="0" style="1119" hidden="1" customWidth="1"/>
    <col min="2832" max="3070" width="9.140625" style="1119"/>
    <col min="3071" max="3071" width="11" style="1119" customWidth="1"/>
    <col min="3072" max="3072" width="20" style="1119" customWidth="1"/>
    <col min="3073" max="3073" width="20.42578125" style="1119" customWidth="1"/>
    <col min="3074" max="3074" width="20.28515625" style="1119" customWidth="1"/>
    <col min="3075" max="3075" width="12.42578125" style="1119" customWidth="1"/>
    <col min="3076" max="3076" width="11.42578125" style="1119" customWidth="1"/>
    <col min="3077" max="3077" width="10.140625" style="1119" customWidth="1"/>
    <col min="3078" max="3078" width="12.42578125" style="1119" customWidth="1"/>
    <col min="3079" max="3079" width="14" style="1119" customWidth="1"/>
    <col min="3080" max="3080" width="14.5703125" style="1119" customWidth="1"/>
    <col min="3081" max="3081" width="5.7109375" style="1119" customWidth="1"/>
    <col min="3082" max="3082" width="7" style="1119" customWidth="1"/>
    <col min="3083" max="3083" width="33" style="1119" customWidth="1"/>
    <col min="3084" max="3086" width="9.140625" style="1119"/>
    <col min="3087" max="3087" width="0" style="1119" hidden="1" customWidth="1"/>
    <col min="3088" max="3326" width="9.140625" style="1119"/>
    <col min="3327" max="3327" width="11" style="1119" customWidth="1"/>
    <col min="3328" max="3328" width="20" style="1119" customWidth="1"/>
    <col min="3329" max="3329" width="20.42578125" style="1119" customWidth="1"/>
    <col min="3330" max="3330" width="20.28515625" style="1119" customWidth="1"/>
    <col min="3331" max="3331" width="12.42578125" style="1119" customWidth="1"/>
    <col min="3332" max="3332" width="11.42578125" style="1119" customWidth="1"/>
    <col min="3333" max="3333" width="10.140625" style="1119" customWidth="1"/>
    <col min="3334" max="3334" width="12.42578125" style="1119" customWidth="1"/>
    <col min="3335" max="3335" width="14" style="1119" customWidth="1"/>
    <col min="3336" max="3336" width="14.5703125" style="1119" customWidth="1"/>
    <col min="3337" max="3337" width="5.7109375" style="1119" customWidth="1"/>
    <col min="3338" max="3338" width="7" style="1119" customWidth="1"/>
    <col min="3339" max="3339" width="33" style="1119" customWidth="1"/>
    <col min="3340" max="3342" width="9.140625" style="1119"/>
    <col min="3343" max="3343" width="0" style="1119" hidden="1" customWidth="1"/>
    <col min="3344" max="3582" width="9.140625" style="1119"/>
    <col min="3583" max="3583" width="11" style="1119" customWidth="1"/>
    <col min="3584" max="3584" width="20" style="1119" customWidth="1"/>
    <col min="3585" max="3585" width="20.42578125" style="1119" customWidth="1"/>
    <col min="3586" max="3586" width="20.28515625" style="1119" customWidth="1"/>
    <col min="3587" max="3587" width="12.42578125" style="1119" customWidth="1"/>
    <col min="3588" max="3588" width="11.42578125" style="1119" customWidth="1"/>
    <col min="3589" max="3589" width="10.140625" style="1119" customWidth="1"/>
    <col min="3590" max="3590" width="12.42578125" style="1119" customWidth="1"/>
    <col min="3591" max="3591" width="14" style="1119" customWidth="1"/>
    <col min="3592" max="3592" width="14.5703125" style="1119" customWidth="1"/>
    <col min="3593" max="3593" width="5.7109375" style="1119" customWidth="1"/>
    <col min="3594" max="3594" width="7" style="1119" customWidth="1"/>
    <col min="3595" max="3595" width="33" style="1119" customWidth="1"/>
    <col min="3596" max="3598" width="9.140625" style="1119"/>
    <col min="3599" max="3599" width="0" style="1119" hidden="1" customWidth="1"/>
    <col min="3600" max="3838" width="9.140625" style="1119"/>
    <col min="3839" max="3839" width="11" style="1119" customWidth="1"/>
    <col min="3840" max="3840" width="20" style="1119" customWidth="1"/>
    <col min="3841" max="3841" width="20.42578125" style="1119" customWidth="1"/>
    <col min="3842" max="3842" width="20.28515625" style="1119" customWidth="1"/>
    <col min="3843" max="3843" width="12.42578125" style="1119" customWidth="1"/>
    <col min="3844" max="3844" width="11.42578125" style="1119" customWidth="1"/>
    <col min="3845" max="3845" width="10.140625" style="1119" customWidth="1"/>
    <col min="3846" max="3846" width="12.42578125" style="1119" customWidth="1"/>
    <col min="3847" max="3847" width="14" style="1119" customWidth="1"/>
    <col min="3848" max="3848" width="14.5703125" style="1119" customWidth="1"/>
    <col min="3849" max="3849" width="5.7109375" style="1119" customWidth="1"/>
    <col min="3850" max="3850" width="7" style="1119" customWidth="1"/>
    <col min="3851" max="3851" width="33" style="1119" customWidth="1"/>
    <col min="3852" max="3854" width="9.140625" style="1119"/>
    <col min="3855" max="3855" width="0" style="1119" hidden="1" customWidth="1"/>
    <col min="3856" max="4094" width="9.140625" style="1119"/>
    <col min="4095" max="4095" width="11" style="1119" customWidth="1"/>
    <col min="4096" max="4096" width="20" style="1119" customWidth="1"/>
    <col min="4097" max="4097" width="20.42578125" style="1119" customWidth="1"/>
    <col min="4098" max="4098" width="20.28515625" style="1119" customWidth="1"/>
    <col min="4099" max="4099" width="12.42578125" style="1119" customWidth="1"/>
    <col min="4100" max="4100" width="11.42578125" style="1119" customWidth="1"/>
    <col min="4101" max="4101" width="10.140625" style="1119" customWidth="1"/>
    <col min="4102" max="4102" width="12.42578125" style="1119" customWidth="1"/>
    <col min="4103" max="4103" width="14" style="1119" customWidth="1"/>
    <col min="4104" max="4104" width="14.5703125" style="1119" customWidth="1"/>
    <col min="4105" max="4105" width="5.7109375" style="1119" customWidth="1"/>
    <col min="4106" max="4106" width="7" style="1119" customWidth="1"/>
    <col min="4107" max="4107" width="33" style="1119" customWidth="1"/>
    <col min="4108" max="4110" width="9.140625" style="1119"/>
    <col min="4111" max="4111" width="0" style="1119" hidden="1" customWidth="1"/>
    <col min="4112" max="4350" width="9.140625" style="1119"/>
    <col min="4351" max="4351" width="11" style="1119" customWidth="1"/>
    <col min="4352" max="4352" width="20" style="1119" customWidth="1"/>
    <col min="4353" max="4353" width="20.42578125" style="1119" customWidth="1"/>
    <col min="4354" max="4354" width="20.28515625" style="1119" customWidth="1"/>
    <col min="4355" max="4355" width="12.42578125" style="1119" customWidth="1"/>
    <col min="4356" max="4356" width="11.42578125" style="1119" customWidth="1"/>
    <col min="4357" max="4357" width="10.140625" style="1119" customWidth="1"/>
    <col min="4358" max="4358" width="12.42578125" style="1119" customWidth="1"/>
    <col min="4359" max="4359" width="14" style="1119" customWidth="1"/>
    <col min="4360" max="4360" width="14.5703125" style="1119" customWidth="1"/>
    <col min="4361" max="4361" width="5.7109375" style="1119" customWidth="1"/>
    <col min="4362" max="4362" width="7" style="1119" customWidth="1"/>
    <col min="4363" max="4363" width="33" style="1119" customWidth="1"/>
    <col min="4364" max="4366" width="9.140625" style="1119"/>
    <col min="4367" max="4367" width="0" style="1119" hidden="1" customWidth="1"/>
    <col min="4368" max="4606" width="9.140625" style="1119"/>
    <col min="4607" max="4607" width="11" style="1119" customWidth="1"/>
    <col min="4608" max="4608" width="20" style="1119" customWidth="1"/>
    <col min="4609" max="4609" width="20.42578125" style="1119" customWidth="1"/>
    <col min="4610" max="4610" width="20.28515625" style="1119" customWidth="1"/>
    <col min="4611" max="4611" width="12.42578125" style="1119" customWidth="1"/>
    <col min="4612" max="4612" width="11.42578125" style="1119" customWidth="1"/>
    <col min="4613" max="4613" width="10.140625" style="1119" customWidth="1"/>
    <col min="4614" max="4614" width="12.42578125" style="1119" customWidth="1"/>
    <col min="4615" max="4615" width="14" style="1119" customWidth="1"/>
    <col min="4616" max="4616" width="14.5703125" style="1119" customWidth="1"/>
    <col min="4617" max="4617" width="5.7109375" style="1119" customWidth="1"/>
    <col min="4618" max="4618" width="7" style="1119" customWidth="1"/>
    <col min="4619" max="4619" width="33" style="1119" customWidth="1"/>
    <col min="4620" max="4622" width="9.140625" style="1119"/>
    <col min="4623" max="4623" width="0" style="1119" hidden="1" customWidth="1"/>
    <col min="4624" max="4862" width="9.140625" style="1119"/>
    <col min="4863" max="4863" width="11" style="1119" customWidth="1"/>
    <col min="4864" max="4864" width="20" style="1119" customWidth="1"/>
    <col min="4865" max="4865" width="20.42578125" style="1119" customWidth="1"/>
    <col min="4866" max="4866" width="20.28515625" style="1119" customWidth="1"/>
    <col min="4867" max="4867" width="12.42578125" style="1119" customWidth="1"/>
    <col min="4868" max="4868" width="11.42578125" style="1119" customWidth="1"/>
    <col min="4869" max="4869" width="10.140625" style="1119" customWidth="1"/>
    <col min="4870" max="4870" width="12.42578125" style="1119" customWidth="1"/>
    <col min="4871" max="4871" width="14" style="1119" customWidth="1"/>
    <col min="4872" max="4872" width="14.5703125" style="1119" customWidth="1"/>
    <col min="4873" max="4873" width="5.7109375" style="1119" customWidth="1"/>
    <col min="4874" max="4874" width="7" style="1119" customWidth="1"/>
    <col min="4875" max="4875" width="33" style="1119" customWidth="1"/>
    <col min="4876" max="4878" width="9.140625" style="1119"/>
    <col min="4879" max="4879" width="0" style="1119" hidden="1" customWidth="1"/>
    <col min="4880" max="5118" width="9.140625" style="1119"/>
    <col min="5119" max="5119" width="11" style="1119" customWidth="1"/>
    <col min="5120" max="5120" width="20" style="1119" customWidth="1"/>
    <col min="5121" max="5121" width="20.42578125" style="1119" customWidth="1"/>
    <col min="5122" max="5122" width="20.28515625" style="1119" customWidth="1"/>
    <col min="5123" max="5123" width="12.42578125" style="1119" customWidth="1"/>
    <col min="5124" max="5124" width="11.42578125" style="1119" customWidth="1"/>
    <col min="5125" max="5125" width="10.140625" style="1119" customWidth="1"/>
    <col min="5126" max="5126" width="12.42578125" style="1119" customWidth="1"/>
    <col min="5127" max="5127" width="14" style="1119" customWidth="1"/>
    <col min="5128" max="5128" width="14.5703125" style="1119" customWidth="1"/>
    <col min="5129" max="5129" width="5.7109375" style="1119" customWidth="1"/>
    <col min="5130" max="5130" width="7" style="1119" customWidth="1"/>
    <col min="5131" max="5131" width="33" style="1119" customWidth="1"/>
    <col min="5132" max="5134" width="9.140625" style="1119"/>
    <col min="5135" max="5135" width="0" style="1119" hidden="1" customWidth="1"/>
    <col min="5136" max="5374" width="9.140625" style="1119"/>
    <col min="5375" max="5375" width="11" style="1119" customWidth="1"/>
    <col min="5376" max="5376" width="20" style="1119" customWidth="1"/>
    <col min="5377" max="5377" width="20.42578125" style="1119" customWidth="1"/>
    <col min="5378" max="5378" width="20.28515625" style="1119" customWidth="1"/>
    <col min="5379" max="5379" width="12.42578125" style="1119" customWidth="1"/>
    <col min="5380" max="5380" width="11.42578125" style="1119" customWidth="1"/>
    <col min="5381" max="5381" width="10.140625" style="1119" customWidth="1"/>
    <col min="5382" max="5382" width="12.42578125" style="1119" customWidth="1"/>
    <col min="5383" max="5383" width="14" style="1119" customWidth="1"/>
    <col min="5384" max="5384" width="14.5703125" style="1119" customWidth="1"/>
    <col min="5385" max="5385" width="5.7109375" style="1119" customWidth="1"/>
    <col min="5386" max="5386" width="7" style="1119" customWidth="1"/>
    <col min="5387" max="5387" width="33" style="1119" customWidth="1"/>
    <col min="5388" max="5390" width="9.140625" style="1119"/>
    <col min="5391" max="5391" width="0" style="1119" hidden="1" customWidth="1"/>
    <col min="5392" max="5630" width="9.140625" style="1119"/>
    <col min="5631" max="5631" width="11" style="1119" customWidth="1"/>
    <col min="5632" max="5632" width="20" style="1119" customWidth="1"/>
    <col min="5633" max="5633" width="20.42578125" style="1119" customWidth="1"/>
    <col min="5634" max="5634" width="20.28515625" style="1119" customWidth="1"/>
    <col min="5635" max="5635" width="12.42578125" style="1119" customWidth="1"/>
    <col min="5636" max="5636" width="11.42578125" style="1119" customWidth="1"/>
    <col min="5637" max="5637" width="10.140625" style="1119" customWidth="1"/>
    <col min="5638" max="5638" width="12.42578125" style="1119" customWidth="1"/>
    <col min="5639" max="5639" width="14" style="1119" customWidth="1"/>
    <col min="5640" max="5640" width="14.5703125" style="1119" customWidth="1"/>
    <col min="5641" max="5641" width="5.7109375" style="1119" customWidth="1"/>
    <col min="5642" max="5642" width="7" style="1119" customWidth="1"/>
    <col min="5643" max="5643" width="33" style="1119" customWidth="1"/>
    <col min="5644" max="5646" width="9.140625" style="1119"/>
    <col min="5647" max="5647" width="0" style="1119" hidden="1" customWidth="1"/>
    <col min="5648" max="5886" width="9.140625" style="1119"/>
    <col min="5887" max="5887" width="11" style="1119" customWidth="1"/>
    <col min="5888" max="5888" width="20" style="1119" customWidth="1"/>
    <col min="5889" max="5889" width="20.42578125" style="1119" customWidth="1"/>
    <col min="5890" max="5890" width="20.28515625" style="1119" customWidth="1"/>
    <col min="5891" max="5891" width="12.42578125" style="1119" customWidth="1"/>
    <col min="5892" max="5892" width="11.42578125" style="1119" customWidth="1"/>
    <col min="5893" max="5893" width="10.140625" style="1119" customWidth="1"/>
    <col min="5894" max="5894" width="12.42578125" style="1119" customWidth="1"/>
    <col min="5895" max="5895" width="14" style="1119" customWidth="1"/>
    <col min="5896" max="5896" width="14.5703125" style="1119" customWidth="1"/>
    <col min="5897" max="5897" width="5.7109375" style="1119" customWidth="1"/>
    <col min="5898" max="5898" width="7" style="1119" customWidth="1"/>
    <col min="5899" max="5899" width="33" style="1119" customWidth="1"/>
    <col min="5900" max="5902" width="9.140625" style="1119"/>
    <col min="5903" max="5903" width="0" style="1119" hidden="1" customWidth="1"/>
    <col min="5904" max="6142" width="9.140625" style="1119"/>
    <col min="6143" max="6143" width="11" style="1119" customWidth="1"/>
    <col min="6144" max="6144" width="20" style="1119" customWidth="1"/>
    <col min="6145" max="6145" width="20.42578125" style="1119" customWidth="1"/>
    <col min="6146" max="6146" width="20.28515625" style="1119" customWidth="1"/>
    <col min="6147" max="6147" width="12.42578125" style="1119" customWidth="1"/>
    <col min="6148" max="6148" width="11.42578125" style="1119" customWidth="1"/>
    <col min="6149" max="6149" width="10.140625" style="1119" customWidth="1"/>
    <col min="6150" max="6150" width="12.42578125" style="1119" customWidth="1"/>
    <col min="6151" max="6151" width="14" style="1119" customWidth="1"/>
    <col min="6152" max="6152" width="14.5703125" style="1119" customWidth="1"/>
    <col min="6153" max="6153" width="5.7109375" style="1119" customWidth="1"/>
    <col min="6154" max="6154" width="7" style="1119" customWidth="1"/>
    <col min="6155" max="6155" width="33" style="1119" customWidth="1"/>
    <col min="6156" max="6158" width="9.140625" style="1119"/>
    <col min="6159" max="6159" width="0" style="1119" hidden="1" customWidth="1"/>
    <col min="6160" max="6398" width="9.140625" style="1119"/>
    <col min="6399" max="6399" width="11" style="1119" customWidth="1"/>
    <col min="6400" max="6400" width="20" style="1119" customWidth="1"/>
    <col min="6401" max="6401" width="20.42578125" style="1119" customWidth="1"/>
    <col min="6402" max="6402" width="20.28515625" style="1119" customWidth="1"/>
    <col min="6403" max="6403" width="12.42578125" style="1119" customWidth="1"/>
    <col min="6404" max="6404" width="11.42578125" style="1119" customWidth="1"/>
    <col min="6405" max="6405" width="10.140625" style="1119" customWidth="1"/>
    <col min="6406" max="6406" width="12.42578125" style="1119" customWidth="1"/>
    <col min="6407" max="6407" width="14" style="1119" customWidth="1"/>
    <col min="6408" max="6408" width="14.5703125" style="1119" customWidth="1"/>
    <col min="6409" max="6409" width="5.7109375" style="1119" customWidth="1"/>
    <col min="6410" max="6410" width="7" style="1119" customWidth="1"/>
    <col min="6411" max="6411" width="33" style="1119" customWidth="1"/>
    <col min="6412" max="6414" width="9.140625" style="1119"/>
    <col min="6415" max="6415" width="0" style="1119" hidden="1" customWidth="1"/>
    <col min="6416" max="6654" width="9.140625" style="1119"/>
    <col min="6655" max="6655" width="11" style="1119" customWidth="1"/>
    <col min="6656" max="6656" width="20" style="1119" customWidth="1"/>
    <col min="6657" max="6657" width="20.42578125" style="1119" customWidth="1"/>
    <col min="6658" max="6658" width="20.28515625" style="1119" customWidth="1"/>
    <col min="6659" max="6659" width="12.42578125" style="1119" customWidth="1"/>
    <col min="6660" max="6660" width="11.42578125" style="1119" customWidth="1"/>
    <col min="6661" max="6661" width="10.140625" style="1119" customWidth="1"/>
    <col min="6662" max="6662" width="12.42578125" style="1119" customWidth="1"/>
    <col min="6663" max="6663" width="14" style="1119" customWidth="1"/>
    <col min="6664" max="6664" width="14.5703125" style="1119" customWidth="1"/>
    <col min="6665" max="6665" width="5.7109375" style="1119" customWidth="1"/>
    <col min="6666" max="6666" width="7" style="1119" customWidth="1"/>
    <col min="6667" max="6667" width="33" style="1119" customWidth="1"/>
    <col min="6668" max="6670" width="9.140625" style="1119"/>
    <col min="6671" max="6671" width="0" style="1119" hidden="1" customWidth="1"/>
    <col min="6672" max="6910" width="9.140625" style="1119"/>
    <col min="6911" max="6911" width="11" style="1119" customWidth="1"/>
    <col min="6912" max="6912" width="20" style="1119" customWidth="1"/>
    <col min="6913" max="6913" width="20.42578125" style="1119" customWidth="1"/>
    <col min="6914" max="6914" width="20.28515625" style="1119" customWidth="1"/>
    <col min="6915" max="6915" width="12.42578125" style="1119" customWidth="1"/>
    <col min="6916" max="6916" width="11.42578125" style="1119" customWidth="1"/>
    <col min="6917" max="6917" width="10.140625" style="1119" customWidth="1"/>
    <col min="6918" max="6918" width="12.42578125" style="1119" customWidth="1"/>
    <col min="6919" max="6919" width="14" style="1119" customWidth="1"/>
    <col min="6920" max="6920" width="14.5703125" style="1119" customWidth="1"/>
    <col min="6921" max="6921" width="5.7109375" style="1119" customWidth="1"/>
    <col min="6922" max="6922" width="7" style="1119" customWidth="1"/>
    <col min="6923" max="6923" width="33" style="1119" customWidth="1"/>
    <col min="6924" max="6926" width="9.140625" style="1119"/>
    <col min="6927" max="6927" width="0" style="1119" hidden="1" customWidth="1"/>
    <col min="6928" max="7166" width="9.140625" style="1119"/>
    <col min="7167" max="7167" width="11" style="1119" customWidth="1"/>
    <col min="7168" max="7168" width="20" style="1119" customWidth="1"/>
    <col min="7169" max="7169" width="20.42578125" style="1119" customWidth="1"/>
    <col min="7170" max="7170" width="20.28515625" style="1119" customWidth="1"/>
    <col min="7171" max="7171" width="12.42578125" style="1119" customWidth="1"/>
    <col min="7172" max="7172" width="11.42578125" style="1119" customWidth="1"/>
    <col min="7173" max="7173" width="10.140625" style="1119" customWidth="1"/>
    <col min="7174" max="7174" width="12.42578125" style="1119" customWidth="1"/>
    <col min="7175" max="7175" width="14" style="1119" customWidth="1"/>
    <col min="7176" max="7176" width="14.5703125" style="1119" customWidth="1"/>
    <col min="7177" max="7177" width="5.7109375" style="1119" customWidth="1"/>
    <col min="7178" max="7178" width="7" style="1119" customWidth="1"/>
    <col min="7179" max="7179" width="33" style="1119" customWidth="1"/>
    <col min="7180" max="7182" width="9.140625" style="1119"/>
    <col min="7183" max="7183" width="0" style="1119" hidden="1" customWidth="1"/>
    <col min="7184" max="7422" width="9.140625" style="1119"/>
    <col min="7423" max="7423" width="11" style="1119" customWidth="1"/>
    <col min="7424" max="7424" width="20" style="1119" customWidth="1"/>
    <col min="7425" max="7425" width="20.42578125" style="1119" customWidth="1"/>
    <col min="7426" max="7426" width="20.28515625" style="1119" customWidth="1"/>
    <col min="7427" max="7427" width="12.42578125" style="1119" customWidth="1"/>
    <col min="7428" max="7428" width="11.42578125" style="1119" customWidth="1"/>
    <col min="7429" max="7429" width="10.140625" style="1119" customWidth="1"/>
    <col min="7430" max="7430" width="12.42578125" style="1119" customWidth="1"/>
    <col min="7431" max="7431" width="14" style="1119" customWidth="1"/>
    <col min="7432" max="7432" width="14.5703125" style="1119" customWidth="1"/>
    <col min="7433" max="7433" width="5.7109375" style="1119" customWidth="1"/>
    <col min="7434" max="7434" width="7" style="1119" customWidth="1"/>
    <col min="7435" max="7435" width="33" style="1119" customWidth="1"/>
    <col min="7436" max="7438" width="9.140625" style="1119"/>
    <col min="7439" max="7439" width="0" style="1119" hidden="1" customWidth="1"/>
    <col min="7440" max="7678" width="9.140625" style="1119"/>
    <col min="7679" max="7679" width="11" style="1119" customWidth="1"/>
    <col min="7680" max="7680" width="20" style="1119" customWidth="1"/>
    <col min="7681" max="7681" width="20.42578125" style="1119" customWidth="1"/>
    <col min="7682" max="7682" width="20.28515625" style="1119" customWidth="1"/>
    <col min="7683" max="7683" width="12.42578125" style="1119" customWidth="1"/>
    <col min="7684" max="7684" width="11.42578125" style="1119" customWidth="1"/>
    <col min="7685" max="7685" width="10.140625" style="1119" customWidth="1"/>
    <col min="7686" max="7686" width="12.42578125" style="1119" customWidth="1"/>
    <col min="7687" max="7687" width="14" style="1119" customWidth="1"/>
    <col min="7688" max="7688" width="14.5703125" style="1119" customWidth="1"/>
    <col min="7689" max="7689" width="5.7109375" style="1119" customWidth="1"/>
    <col min="7690" max="7690" width="7" style="1119" customWidth="1"/>
    <col min="7691" max="7691" width="33" style="1119" customWidth="1"/>
    <col min="7692" max="7694" width="9.140625" style="1119"/>
    <col min="7695" max="7695" width="0" style="1119" hidden="1" customWidth="1"/>
    <col min="7696" max="7934" width="9.140625" style="1119"/>
    <col min="7935" max="7935" width="11" style="1119" customWidth="1"/>
    <col min="7936" max="7936" width="20" style="1119" customWidth="1"/>
    <col min="7937" max="7937" width="20.42578125" style="1119" customWidth="1"/>
    <col min="7938" max="7938" width="20.28515625" style="1119" customWidth="1"/>
    <col min="7939" max="7939" width="12.42578125" style="1119" customWidth="1"/>
    <col min="7940" max="7940" width="11.42578125" style="1119" customWidth="1"/>
    <col min="7941" max="7941" width="10.140625" style="1119" customWidth="1"/>
    <col min="7942" max="7942" width="12.42578125" style="1119" customWidth="1"/>
    <col min="7943" max="7943" width="14" style="1119" customWidth="1"/>
    <col min="7944" max="7944" width="14.5703125" style="1119" customWidth="1"/>
    <col min="7945" max="7945" width="5.7109375" style="1119" customWidth="1"/>
    <col min="7946" max="7946" width="7" style="1119" customWidth="1"/>
    <col min="7947" max="7947" width="33" style="1119" customWidth="1"/>
    <col min="7948" max="7950" width="9.140625" style="1119"/>
    <col min="7951" max="7951" width="0" style="1119" hidden="1" customWidth="1"/>
    <col min="7952" max="8190" width="9.140625" style="1119"/>
    <col min="8191" max="8191" width="11" style="1119" customWidth="1"/>
    <col min="8192" max="8192" width="20" style="1119" customWidth="1"/>
    <col min="8193" max="8193" width="20.42578125" style="1119" customWidth="1"/>
    <col min="8194" max="8194" width="20.28515625" style="1119" customWidth="1"/>
    <col min="8195" max="8195" width="12.42578125" style="1119" customWidth="1"/>
    <col min="8196" max="8196" width="11.42578125" style="1119" customWidth="1"/>
    <col min="8197" max="8197" width="10.140625" style="1119" customWidth="1"/>
    <col min="8198" max="8198" width="12.42578125" style="1119" customWidth="1"/>
    <col min="8199" max="8199" width="14" style="1119" customWidth="1"/>
    <col min="8200" max="8200" width="14.5703125" style="1119" customWidth="1"/>
    <col min="8201" max="8201" width="5.7109375" style="1119" customWidth="1"/>
    <col min="8202" max="8202" width="7" style="1119" customWidth="1"/>
    <col min="8203" max="8203" width="33" style="1119" customWidth="1"/>
    <col min="8204" max="8206" width="9.140625" style="1119"/>
    <col min="8207" max="8207" width="0" style="1119" hidden="1" customWidth="1"/>
    <col min="8208" max="8446" width="9.140625" style="1119"/>
    <col min="8447" max="8447" width="11" style="1119" customWidth="1"/>
    <col min="8448" max="8448" width="20" style="1119" customWidth="1"/>
    <col min="8449" max="8449" width="20.42578125" style="1119" customWidth="1"/>
    <col min="8450" max="8450" width="20.28515625" style="1119" customWidth="1"/>
    <col min="8451" max="8451" width="12.42578125" style="1119" customWidth="1"/>
    <col min="8452" max="8452" width="11.42578125" style="1119" customWidth="1"/>
    <col min="8453" max="8453" width="10.140625" style="1119" customWidth="1"/>
    <col min="8454" max="8454" width="12.42578125" style="1119" customWidth="1"/>
    <col min="8455" max="8455" width="14" style="1119" customWidth="1"/>
    <col min="8456" max="8456" width="14.5703125" style="1119" customWidth="1"/>
    <col min="8457" max="8457" width="5.7109375" style="1119" customWidth="1"/>
    <col min="8458" max="8458" width="7" style="1119" customWidth="1"/>
    <col min="8459" max="8459" width="33" style="1119" customWidth="1"/>
    <col min="8460" max="8462" width="9.140625" style="1119"/>
    <col min="8463" max="8463" width="0" style="1119" hidden="1" customWidth="1"/>
    <col min="8464" max="8702" width="9.140625" style="1119"/>
    <col min="8703" max="8703" width="11" style="1119" customWidth="1"/>
    <col min="8704" max="8704" width="20" style="1119" customWidth="1"/>
    <col min="8705" max="8705" width="20.42578125" style="1119" customWidth="1"/>
    <col min="8706" max="8706" width="20.28515625" style="1119" customWidth="1"/>
    <col min="8707" max="8707" width="12.42578125" style="1119" customWidth="1"/>
    <col min="8708" max="8708" width="11.42578125" style="1119" customWidth="1"/>
    <col min="8709" max="8709" width="10.140625" style="1119" customWidth="1"/>
    <col min="8710" max="8710" width="12.42578125" style="1119" customWidth="1"/>
    <col min="8711" max="8711" width="14" style="1119" customWidth="1"/>
    <col min="8712" max="8712" width="14.5703125" style="1119" customWidth="1"/>
    <col min="8713" max="8713" width="5.7109375" style="1119" customWidth="1"/>
    <col min="8714" max="8714" width="7" style="1119" customWidth="1"/>
    <col min="8715" max="8715" width="33" style="1119" customWidth="1"/>
    <col min="8716" max="8718" width="9.140625" style="1119"/>
    <col min="8719" max="8719" width="0" style="1119" hidden="1" customWidth="1"/>
    <col min="8720" max="8958" width="9.140625" style="1119"/>
    <col min="8959" max="8959" width="11" style="1119" customWidth="1"/>
    <col min="8960" max="8960" width="20" style="1119" customWidth="1"/>
    <col min="8961" max="8961" width="20.42578125" style="1119" customWidth="1"/>
    <col min="8962" max="8962" width="20.28515625" style="1119" customWidth="1"/>
    <col min="8963" max="8963" width="12.42578125" style="1119" customWidth="1"/>
    <col min="8964" max="8964" width="11.42578125" style="1119" customWidth="1"/>
    <col min="8965" max="8965" width="10.140625" style="1119" customWidth="1"/>
    <col min="8966" max="8966" width="12.42578125" style="1119" customWidth="1"/>
    <col min="8967" max="8967" width="14" style="1119" customWidth="1"/>
    <col min="8968" max="8968" width="14.5703125" style="1119" customWidth="1"/>
    <col min="8969" max="8969" width="5.7109375" style="1119" customWidth="1"/>
    <col min="8970" max="8970" width="7" style="1119" customWidth="1"/>
    <col min="8971" max="8971" width="33" style="1119" customWidth="1"/>
    <col min="8972" max="8974" width="9.140625" style="1119"/>
    <col min="8975" max="8975" width="0" style="1119" hidden="1" customWidth="1"/>
    <col min="8976" max="9214" width="9.140625" style="1119"/>
    <col min="9215" max="9215" width="11" style="1119" customWidth="1"/>
    <col min="9216" max="9216" width="20" style="1119" customWidth="1"/>
    <col min="9217" max="9217" width="20.42578125" style="1119" customWidth="1"/>
    <col min="9218" max="9218" width="20.28515625" style="1119" customWidth="1"/>
    <col min="9219" max="9219" width="12.42578125" style="1119" customWidth="1"/>
    <col min="9220" max="9220" width="11.42578125" style="1119" customWidth="1"/>
    <col min="9221" max="9221" width="10.140625" style="1119" customWidth="1"/>
    <col min="9222" max="9222" width="12.42578125" style="1119" customWidth="1"/>
    <col min="9223" max="9223" width="14" style="1119" customWidth="1"/>
    <col min="9224" max="9224" width="14.5703125" style="1119" customWidth="1"/>
    <col min="9225" max="9225" width="5.7109375" style="1119" customWidth="1"/>
    <col min="9226" max="9226" width="7" style="1119" customWidth="1"/>
    <col min="9227" max="9227" width="33" style="1119" customWidth="1"/>
    <col min="9228" max="9230" width="9.140625" style="1119"/>
    <col min="9231" max="9231" width="0" style="1119" hidden="1" customWidth="1"/>
    <col min="9232" max="9470" width="9.140625" style="1119"/>
    <col min="9471" max="9471" width="11" style="1119" customWidth="1"/>
    <col min="9472" max="9472" width="20" style="1119" customWidth="1"/>
    <col min="9473" max="9473" width="20.42578125" style="1119" customWidth="1"/>
    <col min="9474" max="9474" width="20.28515625" style="1119" customWidth="1"/>
    <col min="9475" max="9475" width="12.42578125" style="1119" customWidth="1"/>
    <col min="9476" max="9476" width="11.42578125" style="1119" customWidth="1"/>
    <col min="9477" max="9477" width="10.140625" style="1119" customWidth="1"/>
    <col min="9478" max="9478" width="12.42578125" style="1119" customWidth="1"/>
    <col min="9479" max="9479" width="14" style="1119" customWidth="1"/>
    <col min="9480" max="9480" width="14.5703125" style="1119" customWidth="1"/>
    <col min="9481" max="9481" width="5.7109375" style="1119" customWidth="1"/>
    <col min="9482" max="9482" width="7" style="1119" customWidth="1"/>
    <col min="9483" max="9483" width="33" style="1119" customWidth="1"/>
    <col min="9484" max="9486" width="9.140625" style="1119"/>
    <col min="9487" max="9487" width="0" style="1119" hidden="1" customWidth="1"/>
    <col min="9488" max="9726" width="9.140625" style="1119"/>
    <col min="9727" max="9727" width="11" style="1119" customWidth="1"/>
    <col min="9728" max="9728" width="20" style="1119" customWidth="1"/>
    <col min="9729" max="9729" width="20.42578125" style="1119" customWidth="1"/>
    <col min="9730" max="9730" width="20.28515625" style="1119" customWidth="1"/>
    <col min="9731" max="9731" width="12.42578125" style="1119" customWidth="1"/>
    <col min="9732" max="9732" width="11.42578125" style="1119" customWidth="1"/>
    <col min="9733" max="9733" width="10.140625" style="1119" customWidth="1"/>
    <col min="9734" max="9734" width="12.42578125" style="1119" customWidth="1"/>
    <col min="9735" max="9735" width="14" style="1119" customWidth="1"/>
    <col min="9736" max="9736" width="14.5703125" style="1119" customWidth="1"/>
    <col min="9737" max="9737" width="5.7109375" style="1119" customWidth="1"/>
    <col min="9738" max="9738" width="7" style="1119" customWidth="1"/>
    <col min="9739" max="9739" width="33" style="1119" customWidth="1"/>
    <col min="9740" max="9742" width="9.140625" style="1119"/>
    <col min="9743" max="9743" width="0" style="1119" hidden="1" customWidth="1"/>
    <col min="9744" max="9982" width="9.140625" style="1119"/>
    <col min="9983" max="9983" width="11" style="1119" customWidth="1"/>
    <col min="9984" max="9984" width="20" style="1119" customWidth="1"/>
    <col min="9985" max="9985" width="20.42578125" style="1119" customWidth="1"/>
    <col min="9986" max="9986" width="20.28515625" style="1119" customWidth="1"/>
    <col min="9987" max="9987" width="12.42578125" style="1119" customWidth="1"/>
    <col min="9988" max="9988" width="11.42578125" style="1119" customWidth="1"/>
    <col min="9989" max="9989" width="10.140625" style="1119" customWidth="1"/>
    <col min="9990" max="9990" width="12.42578125" style="1119" customWidth="1"/>
    <col min="9991" max="9991" width="14" style="1119" customWidth="1"/>
    <col min="9992" max="9992" width="14.5703125" style="1119" customWidth="1"/>
    <col min="9993" max="9993" width="5.7109375" style="1119" customWidth="1"/>
    <col min="9994" max="9994" width="7" style="1119" customWidth="1"/>
    <col min="9995" max="9995" width="33" style="1119" customWidth="1"/>
    <col min="9996" max="9998" width="9.140625" style="1119"/>
    <col min="9999" max="9999" width="0" style="1119" hidden="1" customWidth="1"/>
    <col min="10000" max="10238" width="9.140625" style="1119"/>
    <col min="10239" max="10239" width="11" style="1119" customWidth="1"/>
    <col min="10240" max="10240" width="20" style="1119" customWidth="1"/>
    <col min="10241" max="10241" width="20.42578125" style="1119" customWidth="1"/>
    <col min="10242" max="10242" width="20.28515625" style="1119" customWidth="1"/>
    <col min="10243" max="10243" width="12.42578125" style="1119" customWidth="1"/>
    <col min="10244" max="10244" width="11.42578125" style="1119" customWidth="1"/>
    <col min="10245" max="10245" width="10.140625" style="1119" customWidth="1"/>
    <col min="10246" max="10246" width="12.42578125" style="1119" customWidth="1"/>
    <col min="10247" max="10247" width="14" style="1119" customWidth="1"/>
    <col min="10248" max="10248" width="14.5703125" style="1119" customWidth="1"/>
    <col min="10249" max="10249" width="5.7109375" style="1119" customWidth="1"/>
    <col min="10250" max="10250" width="7" style="1119" customWidth="1"/>
    <col min="10251" max="10251" width="33" style="1119" customWidth="1"/>
    <col min="10252" max="10254" width="9.140625" style="1119"/>
    <col min="10255" max="10255" width="0" style="1119" hidden="1" customWidth="1"/>
    <col min="10256" max="10494" width="9.140625" style="1119"/>
    <col min="10495" max="10495" width="11" style="1119" customWidth="1"/>
    <col min="10496" max="10496" width="20" style="1119" customWidth="1"/>
    <col min="10497" max="10497" width="20.42578125" style="1119" customWidth="1"/>
    <col min="10498" max="10498" width="20.28515625" style="1119" customWidth="1"/>
    <col min="10499" max="10499" width="12.42578125" style="1119" customWidth="1"/>
    <col min="10500" max="10500" width="11.42578125" style="1119" customWidth="1"/>
    <col min="10501" max="10501" width="10.140625" style="1119" customWidth="1"/>
    <col min="10502" max="10502" width="12.42578125" style="1119" customWidth="1"/>
    <col min="10503" max="10503" width="14" style="1119" customWidth="1"/>
    <col min="10504" max="10504" width="14.5703125" style="1119" customWidth="1"/>
    <col min="10505" max="10505" width="5.7109375" style="1119" customWidth="1"/>
    <col min="10506" max="10506" width="7" style="1119" customWidth="1"/>
    <col min="10507" max="10507" width="33" style="1119" customWidth="1"/>
    <col min="10508" max="10510" width="9.140625" style="1119"/>
    <col min="10511" max="10511" width="0" style="1119" hidden="1" customWidth="1"/>
    <col min="10512" max="10750" width="9.140625" style="1119"/>
    <col min="10751" max="10751" width="11" style="1119" customWidth="1"/>
    <col min="10752" max="10752" width="20" style="1119" customWidth="1"/>
    <col min="10753" max="10753" width="20.42578125" style="1119" customWidth="1"/>
    <col min="10754" max="10754" width="20.28515625" style="1119" customWidth="1"/>
    <col min="10755" max="10755" width="12.42578125" style="1119" customWidth="1"/>
    <col min="10756" max="10756" width="11.42578125" style="1119" customWidth="1"/>
    <col min="10757" max="10757" width="10.140625" style="1119" customWidth="1"/>
    <col min="10758" max="10758" width="12.42578125" style="1119" customWidth="1"/>
    <col min="10759" max="10759" width="14" style="1119" customWidth="1"/>
    <col min="10760" max="10760" width="14.5703125" style="1119" customWidth="1"/>
    <col min="10761" max="10761" width="5.7109375" style="1119" customWidth="1"/>
    <col min="10762" max="10762" width="7" style="1119" customWidth="1"/>
    <col min="10763" max="10763" width="33" style="1119" customWidth="1"/>
    <col min="10764" max="10766" width="9.140625" style="1119"/>
    <col min="10767" max="10767" width="0" style="1119" hidden="1" customWidth="1"/>
    <col min="10768" max="11006" width="9.140625" style="1119"/>
    <col min="11007" max="11007" width="11" style="1119" customWidth="1"/>
    <col min="11008" max="11008" width="20" style="1119" customWidth="1"/>
    <col min="11009" max="11009" width="20.42578125" style="1119" customWidth="1"/>
    <col min="11010" max="11010" width="20.28515625" style="1119" customWidth="1"/>
    <col min="11011" max="11011" width="12.42578125" style="1119" customWidth="1"/>
    <col min="11012" max="11012" width="11.42578125" style="1119" customWidth="1"/>
    <col min="11013" max="11013" width="10.140625" style="1119" customWidth="1"/>
    <col min="11014" max="11014" width="12.42578125" style="1119" customWidth="1"/>
    <col min="11015" max="11015" width="14" style="1119" customWidth="1"/>
    <col min="11016" max="11016" width="14.5703125" style="1119" customWidth="1"/>
    <col min="11017" max="11017" width="5.7109375" style="1119" customWidth="1"/>
    <col min="11018" max="11018" width="7" style="1119" customWidth="1"/>
    <col min="11019" max="11019" width="33" style="1119" customWidth="1"/>
    <col min="11020" max="11022" width="9.140625" style="1119"/>
    <col min="11023" max="11023" width="0" style="1119" hidden="1" customWidth="1"/>
    <col min="11024" max="11262" width="9.140625" style="1119"/>
    <col min="11263" max="11263" width="11" style="1119" customWidth="1"/>
    <col min="11264" max="11264" width="20" style="1119" customWidth="1"/>
    <col min="11265" max="11265" width="20.42578125" style="1119" customWidth="1"/>
    <col min="11266" max="11266" width="20.28515625" style="1119" customWidth="1"/>
    <col min="11267" max="11267" width="12.42578125" style="1119" customWidth="1"/>
    <col min="11268" max="11268" width="11.42578125" style="1119" customWidth="1"/>
    <col min="11269" max="11269" width="10.140625" style="1119" customWidth="1"/>
    <col min="11270" max="11270" width="12.42578125" style="1119" customWidth="1"/>
    <col min="11271" max="11271" width="14" style="1119" customWidth="1"/>
    <col min="11272" max="11272" width="14.5703125" style="1119" customWidth="1"/>
    <col min="11273" max="11273" width="5.7109375" style="1119" customWidth="1"/>
    <col min="11274" max="11274" width="7" style="1119" customWidth="1"/>
    <col min="11275" max="11275" width="33" style="1119" customWidth="1"/>
    <col min="11276" max="11278" width="9.140625" style="1119"/>
    <col min="11279" max="11279" width="0" style="1119" hidden="1" customWidth="1"/>
    <col min="11280" max="11518" width="9.140625" style="1119"/>
    <col min="11519" max="11519" width="11" style="1119" customWidth="1"/>
    <col min="11520" max="11520" width="20" style="1119" customWidth="1"/>
    <col min="11521" max="11521" width="20.42578125" style="1119" customWidth="1"/>
    <col min="11522" max="11522" width="20.28515625" style="1119" customWidth="1"/>
    <col min="11523" max="11523" width="12.42578125" style="1119" customWidth="1"/>
    <col min="11524" max="11524" width="11.42578125" style="1119" customWidth="1"/>
    <col min="11525" max="11525" width="10.140625" style="1119" customWidth="1"/>
    <col min="11526" max="11526" width="12.42578125" style="1119" customWidth="1"/>
    <col min="11527" max="11527" width="14" style="1119" customWidth="1"/>
    <col min="11528" max="11528" width="14.5703125" style="1119" customWidth="1"/>
    <col min="11529" max="11529" width="5.7109375" style="1119" customWidth="1"/>
    <col min="11530" max="11530" width="7" style="1119" customWidth="1"/>
    <col min="11531" max="11531" width="33" style="1119" customWidth="1"/>
    <col min="11532" max="11534" width="9.140625" style="1119"/>
    <col min="11535" max="11535" width="0" style="1119" hidden="1" customWidth="1"/>
    <col min="11536" max="11774" width="9.140625" style="1119"/>
    <col min="11775" max="11775" width="11" style="1119" customWidth="1"/>
    <col min="11776" max="11776" width="20" style="1119" customWidth="1"/>
    <col min="11777" max="11777" width="20.42578125" style="1119" customWidth="1"/>
    <col min="11778" max="11778" width="20.28515625" style="1119" customWidth="1"/>
    <col min="11779" max="11779" width="12.42578125" style="1119" customWidth="1"/>
    <col min="11780" max="11780" width="11.42578125" style="1119" customWidth="1"/>
    <col min="11781" max="11781" width="10.140625" style="1119" customWidth="1"/>
    <col min="11782" max="11782" width="12.42578125" style="1119" customWidth="1"/>
    <col min="11783" max="11783" width="14" style="1119" customWidth="1"/>
    <col min="11784" max="11784" width="14.5703125" style="1119" customWidth="1"/>
    <col min="11785" max="11785" width="5.7109375" style="1119" customWidth="1"/>
    <col min="11786" max="11786" width="7" style="1119" customWidth="1"/>
    <col min="11787" max="11787" width="33" style="1119" customWidth="1"/>
    <col min="11788" max="11790" width="9.140625" style="1119"/>
    <col min="11791" max="11791" width="0" style="1119" hidden="1" customWidth="1"/>
    <col min="11792" max="12030" width="9.140625" style="1119"/>
    <col min="12031" max="12031" width="11" style="1119" customWidth="1"/>
    <col min="12032" max="12032" width="20" style="1119" customWidth="1"/>
    <col min="12033" max="12033" width="20.42578125" style="1119" customWidth="1"/>
    <col min="12034" max="12034" width="20.28515625" style="1119" customWidth="1"/>
    <col min="12035" max="12035" width="12.42578125" style="1119" customWidth="1"/>
    <col min="12036" max="12036" width="11.42578125" style="1119" customWidth="1"/>
    <col min="12037" max="12037" width="10.140625" style="1119" customWidth="1"/>
    <col min="12038" max="12038" width="12.42578125" style="1119" customWidth="1"/>
    <col min="12039" max="12039" width="14" style="1119" customWidth="1"/>
    <col min="12040" max="12040" width="14.5703125" style="1119" customWidth="1"/>
    <col min="12041" max="12041" width="5.7109375" style="1119" customWidth="1"/>
    <col min="12042" max="12042" width="7" style="1119" customWidth="1"/>
    <col min="12043" max="12043" width="33" style="1119" customWidth="1"/>
    <col min="12044" max="12046" width="9.140625" style="1119"/>
    <col min="12047" max="12047" width="0" style="1119" hidden="1" customWidth="1"/>
    <col min="12048" max="12286" width="9.140625" style="1119"/>
    <col min="12287" max="12287" width="11" style="1119" customWidth="1"/>
    <col min="12288" max="12288" width="20" style="1119" customWidth="1"/>
    <col min="12289" max="12289" width="20.42578125" style="1119" customWidth="1"/>
    <col min="12290" max="12290" width="20.28515625" style="1119" customWidth="1"/>
    <col min="12291" max="12291" width="12.42578125" style="1119" customWidth="1"/>
    <col min="12292" max="12292" width="11.42578125" style="1119" customWidth="1"/>
    <col min="12293" max="12293" width="10.140625" style="1119" customWidth="1"/>
    <col min="12294" max="12294" width="12.42578125" style="1119" customWidth="1"/>
    <col min="12295" max="12295" width="14" style="1119" customWidth="1"/>
    <col min="12296" max="12296" width="14.5703125" style="1119" customWidth="1"/>
    <col min="12297" max="12297" width="5.7109375" style="1119" customWidth="1"/>
    <col min="12298" max="12298" width="7" style="1119" customWidth="1"/>
    <col min="12299" max="12299" width="33" style="1119" customWidth="1"/>
    <col min="12300" max="12302" width="9.140625" style="1119"/>
    <col min="12303" max="12303" width="0" style="1119" hidden="1" customWidth="1"/>
    <col min="12304" max="12542" width="9.140625" style="1119"/>
    <col min="12543" max="12543" width="11" style="1119" customWidth="1"/>
    <col min="12544" max="12544" width="20" style="1119" customWidth="1"/>
    <col min="12545" max="12545" width="20.42578125" style="1119" customWidth="1"/>
    <col min="12546" max="12546" width="20.28515625" style="1119" customWidth="1"/>
    <col min="12547" max="12547" width="12.42578125" style="1119" customWidth="1"/>
    <col min="12548" max="12548" width="11.42578125" style="1119" customWidth="1"/>
    <col min="12549" max="12549" width="10.140625" style="1119" customWidth="1"/>
    <col min="12550" max="12550" width="12.42578125" style="1119" customWidth="1"/>
    <col min="12551" max="12551" width="14" style="1119" customWidth="1"/>
    <col min="12552" max="12552" width="14.5703125" style="1119" customWidth="1"/>
    <col min="12553" max="12553" width="5.7109375" style="1119" customWidth="1"/>
    <col min="12554" max="12554" width="7" style="1119" customWidth="1"/>
    <col min="12555" max="12555" width="33" style="1119" customWidth="1"/>
    <col min="12556" max="12558" width="9.140625" style="1119"/>
    <col min="12559" max="12559" width="0" style="1119" hidden="1" customWidth="1"/>
    <col min="12560" max="12798" width="9.140625" style="1119"/>
    <col min="12799" max="12799" width="11" style="1119" customWidth="1"/>
    <col min="12800" max="12800" width="20" style="1119" customWidth="1"/>
    <col min="12801" max="12801" width="20.42578125" style="1119" customWidth="1"/>
    <col min="12802" max="12802" width="20.28515625" style="1119" customWidth="1"/>
    <col min="12803" max="12803" width="12.42578125" style="1119" customWidth="1"/>
    <col min="12804" max="12804" width="11.42578125" style="1119" customWidth="1"/>
    <col min="12805" max="12805" width="10.140625" style="1119" customWidth="1"/>
    <col min="12806" max="12806" width="12.42578125" style="1119" customWidth="1"/>
    <col min="12807" max="12807" width="14" style="1119" customWidth="1"/>
    <col min="12808" max="12808" width="14.5703125" style="1119" customWidth="1"/>
    <col min="12809" max="12809" width="5.7109375" style="1119" customWidth="1"/>
    <col min="12810" max="12810" width="7" style="1119" customWidth="1"/>
    <col min="12811" max="12811" width="33" style="1119" customWidth="1"/>
    <col min="12812" max="12814" width="9.140625" style="1119"/>
    <col min="12815" max="12815" width="0" style="1119" hidden="1" customWidth="1"/>
    <col min="12816" max="13054" width="9.140625" style="1119"/>
    <col min="13055" max="13055" width="11" style="1119" customWidth="1"/>
    <col min="13056" max="13056" width="20" style="1119" customWidth="1"/>
    <col min="13057" max="13057" width="20.42578125" style="1119" customWidth="1"/>
    <col min="13058" max="13058" width="20.28515625" style="1119" customWidth="1"/>
    <col min="13059" max="13059" width="12.42578125" style="1119" customWidth="1"/>
    <col min="13060" max="13060" width="11.42578125" style="1119" customWidth="1"/>
    <col min="13061" max="13061" width="10.140625" style="1119" customWidth="1"/>
    <col min="13062" max="13062" width="12.42578125" style="1119" customWidth="1"/>
    <col min="13063" max="13063" width="14" style="1119" customWidth="1"/>
    <col min="13064" max="13064" width="14.5703125" style="1119" customWidth="1"/>
    <col min="13065" max="13065" width="5.7109375" style="1119" customWidth="1"/>
    <col min="13066" max="13066" width="7" style="1119" customWidth="1"/>
    <col min="13067" max="13067" width="33" style="1119" customWidth="1"/>
    <col min="13068" max="13070" width="9.140625" style="1119"/>
    <col min="13071" max="13071" width="0" style="1119" hidden="1" customWidth="1"/>
    <col min="13072" max="13310" width="9.140625" style="1119"/>
    <col min="13311" max="13311" width="11" style="1119" customWidth="1"/>
    <col min="13312" max="13312" width="20" style="1119" customWidth="1"/>
    <col min="13313" max="13313" width="20.42578125" style="1119" customWidth="1"/>
    <col min="13314" max="13314" width="20.28515625" style="1119" customWidth="1"/>
    <col min="13315" max="13315" width="12.42578125" style="1119" customWidth="1"/>
    <col min="13316" max="13316" width="11.42578125" style="1119" customWidth="1"/>
    <col min="13317" max="13317" width="10.140625" style="1119" customWidth="1"/>
    <col min="13318" max="13318" width="12.42578125" style="1119" customWidth="1"/>
    <col min="13319" max="13319" width="14" style="1119" customWidth="1"/>
    <col min="13320" max="13320" width="14.5703125" style="1119" customWidth="1"/>
    <col min="13321" max="13321" width="5.7109375" style="1119" customWidth="1"/>
    <col min="13322" max="13322" width="7" style="1119" customWidth="1"/>
    <col min="13323" max="13323" width="33" style="1119" customWidth="1"/>
    <col min="13324" max="13326" width="9.140625" style="1119"/>
    <col min="13327" max="13327" width="0" style="1119" hidden="1" customWidth="1"/>
    <col min="13328" max="13566" width="9.140625" style="1119"/>
    <col min="13567" max="13567" width="11" style="1119" customWidth="1"/>
    <col min="13568" max="13568" width="20" style="1119" customWidth="1"/>
    <col min="13569" max="13569" width="20.42578125" style="1119" customWidth="1"/>
    <col min="13570" max="13570" width="20.28515625" style="1119" customWidth="1"/>
    <col min="13571" max="13571" width="12.42578125" style="1119" customWidth="1"/>
    <col min="13572" max="13572" width="11.42578125" style="1119" customWidth="1"/>
    <col min="13573" max="13573" width="10.140625" style="1119" customWidth="1"/>
    <col min="13574" max="13574" width="12.42578125" style="1119" customWidth="1"/>
    <col min="13575" max="13575" width="14" style="1119" customWidth="1"/>
    <col min="13576" max="13576" width="14.5703125" style="1119" customWidth="1"/>
    <col min="13577" max="13577" width="5.7109375" style="1119" customWidth="1"/>
    <col min="13578" max="13578" width="7" style="1119" customWidth="1"/>
    <col min="13579" max="13579" width="33" style="1119" customWidth="1"/>
    <col min="13580" max="13582" width="9.140625" style="1119"/>
    <col min="13583" max="13583" width="0" style="1119" hidden="1" customWidth="1"/>
    <col min="13584" max="13822" width="9.140625" style="1119"/>
    <col min="13823" max="13823" width="11" style="1119" customWidth="1"/>
    <col min="13824" max="13824" width="20" style="1119" customWidth="1"/>
    <col min="13825" max="13825" width="20.42578125" style="1119" customWidth="1"/>
    <col min="13826" max="13826" width="20.28515625" style="1119" customWidth="1"/>
    <col min="13827" max="13827" width="12.42578125" style="1119" customWidth="1"/>
    <col min="13828" max="13828" width="11.42578125" style="1119" customWidth="1"/>
    <col min="13829" max="13829" width="10.140625" style="1119" customWidth="1"/>
    <col min="13830" max="13830" width="12.42578125" style="1119" customWidth="1"/>
    <col min="13831" max="13831" width="14" style="1119" customWidth="1"/>
    <col min="13832" max="13832" width="14.5703125" style="1119" customWidth="1"/>
    <col min="13833" max="13833" width="5.7109375" style="1119" customWidth="1"/>
    <col min="13834" max="13834" width="7" style="1119" customWidth="1"/>
    <col min="13835" max="13835" width="33" style="1119" customWidth="1"/>
    <col min="13836" max="13838" width="9.140625" style="1119"/>
    <col min="13839" max="13839" width="0" style="1119" hidden="1" customWidth="1"/>
    <col min="13840" max="14078" width="9.140625" style="1119"/>
    <col min="14079" max="14079" width="11" style="1119" customWidth="1"/>
    <col min="14080" max="14080" width="20" style="1119" customWidth="1"/>
    <col min="14081" max="14081" width="20.42578125" style="1119" customWidth="1"/>
    <col min="14082" max="14082" width="20.28515625" style="1119" customWidth="1"/>
    <col min="14083" max="14083" width="12.42578125" style="1119" customWidth="1"/>
    <col min="14084" max="14084" width="11.42578125" style="1119" customWidth="1"/>
    <col min="14085" max="14085" width="10.140625" style="1119" customWidth="1"/>
    <col min="14086" max="14086" width="12.42578125" style="1119" customWidth="1"/>
    <col min="14087" max="14087" width="14" style="1119" customWidth="1"/>
    <col min="14088" max="14088" width="14.5703125" style="1119" customWidth="1"/>
    <col min="14089" max="14089" width="5.7109375" style="1119" customWidth="1"/>
    <col min="14090" max="14090" width="7" style="1119" customWidth="1"/>
    <col min="14091" max="14091" width="33" style="1119" customWidth="1"/>
    <col min="14092" max="14094" width="9.140625" style="1119"/>
    <col min="14095" max="14095" width="0" style="1119" hidden="1" customWidth="1"/>
    <col min="14096" max="14334" width="9.140625" style="1119"/>
    <col min="14335" max="14335" width="11" style="1119" customWidth="1"/>
    <col min="14336" max="14336" width="20" style="1119" customWidth="1"/>
    <col min="14337" max="14337" width="20.42578125" style="1119" customWidth="1"/>
    <col min="14338" max="14338" width="20.28515625" style="1119" customWidth="1"/>
    <col min="14339" max="14339" width="12.42578125" style="1119" customWidth="1"/>
    <col min="14340" max="14340" width="11.42578125" style="1119" customWidth="1"/>
    <col min="14341" max="14341" width="10.140625" style="1119" customWidth="1"/>
    <col min="14342" max="14342" width="12.42578125" style="1119" customWidth="1"/>
    <col min="14343" max="14343" width="14" style="1119" customWidth="1"/>
    <col min="14344" max="14344" width="14.5703125" style="1119" customWidth="1"/>
    <col min="14345" max="14345" width="5.7109375" style="1119" customWidth="1"/>
    <col min="14346" max="14346" width="7" style="1119" customWidth="1"/>
    <col min="14347" max="14347" width="33" style="1119" customWidth="1"/>
    <col min="14348" max="14350" width="9.140625" style="1119"/>
    <col min="14351" max="14351" width="0" style="1119" hidden="1" customWidth="1"/>
    <col min="14352" max="14590" width="9.140625" style="1119"/>
    <col min="14591" max="14591" width="11" style="1119" customWidth="1"/>
    <col min="14592" max="14592" width="20" style="1119" customWidth="1"/>
    <col min="14593" max="14593" width="20.42578125" style="1119" customWidth="1"/>
    <col min="14594" max="14594" width="20.28515625" style="1119" customWidth="1"/>
    <col min="14595" max="14595" width="12.42578125" style="1119" customWidth="1"/>
    <col min="14596" max="14596" width="11.42578125" style="1119" customWidth="1"/>
    <col min="14597" max="14597" width="10.140625" style="1119" customWidth="1"/>
    <col min="14598" max="14598" width="12.42578125" style="1119" customWidth="1"/>
    <col min="14599" max="14599" width="14" style="1119" customWidth="1"/>
    <col min="14600" max="14600" width="14.5703125" style="1119" customWidth="1"/>
    <col min="14601" max="14601" width="5.7109375" style="1119" customWidth="1"/>
    <col min="14602" max="14602" width="7" style="1119" customWidth="1"/>
    <col min="14603" max="14603" width="33" style="1119" customWidth="1"/>
    <col min="14604" max="14606" width="9.140625" style="1119"/>
    <col min="14607" max="14607" width="0" style="1119" hidden="1" customWidth="1"/>
    <col min="14608" max="14846" width="9.140625" style="1119"/>
    <col min="14847" max="14847" width="11" style="1119" customWidth="1"/>
    <col min="14848" max="14848" width="20" style="1119" customWidth="1"/>
    <col min="14849" max="14849" width="20.42578125" style="1119" customWidth="1"/>
    <col min="14850" max="14850" width="20.28515625" style="1119" customWidth="1"/>
    <col min="14851" max="14851" width="12.42578125" style="1119" customWidth="1"/>
    <col min="14852" max="14852" width="11.42578125" style="1119" customWidth="1"/>
    <col min="14853" max="14853" width="10.140625" style="1119" customWidth="1"/>
    <col min="14854" max="14854" width="12.42578125" style="1119" customWidth="1"/>
    <col min="14855" max="14855" width="14" style="1119" customWidth="1"/>
    <col min="14856" max="14856" width="14.5703125" style="1119" customWidth="1"/>
    <col min="14857" max="14857" width="5.7109375" style="1119" customWidth="1"/>
    <col min="14858" max="14858" width="7" style="1119" customWidth="1"/>
    <col min="14859" max="14859" width="33" style="1119" customWidth="1"/>
    <col min="14860" max="14862" width="9.140625" style="1119"/>
    <col min="14863" max="14863" width="0" style="1119" hidden="1" customWidth="1"/>
    <col min="14864" max="15102" width="9.140625" style="1119"/>
    <col min="15103" max="15103" width="11" style="1119" customWidth="1"/>
    <col min="15104" max="15104" width="20" style="1119" customWidth="1"/>
    <col min="15105" max="15105" width="20.42578125" style="1119" customWidth="1"/>
    <col min="15106" max="15106" width="20.28515625" style="1119" customWidth="1"/>
    <col min="15107" max="15107" width="12.42578125" style="1119" customWidth="1"/>
    <col min="15108" max="15108" width="11.42578125" style="1119" customWidth="1"/>
    <col min="15109" max="15109" width="10.140625" style="1119" customWidth="1"/>
    <col min="15110" max="15110" width="12.42578125" style="1119" customWidth="1"/>
    <col min="15111" max="15111" width="14" style="1119" customWidth="1"/>
    <col min="15112" max="15112" width="14.5703125" style="1119" customWidth="1"/>
    <col min="15113" max="15113" width="5.7109375" style="1119" customWidth="1"/>
    <col min="15114" max="15114" width="7" style="1119" customWidth="1"/>
    <col min="15115" max="15115" width="33" style="1119" customWidth="1"/>
    <col min="15116" max="15118" width="9.140625" style="1119"/>
    <col min="15119" max="15119" width="0" style="1119" hidden="1" customWidth="1"/>
    <col min="15120" max="15358" width="9.140625" style="1119"/>
    <col min="15359" max="15359" width="11" style="1119" customWidth="1"/>
    <col min="15360" max="15360" width="20" style="1119" customWidth="1"/>
    <col min="15361" max="15361" width="20.42578125" style="1119" customWidth="1"/>
    <col min="15362" max="15362" width="20.28515625" style="1119" customWidth="1"/>
    <col min="15363" max="15363" width="12.42578125" style="1119" customWidth="1"/>
    <col min="15364" max="15364" width="11.42578125" style="1119" customWidth="1"/>
    <col min="15365" max="15365" width="10.140625" style="1119" customWidth="1"/>
    <col min="15366" max="15366" width="12.42578125" style="1119" customWidth="1"/>
    <col min="15367" max="15367" width="14" style="1119" customWidth="1"/>
    <col min="15368" max="15368" width="14.5703125" style="1119" customWidth="1"/>
    <col min="15369" max="15369" width="5.7109375" style="1119" customWidth="1"/>
    <col min="15370" max="15370" width="7" style="1119" customWidth="1"/>
    <col min="15371" max="15371" width="33" style="1119" customWidth="1"/>
    <col min="15372" max="15374" width="9.140625" style="1119"/>
    <col min="15375" max="15375" width="0" style="1119" hidden="1" customWidth="1"/>
    <col min="15376" max="15614" width="9.140625" style="1119"/>
    <col min="15615" max="15615" width="11" style="1119" customWidth="1"/>
    <col min="15616" max="15616" width="20" style="1119" customWidth="1"/>
    <col min="15617" max="15617" width="20.42578125" style="1119" customWidth="1"/>
    <col min="15618" max="15618" width="20.28515625" style="1119" customWidth="1"/>
    <col min="15619" max="15619" width="12.42578125" style="1119" customWidth="1"/>
    <col min="15620" max="15620" width="11.42578125" style="1119" customWidth="1"/>
    <col min="15621" max="15621" width="10.140625" style="1119" customWidth="1"/>
    <col min="15622" max="15622" width="12.42578125" style="1119" customWidth="1"/>
    <col min="15623" max="15623" width="14" style="1119" customWidth="1"/>
    <col min="15624" max="15624" width="14.5703125" style="1119" customWidth="1"/>
    <col min="15625" max="15625" width="5.7109375" style="1119" customWidth="1"/>
    <col min="15626" max="15626" width="7" style="1119" customWidth="1"/>
    <col min="15627" max="15627" width="33" style="1119" customWidth="1"/>
    <col min="15628" max="15630" width="9.140625" style="1119"/>
    <col min="15631" max="15631" width="0" style="1119" hidden="1" customWidth="1"/>
    <col min="15632" max="15870" width="9.140625" style="1119"/>
    <col min="15871" max="15871" width="11" style="1119" customWidth="1"/>
    <col min="15872" max="15872" width="20" style="1119" customWidth="1"/>
    <col min="15873" max="15873" width="20.42578125" style="1119" customWidth="1"/>
    <col min="15874" max="15874" width="20.28515625" style="1119" customWidth="1"/>
    <col min="15875" max="15875" width="12.42578125" style="1119" customWidth="1"/>
    <col min="15876" max="15876" width="11.42578125" style="1119" customWidth="1"/>
    <col min="15877" max="15877" width="10.140625" style="1119" customWidth="1"/>
    <col min="15878" max="15878" width="12.42578125" style="1119" customWidth="1"/>
    <col min="15879" max="15879" width="14" style="1119" customWidth="1"/>
    <col min="15880" max="15880" width="14.5703125" style="1119" customWidth="1"/>
    <col min="15881" max="15881" width="5.7109375" style="1119" customWidth="1"/>
    <col min="15882" max="15882" width="7" style="1119" customWidth="1"/>
    <col min="15883" max="15883" width="33" style="1119" customWidth="1"/>
    <col min="15884" max="15886" width="9.140625" style="1119"/>
    <col min="15887" max="15887" width="0" style="1119" hidden="1" customWidth="1"/>
    <col min="15888" max="16126" width="9.140625" style="1119"/>
    <col min="16127" max="16127" width="11" style="1119" customWidth="1"/>
    <col min="16128" max="16128" width="20" style="1119" customWidth="1"/>
    <col min="16129" max="16129" width="20.42578125" style="1119" customWidth="1"/>
    <col min="16130" max="16130" width="20.28515625" style="1119" customWidth="1"/>
    <col min="16131" max="16131" width="12.42578125" style="1119" customWidth="1"/>
    <col min="16132" max="16132" width="11.42578125" style="1119" customWidth="1"/>
    <col min="16133" max="16133" width="10.140625" style="1119" customWidth="1"/>
    <col min="16134" max="16134" width="12.42578125" style="1119" customWidth="1"/>
    <col min="16135" max="16135" width="14" style="1119" customWidth="1"/>
    <col min="16136" max="16136" width="14.5703125" style="1119" customWidth="1"/>
    <col min="16137" max="16137" width="5.7109375" style="1119" customWidth="1"/>
    <col min="16138" max="16138" width="7" style="1119" customWidth="1"/>
    <col min="16139" max="16139" width="33" style="1119" customWidth="1"/>
    <col min="16140" max="16142" width="9.140625" style="1119"/>
    <col min="16143" max="16143" width="0" style="1119" hidden="1" customWidth="1"/>
    <col min="16144" max="16384" width="9.140625" style="1119"/>
  </cols>
  <sheetData>
    <row r="1" spans="1:67" ht="18.75">
      <c r="A1" s="1881" t="s">
        <v>3609</v>
      </c>
      <c r="B1" s="1092" t="s">
        <v>4142</v>
      </c>
      <c r="C1" s="1058"/>
      <c r="D1" s="1231"/>
      <c r="E1" s="1058"/>
      <c r="F1" s="1058"/>
      <c r="G1" s="1058"/>
      <c r="H1" s="1156" t="s">
        <v>2595</v>
      </c>
      <c r="I1" s="1157"/>
      <c r="J1" s="2436" t="s">
        <v>3610</v>
      </c>
      <c r="K1" s="2437"/>
    </row>
    <row r="2" spans="1:67">
      <c r="B2" s="1034" t="s">
        <v>3198</v>
      </c>
      <c r="C2" s="1035">
        <f>'Basic Info'!C29:D29</f>
        <v>0</v>
      </c>
      <c r="D2" s="1034"/>
      <c r="E2" s="1035"/>
      <c r="F2" s="923"/>
      <c r="G2" s="923"/>
      <c r="H2" s="1159"/>
      <c r="I2" s="1160"/>
      <c r="J2" s="2420"/>
      <c r="K2" s="2420"/>
    </row>
    <row r="3" spans="1:67">
      <c r="F3" s="923"/>
      <c r="G3" s="923"/>
      <c r="H3" s="1159"/>
      <c r="I3" s="1160"/>
      <c r="J3" s="2420"/>
      <c r="K3" s="2420"/>
    </row>
    <row r="4" spans="1:67">
      <c r="A4" s="1312"/>
      <c r="H4" s="2438"/>
      <c r="I4" s="2439"/>
      <c r="J4" s="2420"/>
      <c r="K4" s="2420"/>
    </row>
    <row r="5" spans="1:67">
      <c r="A5" s="1312"/>
      <c r="B5" s="2532" t="s">
        <v>3981</v>
      </c>
      <c r="C5" s="2533"/>
      <c r="D5" s="2534"/>
      <c r="E5" s="2534"/>
      <c r="F5" s="1104"/>
      <c r="G5" s="1104"/>
      <c r="H5" s="1104"/>
      <c r="I5" s="1104"/>
      <c r="J5" s="1225"/>
      <c r="K5" s="1225"/>
    </row>
    <row r="6" spans="1:67" ht="23.25" customHeight="1">
      <c r="A6" s="1312"/>
      <c r="B6" s="2395" t="s">
        <v>3753</v>
      </c>
      <c r="C6" s="2395"/>
      <c r="D6" s="2395"/>
      <c r="E6" s="2395"/>
      <c r="F6" s="2395"/>
      <c r="G6" s="2395"/>
      <c r="H6" s="2395"/>
      <c r="I6" s="2395"/>
      <c r="J6" s="2395"/>
      <c r="K6" s="2395"/>
    </row>
    <row r="7" spans="1:67" s="1235" customFormat="1" ht="12" customHeight="1">
      <c r="A7" s="1313"/>
      <c r="B7" s="2395" t="s">
        <v>3754</v>
      </c>
      <c r="C7" s="2395"/>
      <c r="D7" s="2395"/>
      <c r="E7" s="2395"/>
      <c r="F7" s="2395"/>
      <c r="G7" s="2395"/>
      <c r="H7" s="2395"/>
      <c r="I7" s="2395"/>
      <c r="J7" s="2395"/>
      <c r="K7" s="2395"/>
      <c r="L7" s="1234"/>
      <c r="M7" s="1234"/>
      <c r="N7" s="1234"/>
      <c r="O7" s="1234"/>
      <c r="P7" s="1234"/>
      <c r="Q7" s="1234"/>
      <c r="R7" s="1234"/>
      <c r="S7" s="1234"/>
      <c r="T7" s="1234"/>
      <c r="U7" s="1234"/>
      <c r="V7" s="1234"/>
      <c r="W7" s="1234"/>
      <c r="X7" s="1234"/>
      <c r="Y7" s="1234"/>
      <c r="Z7" s="1234"/>
      <c r="AA7" s="1234"/>
      <c r="AB7" s="1234"/>
      <c r="AC7" s="1234"/>
      <c r="AD7" s="1234"/>
      <c r="AE7" s="1234"/>
      <c r="AF7" s="1234"/>
      <c r="AG7" s="1234"/>
      <c r="AH7" s="1234"/>
      <c r="AI7" s="1234"/>
      <c r="AJ7" s="1234"/>
      <c r="AK7" s="1234"/>
      <c r="AL7" s="1234"/>
      <c r="AM7" s="1234"/>
      <c r="AN7" s="1234"/>
      <c r="AO7" s="1234"/>
      <c r="AP7" s="1234"/>
      <c r="AQ7" s="1234"/>
      <c r="AR7" s="1234"/>
      <c r="AS7" s="1234"/>
      <c r="AT7" s="1234"/>
      <c r="AU7" s="1234"/>
      <c r="AV7" s="1234"/>
      <c r="AW7" s="1234"/>
      <c r="AX7" s="1234"/>
      <c r="AY7" s="1234"/>
      <c r="AZ7" s="1234"/>
      <c r="BA7" s="1234"/>
      <c r="BB7" s="1234"/>
      <c r="BC7" s="1234"/>
      <c r="BD7" s="1234"/>
      <c r="BE7" s="1234"/>
      <c r="BF7" s="1234"/>
      <c r="BG7" s="1234"/>
      <c r="BH7" s="1234"/>
      <c r="BI7" s="1234"/>
      <c r="BJ7" s="1234"/>
      <c r="BK7" s="1234"/>
      <c r="BL7" s="1234"/>
      <c r="BM7" s="1234"/>
      <c r="BN7" s="1234"/>
      <c r="BO7" s="1234"/>
    </row>
    <row r="8" spans="1:67" ht="12" customHeight="1">
      <c r="B8" s="2395" t="s">
        <v>3755</v>
      </c>
      <c r="C8" s="2395"/>
      <c r="D8" s="2395"/>
      <c r="E8" s="2395"/>
      <c r="F8" s="2395"/>
      <c r="G8" s="2395"/>
      <c r="H8" s="2395"/>
      <c r="I8" s="2395"/>
      <c r="J8" s="2395"/>
      <c r="K8" s="2395"/>
    </row>
    <row r="9" spans="1:67" ht="12" customHeight="1">
      <c r="B9" s="2395" t="s">
        <v>3756</v>
      </c>
      <c r="C9" s="2395"/>
      <c r="D9" s="2395"/>
      <c r="E9" s="2395"/>
      <c r="F9" s="2395"/>
      <c r="G9" s="2395"/>
      <c r="H9" s="2395"/>
      <c r="I9" s="2395"/>
      <c r="J9" s="2395"/>
      <c r="K9" s="2395"/>
    </row>
    <row r="10" spans="1:67">
      <c r="A10" s="1236"/>
      <c r="B10" s="2584"/>
      <c r="C10" s="2585"/>
      <c r="D10" s="2586"/>
      <c r="E10" s="2586"/>
      <c r="F10" s="923"/>
      <c r="G10" s="923"/>
      <c r="H10" s="923"/>
      <c r="I10" s="1204"/>
      <c r="J10" s="2569"/>
      <c r="K10" s="2569"/>
    </row>
    <row r="11" spans="1:67">
      <c r="A11" s="1236"/>
      <c r="B11" s="1239" t="s">
        <v>3927</v>
      </c>
      <c r="C11" s="923"/>
      <c r="D11" s="923"/>
      <c r="E11" s="923"/>
      <c r="F11" s="923"/>
      <c r="G11" s="923"/>
      <c r="H11" s="923"/>
      <c r="I11" s="1204"/>
      <c r="J11" s="923"/>
      <c r="K11" s="923"/>
    </row>
    <row r="12" spans="1:67">
      <c r="A12" s="1236"/>
      <c r="B12" s="923" t="s">
        <v>3757</v>
      </c>
      <c r="C12" s="923"/>
      <c r="D12" s="923"/>
      <c r="E12" s="923"/>
      <c r="F12" s="923"/>
      <c r="G12" s="923"/>
      <c r="H12" s="923"/>
      <c r="I12" s="923"/>
      <c r="J12" s="923"/>
      <c r="K12" s="923"/>
      <c r="L12" s="1236"/>
    </row>
    <row r="13" spans="1:67">
      <c r="A13" s="1236"/>
      <c r="B13" s="923" t="s">
        <v>3758</v>
      </c>
      <c r="C13" s="923"/>
      <c r="D13" s="923"/>
      <c r="E13" s="923"/>
      <c r="F13" s="923"/>
      <c r="G13" s="923"/>
      <c r="H13" s="923"/>
      <c r="I13" s="923"/>
      <c r="J13" s="923"/>
      <c r="K13" s="923"/>
      <c r="L13" s="1236"/>
    </row>
    <row r="14" spans="1:67">
      <c r="A14" s="1236"/>
      <c r="B14" s="923" t="s">
        <v>3759</v>
      </c>
      <c r="C14" s="923"/>
      <c r="D14" s="923"/>
      <c r="E14" s="923"/>
      <c r="F14" s="923"/>
      <c r="G14" s="923"/>
      <c r="H14" s="923"/>
      <c r="I14" s="923"/>
      <c r="J14" s="923"/>
      <c r="K14" s="923"/>
      <c r="L14" s="1236"/>
    </row>
    <row r="15" spans="1:67">
      <c r="A15" s="1236"/>
      <c r="B15" s="923"/>
      <c r="C15" s="923"/>
      <c r="D15" s="923"/>
      <c r="E15" s="923"/>
      <c r="F15" s="923"/>
      <c r="G15" s="923"/>
      <c r="H15" s="923"/>
      <c r="I15" s="923"/>
      <c r="J15" s="923"/>
      <c r="K15" s="923"/>
    </row>
    <row r="16" spans="1:67">
      <c r="A16" s="1236"/>
      <c r="B16" s="1011" t="s">
        <v>3982</v>
      </c>
      <c r="C16" s="923"/>
      <c r="D16" s="923"/>
      <c r="E16" s="923"/>
      <c r="F16" s="923"/>
      <c r="G16" s="923"/>
      <c r="H16" s="923"/>
      <c r="I16" s="923"/>
      <c r="J16" s="923"/>
      <c r="K16" s="923"/>
    </row>
    <row r="17" spans="1:12">
      <c r="A17" s="1236"/>
      <c r="B17" s="2589" t="s">
        <v>4146</v>
      </c>
      <c r="C17" s="2589"/>
      <c r="D17" s="2589"/>
      <c r="E17" s="2589"/>
      <c r="F17" s="2589"/>
      <c r="G17" s="2589"/>
      <c r="H17" s="2589"/>
      <c r="I17" s="2589"/>
      <c r="J17" s="2589"/>
      <c r="K17" s="2589"/>
    </row>
    <row r="18" spans="1:12">
      <c r="A18" s="1236"/>
      <c r="B18" s="923" t="s">
        <v>4143</v>
      </c>
      <c r="C18" s="923"/>
      <c r="D18" s="923"/>
      <c r="E18" s="923"/>
      <c r="F18" s="923"/>
      <c r="G18" s="923"/>
      <c r="H18" s="923"/>
      <c r="I18" s="923"/>
      <c r="J18" s="923"/>
      <c r="K18" s="923"/>
    </row>
    <row r="19" spans="1:12">
      <c r="A19" s="1236"/>
      <c r="B19" s="2587" t="s">
        <v>4145</v>
      </c>
      <c r="C19" s="2587"/>
      <c r="D19" s="2587"/>
      <c r="E19" s="2587"/>
      <c r="F19" s="2587"/>
      <c r="G19" s="2587"/>
      <c r="H19" s="2587"/>
      <c r="I19" s="2587"/>
      <c r="J19" s="2587"/>
      <c r="K19" s="2587"/>
    </row>
    <row r="20" spans="1:12">
      <c r="A20" s="1236"/>
      <c r="B20" s="1306"/>
      <c r="C20" s="1306"/>
      <c r="D20" s="1306"/>
      <c r="E20" s="1306"/>
      <c r="F20" s="1306"/>
      <c r="G20" s="1306"/>
      <c r="H20" s="1306"/>
      <c r="I20" s="1306"/>
      <c r="J20" s="1306"/>
      <c r="K20" s="1306"/>
    </row>
    <row r="21" spans="1:12">
      <c r="A21" s="1236"/>
      <c r="B21" s="1165" t="s">
        <v>3928</v>
      </c>
      <c r="C21" s="1238"/>
      <c r="D21" s="1103"/>
      <c r="E21" s="1103"/>
      <c r="F21" s="1103"/>
      <c r="G21" s="1103"/>
      <c r="H21" s="931"/>
      <c r="I21" s="931"/>
    </row>
    <row r="22" spans="1:12">
      <c r="A22" s="1236"/>
      <c r="B22" s="2395" t="s">
        <v>4486</v>
      </c>
      <c r="C22" s="2395"/>
      <c r="D22" s="2395"/>
      <c r="E22" s="2395"/>
      <c r="F22" s="2395"/>
      <c r="G22" s="2395"/>
      <c r="H22" s="2395"/>
      <c r="I22" s="2395"/>
      <c r="J22" s="2395"/>
      <c r="K22" s="2395"/>
    </row>
    <row r="23" spans="1:12">
      <c r="A23" s="1236"/>
      <c r="B23" s="2395" t="s">
        <v>4144</v>
      </c>
      <c r="C23" s="2395"/>
      <c r="D23" s="2395"/>
      <c r="E23" s="2395"/>
      <c r="F23" s="2395"/>
      <c r="G23" s="2395"/>
      <c r="H23" s="2395"/>
      <c r="I23" s="2395"/>
      <c r="J23" s="2395"/>
      <c r="K23" s="2395"/>
    </row>
    <row r="24" spans="1:12">
      <c r="A24" s="1236"/>
      <c r="B24" s="1104"/>
      <c r="C24" s="1104"/>
      <c r="D24" s="1104"/>
      <c r="E24" s="1104"/>
      <c r="F24" s="1104"/>
      <c r="G24" s="1104"/>
      <c r="H24" s="1104"/>
      <c r="I24" s="1104"/>
      <c r="J24" s="1104"/>
      <c r="K24" s="1104"/>
    </row>
    <row r="25" spans="1:12" ht="42.75" customHeight="1">
      <c r="A25" s="1236"/>
      <c r="B25" s="2382" t="s">
        <v>4147</v>
      </c>
      <c r="C25" s="2382"/>
      <c r="D25" s="2382"/>
      <c r="E25" s="2382"/>
      <c r="F25" s="2382"/>
      <c r="G25" s="2382"/>
      <c r="H25" s="2382"/>
      <c r="I25" s="2382"/>
      <c r="J25" s="2382"/>
      <c r="K25" s="2382"/>
    </row>
    <row r="26" spans="1:12" ht="63.75" customHeight="1">
      <c r="A26" s="1236"/>
      <c r="B26" s="1241" t="s">
        <v>2292</v>
      </c>
      <c r="C26" s="1241" t="s">
        <v>3648</v>
      </c>
      <c r="D26" s="1241" t="s">
        <v>3624</v>
      </c>
      <c r="E26" s="1241" t="s">
        <v>3623</v>
      </c>
      <c r="F26" s="1162" t="s">
        <v>3621</v>
      </c>
      <c r="G26" s="1162" t="s">
        <v>3622</v>
      </c>
      <c r="H26" s="1241" t="s">
        <v>3650</v>
      </c>
      <c r="I26" s="1105" t="s">
        <v>3740</v>
      </c>
      <c r="J26" s="1083" t="s">
        <v>3627</v>
      </c>
      <c r="K26" s="1162" t="s">
        <v>3975</v>
      </c>
      <c r="L26" s="1236"/>
    </row>
    <row r="27" spans="1:12">
      <c r="A27" s="1236"/>
      <c r="B27" s="1315"/>
      <c r="C27" s="1071"/>
      <c r="D27" s="1072"/>
      <c r="E27" s="1072"/>
      <c r="F27" s="1072"/>
      <c r="G27" s="1071"/>
      <c r="H27" s="1072"/>
      <c r="I27" s="1072"/>
      <c r="J27" s="1170"/>
      <c r="K27" s="1171"/>
    </row>
    <row r="28" spans="1:12" s="931" customFormat="1">
      <c r="A28" s="1314"/>
      <c r="B28" s="1316"/>
      <c r="C28" s="1071"/>
      <c r="D28" s="1072"/>
      <c r="E28" s="1072"/>
      <c r="F28" s="1072"/>
      <c r="G28" s="1071"/>
      <c r="H28" s="1072"/>
      <c r="I28" s="1072"/>
      <c r="J28" s="1170"/>
      <c r="K28" s="1171"/>
    </row>
    <row r="29" spans="1:12">
      <c r="B29" s="1316"/>
      <c r="C29" s="1071"/>
      <c r="D29" s="1072"/>
      <c r="E29" s="1072"/>
      <c r="F29" s="1072"/>
      <c r="G29" s="1071"/>
      <c r="H29" s="1072"/>
      <c r="I29" s="1072"/>
      <c r="J29" s="1170"/>
      <c r="K29" s="1171"/>
    </row>
    <row r="30" spans="1:12">
      <c r="B30" s="1316"/>
      <c r="C30" s="1071"/>
      <c r="D30" s="1072"/>
      <c r="E30" s="1072"/>
      <c r="F30" s="1072"/>
      <c r="G30" s="1071"/>
      <c r="H30" s="1072"/>
      <c r="I30" s="1072"/>
      <c r="J30" s="1170"/>
      <c r="K30" s="1171"/>
    </row>
    <row r="31" spans="1:12">
      <c r="B31" s="1316"/>
      <c r="C31" s="1071"/>
      <c r="D31" s="1072"/>
      <c r="E31" s="1072"/>
      <c r="F31" s="1072"/>
      <c r="G31" s="1071"/>
      <c r="H31" s="1072"/>
      <c r="I31" s="1072"/>
      <c r="J31" s="1170"/>
      <c r="K31" s="1171"/>
    </row>
    <row r="32" spans="1:12">
      <c r="B32" s="923"/>
      <c r="C32" s="923"/>
      <c r="D32" s="923"/>
      <c r="E32" s="923"/>
      <c r="F32" s="923"/>
      <c r="G32" s="923"/>
      <c r="H32" s="923"/>
      <c r="I32" s="923"/>
      <c r="J32" s="923"/>
      <c r="K32" s="923"/>
    </row>
    <row r="33" spans="1:11">
      <c r="B33" s="1209"/>
      <c r="C33" s="1210"/>
      <c r="D33" s="1210"/>
      <c r="E33" s="1210"/>
      <c r="F33" s="1151"/>
      <c r="G33" s="906"/>
      <c r="H33" s="1130"/>
      <c r="I33" s="1130"/>
      <c r="J33" s="1233"/>
      <c r="K33" s="1233"/>
    </row>
    <row r="34" spans="1:11" ht="51.75">
      <c r="B34" s="2388"/>
      <c r="C34" s="2389"/>
      <c r="D34" s="2389"/>
      <c r="E34" s="2390"/>
      <c r="F34" s="2388" t="s">
        <v>3968</v>
      </c>
      <c r="G34" s="2390"/>
      <c r="H34" s="1162" t="s">
        <v>3619</v>
      </c>
      <c r="I34" s="1162" t="s">
        <v>3620</v>
      </c>
      <c r="J34" s="1089" t="s">
        <v>3627</v>
      </c>
      <c r="K34" s="1284" t="s">
        <v>3975</v>
      </c>
    </row>
    <row r="35" spans="1:11" ht="75.75" customHeight="1">
      <c r="B35" s="2440" t="s">
        <v>4136</v>
      </c>
      <c r="C35" s="2441"/>
      <c r="D35" s="2441"/>
      <c r="E35" s="2442"/>
      <c r="F35" s="2381" t="s">
        <v>3651</v>
      </c>
      <c r="G35" s="2416"/>
      <c r="H35" s="1106" t="s">
        <v>3651</v>
      </c>
      <c r="I35" s="1100" t="s">
        <v>3651</v>
      </c>
      <c r="J35" s="1101"/>
      <c r="K35" s="1101"/>
    </row>
    <row r="36" spans="1:11" ht="90.75" customHeight="1">
      <c r="A36" s="1236"/>
      <c r="B36" s="2391" t="s">
        <v>4140</v>
      </c>
      <c r="C36" s="2400"/>
      <c r="D36" s="2400"/>
      <c r="E36" s="2417"/>
      <c r="F36" s="2391" t="s">
        <v>3604</v>
      </c>
      <c r="G36" s="2417"/>
      <c r="H36" s="1109" t="str">
        <f>ERMs!E61</f>
        <v xml:space="preserve"> hp NEMA Standard Motor, 19 W/GPM</v>
      </c>
      <c r="I36" s="1108" t="str">
        <f>ERMs!D61</f>
        <v>Baseline: 19 W/GPM
Proposed:  W/GPM</v>
      </c>
      <c r="J36" s="1101"/>
      <c r="K36" s="1101"/>
    </row>
    <row r="37" spans="1:11" ht="88.5" customHeight="1">
      <c r="B37" s="2391" t="s">
        <v>4141</v>
      </c>
      <c r="C37" s="2400"/>
      <c r="D37" s="2400"/>
      <c r="E37" s="2417"/>
      <c r="F37" s="2391" t="s">
        <v>3604</v>
      </c>
      <c r="G37" s="2417"/>
      <c r="H37" s="1109" t="str">
        <f>ERMs!E62</f>
        <v xml:space="preserve">  hp NEMA  efficiency motor, 0.0% efficient</v>
      </c>
      <c r="I37" s="1108" t="str">
        <f>ERMs!D62</f>
        <v>Baseline: 0.0%
Proposed: 0.0%</v>
      </c>
      <c r="J37" s="1101"/>
      <c r="K37" s="1101"/>
    </row>
    <row r="38" spans="1:11" s="931" customFormat="1" ht="42" customHeight="1">
      <c r="A38" s="1314"/>
      <c r="B38" s="2555" t="s">
        <v>4137</v>
      </c>
      <c r="C38" s="2556"/>
      <c r="D38" s="2556"/>
      <c r="E38" s="2556"/>
      <c r="F38" s="2556"/>
      <c r="G38" s="2556"/>
      <c r="H38" s="2556"/>
      <c r="I38" s="2557"/>
      <c r="J38" s="1097"/>
      <c r="K38" s="1097"/>
    </row>
    <row r="39" spans="1:11" ht="26.25" customHeight="1">
      <c r="A39" s="931"/>
      <c r="B39" s="2440" t="s">
        <v>4138</v>
      </c>
      <c r="C39" s="2441"/>
      <c r="D39" s="2441"/>
      <c r="E39" s="2441"/>
      <c r="F39" s="2441"/>
      <c r="G39" s="2441"/>
      <c r="H39" s="2441"/>
      <c r="I39" s="2524"/>
      <c r="J39" s="1101"/>
      <c r="K39" s="1101"/>
    </row>
    <row r="40" spans="1:11" ht="38.25" customHeight="1">
      <c r="A40" s="931"/>
      <c r="B40" s="2440" t="s">
        <v>4139</v>
      </c>
      <c r="C40" s="2441"/>
      <c r="D40" s="2441"/>
      <c r="E40" s="2441"/>
      <c r="F40" s="2441"/>
      <c r="G40" s="2441"/>
      <c r="H40" s="2441"/>
      <c r="I40" s="2524"/>
      <c r="J40" s="1101"/>
      <c r="K40" s="1101"/>
    </row>
    <row r="41" spans="1:11" ht="50.25" customHeight="1">
      <c r="B41" s="2391" t="s">
        <v>4044</v>
      </c>
      <c r="C41" s="2400"/>
      <c r="D41" s="2400"/>
      <c r="E41" s="2400"/>
      <c r="F41" s="2400"/>
      <c r="G41" s="2400"/>
      <c r="H41" s="2400"/>
      <c r="I41" s="2401"/>
      <c r="J41" s="1101"/>
      <c r="K41" s="1101"/>
    </row>
    <row r="42" spans="1:11" ht="33.75" customHeight="1">
      <c r="B42" s="2588" t="s">
        <v>3760</v>
      </c>
      <c r="C42" s="2588"/>
      <c r="D42" s="2588"/>
      <c r="E42" s="2588"/>
      <c r="F42" s="2588"/>
      <c r="G42" s="2588"/>
      <c r="H42" s="2588"/>
      <c r="I42" s="2588"/>
      <c r="J42" s="2581"/>
      <c r="K42" s="2581"/>
    </row>
    <row r="43" spans="1:11" ht="33" customHeight="1"/>
    <row r="44" spans="1:11" ht="40.5" customHeight="1"/>
    <row r="45" spans="1:11" ht="55.5" customHeight="1"/>
    <row r="46" spans="1:11" ht="30.75" customHeight="1"/>
    <row r="50" spans="15:15">
      <c r="O50" s="1119" t="s">
        <v>1493</v>
      </c>
    </row>
    <row r="51" spans="15:15">
      <c r="O51" s="1119" t="s">
        <v>1494</v>
      </c>
    </row>
    <row r="52" spans="15:15">
      <c r="O52" s="1119" t="s">
        <v>2677</v>
      </c>
    </row>
  </sheetData>
  <sheetProtection formatCells="0" formatColumns="0" formatRows="0" insertColumns="0" insertRows="0"/>
  <mergeCells count="30">
    <mergeCell ref="J3:K3"/>
    <mergeCell ref="B8:K8"/>
    <mergeCell ref="B9:K9"/>
    <mergeCell ref="J1:K1"/>
    <mergeCell ref="J2:K2"/>
    <mergeCell ref="J4:K4"/>
    <mergeCell ref="B6:K6"/>
    <mergeCell ref="H4:I4"/>
    <mergeCell ref="B5:E5"/>
    <mergeCell ref="B7:K7"/>
    <mergeCell ref="B41:I41"/>
    <mergeCell ref="B42:K42"/>
    <mergeCell ref="F35:G35"/>
    <mergeCell ref="B38:I38"/>
    <mergeCell ref="B17:K17"/>
    <mergeCell ref="B25:K25"/>
    <mergeCell ref="B34:E34"/>
    <mergeCell ref="B35:E35"/>
    <mergeCell ref="B36:E36"/>
    <mergeCell ref="B37:E37"/>
    <mergeCell ref="F34:G34"/>
    <mergeCell ref="F36:G36"/>
    <mergeCell ref="F37:G37"/>
    <mergeCell ref="B39:I39"/>
    <mergeCell ref="B40:I40"/>
    <mergeCell ref="B10:E10"/>
    <mergeCell ref="J10:K10"/>
    <mergeCell ref="B22:K22"/>
    <mergeCell ref="B23:K23"/>
    <mergeCell ref="B19:K19"/>
  </mergeCells>
  <dataValidations count="1">
    <dataValidation type="list" allowBlank="1" showInputMessage="1" showErrorMessage="1" sqref="WVO39:WVP41 WLS39:WLT41 WBW39:WBX41 VSA39:VSB41 VIE39:VIF41 UYI39:UYJ41 UOM39:UON41 UEQ39:UER41 TUU39:TUV41 TKY39:TKZ41 TBC39:TBD41 SRG39:SRH41 SHK39:SHL41 RXO39:RXP41 RNS39:RNT41 RDW39:RDX41 QUA39:QUB41 QKE39:QKF41 QAI39:QAJ41 PQM39:PQN41 PGQ39:PGR41 OWU39:OWV41 OMY39:OMZ41 ODC39:ODD41 NTG39:NTH41 NJK39:NJL41 MZO39:MZP41 MPS39:MPT41 MFW39:MFX41 LWA39:LWB41 LME39:LMF41 LCI39:LCJ41 KSM39:KSN41 KIQ39:KIR41 JYU39:JYV41 JOY39:JOZ41 JFC39:JFD41 IVG39:IVH41 ILK39:ILL41 IBO39:IBP41 HRS39:HRT41 HHW39:HHX41 GYA39:GYB41 GOE39:GOF41 GEI39:GEJ41 FUM39:FUN41 FKQ39:FKR41 FAU39:FAV41 EQY39:EQZ41 EHC39:EHD41 DXG39:DXH41 DNK39:DNL41 DDO39:DDP41 CTS39:CTT41 CJW39:CJX41 CAA39:CAB41 BQE39:BQF41 BGI39:BGJ41 AWM39:AWN41 AMQ39:AMR41 ACU39:ACV41 SY39:SZ41 JC39:JD41 TB42:TB45 ACX42:ACX45 AMT42:AMT45 AWP42:AWP45 BGL42:BGL45 BQH42:BQH45 CAD42:CAD45 CJZ42:CJZ45 CTV42:CTV45 DDR42:DDR45 DNN42:DNN45 DXJ42:DXJ45 EHF42:EHF45 ERB42:ERB45 FAX42:FAX45 FKT42:FKT45 FUP42:FUP45 GEL42:GEL45 GOH42:GOH45 GYD42:GYD45 HHZ42:HHZ45 HRV42:HRV45 IBR42:IBR45 ILN42:ILN45 IVJ42:IVJ45 JFF42:JFF45 JPB42:JPB45 JYX42:JYX45 KIT42:KIT45 KSP42:KSP45 LCL42:LCL45 LMH42:LMH45 LWD42:LWD45 MFZ42:MFZ45 MPV42:MPV45 MZR42:MZR45 NJN42:NJN45 NTJ42:NTJ45 ODF42:ODF45 ONB42:ONB45 OWX42:OWX45 PGT42:PGT45 PQP42:PQP45 QAL42:QAL45 QKH42:QKH45 QUD42:QUD45 RDZ42:RDZ45 RNV42:RNV45 RXR42:RXR45 SHN42:SHN45 SRJ42:SRJ45 TBF42:TBF45 TLB42:TLB45 TUX42:TUX45 UET42:UET45 UOP42:UOP45 UYL42:UYL45 VIH42:VIH45 VSD42:VSD45 WBZ42:WBZ45 WLV42:WLV45 WVR42:WVR45 JF65578:JF65581 TB65578:TB65581 ACX65578:ACX65581 AMT65578:AMT65581 AWP65578:AWP65581 BGL65578:BGL65581 BQH65578:BQH65581 CAD65578:CAD65581 CJZ65578:CJZ65581 CTV65578:CTV65581 DDR65578:DDR65581 DNN65578:DNN65581 DXJ65578:DXJ65581 EHF65578:EHF65581 ERB65578:ERB65581 FAX65578:FAX65581 FKT65578:FKT65581 FUP65578:FUP65581 GEL65578:GEL65581 GOH65578:GOH65581 GYD65578:GYD65581 HHZ65578:HHZ65581 HRV65578:HRV65581 IBR65578:IBR65581 ILN65578:ILN65581 IVJ65578:IVJ65581 JFF65578:JFF65581 JPB65578:JPB65581 JYX65578:JYX65581 KIT65578:KIT65581 KSP65578:KSP65581 LCL65578:LCL65581 LMH65578:LMH65581 LWD65578:LWD65581 MFZ65578:MFZ65581 MPV65578:MPV65581 MZR65578:MZR65581 NJN65578:NJN65581 NTJ65578:NTJ65581 ODF65578:ODF65581 ONB65578:ONB65581 OWX65578:OWX65581 PGT65578:PGT65581 PQP65578:PQP65581 QAL65578:QAL65581 QKH65578:QKH65581 QUD65578:QUD65581 RDZ65578:RDZ65581 RNV65578:RNV65581 RXR65578:RXR65581 SHN65578:SHN65581 SRJ65578:SRJ65581 TBF65578:TBF65581 TLB65578:TLB65581 TUX65578:TUX65581 UET65578:UET65581 UOP65578:UOP65581 UYL65578:UYL65581 VIH65578:VIH65581 VSD65578:VSD65581 WBZ65578:WBZ65581 WLV65578:WLV65581 WVR65578:WVR65581 JF131114:JF131117 TB131114:TB131117 ACX131114:ACX131117 AMT131114:AMT131117 AWP131114:AWP131117 BGL131114:BGL131117 BQH131114:BQH131117 CAD131114:CAD131117 CJZ131114:CJZ131117 CTV131114:CTV131117 DDR131114:DDR131117 DNN131114:DNN131117 DXJ131114:DXJ131117 EHF131114:EHF131117 ERB131114:ERB131117 FAX131114:FAX131117 FKT131114:FKT131117 FUP131114:FUP131117 GEL131114:GEL131117 GOH131114:GOH131117 GYD131114:GYD131117 HHZ131114:HHZ131117 HRV131114:HRV131117 IBR131114:IBR131117 ILN131114:ILN131117 IVJ131114:IVJ131117 JFF131114:JFF131117 JPB131114:JPB131117 JYX131114:JYX131117 KIT131114:KIT131117 KSP131114:KSP131117 LCL131114:LCL131117 LMH131114:LMH131117 LWD131114:LWD131117 MFZ131114:MFZ131117 MPV131114:MPV131117 MZR131114:MZR131117 NJN131114:NJN131117 NTJ131114:NTJ131117 ODF131114:ODF131117 ONB131114:ONB131117 OWX131114:OWX131117 PGT131114:PGT131117 PQP131114:PQP131117 QAL131114:QAL131117 QKH131114:QKH131117 QUD131114:QUD131117 RDZ131114:RDZ131117 RNV131114:RNV131117 RXR131114:RXR131117 SHN131114:SHN131117 SRJ131114:SRJ131117 TBF131114:TBF131117 TLB131114:TLB131117 TUX131114:TUX131117 UET131114:UET131117 UOP131114:UOP131117 UYL131114:UYL131117 VIH131114:VIH131117 VSD131114:VSD131117 WBZ131114:WBZ131117 WLV131114:WLV131117 WVR131114:WVR131117 JF196650:JF196653 TB196650:TB196653 ACX196650:ACX196653 AMT196650:AMT196653 AWP196650:AWP196653 BGL196650:BGL196653 BQH196650:BQH196653 CAD196650:CAD196653 CJZ196650:CJZ196653 CTV196650:CTV196653 DDR196650:DDR196653 DNN196650:DNN196653 DXJ196650:DXJ196653 EHF196650:EHF196653 ERB196650:ERB196653 FAX196650:FAX196653 FKT196650:FKT196653 FUP196650:FUP196653 GEL196650:GEL196653 GOH196650:GOH196653 GYD196650:GYD196653 HHZ196650:HHZ196653 HRV196650:HRV196653 IBR196650:IBR196653 ILN196650:ILN196653 IVJ196650:IVJ196653 JFF196650:JFF196653 JPB196650:JPB196653 JYX196650:JYX196653 KIT196650:KIT196653 KSP196650:KSP196653 LCL196650:LCL196653 LMH196650:LMH196653 LWD196650:LWD196653 MFZ196650:MFZ196653 MPV196650:MPV196653 MZR196650:MZR196653 NJN196650:NJN196653 NTJ196650:NTJ196653 ODF196650:ODF196653 ONB196650:ONB196653 OWX196650:OWX196653 PGT196650:PGT196653 PQP196650:PQP196653 QAL196650:QAL196653 QKH196650:QKH196653 QUD196650:QUD196653 RDZ196650:RDZ196653 RNV196650:RNV196653 RXR196650:RXR196653 SHN196650:SHN196653 SRJ196650:SRJ196653 TBF196650:TBF196653 TLB196650:TLB196653 TUX196650:TUX196653 UET196650:UET196653 UOP196650:UOP196653 UYL196650:UYL196653 VIH196650:VIH196653 VSD196650:VSD196653 WBZ196650:WBZ196653 WLV196650:WLV196653 WVR196650:WVR196653 JF262186:JF262189 TB262186:TB262189 ACX262186:ACX262189 AMT262186:AMT262189 AWP262186:AWP262189 BGL262186:BGL262189 BQH262186:BQH262189 CAD262186:CAD262189 CJZ262186:CJZ262189 CTV262186:CTV262189 DDR262186:DDR262189 DNN262186:DNN262189 DXJ262186:DXJ262189 EHF262186:EHF262189 ERB262186:ERB262189 FAX262186:FAX262189 FKT262186:FKT262189 FUP262186:FUP262189 GEL262186:GEL262189 GOH262186:GOH262189 GYD262186:GYD262189 HHZ262186:HHZ262189 HRV262186:HRV262189 IBR262186:IBR262189 ILN262186:ILN262189 IVJ262186:IVJ262189 JFF262186:JFF262189 JPB262186:JPB262189 JYX262186:JYX262189 KIT262186:KIT262189 KSP262186:KSP262189 LCL262186:LCL262189 LMH262186:LMH262189 LWD262186:LWD262189 MFZ262186:MFZ262189 MPV262186:MPV262189 MZR262186:MZR262189 NJN262186:NJN262189 NTJ262186:NTJ262189 ODF262186:ODF262189 ONB262186:ONB262189 OWX262186:OWX262189 PGT262186:PGT262189 PQP262186:PQP262189 QAL262186:QAL262189 QKH262186:QKH262189 QUD262186:QUD262189 RDZ262186:RDZ262189 RNV262186:RNV262189 RXR262186:RXR262189 SHN262186:SHN262189 SRJ262186:SRJ262189 TBF262186:TBF262189 TLB262186:TLB262189 TUX262186:TUX262189 UET262186:UET262189 UOP262186:UOP262189 UYL262186:UYL262189 VIH262186:VIH262189 VSD262186:VSD262189 WBZ262186:WBZ262189 WLV262186:WLV262189 WVR262186:WVR262189 JF327722:JF327725 TB327722:TB327725 ACX327722:ACX327725 AMT327722:AMT327725 AWP327722:AWP327725 BGL327722:BGL327725 BQH327722:BQH327725 CAD327722:CAD327725 CJZ327722:CJZ327725 CTV327722:CTV327725 DDR327722:DDR327725 DNN327722:DNN327725 DXJ327722:DXJ327725 EHF327722:EHF327725 ERB327722:ERB327725 FAX327722:FAX327725 FKT327722:FKT327725 FUP327722:FUP327725 GEL327722:GEL327725 GOH327722:GOH327725 GYD327722:GYD327725 HHZ327722:HHZ327725 HRV327722:HRV327725 IBR327722:IBR327725 ILN327722:ILN327725 IVJ327722:IVJ327725 JFF327722:JFF327725 JPB327722:JPB327725 JYX327722:JYX327725 KIT327722:KIT327725 KSP327722:KSP327725 LCL327722:LCL327725 LMH327722:LMH327725 LWD327722:LWD327725 MFZ327722:MFZ327725 MPV327722:MPV327725 MZR327722:MZR327725 NJN327722:NJN327725 NTJ327722:NTJ327725 ODF327722:ODF327725 ONB327722:ONB327725 OWX327722:OWX327725 PGT327722:PGT327725 PQP327722:PQP327725 QAL327722:QAL327725 QKH327722:QKH327725 QUD327722:QUD327725 RDZ327722:RDZ327725 RNV327722:RNV327725 RXR327722:RXR327725 SHN327722:SHN327725 SRJ327722:SRJ327725 TBF327722:TBF327725 TLB327722:TLB327725 TUX327722:TUX327725 UET327722:UET327725 UOP327722:UOP327725 UYL327722:UYL327725 VIH327722:VIH327725 VSD327722:VSD327725 WBZ327722:WBZ327725 WLV327722:WLV327725 WVR327722:WVR327725 JF393258:JF393261 TB393258:TB393261 ACX393258:ACX393261 AMT393258:AMT393261 AWP393258:AWP393261 BGL393258:BGL393261 BQH393258:BQH393261 CAD393258:CAD393261 CJZ393258:CJZ393261 CTV393258:CTV393261 DDR393258:DDR393261 DNN393258:DNN393261 DXJ393258:DXJ393261 EHF393258:EHF393261 ERB393258:ERB393261 FAX393258:FAX393261 FKT393258:FKT393261 FUP393258:FUP393261 GEL393258:GEL393261 GOH393258:GOH393261 GYD393258:GYD393261 HHZ393258:HHZ393261 HRV393258:HRV393261 IBR393258:IBR393261 ILN393258:ILN393261 IVJ393258:IVJ393261 JFF393258:JFF393261 JPB393258:JPB393261 JYX393258:JYX393261 KIT393258:KIT393261 KSP393258:KSP393261 LCL393258:LCL393261 LMH393258:LMH393261 LWD393258:LWD393261 MFZ393258:MFZ393261 MPV393258:MPV393261 MZR393258:MZR393261 NJN393258:NJN393261 NTJ393258:NTJ393261 ODF393258:ODF393261 ONB393258:ONB393261 OWX393258:OWX393261 PGT393258:PGT393261 PQP393258:PQP393261 QAL393258:QAL393261 QKH393258:QKH393261 QUD393258:QUD393261 RDZ393258:RDZ393261 RNV393258:RNV393261 RXR393258:RXR393261 SHN393258:SHN393261 SRJ393258:SRJ393261 TBF393258:TBF393261 TLB393258:TLB393261 TUX393258:TUX393261 UET393258:UET393261 UOP393258:UOP393261 UYL393258:UYL393261 VIH393258:VIH393261 VSD393258:VSD393261 WBZ393258:WBZ393261 WLV393258:WLV393261 WVR393258:WVR393261 JF458794:JF458797 TB458794:TB458797 ACX458794:ACX458797 AMT458794:AMT458797 AWP458794:AWP458797 BGL458794:BGL458797 BQH458794:BQH458797 CAD458794:CAD458797 CJZ458794:CJZ458797 CTV458794:CTV458797 DDR458794:DDR458797 DNN458794:DNN458797 DXJ458794:DXJ458797 EHF458794:EHF458797 ERB458794:ERB458797 FAX458794:FAX458797 FKT458794:FKT458797 FUP458794:FUP458797 GEL458794:GEL458797 GOH458794:GOH458797 GYD458794:GYD458797 HHZ458794:HHZ458797 HRV458794:HRV458797 IBR458794:IBR458797 ILN458794:ILN458797 IVJ458794:IVJ458797 JFF458794:JFF458797 JPB458794:JPB458797 JYX458794:JYX458797 KIT458794:KIT458797 KSP458794:KSP458797 LCL458794:LCL458797 LMH458794:LMH458797 LWD458794:LWD458797 MFZ458794:MFZ458797 MPV458794:MPV458797 MZR458794:MZR458797 NJN458794:NJN458797 NTJ458794:NTJ458797 ODF458794:ODF458797 ONB458794:ONB458797 OWX458794:OWX458797 PGT458794:PGT458797 PQP458794:PQP458797 QAL458794:QAL458797 QKH458794:QKH458797 QUD458794:QUD458797 RDZ458794:RDZ458797 RNV458794:RNV458797 RXR458794:RXR458797 SHN458794:SHN458797 SRJ458794:SRJ458797 TBF458794:TBF458797 TLB458794:TLB458797 TUX458794:TUX458797 UET458794:UET458797 UOP458794:UOP458797 UYL458794:UYL458797 VIH458794:VIH458797 VSD458794:VSD458797 WBZ458794:WBZ458797 WLV458794:WLV458797 WVR458794:WVR458797 JF524330:JF524333 TB524330:TB524333 ACX524330:ACX524333 AMT524330:AMT524333 AWP524330:AWP524333 BGL524330:BGL524333 BQH524330:BQH524333 CAD524330:CAD524333 CJZ524330:CJZ524333 CTV524330:CTV524333 DDR524330:DDR524333 DNN524330:DNN524333 DXJ524330:DXJ524333 EHF524330:EHF524333 ERB524330:ERB524333 FAX524330:FAX524333 FKT524330:FKT524333 FUP524330:FUP524333 GEL524330:GEL524333 GOH524330:GOH524333 GYD524330:GYD524333 HHZ524330:HHZ524333 HRV524330:HRV524333 IBR524330:IBR524333 ILN524330:ILN524333 IVJ524330:IVJ524333 JFF524330:JFF524333 JPB524330:JPB524333 JYX524330:JYX524333 KIT524330:KIT524333 KSP524330:KSP524333 LCL524330:LCL524333 LMH524330:LMH524333 LWD524330:LWD524333 MFZ524330:MFZ524333 MPV524330:MPV524333 MZR524330:MZR524333 NJN524330:NJN524333 NTJ524330:NTJ524333 ODF524330:ODF524333 ONB524330:ONB524333 OWX524330:OWX524333 PGT524330:PGT524333 PQP524330:PQP524333 QAL524330:QAL524333 QKH524330:QKH524333 QUD524330:QUD524333 RDZ524330:RDZ524333 RNV524330:RNV524333 RXR524330:RXR524333 SHN524330:SHN524333 SRJ524330:SRJ524333 TBF524330:TBF524333 TLB524330:TLB524333 TUX524330:TUX524333 UET524330:UET524333 UOP524330:UOP524333 UYL524330:UYL524333 VIH524330:VIH524333 VSD524330:VSD524333 WBZ524330:WBZ524333 WLV524330:WLV524333 WVR524330:WVR524333 JF589866:JF589869 TB589866:TB589869 ACX589866:ACX589869 AMT589866:AMT589869 AWP589866:AWP589869 BGL589866:BGL589869 BQH589866:BQH589869 CAD589866:CAD589869 CJZ589866:CJZ589869 CTV589866:CTV589869 DDR589866:DDR589869 DNN589866:DNN589869 DXJ589866:DXJ589869 EHF589866:EHF589869 ERB589866:ERB589869 FAX589866:FAX589869 FKT589866:FKT589869 FUP589866:FUP589869 GEL589866:GEL589869 GOH589866:GOH589869 GYD589866:GYD589869 HHZ589866:HHZ589869 HRV589866:HRV589869 IBR589866:IBR589869 ILN589866:ILN589869 IVJ589866:IVJ589869 JFF589866:JFF589869 JPB589866:JPB589869 JYX589866:JYX589869 KIT589866:KIT589869 KSP589866:KSP589869 LCL589866:LCL589869 LMH589866:LMH589869 LWD589866:LWD589869 MFZ589866:MFZ589869 MPV589866:MPV589869 MZR589866:MZR589869 NJN589866:NJN589869 NTJ589866:NTJ589869 ODF589866:ODF589869 ONB589866:ONB589869 OWX589866:OWX589869 PGT589866:PGT589869 PQP589866:PQP589869 QAL589866:QAL589869 QKH589866:QKH589869 QUD589866:QUD589869 RDZ589866:RDZ589869 RNV589866:RNV589869 RXR589866:RXR589869 SHN589866:SHN589869 SRJ589866:SRJ589869 TBF589866:TBF589869 TLB589866:TLB589869 TUX589866:TUX589869 UET589866:UET589869 UOP589866:UOP589869 UYL589866:UYL589869 VIH589866:VIH589869 VSD589866:VSD589869 WBZ589866:WBZ589869 WLV589866:WLV589869 WVR589866:WVR589869 JF655402:JF655405 TB655402:TB655405 ACX655402:ACX655405 AMT655402:AMT655405 AWP655402:AWP655405 BGL655402:BGL655405 BQH655402:BQH655405 CAD655402:CAD655405 CJZ655402:CJZ655405 CTV655402:CTV655405 DDR655402:DDR655405 DNN655402:DNN655405 DXJ655402:DXJ655405 EHF655402:EHF655405 ERB655402:ERB655405 FAX655402:FAX655405 FKT655402:FKT655405 FUP655402:FUP655405 GEL655402:GEL655405 GOH655402:GOH655405 GYD655402:GYD655405 HHZ655402:HHZ655405 HRV655402:HRV655405 IBR655402:IBR655405 ILN655402:ILN655405 IVJ655402:IVJ655405 JFF655402:JFF655405 JPB655402:JPB655405 JYX655402:JYX655405 KIT655402:KIT655405 KSP655402:KSP655405 LCL655402:LCL655405 LMH655402:LMH655405 LWD655402:LWD655405 MFZ655402:MFZ655405 MPV655402:MPV655405 MZR655402:MZR655405 NJN655402:NJN655405 NTJ655402:NTJ655405 ODF655402:ODF655405 ONB655402:ONB655405 OWX655402:OWX655405 PGT655402:PGT655405 PQP655402:PQP655405 QAL655402:QAL655405 QKH655402:QKH655405 QUD655402:QUD655405 RDZ655402:RDZ655405 RNV655402:RNV655405 RXR655402:RXR655405 SHN655402:SHN655405 SRJ655402:SRJ655405 TBF655402:TBF655405 TLB655402:TLB655405 TUX655402:TUX655405 UET655402:UET655405 UOP655402:UOP655405 UYL655402:UYL655405 VIH655402:VIH655405 VSD655402:VSD655405 WBZ655402:WBZ655405 WLV655402:WLV655405 WVR655402:WVR655405 JF720938:JF720941 TB720938:TB720941 ACX720938:ACX720941 AMT720938:AMT720941 AWP720938:AWP720941 BGL720938:BGL720941 BQH720938:BQH720941 CAD720938:CAD720941 CJZ720938:CJZ720941 CTV720938:CTV720941 DDR720938:DDR720941 DNN720938:DNN720941 DXJ720938:DXJ720941 EHF720938:EHF720941 ERB720938:ERB720941 FAX720938:FAX720941 FKT720938:FKT720941 FUP720938:FUP720941 GEL720938:GEL720941 GOH720938:GOH720941 GYD720938:GYD720941 HHZ720938:HHZ720941 HRV720938:HRV720941 IBR720938:IBR720941 ILN720938:ILN720941 IVJ720938:IVJ720941 JFF720938:JFF720941 JPB720938:JPB720941 JYX720938:JYX720941 KIT720938:KIT720941 KSP720938:KSP720941 LCL720938:LCL720941 LMH720938:LMH720941 LWD720938:LWD720941 MFZ720938:MFZ720941 MPV720938:MPV720941 MZR720938:MZR720941 NJN720938:NJN720941 NTJ720938:NTJ720941 ODF720938:ODF720941 ONB720938:ONB720941 OWX720938:OWX720941 PGT720938:PGT720941 PQP720938:PQP720941 QAL720938:QAL720941 QKH720938:QKH720941 QUD720938:QUD720941 RDZ720938:RDZ720941 RNV720938:RNV720941 RXR720938:RXR720941 SHN720938:SHN720941 SRJ720938:SRJ720941 TBF720938:TBF720941 TLB720938:TLB720941 TUX720938:TUX720941 UET720938:UET720941 UOP720938:UOP720941 UYL720938:UYL720941 VIH720938:VIH720941 VSD720938:VSD720941 WBZ720938:WBZ720941 WLV720938:WLV720941 WVR720938:WVR720941 JF786474:JF786477 TB786474:TB786477 ACX786474:ACX786477 AMT786474:AMT786477 AWP786474:AWP786477 BGL786474:BGL786477 BQH786474:BQH786477 CAD786474:CAD786477 CJZ786474:CJZ786477 CTV786474:CTV786477 DDR786474:DDR786477 DNN786474:DNN786477 DXJ786474:DXJ786477 EHF786474:EHF786477 ERB786474:ERB786477 FAX786474:FAX786477 FKT786474:FKT786477 FUP786474:FUP786477 GEL786474:GEL786477 GOH786474:GOH786477 GYD786474:GYD786477 HHZ786474:HHZ786477 HRV786474:HRV786477 IBR786474:IBR786477 ILN786474:ILN786477 IVJ786474:IVJ786477 JFF786474:JFF786477 JPB786474:JPB786477 JYX786474:JYX786477 KIT786474:KIT786477 KSP786474:KSP786477 LCL786474:LCL786477 LMH786474:LMH786477 LWD786474:LWD786477 MFZ786474:MFZ786477 MPV786474:MPV786477 MZR786474:MZR786477 NJN786474:NJN786477 NTJ786474:NTJ786477 ODF786474:ODF786477 ONB786474:ONB786477 OWX786474:OWX786477 PGT786474:PGT786477 PQP786474:PQP786477 QAL786474:QAL786477 QKH786474:QKH786477 QUD786474:QUD786477 RDZ786474:RDZ786477 RNV786474:RNV786477 RXR786474:RXR786477 SHN786474:SHN786477 SRJ786474:SRJ786477 TBF786474:TBF786477 TLB786474:TLB786477 TUX786474:TUX786477 UET786474:UET786477 UOP786474:UOP786477 UYL786474:UYL786477 VIH786474:VIH786477 VSD786474:VSD786477 WBZ786474:WBZ786477 WLV786474:WLV786477 WVR786474:WVR786477 JF852010:JF852013 TB852010:TB852013 ACX852010:ACX852013 AMT852010:AMT852013 AWP852010:AWP852013 BGL852010:BGL852013 BQH852010:BQH852013 CAD852010:CAD852013 CJZ852010:CJZ852013 CTV852010:CTV852013 DDR852010:DDR852013 DNN852010:DNN852013 DXJ852010:DXJ852013 EHF852010:EHF852013 ERB852010:ERB852013 FAX852010:FAX852013 FKT852010:FKT852013 FUP852010:FUP852013 GEL852010:GEL852013 GOH852010:GOH852013 GYD852010:GYD852013 HHZ852010:HHZ852013 HRV852010:HRV852013 IBR852010:IBR852013 ILN852010:ILN852013 IVJ852010:IVJ852013 JFF852010:JFF852013 JPB852010:JPB852013 JYX852010:JYX852013 KIT852010:KIT852013 KSP852010:KSP852013 LCL852010:LCL852013 LMH852010:LMH852013 LWD852010:LWD852013 MFZ852010:MFZ852013 MPV852010:MPV852013 MZR852010:MZR852013 NJN852010:NJN852013 NTJ852010:NTJ852013 ODF852010:ODF852013 ONB852010:ONB852013 OWX852010:OWX852013 PGT852010:PGT852013 PQP852010:PQP852013 QAL852010:QAL852013 QKH852010:QKH852013 QUD852010:QUD852013 RDZ852010:RDZ852013 RNV852010:RNV852013 RXR852010:RXR852013 SHN852010:SHN852013 SRJ852010:SRJ852013 TBF852010:TBF852013 TLB852010:TLB852013 TUX852010:TUX852013 UET852010:UET852013 UOP852010:UOP852013 UYL852010:UYL852013 VIH852010:VIH852013 VSD852010:VSD852013 WBZ852010:WBZ852013 WLV852010:WLV852013 WVR852010:WVR852013 JF917546:JF917549 TB917546:TB917549 ACX917546:ACX917549 AMT917546:AMT917549 AWP917546:AWP917549 BGL917546:BGL917549 BQH917546:BQH917549 CAD917546:CAD917549 CJZ917546:CJZ917549 CTV917546:CTV917549 DDR917546:DDR917549 DNN917546:DNN917549 DXJ917546:DXJ917549 EHF917546:EHF917549 ERB917546:ERB917549 FAX917546:FAX917549 FKT917546:FKT917549 FUP917546:FUP917549 GEL917546:GEL917549 GOH917546:GOH917549 GYD917546:GYD917549 HHZ917546:HHZ917549 HRV917546:HRV917549 IBR917546:IBR917549 ILN917546:ILN917549 IVJ917546:IVJ917549 JFF917546:JFF917549 JPB917546:JPB917549 JYX917546:JYX917549 KIT917546:KIT917549 KSP917546:KSP917549 LCL917546:LCL917549 LMH917546:LMH917549 LWD917546:LWD917549 MFZ917546:MFZ917549 MPV917546:MPV917549 MZR917546:MZR917549 NJN917546:NJN917549 NTJ917546:NTJ917549 ODF917546:ODF917549 ONB917546:ONB917549 OWX917546:OWX917549 PGT917546:PGT917549 PQP917546:PQP917549 QAL917546:QAL917549 QKH917546:QKH917549 QUD917546:QUD917549 RDZ917546:RDZ917549 RNV917546:RNV917549 RXR917546:RXR917549 SHN917546:SHN917549 SRJ917546:SRJ917549 TBF917546:TBF917549 TLB917546:TLB917549 TUX917546:TUX917549 UET917546:UET917549 UOP917546:UOP917549 UYL917546:UYL917549 VIH917546:VIH917549 VSD917546:VSD917549 WBZ917546:WBZ917549 WLV917546:WLV917549 WVR917546:WVR917549 JF983082:JF983085 TB983082:TB983085 ACX983082:ACX983085 AMT983082:AMT983085 AWP983082:AWP983085 BGL983082:BGL983085 BQH983082:BQH983085 CAD983082:CAD983085 CJZ983082:CJZ983085 CTV983082:CTV983085 DDR983082:DDR983085 DNN983082:DNN983085 DXJ983082:DXJ983085 EHF983082:EHF983085 ERB983082:ERB983085 FAX983082:FAX983085 FKT983082:FKT983085 FUP983082:FUP983085 GEL983082:GEL983085 GOH983082:GOH983085 GYD983082:GYD983085 HHZ983082:HHZ983085 HRV983082:HRV983085 IBR983082:IBR983085 ILN983082:ILN983085 IVJ983082:IVJ983085 JFF983082:JFF983085 JPB983082:JPB983085 JYX983082:JYX983085 KIT983082:KIT983085 KSP983082:KSP983085 LCL983082:LCL983085 LMH983082:LMH983085 LWD983082:LWD983085 MFZ983082:MFZ983085 MPV983082:MPV983085 MZR983082:MZR983085 NJN983082:NJN983085 NTJ983082:NTJ983085 ODF983082:ODF983085 ONB983082:ONB983085 OWX983082:OWX983085 PGT983082:PGT983085 PQP983082:PQP983085 QAL983082:QAL983085 QKH983082:QKH983085 QUD983082:QUD983085 RDZ983082:RDZ983085 RNV983082:RNV983085 RXR983082:RXR983085 SHN983082:SHN983085 SRJ983082:SRJ983085 TBF983082:TBF983085 TLB983082:TLB983085 TUX983082:TUX983085 UET983082:UET983085 UOP983082:UOP983085 UYL983082:UYL983085 VIH983082:VIH983085 VSD983082:VSD983085 WBZ983082:WBZ983085 WLV983082:WLV983085 WVR983082:WVR983085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JE32:JF33 JC34:JD35 JC31:JD31 TA32:TB33 SY34:SZ35 SY31:SZ31 ACW32:ACX33 ACU34:ACV35 ACU31:ACV31 AMS32:AMT33 AMQ34:AMR35 AMQ31:AMR31 AWO32:AWP33 AWM34:AWN35 AWM31:AWN31 BGK32:BGL33 BGI34:BGJ35 BGI31:BGJ31 BQG32:BQH33 BQE34:BQF35 BQE31:BQF31 CAC32:CAD33 CAA34:CAB35 CAA31:CAB31 CJY32:CJZ33 CJW34:CJX35 CJW31:CJX31 CTU32:CTV33 CTS34:CTT35 CTS31:CTT31 DDQ32:DDR33 DDO34:DDP35 DDO31:DDP31 DNM32:DNN33 DNK34:DNL35 DNK31:DNL31 DXI32:DXJ33 DXG34:DXH35 DXG31:DXH31 EHE32:EHF33 EHC34:EHD35 EHC31:EHD31 ERA32:ERB33 EQY34:EQZ35 EQY31:EQZ31 FAW32:FAX33 FAU34:FAV35 FAU31:FAV31 FKS32:FKT33 FKQ34:FKR35 FKQ31:FKR31 FUO32:FUP33 FUM34:FUN35 FUM31:FUN31 GEK32:GEL33 GEI34:GEJ35 GEI31:GEJ31 GOG32:GOH33 GOE34:GOF35 GOE31:GOF31 GYC32:GYD33 GYA34:GYB35 GYA31:GYB31 HHY32:HHZ33 HHW34:HHX35 HHW31:HHX31 HRU32:HRV33 HRS34:HRT35 HRS31:HRT31 IBQ32:IBR33 IBO34:IBP35 IBO31:IBP31 ILM32:ILN33 ILK34:ILL35 ILK31:ILL31 IVI32:IVJ33 IVG34:IVH35 IVG31:IVH31 JFE32:JFF33 JFC34:JFD35 JFC31:JFD31 JPA32:JPB33 JOY34:JOZ35 JOY31:JOZ31 JYW32:JYX33 JYU34:JYV35 JYU31:JYV31 KIS32:KIT33 KIQ34:KIR35 KIQ31:KIR31 KSO32:KSP33 KSM34:KSN35 KSM31:KSN31 LCK32:LCL33 LCI34:LCJ35 LCI31:LCJ31 LMG32:LMH33 LME34:LMF35 LME31:LMF31 LWC32:LWD33 LWA34:LWB35 LWA31:LWB31 MFY32:MFZ33 MFW34:MFX35 MFW31:MFX31 MPU32:MPV33 MPS34:MPT35 MPS31:MPT31 MZQ32:MZR33 MZO34:MZP35 MZO31:MZP31 NJM32:NJN33 NJK34:NJL35 NJK31:NJL31 NTI32:NTJ33 NTG34:NTH35 NTG31:NTH31 ODE32:ODF33 ODC34:ODD35 ODC31:ODD31 ONA32:ONB33 OMY34:OMZ35 OMY31:OMZ31 OWW32:OWX33 OWU34:OWV35 OWU31:OWV31 PGS32:PGT33 PGQ34:PGR35 PGQ31:PGR31 PQO32:PQP33 PQM34:PQN35 PQM31:PQN31 QAK32:QAL33 QAI34:QAJ35 QAI31:QAJ31 QKG32:QKH33 QKE34:QKF35 QKE31:QKF31 QUC32:QUD33 QUA34:QUB35 QUA31:QUB31 RDY32:RDZ33 RDW34:RDX35 RDW31:RDX31 RNU32:RNV33 RNS34:RNT35 RNS31:RNT31 RXQ32:RXR33 RXO34:RXP35 RXO31:RXP31 SHM32:SHN33 SHK34:SHL35 SHK31:SHL31 SRI32:SRJ33 SRG34:SRH35 SRG31:SRH31 TBE32:TBF33 TBC34:TBD35 TBC31:TBD31 TLA32:TLB33 TKY34:TKZ35 TKY31:TKZ31 TUW32:TUX33 TUU34:TUV35 TUU31:TUV31 UES32:UET33 UEQ34:UER35 UEQ31:UER31 UOO32:UOP33 UOM34:UON35 UOM31:UON31 UYK32:UYL33 UYI34:UYJ35 UYI31:UYJ31 VIG32:VIH33 VIE34:VIF35 VIE31:VIF31 VSC32:VSD33 VSA34:VSB35 VSA31:VSB31 WBY32:WBZ33 WBW34:WBX35 WBW31:WBX31 WLU32:WLV33 WLS34:WLT35 WLS31:WLT31 WVQ32:WVR33 WVO34:WVP35 WVO31:WVP31 JE65567:JF65571 TA65567:TB65571 ACW65567:ACX65571 AMS65567:AMT65571 AWO65567:AWP65571 BGK65567:BGL65571 BQG65567:BQH65571 CAC65567:CAD65571 CJY65567:CJZ65571 CTU65567:CTV65571 DDQ65567:DDR65571 DNM65567:DNN65571 DXI65567:DXJ65571 EHE65567:EHF65571 ERA65567:ERB65571 FAW65567:FAX65571 FKS65567:FKT65571 FUO65567:FUP65571 GEK65567:GEL65571 GOG65567:GOH65571 GYC65567:GYD65571 HHY65567:HHZ65571 HRU65567:HRV65571 IBQ65567:IBR65571 ILM65567:ILN65571 IVI65567:IVJ65571 JFE65567:JFF65571 JPA65567:JPB65571 JYW65567:JYX65571 KIS65567:KIT65571 KSO65567:KSP65571 LCK65567:LCL65571 LMG65567:LMH65571 LWC65567:LWD65571 MFY65567:MFZ65571 MPU65567:MPV65571 MZQ65567:MZR65571 NJM65567:NJN65571 NTI65567:NTJ65571 ODE65567:ODF65571 ONA65567:ONB65571 OWW65567:OWX65571 PGS65567:PGT65571 PQO65567:PQP65571 QAK65567:QAL65571 QKG65567:QKH65571 QUC65567:QUD65571 RDY65567:RDZ65571 RNU65567:RNV65571 RXQ65567:RXR65571 SHM65567:SHN65571 SRI65567:SRJ65571 TBE65567:TBF65571 TLA65567:TLB65571 TUW65567:TUX65571 UES65567:UET65571 UOO65567:UOP65571 UYK65567:UYL65571 VIG65567:VIH65571 VSC65567:VSD65571 WBY65567:WBZ65571 WLU65567:WLV65571 WVQ65567:WVR65571 JE131103:JF131107 TA131103:TB131107 ACW131103:ACX131107 AMS131103:AMT131107 AWO131103:AWP131107 BGK131103:BGL131107 BQG131103:BQH131107 CAC131103:CAD131107 CJY131103:CJZ131107 CTU131103:CTV131107 DDQ131103:DDR131107 DNM131103:DNN131107 DXI131103:DXJ131107 EHE131103:EHF131107 ERA131103:ERB131107 FAW131103:FAX131107 FKS131103:FKT131107 FUO131103:FUP131107 GEK131103:GEL131107 GOG131103:GOH131107 GYC131103:GYD131107 HHY131103:HHZ131107 HRU131103:HRV131107 IBQ131103:IBR131107 ILM131103:ILN131107 IVI131103:IVJ131107 JFE131103:JFF131107 JPA131103:JPB131107 JYW131103:JYX131107 KIS131103:KIT131107 KSO131103:KSP131107 LCK131103:LCL131107 LMG131103:LMH131107 LWC131103:LWD131107 MFY131103:MFZ131107 MPU131103:MPV131107 MZQ131103:MZR131107 NJM131103:NJN131107 NTI131103:NTJ131107 ODE131103:ODF131107 ONA131103:ONB131107 OWW131103:OWX131107 PGS131103:PGT131107 PQO131103:PQP131107 QAK131103:QAL131107 QKG131103:QKH131107 QUC131103:QUD131107 RDY131103:RDZ131107 RNU131103:RNV131107 RXQ131103:RXR131107 SHM131103:SHN131107 SRI131103:SRJ131107 TBE131103:TBF131107 TLA131103:TLB131107 TUW131103:TUX131107 UES131103:UET131107 UOO131103:UOP131107 UYK131103:UYL131107 VIG131103:VIH131107 VSC131103:VSD131107 WBY131103:WBZ131107 WLU131103:WLV131107 WVQ131103:WVR131107 JE196639:JF196643 TA196639:TB196643 ACW196639:ACX196643 AMS196639:AMT196643 AWO196639:AWP196643 BGK196639:BGL196643 BQG196639:BQH196643 CAC196639:CAD196643 CJY196639:CJZ196643 CTU196639:CTV196643 DDQ196639:DDR196643 DNM196639:DNN196643 DXI196639:DXJ196643 EHE196639:EHF196643 ERA196639:ERB196643 FAW196639:FAX196643 FKS196639:FKT196643 FUO196639:FUP196643 GEK196639:GEL196643 GOG196639:GOH196643 GYC196639:GYD196643 HHY196639:HHZ196643 HRU196639:HRV196643 IBQ196639:IBR196643 ILM196639:ILN196643 IVI196639:IVJ196643 JFE196639:JFF196643 JPA196639:JPB196643 JYW196639:JYX196643 KIS196639:KIT196643 KSO196639:KSP196643 LCK196639:LCL196643 LMG196639:LMH196643 LWC196639:LWD196643 MFY196639:MFZ196643 MPU196639:MPV196643 MZQ196639:MZR196643 NJM196639:NJN196643 NTI196639:NTJ196643 ODE196639:ODF196643 ONA196639:ONB196643 OWW196639:OWX196643 PGS196639:PGT196643 PQO196639:PQP196643 QAK196639:QAL196643 QKG196639:QKH196643 QUC196639:QUD196643 RDY196639:RDZ196643 RNU196639:RNV196643 RXQ196639:RXR196643 SHM196639:SHN196643 SRI196639:SRJ196643 TBE196639:TBF196643 TLA196639:TLB196643 TUW196639:TUX196643 UES196639:UET196643 UOO196639:UOP196643 UYK196639:UYL196643 VIG196639:VIH196643 VSC196639:VSD196643 WBY196639:WBZ196643 WLU196639:WLV196643 WVQ196639:WVR196643 JE262175:JF262179 TA262175:TB262179 ACW262175:ACX262179 AMS262175:AMT262179 AWO262175:AWP262179 BGK262175:BGL262179 BQG262175:BQH262179 CAC262175:CAD262179 CJY262175:CJZ262179 CTU262175:CTV262179 DDQ262175:DDR262179 DNM262175:DNN262179 DXI262175:DXJ262179 EHE262175:EHF262179 ERA262175:ERB262179 FAW262175:FAX262179 FKS262175:FKT262179 FUO262175:FUP262179 GEK262175:GEL262179 GOG262175:GOH262179 GYC262175:GYD262179 HHY262175:HHZ262179 HRU262175:HRV262179 IBQ262175:IBR262179 ILM262175:ILN262179 IVI262175:IVJ262179 JFE262175:JFF262179 JPA262175:JPB262179 JYW262175:JYX262179 KIS262175:KIT262179 KSO262175:KSP262179 LCK262175:LCL262179 LMG262175:LMH262179 LWC262175:LWD262179 MFY262175:MFZ262179 MPU262175:MPV262179 MZQ262175:MZR262179 NJM262175:NJN262179 NTI262175:NTJ262179 ODE262175:ODF262179 ONA262175:ONB262179 OWW262175:OWX262179 PGS262175:PGT262179 PQO262175:PQP262179 QAK262175:QAL262179 QKG262175:QKH262179 QUC262175:QUD262179 RDY262175:RDZ262179 RNU262175:RNV262179 RXQ262175:RXR262179 SHM262175:SHN262179 SRI262175:SRJ262179 TBE262175:TBF262179 TLA262175:TLB262179 TUW262175:TUX262179 UES262175:UET262179 UOO262175:UOP262179 UYK262175:UYL262179 VIG262175:VIH262179 VSC262175:VSD262179 WBY262175:WBZ262179 WLU262175:WLV262179 WVQ262175:WVR262179 JE327711:JF327715 TA327711:TB327715 ACW327711:ACX327715 AMS327711:AMT327715 AWO327711:AWP327715 BGK327711:BGL327715 BQG327711:BQH327715 CAC327711:CAD327715 CJY327711:CJZ327715 CTU327711:CTV327715 DDQ327711:DDR327715 DNM327711:DNN327715 DXI327711:DXJ327715 EHE327711:EHF327715 ERA327711:ERB327715 FAW327711:FAX327715 FKS327711:FKT327715 FUO327711:FUP327715 GEK327711:GEL327715 GOG327711:GOH327715 GYC327711:GYD327715 HHY327711:HHZ327715 HRU327711:HRV327715 IBQ327711:IBR327715 ILM327711:ILN327715 IVI327711:IVJ327715 JFE327711:JFF327715 JPA327711:JPB327715 JYW327711:JYX327715 KIS327711:KIT327715 KSO327711:KSP327715 LCK327711:LCL327715 LMG327711:LMH327715 LWC327711:LWD327715 MFY327711:MFZ327715 MPU327711:MPV327715 MZQ327711:MZR327715 NJM327711:NJN327715 NTI327711:NTJ327715 ODE327711:ODF327715 ONA327711:ONB327715 OWW327711:OWX327715 PGS327711:PGT327715 PQO327711:PQP327715 QAK327711:QAL327715 QKG327711:QKH327715 QUC327711:QUD327715 RDY327711:RDZ327715 RNU327711:RNV327715 RXQ327711:RXR327715 SHM327711:SHN327715 SRI327711:SRJ327715 TBE327711:TBF327715 TLA327711:TLB327715 TUW327711:TUX327715 UES327711:UET327715 UOO327711:UOP327715 UYK327711:UYL327715 VIG327711:VIH327715 VSC327711:VSD327715 WBY327711:WBZ327715 WLU327711:WLV327715 WVQ327711:WVR327715 JE393247:JF393251 TA393247:TB393251 ACW393247:ACX393251 AMS393247:AMT393251 AWO393247:AWP393251 BGK393247:BGL393251 BQG393247:BQH393251 CAC393247:CAD393251 CJY393247:CJZ393251 CTU393247:CTV393251 DDQ393247:DDR393251 DNM393247:DNN393251 DXI393247:DXJ393251 EHE393247:EHF393251 ERA393247:ERB393251 FAW393247:FAX393251 FKS393247:FKT393251 FUO393247:FUP393251 GEK393247:GEL393251 GOG393247:GOH393251 GYC393247:GYD393251 HHY393247:HHZ393251 HRU393247:HRV393251 IBQ393247:IBR393251 ILM393247:ILN393251 IVI393247:IVJ393251 JFE393247:JFF393251 JPA393247:JPB393251 JYW393247:JYX393251 KIS393247:KIT393251 KSO393247:KSP393251 LCK393247:LCL393251 LMG393247:LMH393251 LWC393247:LWD393251 MFY393247:MFZ393251 MPU393247:MPV393251 MZQ393247:MZR393251 NJM393247:NJN393251 NTI393247:NTJ393251 ODE393247:ODF393251 ONA393247:ONB393251 OWW393247:OWX393251 PGS393247:PGT393251 PQO393247:PQP393251 QAK393247:QAL393251 QKG393247:QKH393251 QUC393247:QUD393251 RDY393247:RDZ393251 RNU393247:RNV393251 RXQ393247:RXR393251 SHM393247:SHN393251 SRI393247:SRJ393251 TBE393247:TBF393251 TLA393247:TLB393251 TUW393247:TUX393251 UES393247:UET393251 UOO393247:UOP393251 UYK393247:UYL393251 VIG393247:VIH393251 VSC393247:VSD393251 WBY393247:WBZ393251 WLU393247:WLV393251 WVQ393247:WVR393251 JE458783:JF458787 TA458783:TB458787 ACW458783:ACX458787 AMS458783:AMT458787 AWO458783:AWP458787 BGK458783:BGL458787 BQG458783:BQH458787 CAC458783:CAD458787 CJY458783:CJZ458787 CTU458783:CTV458787 DDQ458783:DDR458787 DNM458783:DNN458787 DXI458783:DXJ458787 EHE458783:EHF458787 ERA458783:ERB458787 FAW458783:FAX458787 FKS458783:FKT458787 FUO458783:FUP458787 GEK458783:GEL458787 GOG458783:GOH458787 GYC458783:GYD458787 HHY458783:HHZ458787 HRU458783:HRV458787 IBQ458783:IBR458787 ILM458783:ILN458787 IVI458783:IVJ458787 JFE458783:JFF458787 JPA458783:JPB458787 JYW458783:JYX458787 KIS458783:KIT458787 KSO458783:KSP458787 LCK458783:LCL458787 LMG458783:LMH458787 LWC458783:LWD458787 MFY458783:MFZ458787 MPU458783:MPV458787 MZQ458783:MZR458787 NJM458783:NJN458787 NTI458783:NTJ458787 ODE458783:ODF458787 ONA458783:ONB458787 OWW458783:OWX458787 PGS458783:PGT458787 PQO458783:PQP458787 QAK458783:QAL458787 QKG458783:QKH458787 QUC458783:QUD458787 RDY458783:RDZ458787 RNU458783:RNV458787 RXQ458783:RXR458787 SHM458783:SHN458787 SRI458783:SRJ458787 TBE458783:TBF458787 TLA458783:TLB458787 TUW458783:TUX458787 UES458783:UET458787 UOO458783:UOP458787 UYK458783:UYL458787 VIG458783:VIH458787 VSC458783:VSD458787 WBY458783:WBZ458787 WLU458783:WLV458787 WVQ458783:WVR458787 JE524319:JF524323 TA524319:TB524323 ACW524319:ACX524323 AMS524319:AMT524323 AWO524319:AWP524323 BGK524319:BGL524323 BQG524319:BQH524323 CAC524319:CAD524323 CJY524319:CJZ524323 CTU524319:CTV524323 DDQ524319:DDR524323 DNM524319:DNN524323 DXI524319:DXJ524323 EHE524319:EHF524323 ERA524319:ERB524323 FAW524319:FAX524323 FKS524319:FKT524323 FUO524319:FUP524323 GEK524319:GEL524323 GOG524319:GOH524323 GYC524319:GYD524323 HHY524319:HHZ524323 HRU524319:HRV524323 IBQ524319:IBR524323 ILM524319:ILN524323 IVI524319:IVJ524323 JFE524319:JFF524323 JPA524319:JPB524323 JYW524319:JYX524323 KIS524319:KIT524323 KSO524319:KSP524323 LCK524319:LCL524323 LMG524319:LMH524323 LWC524319:LWD524323 MFY524319:MFZ524323 MPU524319:MPV524323 MZQ524319:MZR524323 NJM524319:NJN524323 NTI524319:NTJ524323 ODE524319:ODF524323 ONA524319:ONB524323 OWW524319:OWX524323 PGS524319:PGT524323 PQO524319:PQP524323 QAK524319:QAL524323 QKG524319:QKH524323 QUC524319:QUD524323 RDY524319:RDZ524323 RNU524319:RNV524323 RXQ524319:RXR524323 SHM524319:SHN524323 SRI524319:SRJ524323 TBE524319:TBF524323 TLA524319:TLB524323 TUW524319:TUX524323 UES524319:UET524323 UOO524319:UOP524323 UYK524319:UYL524323 VIG524319:VIH524323 VSC524319:VSD524323 WBY524319:WBZ524323 WLU524319:WLV524323 WVQ524319:WVR524323 JE589855:JF589859 TA589855:TB589859 ACW589855:ACX589859 AMS589855:AMT589859 AWO589855:AWP589859 BGK589855:BGL589859 BQG589855:BQH589859 CAC589855:CAD589859 CJY589855:CJZ589859 CTU589855:CTV589859 DDQ589855:DDR589859 DNM589855:DNN589859 DXI589855:DXJ589859 EHE589855:EHF589859 ERA589855:ERB589859 FAW589855:FAX589859 FKS589855:FKT589859 FUO589855:FUP589859 GEK589855:GEL589859 GOG589855:GOH589859 GYC589855:GYD589859 HHY589855:HHZ589859 HRU589855:HRV589859 IBQ589855:IBR589859 ILM589855:ILN589859 IVI589855:IVJ589859 JFE589855:JFF589859 JPA589855:JPB589859 JYW589855:JYX589859 KIS589855:KIT589859 KSO589855:KSP589859 LCK589855:LCL589859 LMG589855:LMH589859 LWC589855:LWD589859 MFY589855:MFZ589859 MPU589855:MPV589859 MZQ589855:MZR589859 NJM589855:NJN589859 NTI589855:NTJ589859 ODE589855:ODF589859 ONA589855:ONB589859 OWW589855:OWX589859 PGS589855:PGT589859 PQO589855:PQP589859 QAK589855:QAL589859 QKG589855:QKH589859 QUC589855:QUD589859 RDY589855:RDZ589859 RNU589855:RNV589859 RXQ589855:RXR589859 SHM589855:SHN589859 SRI589855:SRJ589859 TBE589855:TBF589859 TLA589855:TLB589859 TUW589855:TUX589859 UES589855:UET589859 UOO589855:UOP589859 UYK589855:UYL589859 VIG589855:VIH589859 VSC589855:VSD589859 WBY589855:WBZ589859 WLU589855:WLV589859 WVQ589855:WVR589859 JE655391:JF655395 TA655391:TB655395 ACW655391:ACX655395 AMS655391:AMT655395 AWO655391:AWP655395 BGK655391:BGL655395 BQG655391:BQH655395 CAC655391:CAD655395 CJY655391:CJZ655395 CTU655391:CTV655395 DDQ655391:DDR655395 DNM655391:DNN655395 DXI655391:DXJ655395 EHE655391:EHF655395 ERA655391:ERB655395 FAW655391:FAX655395 FKS655391:FKT655395 FUO655391:FUP655395 GEK655391:GEL655395 GOG655391:GOH655395 GYC655391:GYD655395 HHY655391:HHZ655395 HRU655391:HRV655395 IBQ655391:IBR655395 ILM655391:ILN655395 IVI655391:IVJ655395 JFE655391:JFF655395 JPA655391:JPB655395 JYW655391:JYX655395 KIS655391:KIT655395 KSO655391:KSP655395 LCK655391:LCL655395 LMG655391:LMH655395 LWC655391:LWD655395 MFY655391:MFZ655395 MPU655391:MPV655395 MZQ655391:MZR655395 NJM655391:NJN655395 NTI655391:NTJ655395 ODE655391:ODF655395 ONA655391:ONB655395 OWW655391:OWX655395 PGS655391:PGT655395 PQO655391:PQP655395 QAK655391:QAL655395 QKG655391:QKH655395 QUC655391:QUD655395 RDY655391:RDZ655395 RNU655391:RNV655395 RXQ655391:RXR655395 SHM655391:SHN655395 SRI655391:SRJ655395 TBE655391:TBF655395 TLA655391:TLB655395 TUW655391:TUX655395 UES655391:UET655395 UOO655391:UOP655395 UYK655391:UYL655395 VIG655391:VIH655395 VSC655391:VSD655395 WBY655391:WBZ655395 WLU655391:WLV655395 WVQ655391:WVR655395 JE720927:JF720931 TA720927:TB720931 ACW720927:ACX720931 AMS720927:AMT720931 AWO720927:AWP720931 BGK720927:BGL720931 BQG720927:BQH720931 CAC720927:CAD720931 CJY720927:CJZ720931 CTU720927:CTV720931 DDQ720927:DDR720931 DNM720927:DNN720931 DXI720927:DXJ720931 EHE720927:EHF720931 ERA720927:ERB720931 FAW720927:FAX720931 FKS720927:FKT720931 FUO720927:FUP720931 GEK720927:GEL720931 GOG720927:GOH720931 GYC720927:GYD720931 HHY720927:HHZ720931 HRU720927:HRV720931 IBQ720927:IBR720931 ILM720927:ILN720931 IVI720927:IVJ720931 JFE720927:JFF720931 JPA720927:JPB720931 JYW720927:JYX720931 KIS720927:KIT720931 KSO720927:KSP720931 LCK720927:LCL720931 LMG720927:LMH720931 LWC720927:LWD720931 MFY720927:MFZ720931 MPU720927:MPV720931 MZQ720927:MZR720931 NJM720927:NJN720931 NTI720927:NTJ720931 ODE720927:ODF720931 ONA720927:ONB720931 OWW720927:OWX720931 PGS720927:PGT720931 PQO720927:PQP720931 QAK720927:QAL720931 QKG720927:QKH720931 QUC720927:QUD720931 RDY720927:RDZ720931 RNU720927:RNV720931 RXQ720927:RXR720931 SHM720927:SHN720931 SRI720927:SRJ720931 TBE720927:TBF720931 TLA720927:TLB720931 TUW720927:TUX720931 UES720927:UET720931 UOO720927:UOP720931 UYK720927:UYL720931 VIG720927:VIH720931 VSC720927:VSD720931 WBY720927:WBZ720931 WLU720927:WLV720931 WVQ720927:WVR720931 JE786463:JF786467 TA786463:TB786467 ACW786463:ACX786467 AMS786463:AMT786467 AWO786463:AWP786467 BGK786463:BGL786467 BQG786463:BQH786467 CAC786463:CAD786467 CJY786463:CJZ786467 CTU786463:CTV786467 DDQ786463:DDR786467 DNM786463:DNN786467 DXI786463:DXJ786467 EHE786463:EHF786467 ERA786463:ERB786467 FAW786463:FAX786467 FKS786463:FKT786467 FUO786463:FUP786467 GEK786463:GEL786467 GOG786463:GOH786467 GYC786463:GYD786467 HHY786463:HHZ786467 HRU786463:HRV786467 IBQ786463:IBR786467 ILM786463:ILN786467 IVI786463:IVJ786467 JFE786463:JFF786467 JPA786463:JPB786467 JYW786463:JYX786467 KIS786463:KIT786467 KSO786463:KSP786467 LCK786463:LCL786467 LMG786463:LMH786467 LWC786463:LWD786467 MFY786463:MFZ786467 MPU786463:MPV786467 MZQ786463:MZR786467 NJM786463:NJN786467 NTI786463:NTJ786467 ODE786463:ODF786467 ONA786463:ONB786467 OWW786463:OWX786467 PGS786463:PGT786467 PQO786463:PQP786467 QAK786463:QAL786467 QKG786463:QKH786467 QUC786463:QUD786467 RDY786463:RDZ786467 RNU786463:RNV786467 RXQ786463:RXR786467 SHM786463:SHN786467 SRI786463:SRJ786467 TBE786463:TBF786467 TLA786463:TLB786467 TUW786463:TUX786467 UES786463:UET786467 UOO786463:UOP786467 UYK786463:UYL786467 VIG786463:VIH786467 VSC786463:VSD786467 WBY786463:WBZ786467 WLU786463:WLV786467 WVQ786463:WVR786467 JE851999:JF852003 TA851999:TB852003 ACW851999:ACX852003 AMS851999:AMT852003 AWO851999:AWP852003 BGK851999:BGL852003 BQG851999:BQH852003 CAC851999:CAD852003 CJY851999:CJZ852003 CTU851999:CTV852003 DDQ851999:DDR852003 DNM851999:DNN852003 DXI851999:DXJ852003 EHE851999:EHF852003 ERA851999:ERB852003 FAW851999:FAX852003 FKS851999:FKT852003 FUO851999:FUP852003 GEK851999:GEL852003 GOG851999:GOH852003 GYC851999:GYD852003 HHY851999:HHZ852003 HRU851999:HRV852003 IBQ851999:IBR852003 ILM851999:ILN852003 IVI851999:IVJ852003 JFE851999:JFF852003 JPA851999:JPB852003 JYW851999:JYX852003 KIS851999:KIT852003 KSO851999:KSP852003 LCK851999:LCL852003 LMG851999:LMH852003 LWC851999:LWD852003 MFY851999:MFZ852003 MPU851999:MPV852003 MZQ851999:MZR852003 NJM851999:NJN852003 NTI851999:NTJ852003 ODE851999:ODF852003 ONA851999:ONB852003 OWW851999:OWX852003 PGS851999:PGT852003 PQO851999:PQP852003 QAK851999:QAL852003 QKG851999:QKH852003 QUC851999:QUD852003 RDY851999:RDZ852003 RNU851999:RNV852003 RXQ851999:RXR852003 SHM851999:SHN852003 SRI851999:SRJ852003 TBE851999:TBF852003 TLA851999:TLB852003 TUW851999:TUX852003 UES851999:UET852003 UOO851999:UOP852003 UYK851999:UYL852003 VIG851999:VIH852003 VSC851999:VSD852003 WBY851999:WBZ852003 WLU851999:WLV852003 WVQ851999:WVR852003 JE917535:JF917539 TA917535:TB917539 ACW917535:ACX917539 AMS917535:AMT917539 AWO917535:AWP917539 BGK917535:BGL917539 BQG917535:BQH917539 CAC917535:CAD917539 CJY917535:CJZ917539 CTU917535:CTV917539 DDQ917535:DDR917539 DNM917535:DNN917539 DXI917535:DXJ917539 EHE917535:EHF917539 ERA917535:ERB917539 FAW917535:FAX917539 FKS917535:FKT917539 FUO917535:FUP917539 GEK917535:GEL917539 GOG917535:GOH917539 GYC917535:GYD917539 HHY917535:HHZ917539 HRU917535:HRV917539 IBQ917535:IBR917539 ILM917535:ILN917539 IVI917535:IVJ917539 JFE917535:JFF917539 JPA917535:JPB917539 JYW917535:JYX917539 KIS917535:KIT917539 KSO917535:KSP917539 LCK917535:LCL917539 LMG917535:LMH917539 LWC917535:LWD917539 MFY917535:MFZ917539 MPU917535:MPV917539 MZQ917535:MZR917539 NJM917535:NJN917539 NTI917535:NTJ917539 ODE917535:ODF917539 ONA917535:ONB917539 OWW917535:OWX917539 PGS917535:PGT917539 PQO917535:PQP917539 QAK917535:QAL917539 QKG917535:QKH917539 QUC917535:QUD917539 RDY917535:RDZ917539 RNU917535:RNV917539 RXQ917535:RXR917539 SHM917535:SHN917539 SRI917535:SRJ917539 TBE917535:TBF917539 TLA917535:TLB917539 TUW917535:TUX917539 UES917535:UET917539 UOO917535:UOP917539 UYK917535:UYL917539 VIG917535:VIH917539 VSC917535:VSD917539 WBY917535:WBZ917539 WLU917535:WLV917539 WVQ917535:WVR917539 JE983071:JF983075 TA983071:TB983075 ACW983071:ACX983075 AMS983071:AMT983075 AWO983071:AWP983075 BGK983071:BGL983075 BQG983071:BQH983075 CAC983071:CAD983075 CJY983071:CJZ983075 CTU983071:CTV983075 DDQ983071:DDR983075 DNM983071:DNN983075 DXI983071:DXJ983075 EHE983071:EHF983075 ERA983071:ERB983075 FAW983071:FAX983075 FKS983071:FKT983075 FUO983071:FUP983075 GEK983071:GEL983075 GOG983071:GOH983075 GYC983071:GYD983075 HHY983071:HHZ983075 HRU983071:HRV983075 IBQ983071:IBR983075 ILM983071:ILN983075 IVI983071:IVJ983075 JFE983071:JFF983075 JPA983071:JPB983075 JYW983071:JYX983075 KIS983071:KIT983075 KSO983071:KSP983075 LCK983071:LCL983075 LMG983071:LMH983075 LWC983071:LWD983075 MFY983071:MFZ983075 MPU983071:MPV983075 MZQ983071:MZR983075 NJM983071:NJN983075 NTI983071:NTJ983075 ODE983071:ODF983075 ONA983071:ONB983075 OWW983071:OWX983075 PGS983071:PGT983075 PQO983071:PQP983075 QAK983071:QAL983075 QKG983071:QKH983075 QUC983071:QUD983075 RDY983071:RDZ983075 RNU983071:RNV983075 RXQ983071:RXR983075 SHM983071:SHN983075 SRI983071:SRJ983075 TBE983071:TBF983075 TLA983071:TLB983075 TUW983071:TUX983075 UES983071:UET983075 UOO983071:UOP983075 UYK983071:UYL983075 VIG983071:VIH983075 VSC983071:VSD983075 WBY983071:WBZ983075 WLU983071:WLV983075 WVQ983071:WVR983075 JE42 TA42 ACW42 AMS42 AWO42 BGK42 BQG42 CAC42 CJY42 CTU42 DDQ42 DNM42 DXI42 EHE42 ERA42 FAW42 FKS42 FUO42 GEK42 GOG42 GYC42 HHY42 HRU42 IBQ42 ILM42 IVI42 JFE42 JPA42 JYW42 KIS42 KSO42 LCK42 LMG42 LWC42 MFY42 MPU42 MZQ42 NJM42 NTI42 ODE42 ONA42 OWW42 PGS42 PQO42 QAK42 QKG42 QUC42 RDY42 RNU42 RXQ42 SHM42 SRI42 TBE42 TLA42 TUW42 UES42 UOO42 UYK42 VIG42 VSC42 WBY42 WLU42 WVQ42 JE65578 TA65578 ACW65578 AMS65578 AWO65578 BGK65578 BQG65578 CAC65578 CJY65578 CTU65578 DDQ65578 DNM65578 DXI65578 EHE65578 ERA65578 FAW65578 FKS65578 FUO65578 GEK65578 GOG65578 GYC65578 HHY65578 HRU65578 IBQ65578 ILM65578 IVI65578 JFE65578 JPA65578 JYW65578 KIS65578 KSO65578 LCK65578 LMG65578 LWC65578 MFY65578 MPU65578 MZQ65578 NJM65578 NTI65578 ODE65578 ONA65578 OWW65578 PGS65578 PQO65578 QAK65578 QKG65578 QUC65578 RDY65578 RNU65578 RXQ65578 SHM65578 SRI65578 TBE65578 TLA65578 TUW65578 UES65578 UOO65578 UYK65578 VIG65578 VSC65578 WBY65578 WLU65578 WVQ65578 JE131114 TA131114 ACW131114 AMS131114 AWO131114 BGK131114 BQG131114 CAC131114 CJY131114 CTU131114 DDQ131114 DNM131114 DXI131114 EHE131114 ERA131114 FAW131114 FKS131114 FUO131114 GEK131114 GOG131114 GYC131114 HHY131114 HRU131114 IBQ131114 ILM131114 IVI131114 JFE131114 JPA131114 JYW131114 KIS131114 KSO131114 LCK131114 LMG131114 LWC131114 MFY131114 MPU131114 MZQ131114 NJM131114 NTI131114 ODE131114 ONA131114 OWW131114 PGS131114 PQO131114 QAK131114 QKG131114 QUC131114 RDY131114 RNU131114 RXQ131114 SHM131114 SRI131114 TBE131114 TLA131114 TUW131114 UES131114 UOO131114 UYK131114 VIG131114 VSC131114 WBY131114 WLU131114 WVQ131114 JE196650 TA196650 ACW196650 AMS196650 AWO196650 BGK196650 BQG196650 CAC196650 CJY196650 CTU196650 DDQ196650 DNM196650 DXI196650 EHE196650 ERA196650 FAW196650 FKS196650 FUO196650 GEK196650 GOG196650 GYC196650 HHY196650 HRU196650 IBQ196650 ILM196650 IVI196650 JFE196650 JPA196650 JYW196650 KIS196650 KSO196650 LCK196650 LMG196650 LWC196650 MFY196650 MPU196650 MZQ196650 NJM196650 NTI196650 ODE196650 ONA196650 OWW196650 PGS196650 PQO196650 QAK196650 QKG196650 QUC196650 RDY196650 RNU196650 RXQ196650 SHM196650 SRI196650 TBE196650 TLA196650 TUW196650 UES196650 UOO196650 UYK196650 VIG196650 VSC196650 WBY196650 WLU196650 WVQ196650 JE262186 TA262186 ACW262186 AMS262186 AWO262186 BGK262186 BQG262186 CAC262186 CJY262186 CTU262186 DDQ262186 DNM262186 DXI262186 EHE262186 ERA262186 FAW262186 FKS262186 FUO262186 GEK262186 GOG262186 GYC262186 HHY262186 HRU262186 IBQ262186 ILM262186 IVI262186 JFE262186 JPA262186 JYW262186 KIS262186 KSO262186 LCK262186 LMG262186 LWC262186 MFY262186 MPU262186 MZQ262186 NJM262186 NTI262186 ODE262186 ONA262186 OWW262186 PGS262186 PQO262186 QAK262186 QKG262186 QUC262186 RDY262186 RNU262186 RXQ262186 SHM262186 SRI262186 TBE262186 TLA262186 TUW262186 UES262186 UOO262186 UYK262186 VIG262186 VSC262186 WBY262186 WLU262186 WVQ262186 JE327722 TA327722 ACW327722 AMS327722 AWO327722 BGK327722 BQG327722 CAC327722 CJY327722 CTU327722 DDQ327722 DNM327722 DXI327722 EHE327722 ERA327722 FAW327722 FKS327722 FUO327722 GEK327722 GOG327722 GYC327722 HHY327722 HRU327722 IBQ327722 ILM327722 IVI327722 JFE327722 JPA327722 JYW327722 KIS327722 KSO327722 LCK327722 LMG327722 LWC327722 MFY327722 MPU327722 MZQ327722 NJM327722 NTI327722 ODE327722 ONA327722 OWW327722 PGS327722 PQO327722 QAK327722 QKG327722 QUC327722 RDY327722 RNU327722 RXQ327722 SHM327722 SRI327722 TBE327722 TLA327722 TUW327722 UES327722 UOO327722 UYK327722 VIG327722 VSC327722 WBY327722 WLU327722 WVQ327722 JE393258 TA393258 ACW393258 AMS393258 AWO393258 BGK393258 BQG393258 CAC393258 CJY393258 CTU393258 DDQ393258 DNM393258 DXI393258 EHE393258 ERA393258 FAW393258 FKS393258 FUO393258 GEK393258 GOG393258 GYC393258 HHY393258 HRU393258 IBQ393258 ILM393258 IVI393258 JFE393258 JPA393258 JYW393258 KIS393258 KSO393258 LCK393258 LMG393258 LWC393258 MFY393258 MPU393258 MZQ393258 NJM393258 NTI393258 ODE393258 ONA393258 OWW393258 PGS393258 PQO393258 QAK393258 QKG393258 QUC393258 RDY393258 RNU393258 RXQ393258 SHM393258 SRI393258 TBE393258 TLA393258 TUW393258 UES393258 UOO393258 UYK393258 VIG393258 VSC393258 WBY393258 WLU393258 WVQ393258 JE458794 TA458794 ACW458794 AMS458794 AWO458794 BGK458794 BQG458794 CAC458794 CJY458794 CTU458794 DDQ458794 DNM458794 DXI458794 EHE458794 ERA458794 FAW458794 FKS458794 FUO458794 GEK458794 GOG458794 GYC458794 HHY458794 HRU458794 IBQ458794 ILM458794 IVI458794 JFE458794 JPA458794 JYW458794 KIS458794 KSO458794 LCK458794 LMG458794 LWC458794 MFY458794 MPU458794 MZQ458794 NJM458794 NTI458794 ODE458794 ONA458794 OWW458794 PGS458794 PQO458794 QAK458794 QKG458794 QUC458794 RDY458794 RNU458794 RXQ458794 SHM458794 SRI458794 TBE458794 TLA458794 TUW458794 UES458794 UOO458794 UYK458794 VIG458794 VSC458794 WBY458794 WLU458794 WVQ458794 JE524330 TA524330 ACW524330 AMS524330 AWO524330 BGK524330 BQG524330 CAC524330 CJY524330 CTU524330 DDQ524330 DNM524330 DXI524330 EHE524330 ERA524330 FAW524330 FKS524330 FUO524330 GEK524330 GOG524330 GYC524330 HHY524330 HRU524330 IBQ524330 ILM524330 IVI524330 JFE524330 JPA524330 JYW524330 KIS524330 KSO524330 LCK524330 LMG524330 LWC524330 MFY524330 MPU524330 MZQ524330 NJM524330 NTI524330 ODE524330 ONA524330 OWW524330 PGS524330 PQO524330 QAK524330 QKG524330 QUC524330 RDY524330 RNU524330 RXQ524330 SHM524330 SRI524330 TBE524330 TLA524330 TUW524330 UES524330 UOO524330 UYK524330 VIG524330 VSC524330 WBY524330 WLU524330 WVQ524330 JE589866 TA589866 ACW589866 AMS589866 AWO589866 BGK589866 BQG589866 CAC589866 CJY589866 CTU589866 DDQ589866 DNM589866 DXI589866 EHE589866 ERA589866 FAW589866 FKS589866 FUO589866 GEK589866 GOG589866 GYC589866 HHY589866 HRU589866 IBQ589866 ILM589866 IVI589866 JFE589866 JPA589866 JYW589866 KIS589866 KSO589866 LCK589866 LMG589866 LWC589866 MFY589866 MPU589866 MZQ589866 NJM589866 NTI589866 ODE589866 ONA589866 OWW589866 PGS589866 PQO589866 QAK589866 QKG589866 QUC589866 RDY589866 RNU589866 RXQ589866 SHM589866 SRI589866 TBE589866 TLA589866 TUW589866 UES589866 UOO589866 UYK589866 VIG589866 VSC589866 WBY589866 WLU589866 WVQ589866 JE655402 TA655402 ACW655402 AMS655402 AWO655402 BGK655402 BQG655402 CAC655402 CJY655402 CTU655402 DDQ655402 DNM655402 DXI655402 EHE655402 ERA655402 FAW655402 FKS655402 FUO655402 GEK655402 GOG655402 GYC655402 HHY655402 HRU655402 IBQ655402 ILM655402 IVI655402 JFE655402 JPA655402 JYW655402 KIS655402 KSO655402 LCK655402 LMG655402 LWC655402 MFY655402 MPU655402 MZQ655402 NJM655402 NTI655402 ODE655402 ONA655402 OWW655402 PGS655402 PQO655402 QAK655402 QKG655402 QUC655402 RDY655402 RNU655402 RXQ655402 SHM655402 SRI655402 TBE655402 TLA655402 TUW655402 UES655402 UOO655402 UYK655402 VIG655402 VSC655402 WBY655402 WLU655402 WVQ655402 JE720938 TA720938 ACW720938 AMS720938 AWO720938 BGK720938 BQG720938 CAC720938 CJY720938 CTU720938 DDQ720938 DNM720938 DXI720938 EHE720938 ERA720938 FAW720938 FKS720938 FUO720938 GEK720938 GOG720938 GYC720938 HHY720938 HRU720938 IBQ720938 ILM720938 IVI720938 JFE720938 JPA720938 JYW720938 KIS720938 KSO720938 LCK720938 LMG720938 LWC720938 MFY720938 MPU720938 MZQ720938 NJM720938 NTI720938 ODE720938 ONA720938 OWW720938 PGS720938 PQO720938 QAK720938 QKG720938 QUC720938 RDY720938 RNU720938 RXQ720938 SHM720938 SRI720938 TBE720938 TLA720938 TUW720938 UES720938 UOO720938 UYK720938 VIG720938 VSC720938 WBY720938 WLU720938 WVQ720938 JE786474 TA786474 ACW786474 AMS786474 AWO786474 BGK786474 BQG786474 CAC786474 CJY786474 CTU786474 DDQ786474 DNM786474 DXI786474 EHE786474 ERA786474 FAW786474 FKS786474 FUO786474 GEK786474 GOG786474 GYC786474 HHY786474 HRU786474 IBQ786474 ILM786474 IVI786474 JFE786474 JPA786474 JYW786474 KIS786474 KSO786474 LCK786474 LMG786474 LWC786474 MFY786474 MPU786474 MZQ786474 NJM786474 NTI786474 ODE786474 ONA786474 OWW786474 PGS786474 PQO786474 QAK786474 QKG786474 QUC786474 RDY786474 RNU786474 RXQ786474 SHM786474 SRI786474 TBE786474 TLA786474 TUW786474 UES786474 UOO786474 UYK786474 VIG786474 VSC786474 WBY786474 WLU786474 WVQ786474 JE852010 TA852010 ACW852010 AMS852010 AWO852010 BGK852010 BQG852010 CAC852010 CJY852010 CTU852010 DDQ852010 DNM852010 DXI852010 EHE852010 ERA852010 FAW852010 FKS852010 FUO852010 GEK852010 GOG852010 GYC852010 HHY852010 HRU852010 IBQ852010 ILM852010 IVI852010 JFE852010 JPA852010 JYW852010 KIS852010 KSO852010 LCK852010 LMG852010 LWC852010 MFY852010 MPU852010 MZQ852010 NJM852010 NTI852010 ODE852010 ONA852010 OWW852010 PGS852010 PQO852010 QAK852010 QKG852010 QUC852010 RDY852010 RNU852010 RXQ852010 SHM852010 SRI852010 TBE852010 TLA852010 TUW852010 UES852010 UOO852010 UYK852010 VIG852010 VSC852010 WBY852010 WLU852010 WVQ852010 JE917546 TA917546 ACW917546 AMS917546 AWO917546 BGK917546 BQG917546 CAC917546 CJY917546 CTU917546 DDQ917546 DNM917546 DXI917546 EHE917546 ERA917546 FAW917546 FKS917546 FUO917546 GEK917546 GOG917546 GYC917546 HHY917546 HRU917546 IBQ917546 ILM917546 IVI917546 JFE917546 JPA917546 JYW917546 KIS917546 KSO917546 LCK917546 LMG917546 LWC917546 MFY917546 MPU917546 MZQ917546 NJM917546 NTI917546 ODE917546 ONA917546 OWW917546 PGS917546 PQO917546 QAK917546 QKG917546 QUC917546 RDY917546 RNU917546 RXQ917546 SHM917546 SRI917546 TBE917546 TLA917546 TUW917546 UES917546 UOO917546 UYK917546 VIG917546 VSC917546 WBY917546 WLU917546 WVQ917546 JE983082 TA983082 ACW983082 AMS983082 AWO983082 BGK983082 BQG983082 CAC983082 CJY983082 CTU983082 DDQ983082 DNM983082 DXI983082 EHE983082 ERA983082 FAW983082 FKS983082 FUO983082 GEK983082 GOG983082 GYC983082 HHY983082 HRU983082 IBQ983082 ILM983082 IVI983082 JFE983082 JPA983082 JYW983082 KIS983082 KSO983082 LCK983082 LMG983082 LWC983082 MFY983082 MPU983082 MZQ983082 NJM983082 NTI983082 ODE983082 ONA983082 OWW983082 PGS983082 PQO983082 QAK983082 QKG983082 QUC983082 RDY983082 RNU983082 RXQ983082 SHM983082 SRI983082 TBE983082 TLA983082 TUW983082 UES983082 UOO983082 UYK983082 VIG983082 VSC983082 WBY983082 WLU983082 WVQ983082 JE65565 TA65565 ACW65565 AMS65565 AWO65565 BGK65565 BQG65565 CAC65565 CJY65565 CTU65565 DDQ65565 DNM65565 DXI65565 EHE65565 ERA65565 FAW65565 FKS65565 FUO65565 GEK65565 GOG65565 GYC65565 HHY65565 HRU65565 IBQ65565 ILM65565 IVI65565 JFE65565 JPA65565 JYW65565 KIS65565 KSO65565 LCK65565 LMG65565 LWC65565 MFY65565 MPU65565 MZQ65565 NJM65565 NTI65565 ODE65565 ONA65565 OWW65565 PGS65565 PQO65565 QAK65565 QKG65565 QUC65565 RDY65565 RNU65565 RXQ65565 SHM65565 SRI65565 TBE65565 TLA65565 TUW65565 UES65565 UOO65565 UYK65565 VIG65565 VSC65565 WBY65565 WLU65565 WVQ65565 JE131101 TA131101 ACW131101 AMS131101 AWO131101 BGK131101 BQG131101 CAC131101 CJY131101 CTU131101 DDQ131101 DNM131101 DXI131101 EHE131101 ERA131101 FAW131101 FKS131101 FUO131101 GEK131101 GOG131101 GYC131101 HHY131101 HRU131101 IBQ131101 ILM131101 IVI131101 JFE131101 JPA131101 JYW131101 KIS131101 KSO131101 LCK131101 LMG131101 LWC131101 MFY131101 MPU131101 MZQ131101 NJM131101 NTI131101 ODE131101 ONA131101 OWW131101 PGS131101 PQO131101 QAK131101 QKG131101 QUC131101 RDY131101 RNU131101 RXQ131101 SHM131101 SRI131101 TBE131101 TLA131101 TUW131101 UES131101 UOO131101 UYK131101 VIG131101 VSC131101 WBY131101 WLU131101 WVQ131101 JE196637 TA196637 ACW196637 AMS196637 AWO196637 BGK196637 BQG196637 CAC196637 CJY196637 CTU196637 DDQ196637 DNM196637 DXI196637 EHE196637 ERA196637 FAW196637 FKS196637 FUO196637 GEK196637 GOG196637 GYC196637 HHY196637 HRU196637 IBQ196637 ILM196637 IVI196637 JFE196637 JPA196637 JYW196637 KIS196637 KSO196637 LCK196637 LMG196637 LWC196637 MFY196637 MPU196637 MZQ196637 NJM196637 NTI196637 ODE196637 ONA196637 OWW196637 PGS196637 PQO196637 QAK196637 QKG196637 QUC196637 RDY196637 RNU196637 RXQ196637 SHM196637 SRI196637 TBE196637 TLA196637 TUW196637 UES196637 UOO196637 UYK196637 VIG196637 VSC196637 WBY196637 WLU196637 WVQ196637 JE262173 TA262173 ACW262173 AMS262173 AWO262173 BGK262173 BQG262173 CAC262173 CJY262173 CTU262173 DDQ262173 DNM262173 DXI262173 EHE262173 ERA262173 FAW262173 FKS262173 FUO262173 GEK262173 GOG262173 GYC262173 HHY262173 HRU262173 IBQ262173 ILM262173 IVI262173 JFE262173 JPA262173 JYW262173 KIS262173 KSO262173 LCK262173 LMG262173 LWC262173 MFY262173 MPU262173 MZQ262173 NJM262173 NTI262173 ODE262173 ONA262173 OWW262173 PGS262173 PQO262173 QAK262173 QKG262173 QUC262173 RDY262173 RNU262173 RXQ262173 SHM262173 SRI262173 TBE262173 TLA262173 TUW262173 UES262173 UOO262173 UYK262173 VIG262173 VSC262173 WBY262173 WLU262173 WVQ262173 JE327709 TA327709 ACW327709 AMS327709 AWO327709 BGK327709 BQG327709 CAC327709 CJY327709 CTU327709 DDQ327709 DNM327709 DXI327709 EHE327709 ERA327709 FAW327709 FKS327709 FUO327709 GEK327709 GOG327709 GYC327709 HHY327709 HRU327709 IBQ327709 ILM327709 IVI327709 JFE327709 JPA327709 JYW327709 KIS327709 KSO327709 LCK327709 LMG327709 LWC327709 MFY327709 MPU327709 MZQ327709 NJM327709 NTI327709 ODE327709 ONA327709 OWW327709 PGS327709 PQO327709 QAK327709 QKG327709 QUC327709 RDY327709 RNU327709 RXQ327709 SHM327709 SRI327709 TBE327709 TLA327709 TUW327709 UES327709 UOO327709 UYK327709 VIG327709 VSC327709 WBY327709 WLU327709 WVQ327709 JE393245 TA393245 ACW393245 AMS393245 AWO393245 BGK393245 BQG393245 CAC393245 CJY393245 CTU393245 DDQ393245 DNM393245 DXI393245 EHE393245 ERA393245 FAW393245 FKS393245 FUO393245 GEK393245 GOG393245 GYC393245 HHY393245 HRU393245 IBQ393245 ILM393245 IVI393245 JFE393245 JPA393245 JYW393245 KIS393245 KSO393245 LCK393245 LMG393245 LWC393245 MFY393245 MPU393245 MZQ393245 NJM393245 NTI393245 ODE393245 ONA393245 OWW393245 PGS393245 PQO393245 QAK393245 QKG393245 QUC393245 RDY393245 RNU393245 RXQ393245 SHM393245 SRI393245 TBE393245 TLA393245 TUW393245 UES393245 UOO393245 UYK393245 VIG393245 VSC393245 WBY393245 WLU393245 WVQ393245 JE458781 TA458781 ACW458781 AMS458781 AWO458781 BGK458781 BQG458781 CAC458781 CJY458781 CTU458781 DDQ458781 DNM458781 DXI458781 EHE458781 ERA458781 FAW458781 FKS458781 FUO458781 GEK458781 GOG458781 GYC458781 HHY458781 HRU458781 IBQ458781 ILM458781 IVI458781 JFE458781 JPA458781 JYW458781 KIS458781 KSO458781 LCK458781 LMG458781 LWC458781 MFY458781 MPU458781 MZQ458781 NJM458781 NTI458781 ODE458781 ONA458781 OWW458781 PGS458781 PQO458781 QAK458781 QKG458781 QUC458781 RDY458781 RNU458781 RXQ458781 SHM458781 SRI458781 TBE458781 TLA458781 TUW458781 UES458781 UOO458781 UYK458781 VIG458781 VSC458781 WBY458781 WLU458781 WVQ458781 JE524317 TA524317 ACW524317 AMS524317 AWO524317 BGK524317 BQG524317 CAC524317 CJY524317 CTU524317 DDQ524317 DNM524317 DXI524317 EHE524317 ERA524317 FAW524317 FKS524317 FUO524317 GEK524317 GOG524317 GYC524317 HHY524317 HRU524317 IBQ524317 ILM524317 IVI524317 JFE524317 JPA524317 JYW524317 KIS524317 KSO524317 LCK524317 LMG524317 LWC524317 MFY524317 MPU524317 MZQ524317 NJM524317 NTI524317 ODE524317 ONA524317 OWW524317 PGS524317 PQO524317 QAK524317 QKG524317 QUC524317 RDY524317 RNU524317 RXQ524317 SHM524317 SRI524317 TBE524317 TLA524317 TUW524317 UES524317 UOO524317 UYK524317 VIG524317 VSC524317 WBY524317 WLU524317 WVQ524317 JE589853 TA589853 ACW589853 AMS589853 AWO589853 BGK589853 BQG589853 CAC589853 CJY589853 CTU589853 DDQ589853 DNM589853 DXI589853 EHE589853 ERA589853 FAW589853 FKS589853 FUO589853 GEK589853 GOG589853 GYC589853 HHY589853 HRU589853 IBQ589853 ILM589853 IVI589853 JFE589853 JPA589853 JYW589853 KIS589853 KSO589853 LCK589853 LMG589853 LWC589853 MFY589853 MPU589853 MZQ589853 NJM589853 NTI589853 ODE589853 ONA589853 OWW589853 PGS589853 PQO589853 QAK589853 QKG589853 QUC589853 RDY589853 RNU589853 RXQ589853 SHM589853 SRI589853 TBE589853 TLA589853 TUW589853 UES589853 UOO589853 UYK589853 VIG589853 VSC589853 WBY589853 WLU589853 WVQ589853 JE655389 TA655389 ACW655389 AMS655389 AWO655389 BGK655389 BQG655389 CAC655389 CJY655389 CTU655389 DDQ655389 DNM655389 DXI655389 EHE655389 ERA655389 FAW655389 FKS655389 FUO655389 GEK655389 GOG655389 GYC655389 HHY655389 HRU655389 IBQ655389 ILM655389 IVI655389 JFE655389 JPA655389 JYW655389 KIS655389 KSO655389 LCK655389 LMG655389 LWC655389 MFY655389 MPU655389 MZQ655389 NJM655389 NTI655389 ODE655389 ONA655389 OWW655389 PGS655389 PQO655389 QAK655389 QKG655389 QUC655389 RDY655389 RNU655389 RXQ655389 SHM655389 SRI655389 TBE655389 TLA655389 TUW655389 UES655389 UOO655389 UYK655389 VIG655389 VSC655389 WBY655389 WLU655389 WVQ655389 JE720925 TA720925 ACW720925 AMS720925 AWO720925 BGK720925 BQG720925 CAC720925 CJY720925 CTU720925 DDQ720925 DNM720925 DXI720925 EHE720925 ERA720925 FAW720925 FKS720925 FUO720925 GEK720925 GOG720925 GYC720925 HHY720925 HRU720925 IBQ720925 ILM720925 IVI720925 JFE720925 JPA720925 JYW720925 KIS720925 KSO720925 LCK720925 LMG720925 LWC720925 MFY720925 MPU720925 MZQ720925 NJM720925 NTI720925 ODE720925 ONA720925 OWW720925 PGS720925 PQO720925 QAK720925 QKG720925 QUC720925 RDY720925 RNU720925 RXQ720925 SHM720925 SRI720925 TBE720925 TLA720925 TUW720925 UES720925 UOO720925 UYK720925 VIG720925 VSC720925 WBY720925 WLU720925 WVQ720925 JE786461 TA786461 ACW786461 AMS786461 AWO786461 BGK786461 BQG786461 CAC786461 CJY786461 CTU786461 DDQ786461 DNM786461 DXI786461 EHE786461 ERA786461 FAW786461 FKS786461 FUO786461 GEK786461 GOG786461 GYC786461 HHY786461 HRU786461 IBQ786461 ILM786461 IVI786461 JFE786461 JPA786461 JYW786461 KIS786461 KSO786461 LCK786461 LMG786461 LWC786461 MFY786461 MPU786461 MZQ786461 NJM786461 NTI786461 ODE786461 ONA786461 OWW786461 PGS786461 PQO786461 QAK786461 QKG786461 QUC786461 RDY786461 RNU786461 RXQ786461 SHM786461 SRI786461 TBE786461 TLA786461 TUW786461 UES786461 UOO786461 UYK786461 VIG786461 VSC786461 WBY786461 WLU786461 WVQ786461 JE851997 TA851997 ACW851997 AMS851997 AWO851997 BGK851997 BQG851997 CAC851997 CJY851997 CTU851997 DDQ851997 DNM851997 DXI851997 EHE851997 ERA851997 FAW851997 FKS851997 FUO851997 GEK851997 GOG851997 GYC851997 HHY851997 HRU851997 IBQ851997 ILM851997 IVI851997 JFE851997 JPA851997 JYW851997 KIS851997 KSO851997 LCK851997 LMG851997 LWC851997 MFY851997 MPU851997 MZQ851997 NJM851997 NTI851997 ODE851997 ONA851997 OWW851997 PGS851997 PQO851997 QAK851997 QKG851997 QUC851997 RDY851997 RNU851997 RXQ851997 SHM851997 SRI851997 TBE851997 TLA851997 TUW851997 UES851997 UOO851997 UYK851997 VIG851997 VSC851997 WBY851997 WLU851997 WVQ851997 JE917533 TA917533 ACW917533 AMS917533 AWO917533 BGK917533 BQG917533 CAC917533 CJY917533 CTU917533 DDQ917533 DNM917533 DXI917533 EHE917533 ERA917533 FAW917533 FKS917533 FUO917533 GEK917533 GOG917533 GYC917533 HHY917533 HRU917533 IBQ917533 ILM917533 IVI917533 JFE917533 JPA917533 JYW917533 KIS917533 KSO917533 LCK917533 LMG917533 LWC917533 MFY917533 MPU917533 MZQ917533 NJM917533 NTI917533 ODE917533 ONA917533 OWW917533 PGS917533 PQO917533 QAK917533 QKG917533 QUC917533 RDY917533 RNU917533 RXQ917533 SHM917533 SRI917533 TBE917533 TLA917533 TUW917533 UES917533 UOO917533 UYK917533 VIG917533 VSC917533 WBY917533 WLU917533 WVQ917533 JE983069 TA983069 ACW983069 AMS983069 AWO983069 BGK983069 BQG983069 CAC983069 CJY983069 CTU983069 DDQ983069 DNM983069 DXI983069 EHE983069 ERA983069 FAW983069 FKS983069 FUO983069 GEK983069 GOG983069 GYC983069 HHY983069 HRU983069 IBQ983069 ILM983069 IVI983069 JFE983069 JPA983069 JYW983069 KIS983069 KSO983069 LCK983069 LMG983069 LWC983069 MFY983069 MPU983069 MZQ983069 NJM983069 NTI983069 ODE983069 ONA983069 OWW983069 PGS983069 PQO983069 QAK983069 QKG983069 QUC983069 RDY983069 RNU983069 RXQ983069 SHM983069 SRI983069 TBE983069 TLA983069 TUW983069 UES983069 UOO983069 UYK983069 VIG983069 VSC983069 WBY983069 WLU983069 WVQ983069 K983065 K917529 K851993 K786457 K720921 K655385 K589849 K524313 K458777 K393241 K327705 K262169 K196633 K131097 K65561 JF42:JF45 K983075:K983078 K917539:K917542 K852003:K852006 K786467:K786470 K720931:K720934 K655395:K655398 K589859:K589862 K524323:K524326 K458787:K458790 K393251:K393254 K327715:K327718 K262179:K262182 K196643:K196646 K131107:K131110 K65571:K65574 K983067:K983071 K917531:K917535 K851995:K851999 K786459:K786463 K720923:K720927 K655387:K655391 K589851:K589855 K524315:K524319 K458779:K458783 K393243:K393247 K327707:K327711 K262171:K262175 K196635:K196639 K131099:K131103 K65563:K65567 J27:J31 WVO29 WLS29 WBW29 VSA29 VIE29 UYI29 UOM29 UEQ29 TUU29 TKY29 TBC29 SRG29 SHK29 RXO29 RNS29 RDW29 QUA29 QKE29 QAI29 PQM29 PGQ29 OWU29 OMY29 ODC29 NTG29 NJK29 MZO29 MPS29 MFW29 LWA29 LME29 LCI29 KSM29 KIQ29 JYU29 JOY29 JFC29 IVG29 ILK29 IBO29 HRS29 HHW29 GYA29 GOE29 GEI29 FUM29 FKQ29 FAU29 EQY29 EHC29 DXG29 DNK29 DDO29 CTS29 CJW29 CAA29 BQE29 BGI29 AWM29 AMQ29 ACU29 SY29 JC29 J35:J41">
      <formula1>$O$49:$O$52</formula1>
    </dataValidation>
  </dataValidations>
  <hyperlinks>
    <hyperlink ref="A1" location="'T&amp;V TOC'!A1" display="TOC"/>
  </hyperlinks>
  <pageMargins left="0.25" right="0.25" top="0.75" bottom="0.75" header="0.3" footer="0.3"/>
  <pageSetup scale="47" orientation="portrait" r:id="rId1"/>
  <headerFooter alignWithMargins="0"/>
</worksheet>
</file>

<file path=xl/worksheets/sheet32.xml><?xml version="1.0" encoding="utf-8"?>
<worksheet xmlns="http://schemas.openxmlformats.org/spreadsheetml/2006/main" xmlns:r="http://schemas.openxmlformats.org/officeDocument/2006/relationships">
  <sheetPr>
    <tabColor theme="3" tint="0.79998168889431442"/>
  </sheetPr>
  <dimension ref="A1:BG73"/>
  <sheetViews>
    <sheetView showGridLines="0" view="pageBreakPreview" zoomScaleNormal="100" zoomScaleSheetLayoutView="100" workbookViewId="0"/>
  </sheetViews>
  <sheetFormatPr defaultRowHeight="12"/>
  <cols>
    <col min="1" max="1" width="5.140625" style="1120" customWidth="1"/>
    <col min="2" max="2" width="20" style="1119" customWidth="1"/>
    <col min="3" max="3" width="16.85546875" style="1119" customWidth="1"/>
    <col min="4" max="5" width="15.140625" style="1119" customWidth="1"/>
    <col min="6" max="6" width="29.140625" style="1119" customWidth="1"/>
    <col min="7" max="7" width="10.7109375" style="1119" customWidth="1"/>
    <col min="8" max="8" width="5.7109375" style="1119" customWidth="1"/>
    <col min="9" max="9" width="30.140625" style="1119" customWidth="1"/>
    <col min="10" max="10" width="9.140625" style="1120"/>
    <col min="11" max="11" width="19.42578125" style="1121" customWidth="1"/>
    <col min="12" max="12" width="29" style="1121" customWidth="1"/>
    <col min="13" max="13" width="9.140625" style="1121" hidden="1" customWidth="1"/>
    <col min="14" max="255" width="9.140625" style="1121"/>
    <col min="256" max="256" width="16.85546875" style="1121" customWidth="1"/>
    <col min="257" max="257" width="20" style="1121" customWidth="1"/>
    <col min="258" max="258" width="16.85546875" style="1121" customWidth="1"/>
    <col min="259" max="260" width="15.140625" style="1121" customWidth="1"/>
    <col min="261" max="261" width="29.140625" style="1121" customWidth="1"/>
    <col min="262" max="262" width="10.7109375" style="1121" customWidth="1"/>
    <col min="263" max="263" width="5.7109375" style="1121" customWidth="1"/>
    <col min="264" max="264" width="11" style="1121" customWidth="1"/>
    <col min="265" max="265" width="24.42578125" style="1121" customWidth="1"/>
    <col min="266" max="266" width="9.140625" style="1121"/>
    <col min="267" max="267" width="19.42578125" style="1121" customWidth="1"/>
    <col min="268" max="268" width="29" style="1121" customWidth="1"/>
    <col min="269" max="269" width="0" style="1121" hidden="1" customWidth="1"/>
    <col min="270" max="511" width="9.140625" style="1121"/>
    <col min="512" max="512" width="16.85546875" style="1121" customWidth="1"/>
    <col min="513" max="513" width="20" style="1121" customWidth="1"/>
    <col min="514" max="514" width="16.85546875" style="1121" customWidth="1"/>
    <col min="515" max="516" width="15.140625" style="1121" customWidth="1"/>
    <col min="517" max="517" width="29.140625" style="1121" customWidth="1"/>
    <col min="518" max="518" width="10.7109375" style="1121" customWidth="1"/>
    <col min="519" max="519" width="5.7109375" style="1121" customWidth="1"/>
    <col min="520" max="520" width="11" style="1121" customWidth="1"/>
    <col min="521" max="521" width="24.42578125" style="1121" customWidth="1"/>
    <col min="522" max="522" width="9.140625" style="1121"/>
    <col min="523" max="523" width="19.42578125" style="1121" customWidth="1"/>
    <col min="524" max="524" width="29" style="1121" customWidth="1"/>
    <col min="525" max="525" width="0" style="1121" hidden="1" customWidth="1"/>
    <col min="526" max="767" width="9.140625" style="1121"/>
    <col min="768" max="768" width="16.85546875" style="1121" customWidth="1"/>
    <col min="769" max="769" width="20" style="1121" customWidth="1"/>
    <col min="770" max="770" width="16.85546875" style="1121" customWidth="1"/>
    <col min="771" max="772" width="15.140625" style="1121" customWidth="1"/>
    <col min="773" max="773" width="29.140625" style="1121" customWidth="1"/>
    <col min="774" max="774" width="10.7109375" style="1121" customWidth="1"/>
    <col min="775" max="775" width="5.7109375" style="1121" customWidth="1"/>
    <col min="776" max="776" width="11" style="1121" customWidth="1"/>
    <col min="777" max="777" width="24.42578125" style="1121" customWidth="1"/>
    <col min="778" max="778" width="9.140625" style="1121"/>
    <col min="779" max="779" width="19.42578125" style="1121" customWidth="1"/>
    <col min="780" max="780" width="29" style="1121" customWidth="1"/>
    <col min="781" max="781" width="0" style="1121" hidden="1" customWidth="1"/>
    <col min="782" max="1023" width="9.140625" style="1121"/>
    <col min="1024" max="1024" width="16.85546875" style="1121" customWidth="1"/>
    <col min="1025" max="1025" width="20" style="1121" customWidth="1"/>
    <col min="1026" max="1026" width="16.85546875" style="1121" customWidth="1"/>
    <col min="1027" max="1028" width="15.140625" style="1121" customWidth="1"/>
    <col min="1029" max="1029" width="29.140625" style="1121" customWidth="1"/>
    <col min="1030" max="1030" width="10.7109375" style="1121" customWidth="1"/>
    <col min="1031" max="1031" width="5.7109375" style="1121" customWidth="1"/>
    <col min="1032" max="1032" width="11" style="1121" customWidth="1"/>
    <col min="1033" max="1033" width="24.42578125" style="1121" customWidth="1"/>
    <col min="1034" max="1034" width="9.140625" style="1121"/>
    <col min="1035" max="1035" width="19.42578125" style="1121" customWidth="1"/>
    <col min="1036" max="1036" width="29" style="1121" customWidth="1"/>
    <col min="1037" max="1037" width="0" style="1121" hidden="1" customWidth="1"/>
    <col min="1038" max="1279" width="9.140625" style="1121"/>
    <col min="1280" max="1280" width="16.85546875" style="1121" customWidth="1"/>
    <col min="1281" max="1281" width="20" style="1121" customWidth="1"/>
    <col min="1282" max="1282" width="16.85546875" style="1121" customWidth="1"/>
    <col min="1283" max="1284" width="15.140625" style="1121" customWidth="1"/>
    <col min="1285" max="1285" width="29.140625" style="1121" customWidth="1"/>
    <col min="1286" max="1286" width="10.7109375" style="1121" customWidth="1"/>
    <col min="1287" max="1287" width="5.7109375" style="1121" customWidth="1"/>
    <col min="1288" max="1288" width="11" style="1121" customWidth="1"/>
    <col min="1289" max="1289" width="24.42578125" style="1121" customWidth="1"/>
    <col min="1290" max="1290" width="9.140625" style="1121"/>
    <col min="1291" max="1291" width="19.42578125" style="1121" customWidth="1"/>
    <col min="1292" max="1292" width="29" style="1121" customWidth="1"/>
    <col min="1293" max="1293" width="0" style="1121" hidden="1" customWidth="1"/>
    <col min="1294" max="1535" width="9.140625" style="1121"/>
    <col min="1536" max="1536" width="16.85546875" style="1121" customWidth="1"/>
    <col min="1537" max="1537" width="20" style="1121" customWidth="1"/>
    <col min="1538" max="1538" width="16.85546875" style="1121" customWidth="1"/>
    <col min="1539" max="1540" width="15.140625" style="1121" customWidth="1"/>
    <col min="1541" max="1541" width="29.140625" style="1121" customWidth="1"/>
    <col min="1542" max="1542" width="10.7109375" style="1121" customWidth="1"/>
    <col min="1543" max="1543" width="5.7109375" style="1121" customWidth="1"/>
    <col min="1544" max="1544" width="11" style="1121" customWidth="1"/>
    <col min="1545" max="1545" width="24.42578125" style="1121" customWidth="1"/>
    <col min="1546" max="1546" width="9.140625" style="1121"/>
    <col min="1547" max="1547" width="19.42578125" style="1121" customWidth="1"/>
    <col min="1548" max="1548" width="29" style="1121" customWidth="1"/>
    <col min="1549" max="1549" width="0" style="1121" hidden="1" customWidth="1"/>
    <col min="1550" max="1791" width="9.140625" style="1121"/>
    <col min="1792" max="1792" width="16.85546875" style="1121" customWidth="1"/>
    <col min="1793" max="1793" width="20" style="1121" customWidth="1"/>
    <col min="1794" max="1794" width="16.85546875" style="1121" customWidth="1"/>
    <col min="1795" max="1796" width="15.140625" style="1121" customWidth="1"/>
    <col min="1797" max="1797" width="29.140625" style="1121" customWidth="1"/>
    <col min="1798" max="1798" width="10.7109375" style="1121" customWidth="1"/>
    <col min="1799" max="1799" width="5.7109375" style="1121" customWidth="1"/>
    <col min="1800" max="1800" width="11" style="1121" customWidth="1"/>
    <col min="1801" max="1801" width="24.42578125" style="1121" customWidth="1"/>
    <col min="1802" max="1802" width="9.140625" style="1121"/>
    <col min="1803" max="1803" width="19.42578125" style="1121" customWidth="1"/>
    <col min="1804" max="1804" width="29" style="1121" customWidth="1"/>
    <col min="1805" max="1805" width="0" style="1121" hidden="1" customWidth="1"/>
    <col min="1806" max="2047" width="9.140625" style="1121"/>
    <col min="2048" max="2048" width="16.85546875" style="1121" customWidth="1"/>
    <col min="2049" max="2049" width="20" style="1121" customWidth="1"/>
    <col min="2050" max="2050" width="16.85546875" style="1121" customWidth="1"/>
    <col min="2051" max="2052" width="15.140625" style="1121" customWidth="1"/>
    <col min="2053" max="2053" width="29.140625" style="1121" customWidth="1"/>
    <col min="2054" max="2054" width="10.7109375" style="1121" customWidth="1"/>
    <col min="2055" max="2055" width="5.7109375" style="1121" customWidth="1"/>
    <col min="2056" max="2056" width="11" style="1121" customWidth="1"/>
    <col min="2057" max="2057" width="24.42578125" style="1121" customWidth="1"/>
    <col min="2058" max="2058" width="9.140625" style="1121"/>
    <col min="2059" max="2059" width="19.42578125" style="1121" customWidth="1"/>
    <col min="2060" max="2060" width="29" style="1121" customWidth="1"/>
    <col min="2061" max="2061" width="0" style="1121" hidden="1" customWidth="1"/>
    <col min="2062" max="2303" width="9.140625" style="1121"/>
    <col min="2304" max="2304" width="16.85546875" style="1121" customWidth="1"/>
    <col min="2305" max="2305" width="20" style="1121" customWidth="1"/>
    <col min="2306" max="2306" width="16.85546875" style="1121" customWidth="1"/>
    <col min="2307" max="2308" width="15.140625" style="1121" customWidth="1"/>
    <col min="2309" max="2309" width="29.140625" style="1121" customWidth="1"/>
    <col min="2310" max="2310" width="10.7109375" style="1121" customWidth="1"/>
    <col min="2311" max="2311" width="5.7109375" style="1121" customWidth="1"/>
    <col min="2312" max="2312" width="11" style="1121" customWidth="1"/>
    <col min="2313" max="2313" width="24.42578125" style="1121" customWidth="1"/>
    <col min="2314" max="2314" width="9.140625" style="1121"/>
    <col min="2315" max="2315" width="19.42578125" style="1121" customWidth="1"/>
    <col min="2316" max="2316" width="29" style="1121" customWidth="1"/>
    <col min="2317" max="2317" width="0" style="1121" hidden="1" customWidth="1"/>
    <col min="2318" max="2559" width="9.140625" style="1121"/>
    <col min="2560" max="2560" width="16.85546875" style="1121" customWidth="1"/>
    <col min="2561" max="2561" width="20" style="1121" customWidth="1"/>
    <col min="2562" max="2562" width="16.85546875" style="1121" customWidth="1"/>
    <col min="2563" max="2564" width="15.140625" style="1121" customWidth="1"/>
    <col min="2565" max="2565" width="29.140625" style="1121" customWidth="1"/>
    <col min="2566" max="2566" width="10.7109375" style="1121" customWidth="1"/>
    <col min="2567" max="2567" width="5.7109375" style="1121" customWidth="1"/>
    <col min="2568" max="2568" width="11" style="1121" customWidth="1"/>
    <col min="2569" max="2569" width="24.42578125" style="1121" customWidth="1"/>
    <col min="2570" max="2570" width="9.140625" style="1121"/>
    <col min="2571" max="2571" width="19.42578125" style="1121" customWidth="1"/>
    <col min="2572" max="2572" width="29" style="1121" customWidth="1"/>
    <col min="2573" max="2573" width="0" style="1121" hidden="1" customWidth="1"/>
    <col min="2574" max="2815" width="9.140625" style="1121"/>
    <col min="2816" max="2816" width="16.85546875" style="1121" customWidth="1"/>
    <col min="2817" max="2817" width="20" style="1121" customWidth="1"/>
    <col min="2818" max="2818" width="16.85546875" style="1121" customWidth="1"/>
    <col min="2819" max="2820" width="15.140625" style="1121" customWidth="1"/>
    <col min="2821" max="2821" width="29.140625" style="1121" customWidth="1"/>
    <col min="2822" max="2822" width="10.7109375" style="1121" customWidth="1"/>
    <col min="2823" max="2823" width="5.7109375" style="1121" customWidth="1"/>
    <col min="2824" max="2824" width="11" style="1121" customWidth="1"/>
    <col min="2825" max="2825" width="24.42578125" style="1121" customWidth="1"/>
    <col min="2826" max="2826" width="9.140625" style="1121"/>
    <col min="2827" max="2827" width="19.42578125" style="1121" customWidth="1"/>
    <col min="2828" max="2828" width="29" style="1121" customWidth="1"/>
    <col min="2829" max="2829" width="0" style="1121" hidden="1" customWidth="1"/>
    <col min="2830" max="3071" width="9.140625" style="1121"/>
    <col min="3072" max="3072" width="16.85546875" style="1121" customWidth="1"/>
    <col min="3073" max="3073" width="20" style="1121" customWidth="1"/>
    <col min="3074" max="3074" width="16.85546875" style="1121" customWidth="1"/>
    <col min="3075" max="3076" width="15.140625" style="1121" customWidth="1"/>
    <col min="3077" max="3077" width="29.140625" style="1121" customWidth="1"/>
    <col min="3078" max="3078" width="10.7109375" style="1121" customWidth="1"/>
    <col min="3079" max="3079" width="5.7109375" style="1121" customWidth="1"/>
    <col min="3080" max="3080" width="11" style="1121" customWidth="1"/>
    <col min="3081" max="3081" width="24.42578125" style="1121" customWidth="1"/>
    <col min="3082" max="3082" width="9.140625" style="1121"/>
    <col min="3083" max="3083" width="19.42578125" style="1121" customWidth="1"/>
    <col min="3084" max="3084" width="29" style="1121" customWidth="1"/>
    <col min="3085" max="3085" width="0" style="1121" hidden="1" customWidth="1"/>
    <col min="3086" max="3327" width="9.140625" style="1121"/>
    <col min="3328" max="3328" width="16.85546875" style="1121" customWidth="1"/>
    <col min="3329" max="3329" width="20" style="1121" customWidth="1"/>
    <col min="3330" max="3330" width="16.85546875" style="1121" customWidth="1"/>
    <col min="3331" max="3332" width="15.140625" style="1121" customWidth="1"/>
    <col min="3333" max="3333" width="29.140625" style="1121" customWidth="1"/>
    <col min="3334" max="3334" width="10.7109375" style="1121" customWidth="1"/>
    <col min="3335" max="3335" width="5.7109375" style="1121" customWidth="1"/>
    <col min="3336" max="3336" width="11" style="1121" customWidth="1"/>
    <col min="3337" max="3337" width="24.42578125" style="1121" customWidth="1"/>
    <col min="3338" max="3338" width="9.140625" style="1121"/>
    <col min="3339" max="3339" width="19.42578125" style="1121" customWidth="1"/>
    <col min="3340" max="3340" width="29" style="1121" customWidth="1"/>
    <col min="3341" max="3341" width="0" style="1121" hidden="1" customWidth="1"/>
    <col min="3342" max="3583" width="9.140625" style="1121"/>
    <col min="3584" max="3584" width="16.85546875" style="1121" customWidth="1"/>
    <col min="3585" max="3585" width="20" style="1121" customWidth="1"/>
    <col min="3586" max="3586" width="16.85546875" style="1121" customWidth="1"/>
    <col min="3587" max="3588" width="15.140625" style="1121" customWidth="1"/>
    <col min="3589" max="3589" width="29.140625" style="1121" customWidth="1"/>
    <col min="3590" max="3590" width="10.7109375" style="1121" customWidth="1"/>
    <col min="3591" max="3591" width="5.7109375" style="1121" customWidth="1"/>
    <col min="3592" max="3592" width="11" style="1121" customWidth="1"/>
    <col min="3593" max="3593" width="24.42578125" style="1121" customWidth="1"/>
    <col min="3594" max="3594" width="9.140625" style="1121"/>
    <col min="3595" max="3595" width="19.42578125" style="1121" customWidth="1"/>
    <col min="3596" max="3596" width="29" style="1121" customWidth="1"/>
    <col min="3597" max="3597" width="0" style="1121" hidden="1" customWidth="1"/>
    <col min="3598" max="3839" width="9.140625" style="1121"/>
    <col min="3840" max="3840" width="16.85546875" style="1121" customWidth="1"/>
    <col min="3841" max="3841" width="20" style="1121" customWidth="1"/>
    <col min="3842" max="3842" width="16.85546875" style="1121" customWidth="1"/>
    <col min="3843" max="3844" width="15.140625" style="1121" customWidth="1"/>
    <col min="3845" max="3845" width="29.140625" style="1121" customWidth="1"/>
    <col min="3846" max="3846" width="10.7109375" style="1121" customWidth="1"/>
    <col min="3847" max="3847" width="5.7109375" style="1121" customWidth="1"/>
    <col min="3848" max="3848" width="11" style="1121" customWidth="1"/>
    <col min="3849" max="3849" width="24.42578125" style="1121" customWidth="1"/>
    <col min="3850" max="3850" width="9.140625" style="1121"/>
    <col min="3851" max="3851" width="19.42578125" style="1121" customWidth="1"/>
    <col min="3852" max="3852" width="29" style="1121" customWidth="1"/>
    <col min="3853" max="3853" width="0" style="1121" hidden="1" customWidth="1"/>
    <col min="3854" max="4095" width="9.140625" style="1121"/>
    <col min="4096" max="4096" width="16.85546875" style="1121" customWidth="1"/>
    <col min="4097" max="4097" width="20" style="1121" customWidth="1"/>
    <col min="4098" max="4098" width="16.85546875" style="1121" customWidth="1"/>
    <col min="4099" max="4100" width="15.140625" style="1121" customWidth="1"/>
    <col min="4101" max="4101" width="29.140625" style="1121" customWidth="1"/>
    <col min="4102" max="4102" width="10.7109375" style="1121" customWidth="1"/>
    <col min="4103" max="4103" width="5.7109375" style="1121" customWidth="1"/>
    <col min="4104" max="4104" width="11" style="1121" customWidth="1"/>
    <col min="4105" max="4105" width="24.42578125" style="1121" customWidth="1"/>
    <col min="4106" max="4106" width="9.140625" style="1121"/>
    <col min="4107" max="4107" width="19.42578125" style="1121" customWidth="1"/>
    <col min="4108" max="4108" width="29" style="1121" customWidth="1"/>
    <col min="4109" max="4109" width="0" style="1121" hidden="1" customWidth="1"/>
    <col min="4110" max="4351" width="9.140625" style="1121"/>
    <col min="4352" max="4352" width="16.85546875" style="1121" customWidth="1"/>
    <col min="4353" max="4353" width="20" style="1121" customWidth="1"/>
    <col min="4354" max="4354" width="16.85546875" style="1121" customWidth="1"/>
    <col min="4355" max="4356" width="15.140625" style="1121" customWidth="1"/>
    <col min="4357" max="4357" width="29.140625" style="1121" customWidth="1"/>
    <col min="4358" max="4358" width="10.7109375" style="1121" customWidth="1"/>
    <col min="4359" max="4359" width="5.7109375" style="1121" customWidth="1"/>
    <col min="4360" max="4360" width="11" style="1121" customWidth="1"/>
    <col min="4361" max="4361" width="24.42578125" style="1121" customWidth="1"/>
    <col min="4362" max="4362" width="9.140625" style="1121"/>
    <col min="4363" max="4363" width="19.42578125" style="1121" customWidth="1"/>
    <col min="4364" max="4364" width="29" style="1121" customWidth="1"/>
    <col min="4365" max="4365" width="0" style="1121" hidden="1" customWidth="1"/>
    <col min="4366" max="4607" width="9.140625" style="1121"/>
    <col min="4608" max="4608" width="16.85546875" style="1121" customWidth="1"/>
    <col min="4609" max="4609" width="20" style="1121" customWidth="1"/>
    <col min="4610" max="4610" width="16.85546875" style="1121" customWidth="1"/>
    <col min="4611" max="4612" width="15.140625" style="1121" customWidth="1"/>
    <col min="4613" max="4613" width="29.140625" style="1121" customWidth="1"/>
    <col min="4614" max="4614" width="10.7109375" style="1121" customWidth="1"/>
    <col min="4615" max="4615" width="5.7109375" style="1121" customWidth="1"/>
    <col min="4616" max="4616" width="11" style="1121" customWidth="1"/>
    <col min="4617" max="4617" width="24.42578125" style="1121" customWidth="1"/>
    <col min="4618" max="4618" width="9.140625" style="1121"/>
    <col min="4619" max="4619" width="19.42578125" style="1121" customWidth="1"/>
    <col min="4620" max="4620" width="29" style="1121" customWidth="1"/>
    <col min="4621" max="4621" width="0" style="1121" hidden="1" customWidth="1"/>
    <col min="4622" max="4863" width="9.140625" style="1121"/>
    <col min="4864" max="4864" width="16.85546875" style="1121" customWidth="1"/>
    <col min="4865" max="4865" width="20" style="1121" customWidth="1"/>
    <col min="4866" max="4866" width="16.85546875" style="1121" customWidth="1"/>
    <col min="4867" max="4868" width="15.140625" style="1121" customWidth="1"/>
    <col min="4869" max="4869" width="29.140625" style="1121" customWidth="1"/>
    <col min="4870" max="4870" width="10.7109375" style="1121" customWidth="1"/>
    <col min="4871" max="4871" width="5.7109375" style="1121" customWidth="1"/>
    <col min="4872" max="4872" width="11" style="1121" customWidth="1"/>
    <col min="4873" max="4873" width="24.42578125" style="1121" customWidth="1"/>
    <col min="4874" max="4874" width="9.140625" style="1121"/>
    <col min="4875" max="4875" width="19.42578125" style="1121" customWidth="1"/>
    <col min="4876" max="4876" width="29" style="1121" customWidth="1"/>
    <col min="4877" max="4877" width="0" style="1121" hidden="1" customWidth="1"/>
    <col min="4878" max="5119" width="9.140625" style="1121"/>
    <col min="5120" max="5120" width="16.85546875" style="1121" customWidth="1"/>
    <col min="5121" max="5121" width="20" style="1121" customWidth="1"/>
    <col min="5122" max="5122" width="16.85546875" style="1121" customWidth="1"/>
    <col min="5123" max="5124" width="15.140625" style="1121" customWidth="1"/>
    <col min="5125" max="5125" width="29.140625" style="1121" customWidth="1"/>
    <col min="5126" max="5126" width="10.7109375" style="1121" customWidth="1"/>
    <col min="5127" max="5127" width="5.7109375" style="1121" customWidth="1"/>
    <col min="5128" max="5128" width="11" style="1121" customWidth="1"/>
    <col min="5129" max="5129" width="24.42578125" style="1121" customWidth="1"/>
    <col min="5130" max="5130" width="9.140625" style="1121"/>
    <col min="5131" max="5131" width="19.42578125" style="1121" customWidth="1"/>
    <col min="5132" max="5132" width="29" style="1121" customWidth="1"/>
    <col min="5133" max="5133" width="0" style="1121" hidden="1" customWidth="1"/>
    <col min="5134" max="5375" width="9.140625" style="1121"/>
    <col min="5376" max="5376" width="16.85546875" style="1121" customWidth="1"/>
    <col min="5377" max="5377" width="20" style="1121" customWidth="1"/>
    <col min="5378" max="5378" width="16.85546875" style="1121" customWidth="1"/>
    <col min="5379" max="5380" width="15.140625" style="1121" customWidth="1"/>
    <col min="5381" max="5381" width="29.140625" style="1121" customWidth="1"/>
    <col min="5382" max="5382" width="10.7109375" style="1121" customWidth="1"/>
    <col min="5383" max="5383" width="5.7109375" style="1121" customWidth="1"/>
    <col min="5384" max="5384" width="11" style="1121" customWidth="1"/>
    <col min="5385" max="5385" width="24.42578125" style="1121" customWidth="1"/>
    <col min="5386" max="5386" width="9.140625" style="1121"/>
    <col min="5387" max="5387" width="19.42578125" style="1121" customWidth="1"/>
    <col min="5388" max="5388" width="29" style="1121" customWidth="1"/>
    <col min="5389" max="5389" width="0" style="1121" hidden="1" customWidth="1"/>
    <col min="5390" max="5631" width="9.140625" style="1121"/>
    <col min="5632" max="5632" width="16.85546875" style="1121" customWidth="1"/>
    <col min="5633" max="5633" width="20" style="1121" customWidth="1"/>
    <col min="5634" max="5634" width="16.85546875" style="1121" customWidth="1"/>
    <col min="5635" max="5636" width="15.140625" style="1121" customWidth="1"/>
    <col min="5637" max="5637" width="29.140625" style="1121" customWidth="1"/>
    <col min="5638" max="5638" width="10.7109375" style="1121" customWidth="1"/>
    <col min="5639" max="5639" width="5.7109375" style="1121" customWidth="1"/>
    <col min="5640" max="5640" width="11" style="1121" customWidth="1"/>
    <col min="5641" max="5641" width="24.42578125" style="1121" customWidth="1"/>
    <col min="5642" max="5642" width="9.140625" style="1121"/>
    <col min="5643" max="5643" width="19.42578125" style="1121" customWidth="1"/>
    <col min="5644" max="5644" width="29" style="1121" customWidth="1"/>
    <col min="5645" max="5645" width="0" style="1121" hidden="1" customWidth="1"/>
    <col min="5646" max="5887" width="9.140625" style="1121"/>
    <col min="5888" max="5888" width="16.85546875" style="1121" customWidth="1"/>
    <col min="5889" max="5889" width="20" style="1121" customWidth="1"/>
    <col min="5890" max="5890" width="16.85546875" style="1121" customWidth="1"/>
    <col min="5891" max="5892" width="15.140625" style="1121" customWidth="1"/>
    <col min="5893" max="5893" width="29.140625" style="1121" customWidth="1"/>
    <col min="5894" max="5894" width="10.7109375" style="1121" customWidth="1"/>
    <col min="5895" max="5895" width="5.7109375" style="1121" customWidth="1"/>
    <col min="5896" max="5896" width="11" style="1121" customWidth="1"/>
    <col min="5897" max="5897" width="24.42578125" style="1121" customWidth="1"/>
    <col min="5898" max="5898" width="9.140625" style="1121"/>
    <col min="5899" max="5899" width="19.42578125" style="1121" customWidth="1"/>
    <col min="5900" max="5900" width="29" style="1121" customWidth="1"/>
    <col min="5901" max="5901" width="0" style="1121" hidden="1" customWidth="1"/>
    <col min="5902" max="6143" width="9.140625" style="1121"/>
    <col min="6144" max="6144" width="16.85546875" style="1121" customWidth="1"/>
    <col min="6145" max="6145" width="20" style="1121" customWidth="1"/>
    <col min="6146" max="6146" width="16.85546875" style="1121" customWidth="1"/>
    <col min="6147" max="6148" width="15.140625" style="1121" customWidth="1"/>
    <col min="6149" max="6149" width="29.140625" style="1121" customWidth="1"/>
    <col min="6150" max="6150" width="10.7109375" style="1121" customWidth="1"/>
    <col min="6151" max="6151" width="5.7109375" style="1121" customWidth="1"/>
    <col min="6152" max="6152" width="11" style="1121" customWidth="1"/>
    <col min="6153" max="6153" width="24.42578125" style="1121" customWidth="1"/>
    <col min="6154" max="6154" width="9.140625" style="1121"/>
    <col min="6155" max="6155" width="19.42578125" style="1121" customWidth="1"/>
    <col min="6156" max="6156" width="29" style="1121" customWidth="1"/>
    <col min="6157" max="6157" width="0" style="1121" hidden="1" customWidth="1"/>
    <col min="6158" max="6399" width="9.140625" style="1121"/>
    <col min="6400" max="6400" width="16.85546875" style="1121" customWidth="1"/>
    <col min="6401" max="6401" width="20" style="1121" customWidth="1"/>
    <col min="6402" max="6402" width="16.85546875" style="1121" customWidth="1"/>
    <col min="6403" max="6404" width="15.140625" style="1121" customWidth="1"/>
    <col min="6405" max="6405" width="29.140625" style="1121" customWidth="1"/>
    <col min="6406" max="6406" width="10.7109375" style="1121" customWidth="1"/>
    <col min="6407" max="6407" width="5.7109375" style="1121" customWidth="1"/>
    <col min="6408" max="6408" width="11" style="1121" customWidth="1"/>
    <col min="6409" max="6409" width="24.42578125" style="1121" customWidth="1"/>
    <col min="6410" max="6410" width="9.140625" style="1121"/>
    <col min="6411" max="6411" width="19.42578125" style="1121" customWidth="1"/>
    <col min="6412" max="6412" width="29" style="1121" customWidth="1"/>
    <col min="6413" max="6413" width="0" style="1121" hidden="1" customWidth="1"/>
    <col min="6414" max="6655" width="9.140625" style="1121"/>
    <col min="6656" max="6656" width="16.85546875" style="1121" customWidth="1"/>
    <col min="6657" max="6657" width="20" style="1121" customWidth="1"/>
    <col min="6658" max="6658" width="16.85546875" style="1121" customWidth="1"/>
    <col min="6659" max="6660" width="15.140625" style="1121" customWidth="1"/>
    <col min="6661" max="6661" width="29.140625" style="1121" customWidth="1"/>
    <col min="6662" max="6662" width="10.7109375" style="1121" customWidth="1"/>
    <col min="6663" max="6663" width="5.7109375" style="1121" customWidth="1"/>
    <col min="6664" max="6664" width="11" style="1121" customWidth="1"/>
    <col min="6665" max="6665" width="24.42578125" style="1121" customWidth="1"/>
    <col min="6666" max="6666" width="9.140625" style="1121"/>
    <col min="6667" max="6667" width="19.42578125" style="1121" customWidth="1"/>
    <col min="6668" max="6668" width="29" style="1121" customWidth="1"/>
    <col min="6669" max="6669" width="0" style="1121" hidden="1" customWidth="1"/>
    <col min="6670" max="6911" width="9.140625" style="1121"/>
    <col min="6912" max="6912" width="16.85546875" style="1121" customWidth="1"/>
    <col min="6913" max="6913" width="20" style="1121" customWidth="1"/>
    <col min="6914" max="6914" width="16.85546875" style="1121" customWidth="1"/>
    <col min="6915" max="6916" width="15.140625" style="1121" customWidth="1"/>
    <col min="6917" max="6917" width="29.140625" style="1121" customWidth="1"/>
    <col min="6918" max="6918" width="10.7109375" style="1121" customWidth="1"/>
    <col min="6919" max="6919" width="5.7109375" style="1121" customWidth="1"/>
    <col min="6920" max="6920" width="11" style="1121" customWidth="1"/>
    <col min="6921" max="6921" width="24.42578125" style="1121" customWidth="1"/>
    <col min="6922" max="6922" width="9.140625" style="1121"/>
    <col min="6923" max="6923" width="19.42578125" style="1121" customWidth="1"/>
    <col min="6924" max="6924" width="29" style="1121" customWidth="1"/>
    <col min="6925" max="6925" width="0" style="1121" hidden="1" customWidth="1"/>
    <col min="6926" max="7167" width="9.140625" style="1121"/>
    <col min="7168" max="7168" width="16.85546875" style="1121" customWidth="1"/>
    <col min="7169" max="7169" width="20" style="1121" customWidth="1"/>
    <col min="7170" max="7170" width="16.85546875" style="1121" customWidth="1"/>
    <col min="7171" max="7172" width="15.140625" style="1121" customWidth="1"/>
    <col min="7173" max="7173" width="29.140625" style="1121" customWidth="1"/>
    <col min="7174" max="7174" width="10.7109375" style="1121" customWidth="1"/>
    <col min="7175" max="7175" width="5.7109375" style="1121" customWidth="1"/>
    <col min="7176" max="7176" width="11" style="1121" customWidth="1"/>
    <col min="7177" max="7177" width="24.42578125" style="1121" customWidth="1"/>
    <col min="7178" max="7178" width="9.140625" style="1121"/>
    <col min="7179" max="7179" width="19.42578125" style="1121" customWidth="1"/>
    <col min="7180" max="7180" width="29" style="1121" customWidth="1"/>
    <col min="7181" max="7181" width="0" style="1121" hidden="1" customWidth="1"/>
    <col min="7182" max="7423" width="9.140625" style="1121"/>
    <col min="7424" max="7424" width="16.85546875" style="1121" customWidth="1"/>
    <col min="7425" max="7425" width="20" style="1121" customWidth="1"/>
    <col min="7426" max="7426" width="16.85546875" style="1121" customWidth="1"/>
    <col min="7427" max="7428" width="15.140625" style="1121" customWidth="1"/>
    <col min="7429" max="7429" width="29.140625" style="1121" customWidth="1"/>
    <col min="7430" max="7430" width="10.7109375" style="1121" customWidth="1"/>
    <col min="7431" max="7431" width="5.7109375" style="1121" customWidth="1"/>
    <col min="7432" max="7432" width="11" style="1121" customWidth="1"/>
    <col min="7433" max="7433" width="24.42578125" style="1121" customWidth="1"/>
    <col min="7434" max="7434" width="9.140625" style="1121"/>
    <col min="7435" max="7435" width="19.42578125" style="1121" customWidth="1"/>
    <col min="7436" max="7436" width="29" style="1121" customWidth="1"/>
    <col min="7437" max="7437" width="0" style="1121" hidden="1" customWidth="1"/>
    <col min="7438" max="7679" width="9.140625" style="1121"/>
    <col min="7680" max="7680" width="16.85546875" style="1121" customWidth="1"/>
    <col min="7681" max="7681" width="20" style="1121" customWidth="1"/>
    <col min="7682" max="7682" width="16.85546875" style="1121" customWidth="1"/>
    <col min="7683" max="7684" width="15.140625" style="1121" customWidth="1"/>
    <col min="7685" max="7685" width="29.140625" style="1121" customWidth="1"/>
    <col min="7686" max="7686" width="10.7109375" style="1121" customWidth="1"/>
    <col min="7687" max="7687" width="5.7109375" style="1121" customWidth="1"/>
    <col min="7688" max="7688" width="11" style="1121" customWidth="1"/>
    <col min="7689" max="7689" width="24.42578125" style="1121" customWidth="1"/>
    <col min="7690" max="7690" width="9.140625" style="1121"/>
    <col min="7691" max="7691" width="19.42578125" style="1121" customWidth="1"/>
    <col min="7692" max="7692" width="29" style="1121" customWidth="1"/>
    <col min="7693" max="7693" width="0" style="1121" hidden="1" customWidth="1"/>
    <col min="7694" max="7935" width="9.140625" style="1121"/>
    <col min="7936" max="7936" width="16.85546875" style="1121" customWidth="1"/>
    <col min="7937" max="7937" width="20" style="1121" customWidth="1"/>
    <col min="7938" max="7938" width="16.85546875" style="1121" customWidth="1"/>
    <col min="7939" max="7940" width="15.140625" style="1121" customWidth="1"/>
    <col min="7941" max="7941" width="29.140625" style="1121" customWidth="1"/>
    <col min="7942" max="7942" width="10.7109375" style="1121" customWidth="1"/>
    <col min="7943" max="7943" width="5.7109375" style="1121" customWidth="1"/>
    <col min="7944" max="7944" width="11" style="1121" customWidth="1"/>
    <col min="7945" max="7945" width="24.42578125" style="1121" customWidth="1"/>
    <col min="7946" max="7946" width="9.140625" style="1121"/>
    <col min="7947" max="7947" width="19.42578125" style="1121" customWidth="1"/>
    <col min="7948" max="7948" width="29" style="1121" customWidth="1"/>
    <col min="7949" max="7949" width="0" style="1121" hidden="1" customWidth="1"/>
    <col min="7950" max="8191" width="9.140625" style="1121"/>
    <col min="8192" max="8192" width="16.85546875" style="1121" customWidth="1"/>
    <col min="8193" max="8193" width="20" style="1121" customWidth="1"/>
    <col min="8194" max="8194" width="16.85546875" style="1121" customWidth="1"/>
    <col min="8195" max="8196" width="15.140625" style="1121" customWidth="1"/>
    <col min="8197" max="8197" width="29.140625" style="1121" customWidth="1"/>
    <col min="8198" max="8198" width="10.7109375" style="1121" customWidth="1"/>
    <col min="8199" max="8199" width="5.7109375" style="1121" customWidth="1"/>
    <col min="8200" max="8200" width="11" style="1121" customWidth="1"/>
    <col min="8201" max="8201" width="24.42578125" style="1121" customWidth="1"/>
    <col min="8202" max="8202" width="9.140625" style="1121"/>
    <col min="8203" max="8203" width="19.42578125" style="1121" customWidth="1"/>
    <col min="8204" max="8204" width="29" style="1121" customWidth="1"/>
    <col min="8205" max="8205" width="0" style="1121" hidden="1" customWidth="1"/>
    <col min="8206" max="8447" width="9.140625" style="1121"/>
    <col min="8448" max="8448" width="16.85546875" style="1121" customWidth="1"/>
    <col min="8449" max="8449" width="20" style="1121" customWidth="1"/>
    <col min="8450" max="8450" width="16.85546875" style="1121" customWidth="1"/>
    <col min="8451" max="8452" width="15.140625" style="1121" customWidth="1"/>
    <col min="8453" max="8453" width="29.140625" style="1121" customWidth="1"/>
    <col min="8454" max="8454" width="10.7109375" style="1121" customWidth="1"/>
    <col min="8455" max="8455" width="5.7109375" style="1121" customWidth="1"/>
    <col min="8456" max="8456" width="11" style="1121" customWidth="1"/>
    <col min="8457" max="8457" width="24.42578125" style="1121" customWidth="1"/>
    <col min="8458" max="8458" width="9.140625" style="1121"/>
    <col min="8459" max="8459" width="19.42578125" style="1121" customWidth="1"/>
    <col min="8460" max="8460" width="29" style="1121" customWidth="1"/>
    <col min="8461" max="8461" width="0" style="1121" hidden="1" customWidth="1"/>
    <col min="8462" max="8703" width="9.140625" style="1121"/>
    <col min="8704" max="8704" width="16.85546875" style="1121" customWidth="1"/>
    <col min="8705" max="8705" width="20" style="1121" customWidth="1"/>
    <col min="8706" max="8706" width="16.85546875" style="1121" customWidth="1"/>
    <col min="8707" max="8708" width="15.140625" style="1121" customWidth="1"/>
    <col min="8709" max="8709" width="29.140625" style="1121" customWidth="1"/>
    <col min="8710" max="8710" width="10.7109375" style="1121" customWidth="1"/>
    <col min="8711" max="8711" width="5.7109375" style="1121" customWidth="1"/>
    <col min="8712" max="8712" width="11" style="1121" customWidth="1"/>
    <col min="8713" max="8713" width="24.42578125" style="1121" customWidth="1"/>
    <col min="8714" max="8714" width="9.140625" style="1121"/>
    <col min="8715" max="8715" width="19.42578125" style="1121" customWidth="1"/>
    <col min="8716" max="8716" width="29" style="1121" customWidth="1"/>
    <col min="8717" max="8717" width="0" style="1121" hidden="1" customWidth="1"/>
    <col min="8718" max="8959" width="9.140625" style="1121"/>
    <col min="8960" max="8960" width="16.85546875" style="1121" customWidth="1"/>
    <col min="8961" max="8961" width="20" style="1121" customWidth="1"/>
    <col min="8962" max="8962" width="16.85546875" style="1121" customWidth="1"/>
    <col min="8963" max="8964" width="15.140625" style="1121" customWidth="1"/>
    <col min="8965" max="8965" width="29.140625" style="1121" customWidth="1"/>
    <col min="8966" max="8966" width="10.7109375" style="1121" customWidth="1"/>
    <col min="8967" max="8967" width="5.7109375" style="1121" customWidth="1"/>
    <col min="8968" max="8968" width="11" style="1121" customWidth="1"/>
    <col min="8969" max="8969" width="24.42578125" style="1121" customWidth="1"/>
    <col min="8970" max="8970" width="9.140625" style="1121"/>
    <col min="8971" max="8971" width="19.42578125" style="1121" customWidth="1"/>
    <col min="8972" max="8972" width="29" style="1121" customWidth="1"/>
    <col min="8973" max="8973" width="0" style="1121" hidden="1" customWidth="1"/>
    <col min="8974" max="9215" width="9.140625" style="1121"/>
    <col min="9216" max="9216" width="16.85546875" style="1121" customWidth="1"/>
    <col min="9217" max="9217" width="20" style="1121" customWidth="1"/>
    <col min="9218" max="9218" width="16.85546875" style="1121" customWidth="1"/>
    <col min="9219" max="9220" width="15.140625" style="1121" customWidth="1"/>
    <col min="9221" max="9221" width="29.140625" style="1121" customWidth="1"/>
    <col min="9222" max="9222" width="10.7109375" style="1121" customWidth="1"/>
    <col min="9223" max="9223" width="5.7109375" style="1121" customWidth="1"/>
    <col min="9224" max="9224" width="11" style="1121" customWidth="1"/>
    <col min="9225" max="9225" width="24.42578125" style="1121" customWidth="1"/>
    <col min="9226" max="9226" width="9.140625" style="1121"/>
    <col min="9227" max="9227" width="19.42578125" style="1121" customWidth="1"/>
    <col min="9228" max="9228" width="29" style="1121" customWidth="1"/>
    <col min="9229" max="9229" width="0" style="1121" hidden="1" customWidth="1"/>
    <col min="9230" max="9471" width="9.140625" style="1121"/>
    <col min="9472" max="9472" width="16.85546875" style="1121" customWidth="1"/>
    <col min="9473" max="9473" width="20" style="1121" customWidth="1"/>
    <col min="9474" max="9474" width="16.85546875" style="1121" customWidth="1"/>
    <col min="9475" max="9476" width="15.140625" style="1121" customWidth="1"/>
    <col min="9477" max="9477" width="29.140625" style="1121" customWidth="1"/>
    <col min="9478" max="9478" width="10.7109375" style="1121" customWidth="1"/>
    <col min="9479" max="9479" width="5.7109375" style="1121" customWidth="1"/>
    <col min="9480" max="9480" width="11" style="1121" customWidth="1"/>
    <col min="9481" max="9481" width="24.42578125" style="1121" customWidth="1"/>
    <col min="9482" max="9482" width="9.140625" style="1121"/>
    <col min="9483" max="9483" width="19.42578125" style="1121" customWidth="1"/>
    <col min="9484" max="9484" width="29" style="1121" customWidth="1"/>
    <col min="9485" max="9485" width="0" style="1121" hidden="1" customWidth="1"/>
    <col min="9486" max="9727" width="9.140625" style="1121"/>
    <col min="9728" max="9728" width="16.85546875" style="1121" customWidth="1"/>
    <col min="9729" max="9729" width="20" style="1121" customWidth="1"/>
    <col min="9730" max="9730" width="16.85546875" style="1121" customWidth="1"/>
    <col min="9731" max="9732" width="15.140625" style="1121" customWidth="1"/>
    <col min="9733" max="9733" width="29.140625" style="1121" customWidth="1"/>
    <col min="9734" max="9734" width="10.7109375" style="1121" customWidth="1"/>
    <col min="9735" max="9735" width="5.7109375" style="1121" customWidth="1"/>
    <col min="9736" max="9736" width="11" style="1121" customWidth="1"/>
    <col min="9737" max="9737" width="24.42578125" style="1121" customWidth="1"/>
    <col min="9738" max="9738" width="9.140625" style="1121"/>
    <col min="9739" max="9739" width="19.42578125" style="1121" customWidth="1"/>
    <col min="9740" max="9740" width="29" style="1121" customWidth="1"/>
    <col min="9741" max="9741" width="0" style="1121" hidden="1" customWidth="1"/>
    <col min="9742" max="9983" width="9.140625" style="1121"/>
    <col min="9984" max="9984" width="16.85546875" style="1121" customWidth="1"/>
    <col min="9985" max="9985" width="20" style="1121" customWidth="1"/>
    <col min="9986" max="9986" width="16.85546875" style="1121" customWidth="1"/>
    <col min="9987" max="9988" width="15.140625" style="1121" customWidth="1"/>
    <col min="9989" max="9989" width="29.140625" style="1121" customWidth="1"/>
    <col min="9990" max="9990" width="10.7109375" style="1121" customWidth="1"/>
    <col min="9991" max="9991" width="5.7109375" style="1121" customWidth="1"/>
    <col min="9992" max="9992" width="11" style="1121" customWidth="1"/>
    <col min="9993" max="9993" width="24.42578125" style="1121" customWidth="1"/>
    <col min="9994" max="9994" width="9.140625" style="1121"/>
    <col min="9995" max="9995" width="19.42578125" style="1121" customWidth="1"/>
    <col min="9996" max="9996" width="29" style="1121" customWidth="1"/>
    <col min="9997" max="9997" width="0" style="1121" hidden="1" customWidth="1"/>
    <col min="9998" max="10239" width="9.140625" style="1121"/>
    <col min="10240" max="10240" width="16.85546875" style="1121" customWidth="1"/>
    <col min="10241" max="10241" width="20" style="1121" customWidth="1"/>
    <col min="10242" max="10242" width="16.85546875" style="1121" customWidth="1"/>
    <col min="10243" max="10244" width="15.140625" style="1121" customWidth="1"/>
    <col min="10245" max="10245" width="29.140625" style="1121" customWidth="1"/>
    <col min="10246" max="10246" width="10.7109375" style="1121" customWidth="1"/>
    <col min="10247" max="10247" width="5.7109375" style="1121" customWidth="1"/>
    <col min="10248" max="10248" width="11" style="1121" customWidth="1"/>
    <col min="10249" max="10249" width="24.42578125" style="1121" customWidth="1"/>
    <col min="10250" max="10250" width="9.140625" style="1121"/>
    <col min="10251" max="10251" width="19.42578125" style="1121" customWidth="1"/>
    <col min="10252" max="10252" width="29" style="1121" customWidth="1"/>
    <col min="10253" max="10253" width="0" style="1121" hidden="1" customWidth="1"/>
    <col min="10254" max="10495" width="9.140625" style="1121"/>
    <col min="10496" max="10496" width="16.85546875" style="1121" customWidth="1"/>
    <col min="10497" max="10497" width="20" style="1121" customWidth="1"/>
    <col min="10498" max="10498" width="16.85546875" style="1121" customWidth="1"/>
    <col min="10499" max="10500" width="15.140625" style="1121" customWidth="1"/>
    <col min="10501" max="10501" width="29.140625" style="1121" customWidth="1"/>
    <col min="10502" max="10502" width="10.7109375" style="1121" customWidth="1"/>
    <col min="10503" max="10503" width="5.7109375" style="1121" customWidth="1"/>
    <col min="10504" max="10504" width="11" style="1121" customWidth="1"/>
    <col min="10505" max="10505" width="24.42578125" style="1121" customWidth="1"/>
    <col min="10506" max="10506" width="9.140625" style="1121"/>
    <col min="10507" max="10507" width="19.42578125" style="1121" customWidth="1"/>
    <col min="10508" max="10508" width="29" style="1121" customWidth="1"/>
    <col min="10509" max="10509" width="0" style="1121" hidden="1" customWidth="1"/>
    <col min="10510" max="10751" width="9.140625" style="1121"/>
    <col min="10752" max="10752" width="16.85546875" style="1121" customWidth="1"/>
    <col min="10753" max="10753" width="20" style="1121" customWidth="1"/>
    <col min="10754" max="10754" width="16.85546875" style="1121" customWidth="1"/>
    <col min="10755" max="10756" width="15.140625" style="1121" customWidth="1"/>
    <col min="10757" max="10757" width="29.140625" style="1121" customWidth="1"/>
    <col min="10758" max="10758" width="10.7109375" style="1121" customWidth="1"/>
    <col min="10759" max="10759" width="5.7109375" style="1121" customWidth="1"/>
    <col min="10760" max="10760" width="11" style="1121" customWidth="1"/>
    <col min="10761" max="10761" width="24.42578125" style="1121" customWidth="1"/>
    <col min="10762" max="10762" width="9.140625" style="1121"/>
    <col min="10763" max="10763" width="19.42578125" style="1121" customWidth="1"/>
    <col min="10764" max="10764" width="29" style="1121" customWidth="1"/>
    <col min="10765" max="10765" width="0" style="1121" hidden="1" customWidth="1"/>
    <col min="10766" max="11007" width="9.140625" style="1121"/>
    <col min="11008" max="11008" width="16.85546875" style="1121" customWidth="1"/>
    <col min="11009" max="11009" width="20" style="1121" customWidth="1"/>
    <col min="11010" max="11010" width="16.85546875" style="1121" customWidth="1"/>
    <col min="11011" max="11012" width="15.140625" style="1121" customWidth="1"/>
    <col min="11013" max="11013" width="29.140625" style="1121" customWidth="1"/>
    <col min="11014" max="11014" width="10.7109375" style="1121" customWidth="1"/>
    <col min="11015" max="11015" width="5.7109375" style="1121" customWidth="1"/>
    <col min="11016" max="11016" width="11" style="1121" customWidth="1"/>
    <col min="11017" max="11017" width="24.42578125" style="1121" customWidth="1"/>
    <col min="11018" max="11018" width="9.140625" style="1121"/>
    <col min="11019" max="11019" width="19.42578125" style="1121" customWidth="1"/>
    <col min="11020" max="11020" width="29" style="1121" customWidth="1"/>
    <col min="11021" max="11021" width="0" style="1121" hidden="1" customWidth="1"/>
    <col min="11022" max="11263" width="9.140625" style="1121"/>
    <col min="11264" max="11264" width="16.85546875" style="1121" customWidth="1"/>
    <col min="11265" max="11265" width="20" style="1121" customWidth="1"/>
    <col min="11266" max="11266" width="16.85546875" style="1121" customWidth="1"/>
    <col min="11267" max="11268" width="15.140625" style="1121" customWidth="1"/>
    <col min="11269" max="11269" width="29.140625" style="1121" customWidth="1"/>
    <col min="11270" max="11270" width="10.7109375" style="1121" customWidth="1"/>
    <col min="11271" max="11271" width="5.7109375" style="1121" customWidth="1"/>
    <col min="11272" max="11272" width="11" style="1121" customWidth="1"/>
    <col min="11273" max="11273" width="24.42578125" style="1121" customWidth="1"/>
    <col min="11274" max="11274" width="9.140625" style="1121"/>
    <col min="11275" max="11275" width="19.42578125" style="1121" customWidth="1"/>
    <col min="11276" max="11276" width="29" style="1121" customWidth="1"/>
    <col min="11277" max="11277" width="0" style="1121" hidden="1" customWidth="1"/>
    <col min="11278" max="11519" width="9.140625" style="1121"/>
    <col min="11520" max="11520" width="16.85546875" style="1121" customWidth="1"/>
    <col min="11521" max="11521" width="20" style="1121" customWidth="1"/>
    <col min="11522" max="11522" width="16.85546875" style="1121" customWidth="1"/>
    <col min="11523" max="11524" width="15.140625" style="1121" customWidth="1"/>
    <col min="11525" max="11525" width="29.140625" style="1121" customWidth="1"/>
    <col min="11526" max="11526" width="10.7109375" style="1121" customWidth="1"/>
    <col min="11527" max="11527" width="5.7109375" style="1121" customWidth="1"/>
    <col min="11528" max="11528" width="11" style="1121" customWidth="1"/>
    <col min="11529" max="11529" width="24.42578125" style="1121" customWidth="1"/>
    <col min="11530" max="11530" width="9.140625" style="1121"/>
    <col min="11531" max="11531" width="19.42578125" style="1121" customWidth="1"/>
    <col min="11532" max="11532" width="29" style="1121" customWidth="1"/>
    <col min="11533" max="11533" width="0" style="1121" hidden="1" customWidth="1"/>
    <col min="11534" max="11775" width="9.140625" style="1121"/>
    <col min="11776" max="11776" width="16.85546875" style="1121" customWidth="1"/>
    <col min="11777" max="11777" width="20" style="1121" customWidth="1"/>
    <col min="11778" max="11778" width="16.85546875" style="1121" customWidth="1"/>
    <col min="11779" max="11780" width="15.140625" style="1121" customWidth="1"/>
    <col min="11781" max="11781" width="29.140625" style="1121" customWidth="1"/>
    <col min="11782" max="11782" width="10.7109375" style="1121" customWidth="1"/>
    <col min="11783" max="11783" width="5.7109375" style="1121" customWidth="1"/>
    <col min="11784" max="11784" width="11" style="1121" customWidth="1"/>
    <col min="11785" max="11785" width="24.42578125" style="1121" customWidth="1"/>
    <col min="11786" max="11786" width="9.140625" style="1121"/>
    <col min="11787" max="11787" width="19.42578125" style="1121" customWidth="1"/>
    <col min="11788" max="11788" width="29" style="1121" customWidth="1"/>
    <col min="11789" max="11789" width="0" style="1121" hidden="1" customWidth="1"/>
    <col min="11790" max="12031" width="9.140625" style="1121"/>
    <col min="12032" max="12032" width="16.85546875" style="1121" customWidth="1"/>
    <col min="12033" max="12033" width="20" style="1121" customWidth="1"/>
    <col min="12034" max="12034" width="16.85546875" style="1121" customWidth="1"/>
    <col min="12035" max="12036" width="15.140625" style="1121" customWidth="1"/>
    <col min="12037" max="12037" width="29.140625" style="1121" customWidth="1"/>
    <col min="12038" max="12038" width="10.7109375" style="1121" customWidth="1"/>
    <col min="12039" max="12039" width="5.7109375" style="1121" customWidth="1"/>
    <col min="12040" max="12040" width="11" style="1121" customWidth="1"/>
    <col min="12041" max="12041" width="24.42578125" style="1121" customWidth="1"/>
    <col min="12042" max="12042" width="9.140625" style="1121"/>
    <col min="12043" max="12043" width="19.42578125" style="1121" customWidth="1"/>
    <col min="12044" max="12044" width="29" style="1121" customWidth="1"/>
    <col min="12045" max="12045" width="0" style="1121" hidden="1" customWidth="1"/>
    <col min="12046" max="12287" width="9.140625" style="1121"/>
    <col min="12288" max="12288" width="16.85546875" style="1121" customWidth="1"/>
    <col min="12289" max="12289" width="20" style="1121" customWidth="1"/>
    <col min="12290" max="12290" width="16.85546875" style="1121" customWidth="1"/>
    <col min="12291" max="12292" width="15.140625" style="1121" customWidth="1"/>
    <col min="12293" max="12293" width="29.140625" style="1121" customWidth="1"/>
    <col min="12294" max="12294" width="10.7109375" style="1121" customWidth="1"/>
    <col min="12295" max="12295" width="5.7109375" style="1121" customWidth="1"/>
    <col min="12296" max="12296" width="11" style="1121" customWidth="1"/>
    <col min="12297" max="12297" width="24.42578125" style="1121" customWidth="1"/>
    <col min="12298" max="12298" width="9.140625" style="1121"/>
    <col min="12299" max="12299" width="19.42578125" style="1121" customWidth="1"/>
    <col min="12300" max="12300" width="29" style="1121" customWidth="1"/>
    <col min="12301" max="12301" width="0" style="1121" hidden="1" customWidth="1"/>
    <col min="12302" max="12543" width="9.140625" style="1121"/>
    <col min="12544" max="12544" width="16.85546875" style="1121" customWidth="1"/>
    <col min="12545" max="12545" width="20" style="1121" customWidth="1"/>
    <col min="12546" max="12546" width="16.85546875" style="1121" customWidth="1"/>
    <col min="12547" max="12548" width="15.140625" style="1121" customWidth="1"/>
    <col min="12549" max="12549" width="29.140625" style="1121" customWidth="1"/>
    <col min="12550" max="12550" width="10.7109375" style="1121" customWidth="1"/>
    <col min="12551" max="12551" width="5.7109375" style="1121" customWidth="1"/>
    <col min="12552" max="12552" width="11" style="1121" customWidth="1"/>
    <col min="12553" max="12553" width="24.42578125" style="1121" customWidth="1"/>
    <col min="12554" max="12554" width="9.140625" style="1121"/>
    <col min="12555" max="12555" width="19.42578125" style="1121" customWidth="1"/>
    <col min="12556" max="12556" width="29" style="1121" customWidth="1"/>
    <col min="12557" max="12557" width="0" style="1121" hidden="1" customWidth="1"/>
    <col min="12558" max="12799" width="9.140625" style="1121"/>
    <col min="12800" max="12800" width="16.85546875" style="1121" customWidth="1"/>
    <col min="12801" max="12801" width="20" style="1121" customWidth="1"/>
    <col min="12802" max="12802" width="16.85546875" style="1121" customWidth="1"/>
    <col min="12803" max="12804" width="15.140625" style="1121" customWidth="1"/>
    <col min="12805" max="12805" width="29.140625" style="1121" customWidth="1"/>
    <col min="12806" max="12806" width="10.7109375" style="1121" customWidth="1"/>
    <col min="12807" max="12807" width="5.7109375" style="1121" customWidth="1"/>
    <col min="12808" max="12808" width="11" style="1121" customWidth="1"/>
    <col min="12809" max="12809" width="24.42578125" style="1121" customWidth="1"/>
    <col min="12810" max="12810" width="9.140625" style="1121"/>
    <col min="12811" max="12811" width="19.42578125" style="1121" customWidth="1"/>
    <col min="12812" max="12812" width="29" style="1121" customWidth="1"/>
    <col min="12813" max="12813" width="0" style="1121" hidden="1" customWidth="1"/>
    <col min="12814" max="13055" width="9.140625" style="1121"/>
    <col min="13056" max="13056" width="16.85546875" style="1121" customWidth="1"/>
    <col min="13057" max="13057" width="20" style="1121" customWidth="1"/>
    <col min="13058" max="13058" width="16.85546875" style="1121" customWidth="1"/>
    <col min="13059" max="13060" width="15.140625" style="1121" customWidth="1"/>
    <col min="13061" max="13061" width="29.140625" style="1121" customWidth="1"/>
    <col min="13062" max="13062" width="10.7109375" style="1121" customWidth="1"/>
    <col min="13063" max="13063" width="5.7109375" style="1121" customWidth="1"/>
    <col min="13064" max="13064" width="11" style="1121" customWidth="1"/>
    <col min="13065" max="13065" width="24.42578125" style="1121" customWidth="1"/>
    <col min="13066" max="13066" width="9.140625" style="1121"/>
    <col min="13067" max="13067" width="19.42578125" style="1121" customWidth="1"/>
    <col min="13068" max="13068" width="29" style="1121" customWidth="1"/>
    <col min="13069" max="13069" width="0" style="1121" hidden="1" customWidth="1"/>
    <col min="13070" max="13311" width="9.140625" style="1121"/>
    <col min="13312" max="13312" width="16.85546875" style="1121" customWidth="1"/>
    <col min="13313" max="13313" width="20" style="1121" customWidth="1"/>
    <col min="13314" max="13314" width="16.85546875" style="1121" customWidth="1"/>
    <col min="13315" max="13316" width="15.140625" style="1121" customWidth="1"/>
    <col min="13317" max="13317" width="29.140625" style="1121" customWidth="1"/>
    <col min="13318" max="13318" width="10.7109375" style="1121" customWidth="1"/>
    <col min="13319" max="13319" width="5.7109375" style="1121" customWidth="1"/>
    <col min="13320" max="13320" width="11" style="1121" customWidth="1"/>
    <col min="13321" max="13321" width="24.42578125" style="1121" customWidth="1"/>
    <col min="13322" max="13322" width="9.140625" style="1121"/>
    <col min="13323" max="13323" width="19.42578125" style="1121" customWidth="1"/>
    <col min="13324" max="13324" width="29" style="1121" customWidth="1"/>
    <col min="13325" max="13325" width="0" style="1121" hidden="1" customWidth="1"/>
    <col min="13326" max="13567" width="9.140625" style="1121"/>
    <col min="13568" max="13568" width="16.85546875" style="1121" customWidth="1"/>
    <col min="13569" max="13569" width="20" style="1121" customWidth="1"/>
    <col min="13570" max="13570" width="16.85546875" style="1121" customWidth="1"/>
    <col min="13571" max="13572" width="15.140625" style="1121" customWidth="1"/>
    <col min="13573" max="13573" width="29.140625" style="1121" customWidth="1"/>
    <col min="13574" max="13574" width="10.7109375" style="1121" customWidth="1"/>
    <col min="13575" max="13575" width="5.7109375" style="1121" customWidth="1"/>
    <col min="13576" max="13576" width="11" style="1121" customWidth="1"/>
    <col min="13577" max="13577" width="24.42578125" style="1121" customWidth="1"/>
    <col min="13578" max="13578" width="9.140625" style="1121"/>
    <col min="13579" max="13579" width="19.42578125" style="1121" customWidth="1"/>
    <col min="13580" max="13580" width="29" style="1121" customWidth="1"/>
    <col min="13581" max="13581" width="0" style="1121" hidden="1" customWidth="1"/>
    <col min="13582" max="13823" width="9.140625" style="1121"/>
    <col min="13824" max="13824" width="16.85546875" style="1121" customWidth="1"/>
    <col min="13825" max="13825" width="20" style="1121" customWidth="1"/>
    <col min="13826" max="13826" width="16.85546875" style="1121" customWidth="1"/>
    <col min="13827" max="13828" width="15.140625" style="1121" customWidth="1"/>
    <col min="13829" max="13829" width="29.140625" style="1121" customWidth="1"/>
    <col min="13830" max="13830" width="10.7109375" style="1121" customWidth="1"/>
    <col min="13831" max="13831" width="5.7109375" style="1121" customWidth="1"/>
    <col min="13832" max="13832" width="11" style="1121" customWidth="1"/>
    <col min="13833" max="13833" width="24.42578125" style="1121" customWidth="1"/>
    <col min="13834" max="13834" width="9.140625" style="1121"/>
    <col min="13835" max="13835" width="19.42578125" style="1121" customWidth="1"/>
    <col min="13836" max="13836" width="29" style="1121" customWidth="1"/>
    <col min="13837" max="13837" width="0" style="1121" hidden="1" customWidth="1"/>
    <col min="13838" max="14079" width="9.140625" style="1121"/>
    <col min="14080" max="14080" width="16.85546875" style="1121" customWidth="1"/>
    <col min="14081" max="14081" width="20" style="1121" customWidth="1"/>
    <col min="14082" max="14082" width="16.85546875" style="1121" customWidth="1"/>
    <col min="14083" max="14084" width="15.140625" style="1121" customWidth="1"/>
    <col min="14085" max="14085" width="29.140625" style="1121" customWidth="1"/>
    <col min="14086" max="14086" width="10.7109375" style="1121" customWidth="1"/>
    <col min="14087" max="14087" width="5.7109375" style="1121" customWidth="1"/>
    <col min="14088" max="14088" width="11" style="1121" customWidth="1"/>
    <col min="14089" max="14089" width="24.42578125" style="1121" customWidth="1"/>
    <col min="14090" max="14090" width="9.140625" style="1121"/>
    <col min="14091" max="14091" width="19.42578125" style="1121" customWidth="1"/>
    <col min="14092" max="14092" width="29" style="1121" customWidth="1"/>
    <col min="14093" max="14093" width="0" style="1121" hidden="1" customWidth="1"/>
    <col min="14094" max="14335" width="9.140625" style="1121"/>
    <col min="14336" max="14336" width="16.85546875" style="1121" customWidth="1"/>
    <col min="14337" max="14337" width="20" style="1121" customWidth="1"/>
    <col min="14338" max="14338" width="16.85546875" style="1121" customWidth="1"/>
    <col min="14339" max="14340" width="15.140625" style="1121" customWidth="1"/>
    <col min="14341" max="14341" width="29.140625" style="1121" customWidth="1"/>
    <col min="14342" max="14342" width="10.7109375" style="1121" customWidth="1"/>
    <col min="14343" max="14343" width="5.7109375" style="1121" customWidth="1"/>
    <col min="14344" max="14344" width="11" style="1121" customWidth="1"/>
    <col min="14345" max="14345" width="24.42578125" style="1121" customWidth="1"/>
    <col min="14346" max="14346" width="9.140625" style="1121"/>
    <col min="14347" max="14347" width="19.42578125" style="1121" customWidth="1"/>
    <col min="14348" max="14348" width="29" style="1121" customWidth="1"/>
    <col min="14349" max="14349" width="0" style="1121" hidden="1" customWidth="1"/>
    <col min="14350" max="14591" width="9.140625" style="1121"/>
    <col min="14592" max="14592" width="16.85546875" style="1121" customWidth="1"/>
    <col min="14593" max="14593" width="20" style="1121" customWidth="1"/>
    <col min="14594" max="14594" width="16.85546875" style="1121" customWidth="1"/>
    <col min="14595" max="14596" width="15.140625" style="1121" customWidth="1"/>
    <col min="14597" max="14597" width="29.140625" style="1121" customWidth="1"/>
    <col min="14598" max="14598" width="10.7109375" style="1121" customWidth="1"/>
    <col min="14599" max="14599" width="5.7109375" style="1121" customWidth="1"/>
    <col min="14600" max="14600" width="11" style="1121" customWidth="1"/>
    <col min="14601" max="14601" width="24.42578125" style="1121" customWidth="1"/>
    <col min="14602" max="14602" width="9.140625" style="1121"/>
    <col min="14603" max="14603" width="19.42578125" style="1121" customWidth="1"/>
    <col min="14604" max="14604" width="29" style="1121" customWidth="1"/>
    <col min="14605" max="14605" width="0" style="1121" hidden="1" customWidth="1"/>
    <col min="14606" max="14847" width="9.140625" style="1121"/>
    <col min="14848" max="14848" width="16.85546875" style="1121" customWidth="1"/>
    <col min="14849" max="14849" width="20" style="1121" customWidth="1"/>
    <col min="14850" max="14850" width="16.85546875" style="1121" customWidth="1"/>
    <col min="14851" max="14852" width="15.140625" style="1121" customWidth="1"/>
    <col min="14853" max="14853" width="29.140625" style="1121" customWidth="1"/>
    <col min="14854" max="14854" width="10.7109375" style="1121" customWidth="1"/>
    <col min="14855" max="14855" width="5.7109375" style="1121" customWidth="1"/>
    <col min="14856" max="14856" width="11" style="1121" customWidth="1"/>
    <col min="14857" max="14857" width="24.42578125" style="1121" customWidth="1"/>
    <col min="14858" max="14858" width="9.140625" style="1121"/>
    <col min="14859" max="14859" width="19.42578125" style="1121" customWidth="1"/>
    <col min="14860" max="14860" width="29" style="1121" customWidth="1"/>
    <col min="14861" max="14861" width="0" style="1121" hidden="1" customWidth="1"/>
    <col min="14862" max="15103" width="9.140625" style="1121"/>
    <col min="15104" max="15104" width="16.85546875" style="1121" customWidth="1"/>
    <col min="15105" max="15105" width="20" style="1121" customWidth="1"/>
    <col min="15106" max="15106" width="16.85546875" style="1121" customWidth="1"/>
    <col min="15107" max="15108" width="15.140625" style="1121" customWidth="1"/>
    <col min="15109" max="15109" width="29.140625" style="1121" customWidth="1"/>
    <col min="15110" max="15110" width="10.7109375" style="1121" customWidth="1"/>
    <col min="15111" max="15111" width="5.7109375" style="1121" customWidth="1"/>
    <col min="15112" max="15112" width="11" style="1121" customWidth="1"/>
    <col min="15113" max="15113" width="24.42578125" style="1121" customWidth="1"/>
    <col min="15114" max="15114" width="9.140625" style="1121"/>
    <col min="15115" max="15115" width="19.42578125" style="1121" customWidth="1"/>
    <col min="15116" max="15116" width="29" style="1121" customWidth="1"/>
    <col min="15117" max="15117" width="0" style="1121" hidden="1" customWidth="1"/>
    <col min="15118" max="15359" width="9.140625" style="1121"/>
    <col min="15360" max="15360" width="16.85546875" style="1121" customWidth="1"/>
    <col min="15361" max="15361" width="20" style="1121" customWidth="1"/>
    <col min="15362" max="15362" width="16.85546875" style="1121" customWidth="1"/>
    <col min="15363" max="15364" width="15.140625" style="1121" customWidth="1"/>
    <col min="15365" max="15365" width="29.140625" style="1121" customWidth="1"/>
    <col min="15366" max="15366" width="10.7109375" style="1121" customWidth="1"/>
    <col min="15367" max="15367" width="5.7109375" style="1121" customWidth="1"/>
    <col min="15368" max="15368" width="11" style="1121" customWidth="1"/>
    <col min="15369" max="15369" width="24.42578125" style="1121" customWidth="1"/>
    <col min="15370" max="15370" width="9.140625" style="1121"/>
    <col min="15371" max="15371" width="19.42578125" style="1121" customWidth="1"/>
    <col min="15372" max="15372" width="29" style="1121" customWidth="1"/>
    <col min="15373" max="15373" width="0" style="1121" hidden="1" customWidth="1"/>
    <col min="15374" max="15615" width="9.140625" style="1121"/>
    <col min="15616" max="15616" width="16.85546875" style="1121" customWidth="1"/>
    <col min="15617" max="15617" width="20" style="1121" customWidth="1"/>
    <col min="15618" max="15618" width="16.85546875" style="1121" customWidth="1"/>
    <col min="15619" max="15620" width="15.140625" style="1121" customWidth="1"/>
    <col min="15621" max="15621" width="29.140625" style="1121" customWidth="1"/>
    <col min="15622" max="15622" width="10.7109375" style="1121" customWidth="1"/>
    <col min="15623" max="15623" width="5.7109375" style="1121" customWidth="1"/>
    <col min="15624" max="15624" width="11" style="1121" customWidth="1"/>
    <col min="15625" max="15625" width="24.42578125" style="1121" customWidth="1"/>
    <col min="15626" max="15626" width="9.140625" style="1121"/>
    <col min="15627" max="15627" width="19.42578125" style="1121" customWidth="1"/>
    <col min="15628" max="15628" width="29" style="1121" customWidth="1"/>
    <col min="15629" max="15629" width="0" style="1121" hidden="1" customWidth="1"/>
    <col min="15630" max="15871" width="9.140625" style="1121"/>
    <col min="15872" max="15872" width="16.85546875" style="1121" customWidth="1"/>
    <col min="15873" max="15873" width="20" style="1121" customWidth="1"/>
    <col min="15874" max="15874" width="16.85546875" style="1121" customWidth="1"/>
    <col min="15875" max="15876" width="15.140625" style="1121" customWidth="1"/>
    <col min="15877" max="15877" width="29.140625" style="1121" customWidth="1"/>
    <col min="15878" max="15878" width="10.7109375" style="1121" customWidth="1"/>
    <col min="15879" max="15879" width="5.7109375" style="1121" customWidth="1"/>
    <col min="15880" max="15880" width="11" style="1121" customWidth="1"/>
    <col min="15881" max="15881" width="24.42578125" style="1121" customWidth="1"/>
    <col min="15882" max="15882" width="9.140625" style="1121"/>
    <col min="15883" max="15883" width="19.42578125" style="1121" customWidth="1"/>
    <col min="15884" max="15884" width="29" style="1121" customWidth="1"/>
    <col min="15885" max="15885" width="0" style="1121" hidden="1" customWidth="1"/>
    <col min="15886" max="16127" width="9.140625" style="1121"/>
    <col min="16128" max="16128" width="16.85546875" style="1121" customWidth="1"/>
    <col min="16129" max="16129" width="20" style="1121" customWidth="1"/>
    <col min="16130" max="16130" width="16.85546875" style="1121" customWidth="1"/>
    <col min="16131" max="16132" width="15.140625" style="1121" customWidth="1"/>
    <col min="16133" max="16133" width="29.140625" style="1121" customWidth="1"/>
    <col min="16134" max="16134" width="10.7109375" style="1121" customWidth="1"/>
    <col min="16135" max="16135" width="5.7109375" style="1121" customWidth="1"/>
    <col min="16136" max="16136" width="11" style="1121" customWidth="1"/>
    <col min="16137" max="16137" width="24.42578125" style="1121" customWidth="1"/>
    <col min="16138" max="16138" width="9.140625" style="1121"/>
    <col min="16139" max="16139" width="19.42578125" style="1121" customWidth="1"/>
    <col min="16140" max="16140" width="29" style="1121" customWidth="1"/>
    <col min="16141" max="16141" width="0" style="1121" hidden="1" customWidth="1"/>
    <col min="16142" max="16384" width="9.140625" style="1121"/>
  </cols>
  <sheetData>
    <row r="1" spans="1:59" s="1119" customFormat="1" ht="18.75">
      <c r="A1" s="1881" t="s">
        <v>3609</v>
      </c>
      <c r="B1" s="1155" t="s">
        <v>4167</v>
      </c>
      <c r="C1" s="1012"/>
      <c r="D1" s="1012"/>
      <c r="E1" s="1186"/>
      <c r="F1" s="905"/>
      <c r="G1" s="2590" t="s">
        <v>2595</v>
      </c>
      <c r="H1" s="2590"/>
      <c r="I1" s="1193" t="s">
        <v>3610</v>
      </c>
    </row>
    <row r="2" spans="1:59" s="1119" customFormat="1">
      <c r="B2" s="1034" t="s">
        <v>3198</v>
      </c>
      <c r="C2" s="1035">
        <f>'Basic Info'!C29:D29</f>
        <v>0</v>
      </c>
      <c r="D2" s="923"/>
      <c r="E2" s="923"/>
      <c r="F2" s="923"/>
      <c r="G2" s="2438"/>
      <c r="H2" s="2439"/>
      <c r="I2" s="1006"/>
    </row>
    <row r="3" spans="1:59" s="1119" customFormat="1">
      <c r="G3" s="2438"/>
      <c r="H3" s="2439"/>
      <c r="I3" s="1305"/>
    </row>
    <row r="4" spans="1:59">
      <c r="B4" s="1121"/>
      <c r="C4" s="1121"/>
      <c r="D4" s="1121"/>
      <c r="E4" s="1121"/>
      <c r="F4" s="1121"/>
      <c r="G4" s="2438"/>
      <c r="H4" s="2439"/>
      <c r="I4" s="1006"/>
    </row>
    <row r="5" spans="1:59" s="1275" customFormat="1">
      <c r="A5" s="1196"/>
      <c r="B5" s="1239" t="s">
        <v>3981</v>
      </c>
      <c r="C5" s="923"/>
      <c r="D5" s="923"/>
      <c r="E5" s="923"/>
      <c r="F5" s="923"/>
      <c r="G5" s="923"/>
      <c r="H5" s="1225"/>
      <c r="I5" s="1225"/>
      <c r="J5" s="1196"/>
      <c r="K5" s="1198"/>
      <c r="L5" s="1198"/>
      <c r="M5" s="1198"/>
      <c r="N5" s="1198"/>
      <c r="O5" s="1198"/>
      <c r="P5" s="1198"/>
      <c r="Q5" s="1198"/>
      <c r="R5" s="1198"/>
      <c r="S5" s="1198"/>
      <c r="T5" s="1198"/>
      <c r="U5" s="1198"/>
      <c r="V5" s="1198"/>
      <c r="W5" s="1198"/>
      <c r="X5" s="1198"/>
      <c r="Y5" s="1198"/>
      <c r="Z5" s="1198"/>
      <c r="AA5" s="1198"/>
      <c r="AB5" s="1198"/>
      <c r="AC5" s="1198"/>
      <c r="AD5" s="1198"/>
      <c r="AE5" s="1198"/>
      <c r="AF5" s="1198"/>
      <c r="AG5" s="1198"/>
      <c r="AH5" s="1198"/>
      <c r="AI5" s="1198"/>
      <c r="AJ5" s="1198"/>
      <c r="AK5" s="1198"/>
      <c r="AL5" s="1198"/>
      <c r="AM5" s="1198"/>
      <c r="AN5" s="1198"/>
      <c r="AO5" s="1198"/>
      <c r="AP5" s="1198"/>
      <c r="AQ5" s="1198"/>
      <c r="AR5" s="1198"/>
      <c r="AS5" s="1198"/>
      <c r="AT5" s="1198"/>
      <c r="AU5" s="1198"/>
      <c r="AV5" s="1198"/>
      <c r="AW5" s="1198"/>
      <c r="AX5" s="1198"/>
      <c r="AY5" s="1198"/>
      <c r="AZ5" s="1198"/>
      <c r="BA5" s="1198"/>
      <c r="BB5" s="1198"/>
      <c r="BC5" s="1198"/>
      <c r="BD5" s="1198"/>
      <c r="BE5" s="1198"/>
      <c r="BF5" s="1198"/>
      <c r="BG5" s="1198"/>
    </row>
    <row r="6" spans="1:59" ht="12" customHeight="1">
      <c r="B6" s="2395" t="s">
        <v>3761</v>
      </c>
      <c r="C6" s="2395"/>
      <c r="D6" s="2395"/>
      <c r="E6" s="2395"/>
      <c r="F6" s="2395"/>
      <c r="G6" s="2395"/>
      <c r="H6" s="2395"/>
      <c r="I6" s="2395"/>
    </row>
    <row r="7" spans="1:59">
      <c r="B7" s="2395" t="s">
        <v>3762</v>
      </c>
      <c r="C7" s="2395"/>
      <c r="D7" s="2395"/>
      <c r="E7" s="2395"/>
      <c r="F7" s="2395"/>
      <c r="G7" s="2395"/>
      <c r="H7" s="2571"/>
      <c r="I7" s="2571"/>
    </row>
    <row r="8" spans="1:59">
      <c r="B8" s="2395" t="s">
        <v>3763</v>
      </c>
      <c r="C8" s="2395"/>
      <c r="D8" s="2395"/>
      <c r="E8" s="2395"/>
      <c r="F8" s="2395"/>
      <c r="G8" s="2395"/>
      <c r="H8" s="923"/>
      <c r="I8" s="923"/>
      <c r="J8" s="1123"/>
    </row>
    <row r="9" spans="1:59">
      <c r="B9" s="2395" t="s">
        <v>3764</v>
      </c>
      <c r="C9" s="2395"/>
      <c r="D9" s="2395"/>
      <c r="E9" s="2395"/>
      <c r="F9" s="2395"/>
      <c r="G9" s="2395"/>
      <c r="H9" s="923"/>
      <c r="I9" s="923"/>
      <c r="J9" s="1123"/>
    </row>
    <row r="10" spans="1:59" ht="13.5" customHeight="1">
      <c r="B10" s="967" t="s">
        <v>3765</v>
      </c>
      <c r="C10" s="923"/>
      <c r="D10" s="923"/>
      <c r="E10" s="923"/>
      <c r="F10" s="923"/>
      <c r="G10" s="923"/>
      <c r="H10" s="923"/>
      <c r="I10" s="923"/>
      <c r="J10" s="1123"/>
    </row>
    <row r="11" spans="1:59">
      <c r="B11" s="1239" t="s">
        <v>3927</v>
      </c>
      <c r="C11" s="923"/>
      <c r="D11" s="923"/>
      <c r="E11" s="923"/>
      <c r="F11" s="923"/>
      <c r="G11" s="923"/>
      <c r="H11" s="923"/>
      <c r="I11" s="923"/>
      <c r="J11" s="1123"/>
    </row>
    <row r="12" spans="1:59">
      <c r="B12" s="923" t="s">
        <v>3613</v>
      </c>
      <c r="C12" s="923"/>
      <c r="D12" s="923"/>
      <c r="E12" s="923"/>
      <c r="F12" s="923"/>
      <c r="G12" s="923"/>
      <c r="H12" s="923"/>
      <c r="I12" s="923"/>
    </row>
    <row r="13" spans="1:59">
      <c r="B13" s="923" t="s">
        <v>3661</v>
      </c>
      <c r="C13" s="923"/>
      <c r="D13" s="923"/>
      <c r="E13" s="923"/>
      <c r="F13" s="923"/>
      <c r="G13" s="923"/>
      <c r="H13" s="923"/>
      <c r="I13" s="923"/>
    </row>
    <row r="14" spans="1:59">
      <c r="B14" s="923" t="s">
        <v>3615</v>
      </c>
      <c r="C14" s="923"/>
      <c r="D14" s="923"/>
      <c r="E14" s="923"/>
      <c r="F14" s="923"/>
      <c r="G14" s="923"/>
      <c r="H14" s="923"/>
      <c r="I14" s="923"/>
    </row>
    <row r="15" spans="1:59">
      <c r="B15" s="923" t="s">
        <v>3766</v>
      </c>
      <c r="C15" s="923"/>
      <c r="D15" s="923"/>
      <c r="E15" s="923"/>
      <c r="F15" s="923"/>
      <c r="G15" s="923"/>
      <c r="H15" s="923"/>
      <c r="I15" s="923"/>
    </row>
    <row r="16" spans="1:59">
      <c r="B16" s="923"/>
      <c r="C16" s="923"/>
      <c r="D16" s="923"/>
      <c r="E16" s="923"/>
      <c r="F16" s="923"/>
      <c r="G16" s="923"/>
      <c r="H16" s="923"/>
      <c r="I16" s="923"/>
    </row>
    <row r="17" spans="2:10">
      <c r="B17" s="1011" t="s">
        <v>3982</v>
      </c>
      <c r="C17" s="923"/>
      <c r="D17" s="923"/>
      <c r="E17" s="923"/>
      <c r="F17" s="923"/>
      <c r="G17" s="923"/>
      <c r="H17" s="923"/>
      <c r="I17" s="923"/>
    </row>
    <row r="18" spans="2:10">
      <c r="B18" s="2395" t="s">
        <v>3697</v>
      </c>
      <c r="C18" s="2395"/>
      <c r="D18" s="2395"/>
      <c r="E18" s="2395"/>
      <c r="F18" s="2395"/>
      <c r="G18" s="2395"/>
      <c r="H18" s="923"/>
      <c r="I18" s="923"/>
    </row>
    <row r="19" spans="2:10">
      <c r="B19" s="2395" t="s">
        <v>3986</v>
      </c>
      <c r="C19" s="2395"/>
      <c r="D19" s="2395"/>
      <c r="E19" s="2395"/>
      <c r="F19" s="2395"/>
      <c r="G19" s="2395"/>
      <c r="H19" s="923"/>
      <c r="I19" s="923"/>
    </row>
    <row r="20" spans="2:10" ht="39.75" customHeight="1">
      <c r="B20" s="2395" t="s">
        <v>3767</v>
      </c>
      <c r="C20" s="2395"/>
      <c r="D20" s="2395"/>
      <c r="E20" s="2395"/>
      <c r="F20" s="2395"/>
      <c r="G20" s="2395"/>
      <c r="H20" s="923"/>
      <c r="I20" s="923"/>
    </row>
    <row r="21" spans="2:10" ht="51.75" customHeight="1">
      <c r="B21" s="2395" t="s">
        <v>3704</v>
      </c>
      <c r="C21" s="2395"/>
      <c r="D21" s="2395"/>
      <c r="E21" s="2395"/>
      <c r="F21" s="2395"/>
      <c r="G21" s="2395"/>
      <c r="H21" s="923"/>
      <c r="I21" s="923"/>
    </row>
    <row r="22" spans="2:10">
      <c r="B22" s="2395" t="s">
        <v>3998</v>
      </c>
      <c r="C22" s="2395"/>
      <c r="D22" s="2395"/>
      <c r="E22" s="2395"/>
      <c r="F22" s="2395"/>
      <c r="G22" s="2395"/>
      <c r="H22" s="923"/>
      <c r="I22" s="923"/>
    </row>
    <row r="23" spans="2:10">
      <c r="B23" s="2395" t="s">
        <v>3768</v>
      </c>
      <c r="C23" s="2395"/>
      <c r="D23" s="2395"/>
      <c r="E23" s="2395"/>
      <c r="F23" s="2395"/>
      <c r="G23" s="2395"/>
      <c r="H23" s="2395"/>
      <c r="I23" s="2395"/>
    </row>
    <row r="24" spans="2:10" ht="24" customHeight="1">
      <c r="B24" s="2459" t="s">
        <v>4168</v>
      </c>
      <c r="C24" s="2583"/>
      <c r="D24" s="2583"/>
      <c r="E24" s="2583"/>
      <c r="F24" s="2583"/>
      <c r="G24" s="2583"/>
      <c r="H24" s="2583"/>
      <c r="I24" s="2583"/>
    </row>
    <row r="25" spans="2:10">
      <c r="B25" s="2459" t="s">
        <v>4169</v>
      </c>
      <c r="C25" s="2583"/>
      <c r="D25" s="2583"/>
      <c r="E25" s="2583"/>
      <c r="F25" s="2583"/>
      <c r="G25" s="2583"/>
      <c r="H25" s="2583"/>
      <c r="I25" s="2583"/>
    </row>
    <row r="26" spans="2:10">
      <c r="B26" s="1104"/>
      <c r="C26" s="1104"/>
      <c r="D26" s="1104"/>
      <c r="E26" s="1104"/>
      <c r="F26" s="1104"/>
      <c r="G26" s="1104"/>
      <c r="H26" s="1104"/>
      <c r="I26" s="1104"/>
    </row>
    <row r="27" spans="2:10">
      <c r="B27" s="1165" t="s">
        <v>3928</v>
      </c>
      <c r="C27" s="1038"/>
      <c r="D27" s="1038"/>
      <c r="E27" s="1038"/>
      <c r="F27" s="898"/>
      <c r="G27" s="1132"/>
      <c r="H27" s="1120"/>
      <c r="I27" s="1121"/>
      <c r="J27" s="1121"/>
    </row>
    <row r="28" spans="2:10" ht="41.25" customHeight="1">
      <c r="B28" s="2414" t="s">
        <v>4584</v>
      </c>
      <c r="C28" s="2395"/>
      <c r="D28" s="2395"/>
      <c r="E28" s="2395"/>
      <c r="F28" s="2395"/>
      <c r="G28" s="2395"/>
      <c r="H28" s="2395"/>
      <c r="I28" s="2395"/>
      <c r="J28" s="1121"/>
    </row>
    <row r="29" spans="2:10" ht="27.75" customHeight="1">
      <c r="B29" s="2395" t="s">
        <v>4170</v>
      </c>
      <c r="C29" s="2395"/>
      <c r="D29" s="2395"/>
      <c r="E29" s="2395"/>
      <c r="F29" s="2395"/>
      <c r="G29" s="2395"/>
      <c r="H29" s="2395"/>
      <c r="I29" s="2395"/>
      <c r="J29" s="1121"/>
    </row>
    <row r="30" spans="2:10" ht="40.5" customHeight="1">
      <c r="B30" s="2591" t="s">
        <v>4171</v>
      </c>
      <c r="C30" s="2591"/>
      <c r="D30" s="2591"/>
      <c r="E30" s="2591"/>
      <c r="F30" s="2591"/>
      <c r="G30" s="2591"/>
      <c r="H30" s="2591"/>
      <c r="I30" s="2591"/>
      <c r="J30" s="1121"/>
    </row>
    <row r="31" spans="2:10" ht="27" customHeight="1">
      <c r="B31" s="2395" t="s">
        <v>4172</v>
      </c>
      <c r="C31" s="2395"/>
      <c r="D31" s="2395"/>
      <c r="E31" s="2395"/>
      <c r="F31" s="2395"/>
      <c r="G31" s="2395"/>
      <c r="H31" s="2395"/>
      <c r="I31" s="2395"/>
      <c r="J31" s="1121"/>
    </row>
    <row r="32" spans="2:10" ht="41.25" customHeight="1">
      <c r="B32" s="2591" t="s">
        <v>4173</v>
      </c>
      <c r="C32" s="2591"/>
      <c r="D32" s="2591"/>
      <c r="E32" s="2591"/>
      <c r="F32" s="2591"/>
      <c r="G32" s="2591"/>
      <c r="H32" s="2591"/>
      <c r="I32" s="2591"/>
      <c r="J32" s="1121"/>
    </row>
    <row r="33" spans="1:13">
      <c r="B33" s="1330"/>
      <c r="C33" s="1330"/>
      <c r="D33" s="1330"/>
      <c r="E33" s="1330"/>
      <c r="F33" s="1330"/>
      <c r="G33" s="1330"/>
      <c r="H33" s="1330"/>
      <c r="I33" s="1330"/>
      <c r="J33" s="1121"/>
    </row>
    <row r="34" spans="1:13" ht="51.75">
      <c r="B34" s="2428" t="s">
        <v>3973</v>
      </c>
      <c r="C34" s="2428"/>
      <c r="D34" s="2428"/>
      <c r="E34" s="2428"/>
      <c r="F34" s="2388" t="s">
        <v>3625</v>
      </c>
      <c r="G34" s="2390"/>
      <c r="H34" s="1083" t="s">
        <v>3627</v>
      </c>
      <c r="I34" s="1168" t="s">
        <v>4148</v>
      </c>
      <c r="J34" s="1124"/>
    </row>
    <row r="35" spans="1:13">
      <c r="A35" s="1121"/>
      <c r="B35" s="1317" t="s">
        <v>3769</v>
      </c>
      <c r="C35" s="1299"/>
      <c r="D35" s="1299"/>
      <c r="E35" s="1318" t="s">
        <v>3770</v>
      </c>
      <c r="F35" s="2451"/>
      <c r="G35" s="2452"/>
      <c r="H35" s="1170"/>
      <c r="I35" s="1331"/>
      <c r="J35" s="1121"/>
    </row>
    <row r="36" spans="1:13">
      <c r="A36" s="1321"/>
      <c r="B36" s="1319"/>
      <c r="C36" s="923"/>
      <c r="D36" s="923"/>
      <c r="E36" s="1320" t="s">
        <v>3771</v>
      </c>
      <c r="F36" s="2451"/>
      <c r="G36" s="2452"/>
      <c r="H36" s="1170"/>
      <c r="I36" s="1331"/>
      <c r="J36" s="1178"/>
      <c r="K36" s="1178"/>
      <c r="L36" s="1124"/>
    </row>
    <row r="37" spans="1:13" s="1139" customFormat="1">
      <c r="A37" s="1322"/>
      <c r="B37" s="1319"/>
      <c r="C37" s="923"/>
      <c r="D37" s="923"/>
      <c r="E37" s="1320" t="s">
        <v>3772</v>
      </c>
      <c r="F37" s="2451"/>
      <c r="G37" s="2452"/>
      <c r="H37" s="1170"/>
      <c r="I37" s="1331"/>
      <c r="J37" s="1178"/>
      <c r="K37" s="1178"/>
      <c r="L37" s="1178"/>
    </row>
    <row r="38" spans="1:13" s="1139" customFormat="1">
      <c r="A38" s="1134"/>
      <c r="B38" s="1319"/>
      <c r="C38" s="923"/>
      <c r="D38" s="923"/>
      <c r="E38" s="1320" t="s">
        <v>3773</v>
      </c>
      <c r="F38" s="2451"/>
      <c r="G38" s="2452"/>
      <c r="H38" s="1170"/>
      <c r="I38" s="1331"/>
      <c r="J38" s="1178"/>
      <c r="K38" s="1178"/>
      <c r="L38" s="1178"/>
    </row>
    <row r="39" spans="1:13" s="1139" customFormat="1">
      <c r="A39" s="1134"/>
      <c r="B39" s="1319"/>
      <c r="C39" s="923"/>
      <c r="D39" s="923"/>
      <c r="E39" s="1320" t="s">
        <v>3774</v>
      </c>
      <c r="F39" s="2451"/>
      <c r="G39" s="2452"/>
      <c r="H39" s="1170"/>
      <c r="I39" s="1331"/>
      <c r="J39" s="1178"/>
      <c r="K39" s="1178"/>
      <c r="L39" s="1178"/>
    </row>
    <row r="40" spans="1:13" s="1139" customFormat="1">
      <c r="A40" s="1134"/>
      <c r="B40" s="1319"/>
      <c r="C40" s="923"/>
      <c r="D40" s="923"/>
      <c r="E40" s="1320" t="s">
        <v>3775</v>
      </c>
      <c r="F40" s="2451"/>
      <c r="G40" s="2452"/>
      <c r="H40" s="1170"/>
      <c r="I40" s="1331"/>
      <c r="J40" s="1178"/>
      <c r="K40" s="1178"/>
      <c r="L40" s="1178"/>
    </row>
    <row r="41" spans="1:13" s="1139" customFormat="1">
      <c r="A41" s="1134"/>
      <c r="B41" s="1319"/>
      <c r="C41" s="923"/>
      <c r="D41" s="923"/>
      <c r="E41" s="1320" t="s">
        <v>3776</v>
      </c>
      <c r="F41" s="2451"/>
      <c r="G41" s="2452"/>
      <c r="H41" s="1170"/>
      <c r="I41" s="1331"/>
      <c r="J41" s="1178"/>
      <c r="K41" s="1178"/>
      <c r="L41" s="1178"/>
    </row>
    <row r="42" spans="1:13" s="1139" customFormat="1">
      <c r="A42" s="1134"/>
      <c r="B42" s="1323"/>
      <c r="C42" s="1324"/>
      <c r="D42" s="1324"/>
      <c r="E42" s="1325" t="s">
        <v>3777</v>
      </c>
      <c r="F42" s="2451"/>
      <c r="G42" s="2452"/>
      <c r="H42" s="1170"/>
      <c r="I42" s="1331"/>
      <c r="J42" s="1178"/>
      <c r="K42" s="1178"/>
      <c r="L42" s="1178"/>
    </row>
    <row r="43" spans="1:13" s="1139" customFormat="1" ht="28.5" customHeight="1">
      <c r="A43" s="1134"/>
      <c r="B43" s="1145"/>
      <c r="C43" s="1145"/>
      <c r="D43" s="1145"/>
      <c r="E43" s="1145"/>
      <c r="F43" s="1145"/>
      <c r="G43" s="1145"/>
      <c r="H43" s="1146"/>
      <c r="I43" s="1146"/>
      <c r="J43" s="1136"/>
      <c r="K43" s="1178"/>
      <c r="L43" s="1178"/>
      <c r="M43" s="1178"/>
    </row>
    <row r="44" spans="1:13" s="1139" customFormat="1" ht="60.75" customHeight="1">
      <c r="A44" s="1134"/>
      <c r="B44" s="2388"/>
      <c r="C44" s="2389"/>
      <c r="D44" s="2390"/>
      <c r="E44" s="2428" t="s">
        <v>4096</v>
      </c>
      <c r="F44" s="2428"/>
      <c r="G44" s="2428"/>
      <c r="H44" s="1089" t="s">
        <v>3627</v>
      </c>
      <c r="I44" s="1246" t="s">
        <v>4148</v>
      </c>
      <c r="J44" s="1178"/>
      <c r="K44" s="1178"/>
      <c r="L44" s="1178"/>
    </row>
    <row r="45" spans="1:13" s="1139" customFormat="1" ht="78" customHeight="1">
      <c r="A45" s="1134"/>
      <c r="B45" s="2440" t="s">
        <v>3976</v>
      </c>
      <c r="C45" s="2441"/>
      <c r="D45" s="2442"/>
      <c r="E45" s="2381" t="s">
        <v>3605</v>
      </c>
      <c r="F45" s="2382"/>
      <c r="G45" s="2558"/>
      <c r="H45" s="1101"/>
      <c r="I45" s="1101"/>
      <c r="J45" s="1178"/>
      <c r="K45" s="1178"/>
      <c r="L45" s="1178"/>
    </row>
    <row r="46" spans="1:13" ht="40.5" customHeight="1">
      <c r="B46" s="2391" t="s">
        <v>4149</v>
      </c>
      <c r="C46" s="2400"/>
      <c r="D46" s="2400"/>
      <c r="E46" s="2400"/>
      <c r="F46" s="2400"/>
      <c r="G46" s="2401"/>
      <c r="H46" s="1101"/>
      <c r="I46" s="1101"/>
      <c r="J46" s="1178"/>
      <c r="K46" s="1178"/>
      <c r="L46" s="1124"/>
    </row>
    <row r="47" spans="1:13" ht="28.5" customHeight="1">
      <c r="A47" s="1148"/>
      <c r="B47" s="2391" t="s">
        <v>4150</v>
      </c>
      <c r="C47" s="2400"/>
      <c r="D47" s="2400"/>
      <c r="E47" s="2400"/>
      <c r="F47" s="2400"/>
      <c r="G47" s="2401"/>
      <c r="H47" s="1101"/>
      <c r="I47" s="1101"/>
      <c r="J47" s="1124"/>
      <c r="K47" s="1124"/>
      <c r="L47" s="1124"/>
    </row>
    <row r="48" spans="1:13" ht="27" customHeight="1">
      <c r="B48" s="2391" t="s">
        <v>4151</v>
      </c>
      <c r="C48" s="2400"/>
      <c r="D48" s="2400"/>
      <c r="E48" s="2400"/>
      <c r="F48" s="2400"/>
      <c r="G48" s="2401"/>
      <c r="H48" s="1101"/>
      <c r="I48" s="1101"/>
      <c r="J48" s="1124"/>
      <c r="K48" s="1124"/>
      <c r="L48" s="1124"/>
    </row>
    <row r="49" spans="1:13" ht="37.5" customHeight="1">
      <c r="A49" s="1329"/>
      <c r="B49" s="2391" t="s">
        <v>4152</v>
      </c>
      <c r="C49" s="2400"/>
      <c r="D49" s="2400"/>
      <c r="E49" s="2400"/>
      <c r="F49" s="2400"/>
      <c r="G49" s="2401"/>
      <c r="H49" s="1101"/>
      <c r="I49" s="1101"/>
      <c r="J49" s="1124"/>
      <c r="K49" s="1124"/>
      <c r="L49" s="1124"/>
    </row>
    <row r="50" spans="1:13" ht="39.75" customHeight="1">
      <c r="B50" s="2391" t="s">
        <v>4153</v>
      </c>
      <c r="C50" s="2400"/>
      <c r="D50" s="2400"/>
      <c r="E50" s="2400"/>
      <c r="F50" s="2400"/>
      <c r="G50" s="2401"/>
      <c r="H50" s="1101"/>
      <c r="I50" s="1101"/>
      <c r="J50" s="1124"/>
      <c r="K50" s="1124"/>
      <c r="L50" s="1124"/>
    </row>
    <row r="51" spans="1:13" ht="37.5" customHeight="1">
      <c r="A51" s="1326"/>
      <c r="B51" s="2391" t="s">
        <v>4154</v>
      </c>
      <c r="C51" s="2400"/>
      <c r="D51" s="2400"/>
      <c r="E51" s="2400"/>
      <c r="F51" s="2400"/>
      <c r="G51" s="2401"/>
      <c r="H51" s="1101"/>
      <c r="I51" s="1101"/>
      <c r="J51" s="1124"/>
      <c r="K51" s="1124"/>
      <c r="L51" s="1124"/>
    </row>
    <row r="52" spans="1:13" ht="52.5" customHeight="1">
      <c r="A52" s="1326"/>
      <c r="B52" s="2391" t="s">
        <v>4155</v>
      </c>
      <c r="C52" s="2400"/>
      <c r="D52" s="2400"/>
      <c r="E52" s="2400"/>
      <c r="F52" s="2400"/>
      <c r="G52" s="2401"/>
      <c r="H52" s="1101"/>
      <c r="I52" s="1101"/>
      <c r="J52" s="1124"/>
      <c r="K52" s="1124"/>
      <c r="L52" s="1124"/>
    </row>
    <row r="53" spans="1:13" ht="27" customHeight="1">
      <c r="A53" s="1326"/>
      <c r="B53" s="2391" t="s">
        <v>4156</v>
      </c>
      <c r="C53" s="2400"/>
      <c r="D53" s="2400"/>
      <c r="E53" s="2400"/>
      <c r="F53" s="2400"/>
      <c r="G53" s="2401"/>
      <c r="H53" s="1101"/>
      <c r="I53" s="1101"/>
      <c r="J53" s="1124"/>
      <c r="K53" s="1124"/>
      <c r="L53" s="1124"/>
    </row>
    <row r="54" spans="1:13" ht="37.5" customHeight="1">
      <c r="B54" s="2391" t="s">
        <v>4157</v>
      </c>
      <c r="C54" s="2400"/>
      <c r="D54" s="2400"/>
      <c r="E54" s="2400"/>
      <c r="F54" s="2400"/>
      <c r="G54" s="2401"/>
      <c r="H54" s="1101"/>
      <c r="I54" s="1101"/>
      <c r="J54" s="1124"/>
      <c r="K54" s="1124"/>
      <c r="L54" s="1124"/>
    </row>
    <row r="55" spans="1:13" ht="26.25" customHeight="1">
      <c r="B55" s="2391" t="s">
        <v>4158</v>
      </c>
      <c r="C55" s="2400"/>
      <c r="D55" s="2400"/>
      <c r="E55" s="2400"/>
      <c r="F55" s="2400"/>
      <c r="G55" s="2401"/>
      <c r="H55" s="1101"/>
      <c r="I55" s="1101"/>
      <c r="J55" s="1124"/>
      <c r="K55" s="1124"/>
      <c r="L55" s="1124"/>
    </row>
    <row r="56" spans="1:13" ht="43.5" customHeight="1">
      <c r="A56" s="1326"/>
      <c r="B56" s="2391" t="s">
        <v>4159</v>
      </c>
      <c r="C56" s="2400"/>
      <c r="D56" s="2400"/>
      <c r="E56" s="2400"/>
      <c r="F56" s="2400"/>
      <c r="G56" s="2401"/>
      <c r="H56" s="1101"/>
      <c r="I56" s="1101"/>
      <c r="J56" s="1124"/>
      <c r="K56" s="1124"/>
      <c r="L56" s="1124"/>
    </row>
    <row r="57" spans="1:13" ht="38.25" customHeight="1">
      <c r="A57" s="1326"/>
      <c r="B57" s="2391" t="s">
        <v>4160</v>
      </c>
      <c r="C57" s="2400"/>
      <c r="D57" s="2400"/>
      <c r="E57" s="2400"/>
      <c r="F57" s="2400"/>
      <c r="G57" s="2401"/>
      <c r="H57" s="1101"/>
      <c r="I57" s="1101"/>
      <c r="J57" s="1124"/>
      <c r="K57" s="1124"/>
      <c r="L57" s="1124"/>
    </row>
    <row r="58" spans="1:13" ht="38.25" customHeight="1">
      <c r="A58" s="1326"/>
      <c r="B58" s="2391" t="s">
        <v>4161</v>
      </c>
      <c r="C58" s="2400"/>
      <c r="D58" s="2400"/>
      <c r="E58" s="2400"/>
      <c r="F58" s="2400"/>
      <c r="G58" s="2401"/>
      <c r="H58" s="1101"/>
      <c r="I58" s="1101"/>
      <c r="J58" s="1124"/>
      <c r="K58" s="1124"/>
      <c r="L58" s="1124"/>
    </row>
    <row r="59" spans="1:13" ht="53.25" customHeight="1">
      <c r="A59" s="1148"/>
      <c r="B59" s="2391" t="s">
        <v>4162</v>
      </c>
      <c r="C59" s="2400"/>
      <c r="D59" s="2400"/>
      <c r="E59" s="2400"/>
      <c r="F59" s="2400"/>
      <c r="G59" s="2401"/>
      <c r="H59" s="1101"/>
      <c r="I59" s="1101"/>
      <c r="J59" s="1124"/>
      <c r="K59" s="1124"/>
      <c r="L59" s="1124"/>
    </row>
    <row r="60" spans="1:13" ht="90" customHeight="1">
      <c r="A60" s="1321"/>
      <c r="B60" s="2391" t="s">
        <v>4163</v>
      </c>
      <c r="C60" s="2400"/>
      <c r="D60" s="2400"/>
      <c r="E60" s="2400"/>
      <c r="F60" s="2400"/>
      <c r="G60" s="2401"/>
      <c r="H60" s="1101"/>
      <c r="I60" s="1101"/>
      <c r="J60" s="1124"/>
      <c r="K60" s="1124"/>
      <c r="L60" s="1124"/>
    </row>
    <row r="61" spans="1:13" ht="63.75" customHeight="1">
      <c r="B61" s="2391" t="s">
        <v>4164</v>
      </c>
      <c r="C61" s="2400"/>
      <c r="D61" s="2400"/>
      <c r="E61" s="2400"/>
      <c r="F61" s="2400"/>
      <c r="G61" s="2401"/>
      <c r="H61" s="1101"/>
      <c r="I61" s="1101"/>
      <c r="J61" s="1124"/>
      <c r="K61" s="1124"/>
      <c r="L61" s="1124"/>
    </row>
    <row r="62" spans="1:13" ht="41.25" customHeight="1">
      <c r="A62" s="1326"/>
      <c r="B62" s="2391" t="s">
        <v>4165</v>
      </c>
      <c r="C62" s="2400"/>
      <c r="D62" s="2400"/>
      <c r="E62" s="2400"/>
      <c r="F62" s="2400"/>
      <c r="G62" s="2401"/>
      <c r="H62" s="1101"/>
      <c r="I62" s="1101"/>
      <c r="J62" s="1124"/>
      <c r="K62" s="1124"/>
      <c r="L62" s="1124"/>
    </row>
    <row r="63" spans="1:13" ht="30" customHeight="1">
      <c r="A63" s="1321"/>
      <c r="B63" s="2391" t="s">
        <v>4166</v>
      </c>
      <c r="C63" s="2400"/>
      <c r="D63" s="2400"/>
      <c r="E63" s="2400"/>
      <c r="F63" s="2400"/>
      <c r="G63" s="2401"/>
      <c r="H63" s="1101"/>
      <c r="I63" s="1101"/>
      <c r="J63" s="1124"/>
      <c r="K63" s="1124"/>
      <c r="L63" s="1124"/>
    </row>
    <row r="64" spans="1:13" ht="52.5" customHeight="1">
      <c r="A64" s="1321"/>
      <c r="J64" s="1150"/>
      <c r="K64" s="1124"/>
      <c r="L64" s="1124"/>
      <c r="M64" s="1124"/>
    </row>
    <row r="65" spans="1:13" ht="41.25" customHeight="1">
      <c r="B65" s="1327"/>
      <c r="J65" s="1123"/>
      <c r="K65" s="1124"/>
      <c r="L65" s="1124"/>
      <c r="M65" s="1124"/>
    </row>
    <row r="69" spans="1:13">
      <c r="M69" s="1119"/>
    </row>
    <row r="70" spans="1:13">
      <c r="A70" s="1121"/>
      <c r="J70" s="1121"/>
      <c r="M70" s="1119" t="s">
        <v>1493</v>
      </c>
    </row>
    <row r="71" spans="1:13">
      <c r="A71" s="1121"/>
      <c r="J71" s="1121"/>
      <c r="M71" s="1119" t="s">
        <v>1494</v>
      </c>
    </row>
    <row r="72" spans="1:13">
      <c r="A72" s="1121"/>
      <c r="J72" s="1121"/>
      <c r="M72" s="1119" t="s">
        <v>2677</v>
      </c>
    </row>
    <row r="73" spans="1:13">
      <c r="A73" s="1121"/>
      <c r="J73" s="1121"/>
    </row>
  </sheetData>
  <sheetProtection formatCells="0" formatColumns="0" formatRows="0" insertColumns="0" insertRows="0"/>
  <mergeCells count="54">
    <mergeCell ref="B7:G7"/>
    <mergeCell ref="H7:I7"/>
    <mergeCell ref="B6:I6"/>
    <mergeCell ref="B21:G21"/>
    <mergeCell ref="B22:G22"/>
    <mergeCell ref="B8:G8"/>
    <mergeCell ref="B9:G9"/>
    <mergeCell ref="B18:G18"/>
    <mergeCell ref="B19:G19"/>
    <mergeCell ref="B20:G20"/>
    <mergeCell ref="B34:E34"/>
    <mergeCell ref="B23:I23"/>
    <mergeCell ref="B24:I24"/>
    <mergeCell ref="B25:I25"/>
    <mergeCell ref="B28:I28"/>
    <mergeCell ref="F34:G34"/>
    <mergeCell ref="B62:G62"/>
    <mergeCell ref="B63:G63"/>
    <mergeCell ref="E44:G44"/>
    <mergeCell ref="E45:G45"/>
    <mergeCell ref="B44:D44"/>
    <mergeCell ref="B45:D45"/>
    <mergeCell ref="B46:G46"/>
    <mergeCell ref="B47:G47"/>
    <mergeCell ref="B58:G58"/>
    <mergeCell ref="B59:G59"/>
    <mergeCell ref="B60:G60"/>
    <mergeCell ref="B61:G61"/>
    <mergeCell ref="B48:G48"/>
    <mergeCell ref="B49:G49"/>
    <mergeCell ref="B50:G50"/>
    <mergeCell ref="B51:G51"/>
    <mergeCell ref="F40:G40"/>
    <mergeCell ref="F41:G41"/>
    <mergeCell ref="F42:G42"/>
    <mergeCell ref="G1:H1"/>
    <mergeCell ref="G2:H2"/>
    <mergeCell ref="G3:H3"/>
    <mergeCell ref="G4:H4"/>
    <mergeCell ref="F35:G35"/>
    <mergeCell ref="F36:G36"/>
    <mergeCell ref="F37:G37"/>
    <mergeCell ref="F38:G38"/>
    <mergeCell ref="F39:G39"/>
    <mergeCell ref="B29:I29"/>
    <mergeCell ref="B30:I30"/>
    <mergeCell ref="B31:I31"/>
    <mergeCell ref="B32:I32"/>
    <mergeCell ref="B57:G57"/>
    <mergeCell ref="B52:G52"/>
    <mergeCell ref="B53:G53"/>
    <mergeCell ref="B54:G54"/>
    <mergeCell ref="B55:G55"/>
    <mergeCell ref="B56:G56"/>
  </mergeCells>
  <dataValidations count="1">
    <dataValidation type="list" allowBlank="1" showInputMessage="1" showErrorMessage="1" sqref="JB35 WVN35 WLR35 WBV35 VRZ35 VID35 UYH35 UOL35 UEP35 TUT35 TKX35 TBB35 SRF35 SHJ35 RXN35 RNR35 RDV35 QTZ35 QKD35 QAH35 PQL35 PGP35 OWT35 OMX35 ODB35 NTF35 NJJ35 MZN35 MPR35 MFV35 LVZ35 LMD35 LCH35 KSL35 KIP35 JYT35 JOX35 JFB35 IVF35 ILJ35 IBN35 HRR35 HHV35 GXZ35 GOD35 GEH35 FUL35 FKP35 FAT35 EQX35 EHB35 DXF35 DNJ35 DDN35 CTR35 CJV35 BZZ35 BQD35 BGH35 AWL35 AMP35 ACT35 SX35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JB37:JC42 JB44:JC44 JC43:JD43 SX37:SY42 SX44:SY44 SY43:SZ43 ACT37:ACU42 ACT44:ACU44 ACU43:ACV43 AMP37:AMQ42 AMP44:AMQ44 AMQ43:AMR43 AWL37:AWM42 AWL44:AWM44 AWM43:AWN43 BGH37:BGI42 BGH44:BGI44 BGI43:BGJ43 BQD37:BQE42 BQD44:BQE44 BQE43:BQF43 BZZ37:CAA42 BZZ44:CAA44 CAA43:CAB43 CJV37:CJW42 CJV44:CJW44 CJW43:CJX43 CTR37:CTS42 CTR44:CTS44 CTS43:CTT43 DDN37:DDO42 DDN44:DDO44 DDO43:DDP43 DNJ37:DNK42 DNJ44:DNK44 DNK43:DNL43 DXF37:DXG42 DXF44:DXG44 DXG43:DXH43 EHB37:EHC42 EHB44:EHC44 EHC43:EHD43 EQX37:EQY42 EQX44:EQY44 EQY43:EQZ43 FAT37:FAU42 FAT44:FAU44 FAU43:FAV43 FKP37:FKQ42 FKP44:FKQ44 FKQ43:FKR43 FUL37:FUM42 FUL44:FUM44 FUM43:FUN43 GEH37:GEI42 GEH44:GEI44 GEI43:GEJ43 GOD37:GOE42 GOD44:GOE44 GOE43:GOF43 GXZ37:GYA42 GXZ44:GYA44 GYA43:GYB43 HHV37:HHW42 HHV44:HHW44 HHW43:HHX43 HRR37:HRS42 HRR44:HRS44 HRS43:HRT43 IBN37:IBO42 IBN44:IBO44 IBO43:IBP43 ILJ37:ILK42 ILJ44:ILK44 ILK43:ILL43 IVF37:IVG42 IVF44:IVG44 IVG43:IVH43 JFB37:JFC42 JFB44:JFC44 JFC43:JFD43 JOX37:JOY42 JOX44:JOY44 JOY43:JOZ43 JYT37:JYU42 JYT44:JYU44 JYU43:JYV43 KIP37:KIQ42 KIP44:KIQ44 KIQ43:KIR43 KSL37:KSM42 KSL44:KSM44 KSM43:KSN43 LCH37:LCI42 LCH44:LCI44 LCI43:LCJ43 LMD37:LME42 LMD44:LME44 LME43:LMF43 LVZ37:LWA42 LVZ44:LWA44 LWA43:LWB43 MFV37:MFW42 MFV44:MFW44 MFW43:MFX43 MPR37:MPS42 MPR44:MPS44 MPS43:MPT43 MZN37:MZO42 MZN44:MZO44 MZO43:MZP43 NJJ37:NJK42 NJJ44:NJK44 NJK43:NJL43 NTF37:NTG42 NTF44:NTG44 NTG43:NTH43 ODB37:ODC42 ODB44:ODC44 ODC43:ODD43 OMX37:OMY42 OMX44:OMY44 OMY43:OMZ43 OWT37:OWU42 OWT44:OWU44 OWU43:OWV43 PGP37:PGQ42 PGP44:PGQ44 PGQ43:PGR43 PQL37:PQM42 PQL44:PQM44 PQM43:PQN43 QAH37:QAI42 QAH44:QAI44 QAI43:QAJ43 QKD37:QKE42 QKD44:QKE44 QKE43:QKF43 QTZ37:QUA42 QTZ44:QUA44 QUA43:QUB43 RDV37:RDW42 RDV44:RDW44 RDW43:RDX43 RNR37:RNS42 RNR44:RNS44 RNS43:RNT43 RXN37:RXO42 RXN44:RXO44 RXO43:RXP43 SHJ37:SHK42 SHJ44:SHK44 SHK43:SHL43 SRF37:SRG42 SRF44:SRG44 SRG43:SRH43 TBB37:TBC42 TBB44:TBC44 TBC43:TBD43 TKX37:TKY42 TKX44:TKY44 TKY43:TKZ43 TUT37:TUU42 TUT44:TUU44 TUU43:TUV43 UEP37:UEQ42 UEP44:UEQ44 UEQ43:UER43 UOL37:UOM42 UOL44:UOM44 UOM43:UON43 UYH37:UYI42 UYH44:UYI44 UYI43:UYJ43 VID37:VIE42 VID44:VIE44 VIE43:VIF43 VRZ37:VSA42 VRZ44:VSA44 VSA43:VSB43 WBV37:WBW42 WBV44:WBW44 WBW43:WBX43 WLR37:WLS42 WLR44:WLS44 WLS43:WLT43 WVN37:WVO42 WVN44:WVO44 WVO43:WVP43 JC65573:JD65580 SY65573:SZ65580 ACU65573:ACV65580 AMQ65573:AMR65580 AWM65573:AWN65580 BGI65573:BGJ65580 BQE65573:BQF65580 CAA65573:CAB65580 CJW65573:CJX65580 CTS65573:CTT65580 DDO65573:DDP65580 DNK65573:DNL65580 DXG65573:DXH65580 EHC65573:EHD65580 EQY65573:EQZ65580 FAU65573:FAV65580 FKQ65573:FKR65580 FUM65573:FUN65580 GEI65573:GEJ65580 GOE65573:GOF65580 GYA65573:GYB65580 HHW65573:HHX65580 HRS65573:HRT65580 IBO65573:IBP65580 ILK65573:ILL65580 IVG65573:IVH65580 JFC65573:JFD65580 JOY65573:JOZ65580 JYU65573:JYV65580 KIQ65573:KIR65580 KSM65573:KSN65580 LCI65573:LCJ65580 LME65573:LMF65580 LWA65573:LWB65580 MFW65573:MFX65580 MPS65573:MPT65580 MZO65573:MZP65580 NJK65573:NJL65580 NTG65573:NTH65580 ODC65573:ODD65580 OMY65573:OMZ65580 OWU65573:OWV65580 PGQ65573:PGR65580 PQM65573:PQN65580 QAI65573:QAJ65580 QKE65573:QKF65580 QUA65573:QUB65580 RDW65573:RDX65580 RNS65573:RNT65580 RXO65573:RXP65580 SHK65573:SHL65580 SRG65573:SRH65580 TBC65573:TBD65580 TKY65573:TKZ65580 TUU65573:TUV65580 UEQ65573:UER65580 UOM65573:UON65580 UYI65573:UYJ65580 VIE65573:VIF65580 VSA65573:VSB65580 WBW65573:WBX65580 WLS65573:WLT65580 WVO65573:WVP65580 JC131109:JD131116 SY131109:SZ131116 ACU131109:ACV131116 AMQ131109:AMR131116 AWM131109:AWN131116 BGI131109:BGJ131116 BQE131109:BQF131116 CAA131109:CAB131116 CJW131109:CJX131116 CTS131109:CTT131116 DDO131109:DDP131116 DNK131109:DNL131116 DXG131109:DXH131116 EHC131109:EHD131116 EQY131109:EQZ131116 FAU131109:FAV131116 FKQ131109:FKR131116 FUM131109:FUN131116 GEI131109:GEJ131116 GOE131109:GOF131116 GYA131109:GYB131116 HHW131109:HHX131116 HRS131109:HRT131116 IBO131109:IBP131116 ILK131109:ILL131116 IVG131109:IVH131116 JFC131109:JFD131116 JOY131109:JOZ131116 JYU131109:JYV131116 KIQ131109:KIR131116 KSM131109:KSN131116 LCI131109:LCJ131116 LME131109:LMF131116 LWA131109:LWB131116 MFW131109:MFX131116 MPS131109:MPT131116 MZO131109:MZP131116 NJK131109:NJL131116 NTG131109:NTH131116 ODC131109:ODD131116 OMY131109:OMZ131116 OWU131109:OWV131116 PGQ131109:PGR131116 PQM131109:PQN131116 QAI131109:QAJ131116 QKE131109:QKF131116 QUA131109:QUB131116 RDW131109:RDX131116 RNS131109:RNT131116 RXO131109:RXP131116 SHK131109:SHL131116 SRG131109:SRH131116 TBC131109:TBD131116 TKY131109:TKZ131116 TUU131109:TUV131116 UEQ131109:UER131116 UOM131109:UON131116 UYI131109:UYJ131116 VIE131109:VIF131116 VSA131109:VSB131116 WBW131109:WBX131116 WLS131109:WLT131116 WVO131109:WVP131116 JC196645:JD196652 SY196645:SZ196652 ACU196645:ACV196652 AMQ196645:AMR196652 AWM196645:AWN196652 BGI196645:BGJ196652 BQE196645:BQF196652 CAA196645:CAB196652 CJW196645:CJX196652 CTS196645:CTT196652 DDO196645:DDP196652 DNK196645:DNL196652 DXG196645:DXH196652 EHC196645:EHD196652 EQY196645:EQZ196652 FAU196645:FAV196652 FKQ196645:FKR196652 FUM196645:FUN196652 GEI196645:GEJ196652 GOE196645:GOF196652 GYA196645:GYB196652 HHW196645:HHX196652 HRS196645:HRT196652 IBO196645:IBP196652 ILK196645:ILL196652 IVG196645:IVH196652 JFC196645:JFD196652 JOY196645:JOZ196652 JYU196645:JYV196652 KIQ196645:KIR196652 KSM196645:KSN196652 LCI196645:LCJ196652 LME196645:LMF196652 LWA196645:LWB196652 MFW196645:MFX196652 MPS196645:MPT196652 MZO196645:MZP196652 NJK196645:NJL196652 NTG196645:NTH196652 ODC196645:ODD196652 OMY196645:OMZ196652 OWU196645:OWV196652 PGQ196645:PGR196652 PQM196645:PQN196652 QAI196645:QAJ196652 QKE196645:QKF196652 QUA196645:QUB196652 RDW196645:RDX196652 RNS196645:RNT196652 RXO196645:RXP196652 SHK196645:SHL196652 SRG196645:SRH196652 TBC196645:TBD196652 TKY196645:TKZ196652 TUU196645:TUV196652 UEQ196645:UER196652 UOM196645:UON196652 UYI196645:UYJ196652 VIE196645:VIF196652 VSA196645:VSB196652 WBW196645:WBX196652 WLS196645:WLT196652 WVO196645:WVP196652 JC262181:JD262188 SY262181:SZ262188 ACU262181:ACV262188 AMQ262181:AMR262188 AWM262181:AWN262188 BGI262181:BGJ262188 BQE262181:BQF262188 CAA262181:CAB262188 CJW262181:CJX262188 CTS262181:CTT262188 DDO262181:DDP262188 DNK262181:DNL262188 DXG262181:DXH262188 EHC262181:EHD262188 EQY262181:EQZ262188 FAU262181:FAV262188 FKQ262181:FKR262188 FUM262181:FUN262188 GEI262181:GEJ262188 GOE262181:GOF262188 GYA262181:GYB262188 HHW262181:HHX262188 HRS262181:HRT262188 IBO262181:IBP262188 ILK262181:ILL262188 IVG262181:IVH262188 JFC262181:JFD262188 JOY262181:JOZ262188 JYU262181:JYV262188 KIQ262181:KIR262188 KSM262181:KSN262188 LCI262181:LCJ262188 LME262181:LMF262188 LWA262181:LWB262188 MFW262181:MFX262188 MPS262181:MPT262188 MZO262181:MZP262188 NJK262181:NJL262188 NTG262181:NTH262188 ODC262181:ODD262188 OMY262181:OMZ262188 OWU262181:OWV262188 PGQ262181:PGR262188 PQM262181:PQN262188 QAI262181:QAJ262188 QKE262181:QKF262188 QUA262181:QUB262188 RDW262181:RDX262188 RNS262181:RNT262188 RXO262181:RXP262188 SHK262181:SHL262188 SRG262181:SRH262188 TBC262181:TBD262188 TKY262181:TKZ262188 TUU262181:TUV262188 UEQ262181:UER262188 UOM262181:UON262188 UYI262181:UYJ262188 VIE262181:VIF262188 VSA262181:VSB262188 WBW262181:WBX262188 WLS262181:WLT262188 WVO262181:WVP262188 JC327717:JD327724 SY327717:SZ327724 ACU327717:ACV327724 AMQ327717:AMR327724 AWM327717:AWN327724 BGI327717:BGJ327724 BQE327717:BQF327724 CAA327717:CAB327724 CJW327717:CJX327724 CTS327717:CTT327724 DDO327717:DDP327724 DNK327717:DNL327724 DXG327717:DXH327724 EHC327717:EHD327724 EQY327717:EQZ327724 FAU327717:FAV327724 FKQ327717:FKR327724 FUM327717:FUN327724 GEI327717:GEJ327724 GOE327717:GOF327724 GYA327717:GYB327724 HHW327717:HHX327724 HRS327717:HRT327724 IBO327717:IBP327724 ILK327717:ILL327724 IVG327717:IVH327724 JFC327717:JFD327724 JOY327717:JOZ327724 JYU327717:JYV327724 KIQ327717:KIR327724 KSM327717:KSN327724 LCI327717:LCJ327724 LME327717:LMF327724 LWA327717:LWB327724 MFW327717:MFX327724 MPS327717:MPT327724 MZO327717:MZP327724 NJK327717:NJL327724 NTG327717:NTH327724 ODC327717:ODD327724 OMY327717:OMZ327724 OWU327717:OWV327724 PGQ327717:PGR327724 PQM327717:PQN327724 QAI327717:QAJ327724 QKE327717:QKF327724 QUA327717:QUB327724 RDW327717:RDX327724 RNS327717:RNT327724 RXO327717:RXP327724 SHK327717:SHL327724 SRG327717:SRH327724 TBC327717:TBD327724 TKY327717:TKZ327724 TUU327717:TUV327724 UEQ327717:UER327724 UOM327717:UON327724 UYI327717:UYJ327724 VIE327717:VIF327724 VSA327717:VSB327724 WBW327717:WBX327724 WLS327717:WLT327724 WVO327717:WVP327724 JC393253:JD393260 SY393253:SZ393260 ACU393253:ACV393260 AMQ393253:AMR393260 AWM393253:AWN393260 BGI393253:BGJ393260 BQE393253:BQF393260 CAA393253:CAB393260 CJW393253:CJX393260 CTS393253:CTT393260 DDO393253:DDP393260 DNK393253:DNL393260 DXG393253:DXH393260 EHC393253:EHD393260 EQY393253:EQZ393260 FAU393253:FAV393260 FKQ393253:FKR393260 FUM393253:FUN393260 GEI393253:GEJ393260 GOE393253:GOF393260 GYA393253:GYB393260 HHW393253:HHX393260 HRS393253:HRT393260 IBO393253:IBP393260 ILK393253:ILL393260 IVG393253:IVH393260 JFC393253:JFD393260 JOY393253:JOZ393260 JYU393253:JYV393260 KIQ393253:KIR393260 KSM393253:KSN393260 LCI393253:LCJ393260 LME393253:LMF393260 LWA393253:LWB393260 MFW393253:MFX393260 MPS393253:MPT393260 MZO393253:MZP393260 NJK393253:NJL393260 NTG393253:NTH393260 ODC393253:ODD393260 OMY393253:OMZ393260 OWU393253:OWV393260 PGQ393253:PGR393260 PQM393253:PQN393260 QAI393253:QAJ393260 QKE393253:QKF393260 QUA393253:QUB393260 RDW393253:RDX393260 RNS393253:RNT393260 RXO393253:RXP393260 SHK393253:SHL393260 SRG393253:SRH393260 TBC393253:TBD393260 TKY393253:TKZ393260 TUU393253:TUV393260 UEQ393253:UER393260 UOM393253:UON393260 UYI393253:UYJ393260 VIE393253:VIF393260 VSA393253:VSB393260 WBW393253:WBX393260 WLS393253:WLT393260 WVO393253:WVP393260 JC458789:JD458796 SY458789:SZ458796 ACU458789:ACV458796 AMQ458789:AMR458796 AWM458789:AWN458796 BGI458789:BGJ458796 BQE458789:BQF458796 CAA458789:CAB458796 CJW458789:CJX458796 CTS458789:CTT458796 DDO458789:DDP458796 DNK458789:DNL458796 DXG458789:DXH458796 EHC458789:EHD458796 EQY458789:EQZ458796 FAU458789:FAV458796 FKQ458789:FKR458796 FUM458789:FUN458796 GEI458789:GEJ458796 GOE458789:GOF458796 GYA458789:GYB458796 HHW458789:HHX458796 HRS458789:HRT458796 IBO458789:IBP458796 ILK458789:ILL458796 IVG458789:IVH458796 JFC458789:JFD458796 JOY458789:JOZ458796 JYU458789:JYV458796 KIQ458789:KIR458796 KSM458789:KSN458796 LCI458789:LCJ458796 LME458789:LMF458796 LWA458789:LWB458796 MFW458789:MFX458796 MPS458789:MPT458796 MZO458789:MZP458796 NJK458789:NJL458796 NTG458789:NTH458796 ODC458789:ODD458796 OMY458789:OMZ458796 OWU458789:OWV458796 PGQ458789:PGR458796 PQM458789:PQN458796 QAI458789:QAJ458796 QKE458789:QKF458796 QUA458789:QUB458796 RDW458789:RDX458796 RNS458789:RNT458796 RXO458789:RXP458796 SHK458789:SHL458796 SRG458789:SRH458796 TBC458789:TBD458796 TKY458789:TKZ458796 TUU458789:TUV458796 UEQ458789:UER458796 UOM458789:UON458796 UYI458789:UYJ458796 VIE458789:VIF458796 VSA458789:VSB458796 WBW458789:WBX458796 WLS458789:WLT458796 WVO458789:WVP458796 JC524325:JD524332 SY524325:SZ524332 ACU524325:ACV524332 AMQ524325:AMR524332 AWM524325:AWN524332 BGI524325:BGJ524332 BQE524325:BQF524332 CAA524325:CAB524332 CJW524325:CJX524332 CTS524325:CTT524332 DDO524325:DDP524332 DNK524325:DNL524332 DXG524325:DXH524332 EHC524325:EHD524332 EQY524325:EQZ524332 FAU524325:FAV524332 FKQ524325:FKR524332 FUM524325:FUN524332 GEI524325:GEJ524332 GOE524325:GOF524332 GYA524325:GYB524332 HHW524325:HHX524332 HRS524325:HRT524332 IBO524325:IBP524332 ILK524325:ILL524332 IVG524325:IVH524332 JFC524325:JFD524332 JOY524325:JOZ524332 JYU524325:JYV524332 KIQ524325:KIR524332 KSM524325:KSN524332 LCI524325:LCJ524332 LME524325:LMF524332 LWA524325:LWB524332 MFW524325:MFX524332 MPS524325:MPT524332 MZO524325:MZP524332 NJK524325:NJL524332 NTG524325:NTH524332 ODC524325:ODD524332 OMY524325:OMZ524332 OWU524325:OWV524332 PGQ524325:PGR524332 PQM524325:PQN524332 QAI524325:QAJ524332 QKE524325:QKF524332 QUA524325:QUB524332 RDW524325:RDX524332 RNS524325:RNT524332 RXO524325:RXP524332 SHK524325:SHL524332 SRG524325:SRH524332 TBC524325:TBD524332 TKY524325:TKZ524332 TUU524325:TUV524332 UEQ524325:UER524332 UOM524325:UON524332 UYI524325:UYJ524332 VIE524325:VIF524332 VSA524325:VSB524332 WBW524325:WBX524332 WLS524325:WLT524332 WVO524325:WVP524332 JC589861:JD589868 SY589861:SZ589868 ACU589861:ACV589868 AMQ589861:AMR589868 AWM589861:AWN589868 BGI589861:BGJ589868 BQE589861:BQF589868 CAA589861:CAB589868 CJW589861:CJX589868 CTS589861:CTT589868 DDO589861:DDP589868 DNK589861:DNL589868 DXG589861:DXH589868 EHC589861:EHD589868 EQY589861:EQZ589868 FAU589861:FAV589868 FKQ589861:FKR589868 FUM589861:FUN589868 GEI589861:GEJ589868 GOE589861:GOF589868 GYA589861:GYB589868 HHW589861:HHX589868 HRS589861:HRT589868 IBO589861:IBP589868 ILK589861:ILL589868 IVG589861:IVH589868 JFC589861:JFD589868 JOY589861:JOZ589868 JYU589861:JYV589868 KIQ589861:KIR589868 KSM589861:KSN589868 LCI589861:LCJ589868 LME589861:LMF589868 LWA589861:LWB589868 MFW589861:MFX589868 MPS589861:MPT589868 MZO589861:MZP589868 NJK589861:NJL589868 NTG589861:NTH589868 ODC589861:ODD589868 OMY589861:OMZ589868 OWU589861:OWV589868 PGQ589861:PGR589868 PQM589861:PQN589868 QAI589861:QAJ589868 QKE589861:QKF589868 QUA589861:QUB589868 RDW589861:RDX589868 RNS589861:RNT589868 RXO589861:RXP589868 SHK589861:SHL589868 SRG589861:SRH589868 TBC589861:TBD589868 TKY589861:TKZ589868 TUU589861:TUV589868 UEQ589861:UER589868 UOM589861:UON589868 UYI589861:UYJ589868 VIE589861:VIF589868 VSA589861:VSB589868 WBW589861:WBX589868 WLS589861:WLT589868 WVO589861:WVP589868 JC655397:JD655404 SY655397:SZ655404 ACU655397:ACV655404 AMQ655397:AMR655404 AWM655397:AWN655404 BGI655397:BGJ655404 BQE655397:BQF655404 CAA655397:CAB655404 CJW655397:CJX655404 CTS655397:CTT655404 DDO655397:DDP655404 DNK655397:DNL655404 DXG655397:DXH655404 EHC655397:EHD655404 EQY655397:EQZ655404 FAU655397:FAV655404 FKQ655397:FKR655404 FUM655397:FUN655404 GEI655397:GEJ655404 GOE655397:GOF655404 GYA655397:GYB655404 HHW655397:HHX655404 HRS655397:HRT655404 IBO655397:IBP655404 ILK655397:ILL655404 IVG655397:IVH655404 JFC655397:JFD655404 JOY655397:JOZ655404 JYU655397:JYV655404 KIQ655397:KIR655404 KSM655397:KSN655404 LCI655397:LCJ655404 LME655397:LMF655404 LWA655397:LWB655404 MFW655397:MFX655404 MPS655397:MPT655404 MZO655397:MZP655404 NJK655397:NJL655404 NTG655397:NTH655404 ODC655397:ODD655404 OMY655397:OMZ655404 OWU655397:OWV655404 PGQ655397:PGR655404 PQM655397:PQN655404 QAI655397:QAJ655404 QKE655397:QKF655404 QUA655397:QUB655404 RDW655397:RDX655404 RNS655397:RNT655404 RXO655397:RXP655404 SHK655397:SHL655404 SRG655397:SRH655404 TBC655397:TBD655404 TKY655397:TKZ655404 TUU655397:TUV655404 UEQ655397:UER655404 UOM655397:UON655404 UYI655397:UYJ655404 VIE655397:VIF655404 VSA655397:VSB655404 WBW655397:WBX655404 WLS655397:WLT655404 WVO655397:WVP655404 JC720933:JD720940 SY720933:SZ720940 ACU720933:ACV720940 AMQ720933:AMR720940 AWM720933:AWN720940 BGI720933:BGJ720940 BQE720933:BQF720940 CAA720933:CAB720940 CJW720933:CJX720940 CTS720933:CTT720940 DDO720933:DDP720940 DNK720933:DNL720940 DXG720933:DXH720940 EHC720933:EHD720940 EQY720933:EQZ720940 FAU720933:FAV720940 FKQ720933:FKR720940 FUM720933:FUN720940 GEI720933:GEJ720940 GOE720933:GOF720940 GYA720933:GYB720940 HHW720933:HHX720940 HRS720933:HRT720940 IBO720933:IBP720940 ILK720933:ILL720940 IVG720933:IVH720940 JFC720933:JFD720940 JOY720933:JOZ720940 JYU720933:JYV720940 KIQ720933:KIR720940 KSM720933:KSN720940 LCI720933:LCJ720940 LME720933:LMF720940 LWA720933:LWB720940 MFW720933:MFX720940 MPS720933:MPT720940 MZO720933:MZP720940 NJK720933:NJL720940 NTG720933:NTH720940 ODC720933:ODD720940 OMY720933:OMZ720940 OWU720933:OWV720940 PGQ720933:PGR720940 PQM720933:PQN720940 QAI720933:QAJ720940 QKE720933:QKF720940 QUA720933:QUB720940 RDW720933:RDX720940 RNS720933:RNT720940 RXO720933:RXP720940 SHK720933:SHL720940 SRG720933:SRH720940 TBC720933:TBD720940 TKY720933:TKZ720940 TUU720933:TUV720940 UEQ720933:UER720940 UOM720933:UON720940 UYI720933:UYJ720940 VIE720933:VIF720940 VSA720933:VSB720940 WBW720933:WBX720940 WLS720933:WLT720940 WVO720933:WVP720940 JC786469:JD786476 SY786469:SZ786476 ACU786469:ACV786476 AMQ786469:AMR786476 AWM786469:AWN786476 BGI786469:BGJ786476 BQE786469:BQF786476 CAA786469:CAB786476 CJW786469:CJX786476 CTS786469:CTT786476 DDO786469:DDP786476 DNK786469:DNL786476 DXG786469:DXH786476 EHC786469:EHD786476 EQY786469:EQZ786476 FAU786469:FAV786476 FKQ786469:FKR786476 FUM786469:FUN786476 GEI786469:GEJ786476 GOE786469:GOF786476 GYA786469:GYB786476 HHW786469:HHX786476 HRS786469:HRT786476 IBO786469:IBP786476 ILK786469:ILL786476 IVG786469:IVH786476 JFC786469:JFD786476 JOY786469:JOZ786476 JYU786469:JYV786476 KIQ786469:KIR786476 KSM786469:KSN786476 LCI786469:LCJ786476 LME786469:LMF786476 LWA786469:LWB786476 MFW786469:MFX786476 MPS786469:MPT786476 MZO786469:MZP786476 NJK786469:NJL786476 NTG786469:NTH786476 ODC786469:ODD786476 OMY786469:OMZ786476 OWU786469:OWV786476 PGQ786469:PGR786476 PQM786469:PQN786476 QAI786469:QAJ786476 QKE786469:QKF786476 QUA786469:QUB786476 RDW786469:RDX786476 RNS786469:RNT786476 RXO786469:RXP786476 SHK786469:SHL786476 SRG786469:SRH786476 TBC786469:TBD786476 TKY786469:TKZ786476 TUU786469:TUV786476 UEQ786469:UER786476 UOM786469:UON786476 UYI786469:UYJ786476 VIE786469:VIF786476 VSA786469:VSB786476 WBW786469:WBX786476 WLS786469:WLT786476 WVO786469:WVP786476 JC852005:JD852012 SY852005:SZ852012 ACU852005:ACV852012 AMQ852005:AMR852012 AWM852005:AWN852012 BGI852005:BGJ852012 BQE852005:BQF852012 CAA852005:CAB852012 CJW852005:CJX852012 CTS852005:CTT852012 DDO852005:DDP852012 DNK852005:DNL852012 DXG852005:DXH852012 EHC852005:EHD852012 EQY852005:EQZ852012 FAU852005:FAV852012 FKQ852005:FKR852012 FUM852005:FUN852012 GEI852005:GEJ852012 GOE852005:GOF852012 GYA852005:GYB852012 HHW852005:HHX852012 HRS852005:HRT852012 IBO852005:IBP852012 ILK852005:ILL852012 IVG852005:IVH852012 JFC852005:JFD852012 JOY852005:JOZ852012 JYU852005:JYV852012 KIQ852005:KIR852012 KSM852005:KSN852012 LCI852005:LCJ852012 LME852005:LMF852012 LWA852005:LWB852012 MFW852005:MFX852012 MPS852005:MPT852012 MZO852005:MZP852012 NJK852005:NJL852012 NTG852005:NTH852012 ODC852005:ODD852012 OMY852005:OMZ852012 OWU852005:OWV852012 PGQ852005:PGR852012 PQM852005:PQN852012 QAI852005:QAJ852012 QKE852005:QKF852012 QUA852005:QUB852012 RDW852005:RDX852012 RNS852005:RNT852012 RXO852005:RXP852012 SHK852005:SHL852012 SRG852005:SRH852012 TBC852005:TBD852012 TKY852005:TKZ852012 TUU852005:TUV852012 UEQ852005:UER852012 UOM852005:UON852012 UYI852005:UYJ852012 VIE852005:VIF852012 VSA852005:VSB852012 WBW852005:WBX852012 WLS852005:WLT852012 WVO852005:WVP852012 JC917541:JD917548 SY917541:SZ917548 ACU917541:ACV917548 AMQ917541:AMR917548 AWM917541:AWN917548 BGI917541:BGJ917548 BQE917541:BQF917548 CAA917541:CAB917548 CJW917541:CJX917548 CTS917541:CTT917548 DDO917541:DDP917548 DNK917541:DNL917548 DXG917541:DXH917548 EHC917541:EHD917548 EQY917541:EQZ917548 FAU917541:FAV917548 FKQ917541:FKR917548 FUM917541:FUN917548 GEI917541:GEJ917548 GOE917541:GOF917548 GYA917541:GYB917548 HHW917541:HHX917548 HRS917541:HRT917548 IBO917541:IBP917548 ILK917541:ILL917548 IVG917541:IVH917548 JFC917541:JFD917548 JOY917541:JOZ917548 JYU917541:JYV917548 KIQ917541:KIR917548 KSM917541:KSN917548 LCI917541:LCJ917548 LME917541:LMF917548 LWA917541:LWB917548 MFW917541:MFX917548 MPS917541:MPT917548 MZO917541:MZP917548 NJK917541:NJL917548 NTG917541:NTH917548 ODC917541:ODD917548 OMY917541:OMZ917548 OWU917541:OWV917548 PGQ917541:PGR917548 PQM917541:PQN917548 QAI917541:QAJ917548 QKE917541:QKF917548 QUA917541:QUB917548 RDW917541:RDX917548 RNS917541:RNT917548 RXO917541:RXP917548 SHK917541:SHL917548 SRG917541:SRH917548 TBC917541:TBD917548 TKY917541:TKZ917548 TUU917541:TUV917548 UEQ917541:UER917548 UOM917541:UON917548 UYI917541:UYJ917548 VIE917541:VIF917548 VSA917541:VSB917548 WBW917541:WBX917548 WLS917541:WLT917548 WVO917541:WVP917548 JC983077:JD983084 SY983077:SZ983084 ACU983077:ACV983084 AMQ983077:AMR983084 AWM983077:AWN983084 BGI983077:BGJ983084 BQE983077:BQF983084 CAA983077:CAB983084 CJW983077:CJX983084 CTS983077:CTT983084 DDO983077:DDP983084 DNK983077:DNL983084 DXG983077:DXH983084 EHC983077:EHD983084 EQY983077:EQZ983084 FAU983077:FAV983084 FKQ983077:FKR983084 FUM983077:FUN983084 GEI983077:GEJ983084 GOE983077:GOF983084 GYA983077:GYB983084 HHW983077:HHX983084 HRS983077:HRT983084 IBO983077:IBP983084 ILK983077:ILL983084 IVG983077:IVH983084 JFC983077:JFD983084 JOY983077:JOZ983084 JYU983077:JYV983084 KIQ983077:KIR983084 KSM983077:KSN983084 LCI983077:LCJ983084 LME983077:LMF983084 LWA983077:LWB983084 MFW983077:MFX983084 MPS983077:MPT983084 MZO983077:MZP983084 NJK983077:NJL983084 NTG983077:NTH983084 ODC983077:ODD983084 OMY983077:OMZ983084 OWU983077:OWV983084 PGQ983077:PGR983084 PQM983077:PQN983084 QAI983077:QAJ983084 QKE983077:QKF983084 QUA983077:QUB983084 RDW983077:RDX983084 RNS983077:RNT983084 RXO983077:RXP983084 SHK983077:SHL983084 SRG983077:SRH983084 TBC983077:TBD983084 TKY983077:TKZ983084 TUU983077:TUV983084 UEQ983077:UER983084 UOM983077:UON983084 UYI983077:UYJ983084 VIE983077:VIF983084 VSA983077:VSB983084 WBW983077:WBX983084 WLS983077:WLT983084 WVO983077:WVP983084 JB47:JC63 JC64:JD65 SX47:SY63 SY64:SZ65 ACT47:ACU63 ACU64:ACV65 AMP47:AMQ63 AMQ64:AMR65 AWL47:AWM63 AWM64:AWN65 BGH47:BGI63 BGI64:BGJ65 BQD47:BQE63 BQE64:BQF65 BZZ47:CAA63 CAA64:CAB65 CJV47:CJW63 CJW64:CJX65 CTR47:CTS63 CTS64:CTT65 DDN47:DDO63 DDO64:DDP65 DNJ47:DNK63 DNK64:DNL65 DXF47:DXG63 DXG64:DXH65 EHB47:EHC63 EHC64:EHD65 EQX47:EQY63 EQY64:EQZ65 FAT47:FAU63 FAU64:FAV65 FKP47:FKQ63 FKQ64:FKR65 FUL47:FUM63 FUM64:FUN65 GEH47:GEI63 GEI64:GEJ65 GOD47:GOE63 GOE64:GOF65 GXZ47:GYA63 GYA64:GYB65 HHV47:HHW63 HHW64:HHX65 HRR47:HRS63 HRS64:HRT65 IBN47:IBO63 IBO64:IBP65 ILJ47:ILK63 ILK64:ILL65 IVF47:IVG63 IVG64:IVH65 JFB47:JFC63 JFC64:JFD65 JOX47:JOY63 JOY64:JOZ65 JYT47:JYU63 JYU64:JYV65 KIP47:KIQ63 KIQ64:KIR65 KSL47:KSM63 KSM64:KSN65 LCH47:LCI63 LCI64:LCJ65 LMD47:LME63 LME64:LMF65 LVZ47:LWA63 LWA64:LWB65 MFV47:MFW63 MFW64:MFX65 MPR47:MPS63 MPS64:MPT65 MZN47:MZO63 MZO64:MZP65 NJJ47:NJK63 NJK64:NJL65 NTF47:NTG63 NTG64:NTH65 ODB47:ODC63 ODC64:ODD65 OMX47:OMY63 OMY64:OMZ65 OWT47:OWU63 OWU64:OWV65 PGP47:PGQ63 PGQ64:PGR65 PQL47:PQM63 PQM64:PQN65 QAH47:QAI63 QAI64:QAJ65 QKD47:QKE63 QKE64:QKF65 QTZ47:QUA63 QUA64:QUB65 RDV47:RDW63 RDW64:RDX65 RNR47:RNS63 RNS64:RNT65 RXN47:RXO63 RXO64:RXP65 SHJ47:SHK63 SHK64:SHL65 SRF47:SRG63 SRG64:SRH65 TBB47:TBC63 TBC64:TBD65 TKX47:TKY63 TKY64:TKZ65 TUT47:TUU63 TUU64:TUV65 UEP47:UEQ63 UEQ64:UER65 UOL47:UOM63 UOM64:UON65 UYH47:UYI63 UYI64:UYJ65 VID47:VIE63 VIE64:VIF65 VRZ47:VSA63 VSA64:VSB65 WBV47:WBW63 WBW64:WBX65 WLR47:WLS63 WLS64:WLT65 WVN47:WVO63 WVO64:WVP65 JC65583:JD65601 SY65583:SZ65601 ACU65583:ACV65601 AMQ65583:AMR65601 AWM65583:AWN65601 BGI65583:BGJ65601 BQE65583:BQF65601 CAA65583:CAB65601 CJW65583:CJX65601 CTS65583:CTT65601 DDO65583:DDP65601 DNK65583:DNL65601 DXG65583:DXH65601 EHC65583:EHD65601 EQY65583:EQZ65601 FAU65583:FAV65601 FKQ65583:FKR65601 FUM65583:FUN65601 GEI65583:GEJ65601 GOE65583:GOF65601 GYA65583:GYB65601 HHW65583:HHX65601 HRS65583:HRT65601 IBO65583:IBP65601 ILK65583:ILL65601 IVG65583:IVH65601 JFC65583:JFD65601 JOY65583:JOZ65601 JYU65583:JYV65601 KIQ65583:KIR65601 KSM65583:KSN65601 LCI65583:LCJ65601 LME65583:LMF65601 LWA65583:LWB65601 MFW65583:MFX65601 MPS65583:MPT65601 MZO65583:MZP65601 NJK65583:NJL65601 NTG65583:NTH65601 ODC65583:ODD65601 OMY65583:OMZ65601 OWU65583:OWV65601 PGQ65583:PGR65601 PQM65583:PQN65601 QAI65583:QAJ65601 QKE65583:QKF65601 QUA65583:QUB65601 RDW65583:RDX65601 RNS65583:RNT65601 RXO65583:RXP65601 SHK65583:SHL65601 SRG65583:SRH65601 TBC65583:TBD65601 TKY65583:TKZ65601 TUU65583:TUV65601 UEQ65583:UER65601 UOM65583:UON65601 UYI65583:UYJ65601 VIE65583:VIF65601 VSA65583:VSB65601 WBW65583:WBX65601 WLS65583:WLT65601 WVO65583:WVP65601 JC131119:JD131137 SY131119:SZ131137 ACU131119:ACV131137 AMQ131119:AMR131137 AWM131119:AWN131137 BGI131119:BGJ131137 BQE131119:BQF131137 CAA131119:CAB131137 CJW131119:CJX131137 CTS131119:CTT131137 DDO131119:DDP131137 DNK131119:DNL131137 DXG131119:DXH131137 EHC131119:EHD131137 EQY131119:EQZ131137 FAU131119:FAV131137 FKQ131119:FKR131137 FUM131119:FUN131137 GEI131119:GEJ131137 GOE131119:GOF131137 GYA131119:GYB131137 HHW131119:HHX131137 HRS131119:HRT131137 IBO131119:IBP131137 ILK131119:ILL131137 IVG131119:IVH131137 JFC131119:JFD131137 JOY131119:JOZ131137 JYU131119:JYV131137 KIQ131119:KIR131137 KSM131119:KSN131137 LCI131119:LCJ131137 LME131119:LMF131137 LWA131119:LWB131137 MFW131119:MFX131137 MPS131119:MPT131137 MZO131119:MZP131137 NJK131119:NJL131137 NTG131119:NTH131137 ODC131119:ODD131137 OMY131119:OMZ131137 OWU131119:OWV131137 PGQ131119:PGR131137 PQM131119:PQN131137 QAI131119:QAJ131137 QKE131119:QKF131137 QUA131119:QUB131137 RDW131119:RDX131137 RNS131119:RNT131137 RXO131119:RXP131137 SHK131119:SHL131137 SRG131119:SRH131137 TBC131119:TBD131137 TKY131119:TKZ131137 TUU131119:TUV131137 UEQ131119:UER131137 UOM131119:UON131137 UYI131119:UYJ131137 VIE131119:VIF131137 VSA131119:VSB131137 WBW131119:WBX131137 WLS131119:WLT131137 WVO131119:WVP131137 JC196655:JD196673 SY196655:SZ196673 ACU196655:ACV196673 AMQ196655:AMR196673 AWM196655:AWN196673 BGI196655:BGJ196673 BQE196655:BQF196673 CAA196655:CAB196673 CJW196655:CJX196673 CTS196655:CTT196673 DDO196655:DDP196673 DNK196655:DNL196673 DXG196655:DXH196673 EHC196655:EHD196673 EQY196655:EQZ196673 FAU196655:FAV196673 FKQ196655:FKR196673 FUM196655:FUN196673 GEI196655:GEJ196673 GOE196655:GOF196673 GYA196655:GYB196673 HHW196655:HHX196673 HRS196655:HRT196673 IBO196655:IBP196673 ILK196655:ILL196673 IVG196655:IVH196673 JFC196655:JFD196673 JOY196655:JOZ196673 JYU196655:JYV196673 KIQ196655:KIR196673 KSM196655:KSN196673 LCI196655:LCJ196673 LME196655:LMF196673 LWA196655:LWB196673 MFW196655:MFX196673 MPS196655:MPT196673 MZO196655:MZP196673 NJK196655:NJL196673 NTG196655:NTH196673 ODC196655:ODD196673 OMY196655:OMZ196673 OWU196655:OWV196673 PGQ196655:PGR196673 PQM196655:PQN196673 QAI196655:QAJ196673 QKE196655:QKF196673 QUA196655:QUB196673 RDW196655:RDX196673 RNS196655:RNT196673 RXO196655:RXP196673 SHK196655:SHL196673 SRG196655:SRH196673 TBC196655:TBD196673 TKY196655:TKZ196673 TUU196655:TUV196673 UEQ196655:UER196673 UOM196655:UON196673 UYI196655:UYJ196673 VIE196655:VIF196673 VSA196655:VSB196673 WBW196655:WBX196673 WLS196655:WLT196673 WVO196655:WVP196673 JC262191:JD262209 SY262191:SZ262209 ACU262191:ACV262209 AMQ262191:AMR262209 AWM262191:AWN262209 BGI262191:BGJ262209 BQE262191:BQF262209 CAA262191:CAB262209 CJW262191:CJX262209 CTS262191:CTT262209 DDO262191:DDP262209 DNK262191:DNL262209 DXG262191:DXH262209 EHC262191:EHD262209 EQY262191:EQZ262209 FAU262191:FAV262209 FKQ262191:FKR262209 FUM262191:FUN262209 GEI262191:GEJ262209 GOE262191:GOF262209 GYA262191:GYB262209 HHW262191:HHX262209 HRS262191:HRT262209 IBO262191:IBP262209 ILK262191:ILL262209 IVG262191:IVH262209 JFC262191:JFD262209 JOY262191:JOZ262209 JYU262191:JYV262209 KIQ262191:KIR262209 KSM262191:KSN262209 LCI262191:LCJ262209 LME262191:LMF262209 LWA262191:LWB262209 MFW262191:MFX262209 MPS262191:MPT262209 MZO262191:MZP262209 NJK262191:NJL262209 NTG262191:NTH262209 ODC262191:ODD262209 OMY262191:OMZ262209 OWU262191:OWV262209 PGQ262191:PGR262209 PQM262191:PQN262209 QAI262191:QAJ262209 QKE262191:QKF262209 QUA262191:QUB262209 RDW262191:RDX262209 RNS262191:RNT262209 RXO262191:RXP262209 SHK262191:SHL262209 SRG262191:SRH262209 TBC262191:TBD262209 TKY262191:TKZ262209 TUU262191:TUV262209 UEQ262191:UER262209 UOM262191:UON262209 UYI262191:UYJ262209 VIE262191:VIF262209 VSA262191:VSB262209 WBW262191:WBX262209 WLS262191:WLT262209 WVO262191:WVP262209 JC327727:JD327745 SY327727:SZ327745 ACU327727:ACV327745 AMQ327727:AMR327745 AWM327727:AWN327745 BGI327727:BGJ327745 BQE327727:BQF327745 CAA327727:CAB327745 CJW327727:CJX327745 CTS327727:CTT327745 DDO327727:DDP327745 DNK327727:DNL327745 DXG327727:DXH327745 EHC327727:EHD327745 EQY327727:EQZ327745 FAU327727:FAV327745 FKQ327727:FKR327745 FUM327727:FUN327745 GEI327727:GEJ327745 GOE327727:GOF327745 GYA327727:GYB327745 HHW327727:HHX327745 HRS327727:HRT327745 IBO327727:IBP327745 ILK327727:ILL327745 IVG327727:IVH327745 JFC327727:JFD327745 JOY327727:JOZ327745 JYU327727:JYV327745 KIQ327727:KIR327745 KSM327727:KSN327745 LCI327727:LCJ327745 LME327727:LMF327745 LWA327727:LWB327745 MFW327727:MFX327745 MPS327727:MPT327745 MZO327727:MZP327745 NJK327727:NJL327745 NTG327727:NTH327745 ODC327727:ODD327745 OMY327727:OMZ327745 OWU327727:OWV327745 PGQ327727:PGR327745 PQM327727:PQN327745 QAI327727:QAJ327745 QKE327727:QKF327745 QUA327727:QUB327745 RDW327727:RDX327745 RNS327727:RNT327745 RXO327727:RXP327745 SHK327727:SHL327745 SRG327727:SRH327745 TBC327727:TBD327745 TKY327727:TKZ327745 TUU327727:TUV327745 UEQ327727:UER327745 UOM327727:UON327745 UYI327727:UYJ327745 VIE327727:VIF327745 VSA327727:VSB327745 WBW327727:WBX327745 WLS327727:WLT327745 WVO327727:WVP327745 JC393263:JD393281 SY393263:SZ393281 ACU393263:ACV393281 AMQ393263:AMR393281 AWM393263:AWN393281 BGI393263:BGJ393281 BQE393263:BQF393281 CAA393263:CAB393281 CJW393263:CJX393281 CTS393263:CTT393281 DDO393263:DDP393281 DNK393263:DNL393281 DXG393263:DXH393281 EHC393263:EHD393281 EQY393263:EQZ393281 FAU393263:FAV393281 FKQ393263:FKR393281 FUM393263:FUN393281 GEI393263:GEJ393281 GOE393263:GOF393281 GYA393263:GYB393281 HHW393263:HHX393281 HRS393263:HRT393281 IBO393263:IBP393281 ILK393263:ILL393281 IVG393263:IVH393281 JFC393263:JFD393281 JOY393263:JOZ393281 JYU393263:JYV393281 KIQ393263:KIR393281 KSM393263:KSN393281 LCI393263:LCJ393281 LME393263:LMF393281 LWA393263:LWB393281 MFW393263:MFX393281 MPS393263:MPT393281 MZO393263:MZP393281 NJK393263:NJL393281 NTG393263:NTH393281 ODC393263:ODD393281 OMY393263:OMZ393281 OWU393263:OWV393281 PGQ393263:PGR393281 PQM393263:PQN393281 QAI393263:QAJ393281 QKE393263:QKF393281 QUA393263:QUB393281 RDW393263:RDX393281 RNS393263:RNT393281 RXO393263:RXP393281 SHK393263:SHL393281 SRG393263:SRH393281 TBC393263:TBD393281 TKY393263:TKZ393281 TUU393263:TUV393281 UEQ393263:UER393281 UOM393263:UON393281 UYI393263:UYJ393281 VIE393263:VIF393281 VSA393263:VSB393281 WBW393263:WBX393281 WLS393263:WLT393281 WVO393263:WVP393281 JC458799:JD458817 SY458799:SZ458817 ACU458799:ACV458817 AMQ458799:AMR458817 AWM458799:AWN458817 BGI458799:BGJ458817 BQE458799:BQF458817 CAA458799:CAB458817 CJW458799:CJX458817 CTS458799:CTT458817 DDO458799:DDP458817 DNK458799:DNL458817 DXG458799:DXH458817 EHC458799:EHD458817 EQY458799:EQZ458817 FAU458799:FAV458817 FKQ458799:FKR458817 FUM458799:FUN458817 GEI458799:GEJ458817 GOE458799:GOF458817 GYA458799:GYB458817 HHW458799:HHX458817 HRS458799:HRT458817 IBO458799:IBP458817 ILK458799:ILL458817 IVG458799:IVH458817 JFC458799:JFD458817 JOY458799:JOZ458817 JYU458799:JYV458817 KIQ458799:KIR458817 KSM458799:KSN458817 LCI458799:LCJ458817 LME458799:LMF458817 LWA458799:LWB458817 MFW458799:MFX458817 MPS458799:MPT458817 MZO458799:MZP458817 NJK458799:NJL458817 NTG458799:NTH458817 ODC458799:ODD458817 OMY458799:OMZ458817 OWU458799:OWV458817 PGQ458799:PGR458817 PQM458799:PQN458817 QAI458799:QAJ458817 QKE458799:QKF458817 QUA458799:QUB458817 RDW458799:RDX458817 RNS458799:RNT458817 RXO458799:RXP458817 SHK458799:SHL458817 SRG458799:SRH458817 TBC458799:TBD458817 TKY458799:TKZ458817 TUU458799:TUV458817 UEQ458799:UER458817 UOM458799:UON458817 UYI458799:UYJ458817 VIE458799:VIF458817 VSA458799:VSB458817 WBW458799:WBX458817 WLS458799:WLT458817 WVO458799:WVP458817 JC524335:JD524353 SY524335:SZ524353 ACU524335:ACV524353 AMQ524335:AMR524353 AWM524335:AWN524353 BGI524335:BGJ524353 BQE524335:BQF524353 CAA524335:CAB524353 CJW524335:CJX524353 CTS524335:CTT524353 DDO524335:DDP524353 DNK524335:DNL524353 DXG524335:DXH524353 EHC524335:EHD524353 EQY524335:EQZ524353 FAU524335:FAV524353 FKQ524335:FKR524353 FUM524335:FUN524353 GEI524335:GEJ524353 GOE524335:GOF524353 GYA524335:GYB524353 HHW524335:HHX524353 HRS524335:HRT524353 IBO524335:IBP524353 ILK524335:ILL524353 IVG524335:IVH524353 JFC524335:JFD524353 JOY524335:JOZ524353 JYU524335:JYV524353 KIQ524335:KIR524353 KSM524335:KSN524353 LCI524335:LCJ524353 LME524335:LMF524353 LWA524335:LWB524353 MFW524335:MFX524353 MPS524335:MPT524353 MZO524335:MZP524353 NJK524335:NJL524353 NTG524335:NTH524353 ODC524335:ODD524353 OMY524335:OMZ524353 OWU524335:OWV524353 PGQ524335:PGR524353 PQM524335:PQN524353 QAI524335:QAJ524353 QKE524335:QKF524353 QUA524335:QUB524353 RDW524335:RDX524353 RNS524335:RNT524353 RXO524335:RXP524353 SHK524335:SHL524353 SRG524335:SRH524353 TBC524335:TBD524353 TKY524335:TKZ524353 TUU524335:TUV524353 UEQ524335:UER524353 UOM524335:UON524353 UYI524335:UYJ524353 VIE524335:VIF524353 VSA524335:VSB524353 WBW524335:WBX524353 WLS524335:WLT524353 WVO524335:WVP524353 JC589871:JD589889 SY589871:SZ589889 ACU589871:ACV589889 AMQ589871:AMR589889 AWM589871:AWN589889 BGI589871:BGJ589889 BQE589871:BQF589889 CAA589871:CAB589889 CJW589871:CJX589889 CTS589871:CTT589889 DDO589871:DDP589889 DNK589871:DNL589889 DXG589871:DXH589889 EHC589871:EHD589889 EQY589871:EQZ589889 FAU589871:FAV589889 FKQ589871:FKR589889 FUM589871:FUN589889 GEI589871:GEJ589889 GOE589871:GOF589889 GYA589871:GYB589889 HHW589871:HHX589889 HRS589871:HRT589889 IBO589871:IBP589889 ILK589871:ILL589889 IVG589871:IVH589889 JFC589871:JFD589889 JOY589871:JOZ589889 JYU589871:JYV589889 KIQ589871:KIR589889 KSM589871:KSN589889 LCI589871:LCJ589889 LME589871:LMF589889 LWA589871:LWB589889 MFW589871:MFX589889 MPS589871:MPT589889 MZO589871:MZP589889 NJK589871:NJL589889 NTG589871:NTH589889 ODC589871:ODD589889 OMY589871:OMZ589889 OWU589871:OWV589889 PGQ589871:PGR589889 PQM589871:PQN589889 QAI589871:QAJ589889 QKE589871:QKF589889 QUA589871:QUB589889 RDW589871:RDX589889 RNS589871:RNT589889 RXO589871:RXP589889 SHK589871:SHL589889 SRG589871:SRH589889 TBC589871:TBD589889 TKY589871:TKZ589889 TUU589871:TUV589889 UEQ589871:UER589889 UOM589871:UON589889 UYI589871:UYJ589889 VIE589871:VIF589889 VSA589871:VSB589889 WBW589871:WBX589889 WLS589871:WLT589889 WVO589871:WVP589889 JC655407:JD655425 SY655407:SZ655425 ACU655407:ACV655425 AMQ655407:AMR655425 AWM655407:AWN655425 BGI655407:BGJ655425 BQE655407:BQF655425 CAA655407:CAB655425 CJW655407:CJX655425 CTS655407:CTT655425 DDO655407:DDP655425 DNK655407:DNL655425 DXG655407:DXH655425 EHC655407:EHD655425 EQY655407:EQZ655425 FAU655407:FAV655425 FKQ655407:FKR655425 FUM655407:FUN655425 GEI655407:GEJ655425 GOE655407:GOF655425 GYA655407:GYB655425 HHW655407:HHX655425 HRS655407:HRT655425 IBO655407:IBP655425 ILK655407:ILL655425 IVG655407:IVH655425 JFC655407:JFD655425 JOY655407:JOZ655425 JYU655407:JYV655425 KIQ655407:KIR655425 KSM655407:KSN655425 LCI655407:LCJ655425 LME655407:LMF655425 LWA655407:LWB655425 MFW655407:MFX655425 MPS655407:MPT655425 MZO655407:MZP655425 NJK655407:NJL655425 NTG655407:NTH655425 ODC655407:ODD655425 OMY655407:OMZ655425 OWU655407:OWV655425 PGQ655407:PGR655425 PQM655407:PQN655425 QAI655407:QAJ655425 QKE655407:QKF655425 QUA655407:QUB655425 RDW655407:RDX655425 RNS655407:RNT655425 RXO655407:RXP655425 SHK655407:SHL655425 SRG655407:SRH655425 TBC655407:TBD655425 TKY655407:TKZ655425 TUU655407:TUV655425 UEQ655407:UER655425 UOM655407:UON655425 UYI655407:UYJ655425 VIE655407:VIF655425 VSA655407:VSB655425 WBW655407:WBX655425 WLS655407:WLT655425 WVO655407:WVP655425 JC720943:JD720961 SY720943:SZ720961 ACU720943:ACV720961 AMQ720943:AMR720961 AWM720943:AWN720961 BGI720943:BGJ720961 BQE720943:BQF720961 CAA720943:CAB720961 CJW720943:CJX720961 CTS720943:CTT720961 DDO720943:DDP720961 DNK720943:DNL720961 DXG720943:DXH720961 EHC720943:EHD720961 EQY720943:EQZ720961 FAU720943:FAV720961 FKQ720943:FKR720961 FUM720943:FUN720961 GEI720943:GEJ720961 GOE720943:GOF720961 GYA720943:GYB720961 HHW720943:HHX720961 HRS720943:HRT720961 IBO720943:IBP720961 ILK720943:ILL720961 IVG720943:IVH720961 JFC720943:JFD720961 JOY720943:JOZ720961 JYU720943:JYV720961 KIQ720943:KIR720961 KSM720943:KSN720961 LCI720943:LCJ720961 LME720943:LMF720961 LWA720943:LWB720961 MFW720943:MFX720961 MPS720943:MPT720961 MZO720943:MZP720961 NJK720943:NJL720961 NTG720943:NTH720961 ODC720943:ODD720961 OMY720943:OMZ720961 OWU720943:OWV720961 PGQ720943:PGR720961 PQM720943:PQN720961 QAI720943:QAJ720961 QKE720943:QKF720961 QUA720943:QUB720961 RDW720943:RDX720961 RNS720943:RNT720961 RXO720943:RXP720961 SHK720943:SHL720961 SRG720943:SRH720961 TBC720943:TBD720961 TKY720943:TKZ720961 TUU720943:TUV720961 UEQ720943:UER720961 UOM720943:UON720961 UYI720943:UYJ720961 VIE720943:VIF720961 VSA720943:VSB720961 WBW720943:WBX720961 WLS720943:WLT720961 WVO720943:WVP720961 JC786479:JD786497 SY786479:SZ786497 ACU786479:ACV786497 AMQ786479:AMR786497 AWM786479:AWN786497 BGI786479:BGJ786497 BQE786479:BQF786497 CAA786479:CAB786497 CJW786479:CJX786497 CTS786479:CTT786497 DDO786479:DDP786497 DNK786479:DNL786497 DXG786479:DXH786497 EHC786479:EHD786497 EQY786479:EQZ786497 FAU786479:FAV786497 FKQ786479:FKR786497 FUM786479:FUN786497 GEI786479:GEJ786497 GOE786479:GOF786497 GYA786479:GYB786497 HHW786479:HHX786497 HRS786479:HRT786497 IBO786479:IBP786497 ILK786479:ILL786497 IVG786479:IVH786497 JFC786479:JFD786497 JOY786479:JOZ786497 JYU786479:JYV786497 KIQ786479:KIR786497 KSM786479:KSN786497 LCI786479:LCJ786497 LME786479:LMF786497 LWA786479:LWB786497 MFW786479:MFX786497 MPS786479:MPT786497 MZO786479:MZP786497 NJK786479:NJL786497 NTG786479:NTH786497 ODC786479:ODD786497 OMY786479:OMZ786497 OWU786479:OWV786497 PGQ786479:PGR786497 PQM786479:PQN786497 QAI786479:QAJ786497 QKE786479:QKF786497 QUA786479:QUB786497 RDW786479:RDX786497 RNS786479:RNT786497 RXO786479:RXP786497 SHK786479:SHL786497 SRG786479:SRH786497 TBC786479:TBD786497 TKY786479:TKZ786497 TUU786479:TUV786497 UEQ786479:UER786497 UOM786479:UON786497 UYI786479:UYJ786497 VIE786479:VIF786497 VSA786479:VSB786497 WBW786479:WBX786497 WLS786479:WLT786497 WVO786479:WVP786497 JC852015:JD852033 SY852015:SZ852033 ACU852015:ACV852033 AMQ852015:AMR852033 AWM852015:AWN852033 BGI852015:BGJ852033 BQE852015:BQF852033 CAA852015:CAB852033 CJW852015:CJX852033 CTS852015:CTT852033 DDO852015:DDP852033 DNK852015:DNL852033 DXG852015:DXH852033 EHC852015:EHD852033 EQY852015:EQZ852033 FAU852015:FAV852033 FKQ852015:FKR852033 FUM852015:FUN852033 GEI852015:GEJ852033 GOE852015:GOF852033 GYA852015:GYB852033 HHW852015:HHX852033 HRS852015:HRT852033 IBO852015:IBP852033 ILK852015:ILL852033 IVG852015:IVH852033 JFC852015:JFD852033 JOY852015:JOZ852033 JYU852015:JYV852033 KIQ852015:KIR852033 KSM852015:KSN852033 LCI852015:LCJ852033 LME852015:LMF852033 LWA852015:LWB852033 MFW852015:MFX852033 MPS852015:MPT852033 MZO852015:MZP852033 NJK852015:NJL852033 NTG852015:NTH852033 ODC852015:ODD852033 OMY852015:OMZ852033 OWU852015:OWV852033 PGQ852015:PGR852033 PQM852015:PQN852033 QAI852015:QAJ852033 QKE852015:QKF852033 QUA852015:QUB852033 RDW852015:RDX852033 RNS852015:RNT852033 RXO852015:RXP852033 SHK852015:SHL852033 SRG852015:SRH852033 TBC852015:TBD852033 TKY852015:TKZ852033 TUU852015:TUV852033 UEQ852015:UER852033 UOM852015:UON852033 UYI852015:UYJ852033 VIE852015:VIF852033 VSA852015:VSB852033 WBW852015:WBX852033 WLS852015:WLT852033 WVO852015:WVP852033 JC917551:JD917569 SY917551:SZ917569 ACU917551:ACV917569 AMQ917551:AMR917569 AWM917551:AWN917569 BGI917551:BGJ917569 BQE917551:BQF917569 CAA917551:CAB917569 CJW917551:CJX917569 CTS917551:CTT917569 DDO917551:DDP917569 DNK917551:DNL917569 DXG917551:DXH917569 EHC917551:EHD917569 EQY917551:EQZ917569 FAU917551:FAV917569 FKQ917551:FKR917569 FUM917551:FUN917569 GEI917551:GEJ917569 GOE917551:GOF917569 GYA917551:GYB917569 HHW917551:HHX917569 HRS917551:HRT917569 IBO917551:IBP917569 ILK917551:ILL917569 IVG917551:IVH917569 JFC917551:JFD917569 JOY917551:JOZ917569 JYU917551:JYV917569 KIQ917551:KIR917569 KSM917551:KSN917569 LCI917551:LCJ917569 LME917551:LMF917569 LWA917551:LWB917569 MFW917551:MFX917569 MPS917551:MPT917569 MZO917551:MZP917569 NJK917551:NJL917569 NTG917551:NTH917569 ODC917551:ODD917569 OMY917551:OMZ917569 OWU917551:OWV917569 PGQ917551:PGR917569 PQM917551:PQN917569 QAI917551:QAJ917569 QKE917551:QKF917569 QUA917551:QUB917569 RDW917551:RDX917569 RNS917551:RNT917569 RXO917551:RXP917569 SHK917551:SHL917569 SRG917551:SRH917569 TBC917551:TBD917569 TKY917551:TKZ917569 TUU917551:TUV917569 UEQ917551:UER917569 UOM917551:UON917569 UYI917551:UYJ917569 VIE917551:VIF917569 VSA917551:VSB917569 WBW917551:WBX917569 WLS917551:WLT917569 WVO917551:WVP917569 JC983087:JD983105 SY983087:SZ983105 ACU983087:ACV983105 AMQ983087:AMR983105 AWM983087:AWN983105 BGI983087:BGJ983105 BQE983087:BQF983105 CAA983087:CAB983105 CJW983087:CJX983105 CTS983087:CTT983105 DDO983087:DDP983105 DNK983087:DNL983105 DXG983087:DXH983105 EHC983087:EHD983105 EQY983087:EQZ983105 FAU983087:FAV983105 FKQ983087:FKR983105 FUM983087:FUN983105 GEI983087:GEJ983105 GOE983087:GOF983105 GYA983087:GYB983105 HHW983087:HHX983105 HRS983087:HRT983105 IBO983087:IBP983105 ILK983087:ILL983105 IVG983087:IVH983105 JFC983087:JFD983105 JOY983087:JOZ983105 JYU983087:JYV983105 KIQ983087:KIR983105 KSM983087:KSN983105 LCI983087:LCJ983105 LME983087:LMF983105 LWA983087:LWB983105 MFW983087:MFX983105 MPS983087:MPT983105 MZO983087:MZP983105 NJK983087:NJL983105 NTG983087:NTH983105 ODC983087:ODD983105 OMY983087:OMZ983105 OWU983087:OWV983105 PGQ983087:PGR983105 PQM983087:PQN983105 QAI983087:QAJ983105 QKE983087:QKF983105 QUA983087:QUB983105 RDW983087:RDX983105 RNS983087:RNT983105 RXO983087:RXP983105 SHK983087:SHL983105 SRG983087:SRH983105 TBC983087:TBD983105 TKY983087:TKZ983105 TUU983087:TUV983105 UEQ983087:UER983105 UOM983087:UON983105 UYI983087:UYJ983105 VIE983087:VIF983105 VSA983087:VSB983105 WBW983087:WBX983105 WLS983087:WLT983105 WVO983087:WVP983105 H983085:I983103 H917549:I917567 H852013:I852031 H786477:I786495 H720941:I720959 H655405:I655423 H589869:I589887 H524333:I524351 H458797:I458815 H393261:I393279 H327725:I327743 H262189:I262207 H196653:I196671 H131117:I131135 H65581:I65599 H983075:I983082 H917539:I917546 H852003:I852010 H786467:I786474 H720931:I720938 H655395:I655402 H589859:I589866 H524323:I524330 H458787:I458794 H393251:I393258 H327715:I327722 H262179:I262186 H196643:I196650 H131107:I131114 H65571:I65578 H35:H42 H983073 H917537 H852001 H786465 H720929 H655393 H589857 H524321 H458785 H393249 H327713 H262177 H196641 H131105 H65569 H45:H63">
      <formula1>$M$69:$M$72</formula1>
    </dataValidation>
  </dataValidations>
  <hyperlinks>
    <hyperlink ref="A1" location="'T&amp;V TOC'!A1" display="TOC"/>
  </hyperlinks>
  <pageMargins left="0.25" right="0.25" top="0.75" bottom="0.75" header="0.3" footer="0.3"/>
  <pageSetup scale="47" orientation="portrait" r:id="rId1"/>
  <headerFooter alignWithMargins="0"/>
  <rowBreaks count="1" manualBreakCount="1">
    <brk id="65" min="1" max="10" man="1"/>
  </rowBreaks>
  <drawing r:id="rId2"/>
  <legacyDrawingHF r:id="rId3"/>
</worksheet>
</file>

<file path=xl/worksheets/sheet33.xml><?xml version="1.0" encoding="utf-8"?>
<worksheet xmlns="http://schemas.openxmlformats.org/spreadsheetml/2006/main" xmlns:r="http://schemas.openxmlformats.org/officeDocument/2006/relationships">
  <sheetPr>
    <tabColor theme="3" tint="0.79998168889431442"/>
  </sheetPr>
  <dimension ref="A1:N81"/>
  <sheetViews>
    <sheetView showGridLines="0" view="pageBreakPreview" zoomScaleNormal="100" zoomScaleSheetLayoutView="100" workbookViewId="0"/>
  </sheetViews>
  <sheetFormatPr defaultRowHeight="12"/>
  <cols>
    <col min="1" max="1" width="5.85546875" style="1119" customWidth="1"/>
    <col min="2" max="2" width="20" style="1119" customWidth="1"/>
    <col min="3" max="3" width="16.140625" style="1119" customWidth="1"/>
    <col min="4" max="5" width="15.140625" style="1119" customWidth="1"/>
    <col min="6" max="6" width="30.7109375" style="1119" customWidth="1"/>
    <col min="7" max="7" width="10.7109375" style="1119" customWidth="1"/>
    <col min="8" max="8" width="5.7109375" style="1119" customWidth="1"/>
    <col min="9" max="9" width="5.140625" style="1119" customWidth="1"/>
    <col min="10" max="10" width="40" style="1119" customWidth="1"/>
    <col min="11" max="13" width="9.140625" style="1119"/>
    <col min="14" max="14" width="9" style="1119" hidden="1" customWidth="1"/>
    <col min="15" max="256" width="9.140625" style="1119"/>
    <col min="257" max="257" width="12.42578125" style="1119" customWidth="1"/>
    <col min="258" max="258" width="20" style="1119" customWidth="1"/>
    <col min="259" max="259" width="16.140625" style="1119" customWidth="1"/>
    <col min="260" max="261" width="15.140625" style="1119" customWidth="1"/>
    <col min="262" max="262" width="30.7109375" style="1119" customWidth="1"/>
    <col min="263" max="263" width="10.7109375" style="1119" customWidth="1"/>
    <col min="264" max="264" width="5.7109375" style="1119" customWidth="1"/>
    <col min="265" max="265" width="11" style="1119" customWidth="1"/>
    <col min="266" max="266" width="32.42578125" style="1119" customWidth="1"/>
    <col min="267" max="269" width="9.140625" style="1119"/>
    <col min="270" max="270" width="0" style="1119" hidden="1" customWidth="1"/>
    <col min="271" max="512" width="9.140625" style="1119"/>
    <col min="513" max="513" width="12.42578125" style="1119" customWidth="1"/>
    <col min="514" max="514" width="20" style="1119" customWidth="1"/>
    <col min="515" max="515" width="16.140625" style="1119" customWidth="1"/>
    <col min="516" max="517" width="15.140625" style="1119" customWidth="1"/>
    <col min="518" max="518" width="30.7109375" style="1119" customWidth="1"/>
    <col min="519" max="519" width="10.7109375" style="1119" customWidth="1"/>
    <col min="520" max="520" width="5.7109375" style="1119" customWidth="1"/>
    <col min="521" max="521" width="11" style="1119" customWidth="1"/>
    <col min="522" max="522" width="32.42578125" style="1119" customWidth="1"/>
    <col min="523" max="525" width="9.140625" style="1119"/>
    <col min="526" max="526" width="0" style="1119" hidden="1" customWidth="1"/>
    <col min="527" max="768" width="9.140625" style="1119"/>
    <col min="769" max="769" width="12.42578125" style="1119" customWidth="1"/>
    <col min="770" max="770" width="20" style="1119" customWidth="1"/>
    <col min="771" max="771" width="16.140625" style="1119" customWidth="1"/>
    <col min="772" max="773" width="15.140625" style="1119" customWidth="1"/>
    <col min="774" max="774" width="30.7109375" style="1119" customWidth="1"/>
    <col min="775" max="775" width="10.7109375" style="1119" customWidth="1"/>
    <col min="776" max="776" width="5.7109375" style="1119" customWidth="1"/>
    <col min="777" max="777" width="11" style="1119" customWidth="1"/>
    <col min="778" max="778" width="32.42578125" style="1119" customWidth="1"/>
    <col min="779" max="781" width="9.140625" style="1119"/>
    <col min="782" max="782" width="0" style="1119" hidden="1" customWidth="1"/>
    <col min="783" max="1024" width="9.140625" style="1119"/>
    <col min="1025" max="1025" width="12.42578125" style="1119" customWidth="1"/>
    <col min="1026" max="1026" width="20" style="1119" customWidth="1"/>
    <col min="1027" max="1027" width="16.140625" style="1119" customWidth="1"/>
    <col min="1028" max="1029" width="15.140625" style="1119" customWidth="1"/>
    <col min="1030" max="1030" width="30.7109375" style="1119" customWidth="1"/>
    <col min="1031" max="1031" width="10.7109375" style="1119" customWidth="1"/>
    <col min="1032" max="1032" width="5.7109375" style="1119" customWidth="1"/>
    <col min="1033" max="1033" width="11" style="1119" customWidth="1"/>
    <col min="1034" max="1034" width="32.42578125" style="1119" customWidth="1"/>
    <col min="1035" max="1037" width="9.140625" style="1119"/>
    <col min="1038" max="1038" width="0" style="1119" hidden="1" customWidth="1"/>
    <col min="1039" max="1280" width="9.140625" style="1119"/>
    <col min="1281" max="1281" width="12.42578125" style="1119" customWidth="1"/>
    <col min="1282" max="1282" width="20" style="1119" customWidth="1"/>
    <col min="1283" max="1283" width="16.140625" style="1119" customWidth="1"/>
    <col min="1284" max="1285" width="15.140625" style="1119" customWidth="1"/>
    <col min="1286" max="1286" width="30.7109375" style="1119" customWidth="1"/>
    <col min="1287" max="1287" width="10.7109375" style="1119" customWidth="1"/>
    <col min="1288" max="1288" width="5.7109375" style="1119" customWidth="1"/>
    <col min="1289" max="1289" width="11" style="1119" customWidth="1"/>
    <col min="1290" max="1290" width="32.42578125" style="1119" customWidth="1"/>
    <col min="1291" max="1293" width="9.140625" style="1119"/>
    <col min="1294" max="1294" width="0" style="1119" hidden="1" customWidth="1"/>
    <col min="1295" max="1536" width="9.140625" style="1119"/>
    <col min="1537" max="1537" width="12.42578125" style="1119" customWidth="1"/>
    <col min="1538" max="1538" width="20" style="1119" customWidth="1"/>
    <col min="1539" max="1539" width="16.140625" style="1119" customWidth="1"/>
    <col min="1540" max="1541" width="15.140625" style="1119" customWidth="1"/>
    <col min="1542" max="1542" width="30.7109375" style="1119" customWidth="1"/>
    <col min="1543" max="1543" width="10.7109375" style="1119" customWidth="1"/>
    <col min="1544" max="1544" width="5.7109375" style="1119" customWidth="1"/>
    <col min="1545" max="1545" width="11" style="1119" customWidth="1"/>
    <col min="1546" max="1546" width="32.42578125" style="1119" customWidth="1"/>
    <col min="1547" max="1549" width="9.140625" style="1119"/>
    <col min="1550" max="1550" width="0" style="1119" hidden="1" customWidth="1"/>
    <col min="1551" max="1792" width="9.140625" style="1119"/>
    <col min="1793" max="1793" width="12.42578125" style="1119" customWidth="1"/>
    <col min="1794" max="1794" width="20" style="1119" customWidth="1"/>
    <col min="1795" max="1795" width="16.140625" style="1119" customWidth="1"/>
    <col min="1796" max="1797" width="15.140625" style="1119" customWidth="1"/>
    <col min="1798" max="1798" width="30.7109375" style="1119" customWidth="1"/>
    <col min="1799" max="1799" width="10.7109375" style="1119" customWidth="1"/>
    <col min="1800" max="1800" width="5.7109375" style="1119" customWidth="1"/>
    <col min="1801" max="1801" width="11" style="1119" customWidth="1"/>
    <col min="1802" max="1802" width="32.42578125" style="1119" customWidth="1"/>
    <col min="1803" max="1805" width="9.140625" style="1119"/>
    <col min="1806" max="1806" width="0" style="1119" hidden="1" customWidth="1"/>
    <col min="1807" max="2048" width="9.140625" style="1119"/>
    <col min="2049" max="2049" width="12.42578125" style="1119" customWidth="1"/>
    <col min="2050" max="2050" width="20" style="1119" customWidth="1"/>
    <col min="2051" max="2051" width="16.140625" style="1119" customWidth="1"/>
    <col min="2052" max="2053" width="15.140625" style="1119" customWidth="1"/>
    <col min="2054" max="2054" width="30.7109375" style="1119" customWidth="1"/>
    <col min="2055" max="2055" width="10.7109375" style="1119" customWidth="1"/>
    <col min="2056" max="2056" width="5.7109375" style="1119" customWidth="1"/>
    <col min="2057" max="2057" width="11" style="1119" customWidth="1"/>
    <col min="2058" max="2058" width="32.42578125" style="1119" customWidth="1"/>
    <col min="2059" max="2061" width="9.140625" style="1119"/>
    <col min="2062" max="2062" width="0" style="1119" hidden="1" customWidth="1"/>
    <col min="2063" max="2304" width="9.140625" style="1119"/>
    <col min="2305" max="2305" width="12.42578125" style="1119" customWidth="1"/>
    <col min="2306" max="2306" width="20" style="1119" customWidth="1"/>
    <col min="2307" max="2307" width="16.140625" style="1119" customWidth="1"/>
    <col min="2308" max="2309" width="15.140625" style="1119" customWidth="1"/>
    <col min="2310" max="2310" width="30.7109375" style="1119" customWidth="1"/>
    <col min="2311" max="2311" width="10.7109375" style="1119" customWidth="1"/>
    <col min="2312" max="2312" width="5.7109375" style="1119" customWidth="1"/>
    <col min="2313" max="2313" width="11" style="1119" customWidth="1"/>
    <col min="2314" max="2314" width="32.42578125" style="1119" customWidth="1"/>
    <col min="2315" max="2317" width="9.140625" style="1119"/>
    <col min="2318" max="2318" width="0" style="1119" hidden="1" customWidth="1"/>
    <col min="2319" max="2560" width="9.140625" style="1119"/>
    <col min="2561" max="2561" width="12.42578125" style="1119" customWidth="1"/>
    <col min="2562" max="2562" width="20" style="1119" customWidth="1"/>
    <col min="2563" max="2563" width="16.140625" style="1119" customWidth="1"/>
    <col min="2564" max="2565" width="15.140625" style="1119" customWidth="1"/>
    <col min="2566" max="2566" width="30.7109375" style="1119" customWidth="1"/>
    <col min="2567" max="2567" width="10.7109375" style="1119" customWidth="1"/>
    <col min="2568" max="2568" width="5.7109375" style="1119" customWidth="1"/>
    <col min="2569" max="2569" width="11" style="1119" customWidth="1"/>
    <col min="2570" max="2570" width="32.42578125" style="1119" customWidth="1"/>
    <col min="2571" max="2573" width="9.140625" style="1119"/>
    <col min="2574" max="2574" width="0" style="1119" hidden="1" customWidth="1"/>
    <col min="2575" max="2816" width="9.140625" style="1119"/>
    <col min="2817" max="2817" width="12.42578125" style="1119" customWidth="1"/>
    <col min="2818" max="2818" width="20" style="1119" customWidth="1"/>
    <col min="2819" max="2819" width="16.140625" style="1119" customWidth="1"/>
    <col min="2820" max="2821" width="15.140625" style="1119" customWidth="1"/>
    <col min="2822" max="2822" width="30.7109375" style="1119" customWidth="1"/>
    <col min="2823" max="2823" width="10.7109375" style="1119" customWidth="1"/>
    <col min="2824" max="2824" width="5.7109375" style="1119" customWidth="1"/>
    <col min="2825" max="2825" width="11" style="1119" customWidth="1"/>
    <col min="2826" max="2826" width="32.42578125" style="1119" customWidth="1"/>
    <col min="2827" max="2829" width="9.140625" style="1119"/>
    <col min="2830" max="2830" width="0" style="1119" hidden="1" customWidth="1"/>
    <col min="2831" max="3072" width="9.140625" style="1119"/>
    <col min="3073" max="3073" width="12.42578125" style="1119" customWidth="1"/>
    <col min="3074" max="3074" width="20" style="1119" customWidth="1"/>
    <col min="3075" max="3075" width="16.140625" style="1119" customWidth="1"/>
    <col min="3076" max="3077" width="15.140625" style="1119" customWidth="1"/>
    <col min="3078" max="3078" width="30.7109375" style="1119" customWidth="1"/>
    <col min="3079" max="3079" width="10.7109375" style="1119" customWidth="1"/>
    <col min="3080" max="3080" width="5.7109375" style="1119" customWidth="1"/>
    <col min="3081" max="3081" width="11" style="1119" customWidth="1"/>
    <col min="3082" max="3082" width="32.42578125" style="1119" customWidth="1"/>
    <col min="3083" max="3085" width="9.140625" style="1119"/>
    <col min="3086" max="3086" width="0" style="1119" hidden="1" customWidth="1"/>
    <col min="3087" max="3328" width="9.140625" style="1119"/>
    <col min="3329" max="3329" width="12.42578125" style="1119" customWidth="1"/>
    <col min="3330" max="3330" width="20" style="1119" customWidth="1"/>
    <col min="3331" max="3331" width="16.140625" style="1119" customWidth="1"/>
    <col min="3332" max="3333" width="15.140625" style="1119" customWidth="1"/>
    <col min="3334" max="3334" width="30.7109375" style="1119" customWidth="1"/>
    <col min="3335" max="3335" width="10.7109375" style="1119" customWidth="1"/>
    <col min="3336" max="3336" width="5.7109375" style="1119" customWidth="1"/>
    <col min="3337" max="3337" width="11" style="1119" customWidth="1"/>
    <col min="3338" max="3338" width="32.42578125" style="1119" customWidth="1"/>
    <col min="3339" max="3341" width="9.140625" style="1119"/>
    <col min="3342" max="3342" width="0" style="1119" hidden="1" customWidth="1"/>
    <col min="3343" max="3584" width="9.140625" style="1119"/>
    <col min="3585" max="3585" width="12.42578125" style="1119" customWidth="1"/>
    <col min="3586" max="3586" width="20" style="1119" customWidth="1"/>
    <col min="3587" max="3587" width="16.140625" style="1119" customWidth="1"/>
    <col min="3588" max="3589" width="15.140625" style="1119" customWidth="1"/>
    <col min="3590" max="3590" width="30.7109375" style="1119" customWidth="1"/>
    <col min="3591" max="3591" width="10.7109375" style="1119" customWidth="1"/>
    <col min="3592" max="3592" width="5.7109375" style="1119" customWidth="1"/>
    <col min="3593" max="3593" width="11" style="1119" customWidth="1"/>
    <col min="3594" max="3594" width="32.42578125" style="1119" customWidth="1"/>
    <col min="3595" max="3597" width="9.140625" style="1119"/>
    <col min="3598" max="3598" width="0" style="1119" hidden="1" customWidth="1"/>
    <col min="3599" max="3840" width="9.140625" style="1119"/>
    <col min="3841" max="3841" width="12.42578125" style="1119" customWidth="1"/>
    <col min="3842" max="3842" width="20" style="1119" customWidth="1"/>
    <col min="3843" max="3843" width="16.140625" style="1119" customWidth="1"/>
    <col min="3844" max="3845" width="15.140625" style="1119" customWidth="1"/>
    <col min="3846" max="3846" width="30.7109375" style="1119" customWidth="1"/>
    <col min="3847" max="3847" width="10.7109375" style="1119" customWidth="1"/>
    <col min="3848" max="3848" width="5.7109375" style="1119" customWidth="1"/>
    <col min="3849" max="3849" width="11" style="1119" customWidth="1"/>
    <col min="3850" max="3850" width="32.42578125" style="1119" customWidth="1"/>
    <col min="3851" max="3853" width="9.140625" style="1119"/>
    <col min="3854" max="3854" width="0" style="1119" hidden="1" customWidth="1"/>
    <col min="3855" max="4096" width="9.140625" style="1119"/>
    <col min="4097" max="4097" width="12.42578125" style="1119" customWidth="1"/>
    <col min="4098" max="4098" width="20" style="1119" customWidth="1"/>
    <col min="4099" max="4099" width="16.140625" style="1119" customWidth="1"/>
    <col min="4100" max="4101" width="15.140625" style="1119" customWidth="1"/>
    <col min="4102" max="4102" width="30.7109375" style="1119" customWidth="1"/>
    <col min="4103" max="4103" width="10.7109375" style="1119" customWidth="1"/>
    <col min="4104" max="4104" width="5.7109375" style="1119" customWidth="1"/>
    <col min="4105" max="4105" width="11" style="1119" customWidth="1"/>
    <col min="4106" max="4106" width="32.42578125" style="1119" customWidth="1"/>
    <col min="4107" max="4109" width="9.140625" style="1119"/>
    <col min="4110" max="4110" width="0" style="1119" hidden="1" customWidth="1"/>
    <col min="4111" max="4352" width="9.140625" style="1119"/>
    <col min="4353" max="4353" width="12.42578125" style="1119" customWidth="1"/>
    <col min="4354" max="4354" width="20" style="1119" customWidth="1"/>
    <col min="4355" max="4355" width="16.140625" style="1119" customWidth="1"/>
    <col min="4356" max="4357" width="15.140625" style="1119" customWidth="1"/>
    <col min="4358" max="4358" width="30.7109375" style="1119" customWidth="1"/>
    <col min="4359" max="4359" width="10.7109375" style="1119" customWidth="1"/>
    <col min="4360" max="4360" width="5.7109375" style="1119" customWidth="1"/>
    <col min="4361" max="4361" width="11" style="1119" customWidth="1"/>
    <col min="4362" max="4362" width="32.42578125" style="1119" customWidth="1"/>
    <col min="4363" max="4365" width="9.140625" style="1119"/>
    <col min="4366" max="4366" width="0" style="1119" hidden="1" customWidth="1"/>
    <col min="4367" max="4608" width="9.140625" style="1119"/>
    <col min="4609" max="4609" width="12.42578125" style="1119" customWidth="1"/>
    <col min="4610" max="4610" width="20" style="1119" customWidth="1"/>
    <col min="4611" max="4611" width="16.140625" style="1119" customWidth="1"/>
    <col min="4612" max="4613" width="15.140625" style="1119" customWidth="1"/>
    <col min="4614" max="4614" width="30.7109375" style="1119" customWidth="1"/>
    <col min="4615" max="4615" width="10.7109375" style="1119" customWidth="1"/>
    <col min="4616" max="4616" width="5.7109375" style="1119" customWidth="1"/>
    <col min="4617" max="4617" width="11" style="1119" customWidth="1"/>
    <col min="4618" max="4618" width="32.42578125" style="1119" customWidth="1"/>
    <col min="4619" max="4621" width="9.140625" style="1119"/>
    <col min="4622" max="4622" width="0" style="1119" hidden="1" customWidth="1"/>
    <col min="4623" max="4864" width="9.140625" style="1119"/>
    <col min="4865" max="4865" width="12.42578125" style="1119" customWidth="1"/>
    <col min="4866" max="4866" width="20" style="1119" customWidth="1"/>
    <col min="4867" max="4867" width="16.140625" style="1119" customWidth="1"/>
    <col min="4868" max="4869" width="15.140625" style="1119" customWidth="1"/>
    <col min="4870" max="4870" width="30.7109375" style="1119" customWidth="1"/>
    <col min="4871" max="4871" width="10.7109375" style="1119" customWidth="1"/>
    <col min="4872" max="4872" width="5.7109375" style="1119" customWidth="1"/>
    <col min="4873" max="4873" width="11" style="1119" customWidth="1"/>
    <col min="4874" max="4874" width="32.42578125" style="1119" customWidth="1"/>
    <col min="4875" max="4877" width="9.140625" style="1119"/>
    <col min="4878" max="4878" width="0" style="1119" hidden="1" customWidth="1"/>
    <col min="4879" max="5120" width="9.140625" style="1119"/>
    <col min="5121" max="5121" width="12.42578125" style="1119" customWidth="1"/>
    <col min="5122" max="5122" width="20" style="1119" customWidth="1"/>
    <col min="5123" max="5123" width="16.140625" style="1119" customWidth="1"/>
    <col min="5124" max="5125" width="15.140625" style="1119" customWidth="1"/>
    <col min="5126" max="5126" width="30.7109375" style="1119" customWidth="1"/>
    <col min="5127" max="5127" width="10.7109375" style="1119" customWidth="1"/>
    <col min="5128" max="5128" width="5.7109375" style="1119" customWidth="1"/>
    <col min="5129" max="5129" width="11" style="1119" customWidth="1"/>
    <col min="5130" max="5130" width="32.42578125" style="1119" customWidth="1"/>
    <col min="5131" max="5133" width="9.140625" style="1119"/>
    <col min="5134" max="5134" width="0" style="1119" hidden="1" customWidth="1"/>
    <col min="5135" max="5376" width="9.140625" style="1119"/>
    <col min="5377" max="5377" width="12.42578125" style="1119" customWidth="1"/>
    <col min="5378" max="5378" width="20" style="1119" customWidth="1"/>
    <col min="5379" max="5379" width="16.140625" style="1119" customWidth="1"/>
    <col min="5380" max="5381" width="15.140625" style="1119" customWidth="1"/>
    <col min="5382" max="5382" width="30.7109375" style="1119" customWidth="1"/>
    <col min="5383" max="5383" width="10.7109375" style="1119" customWidth="1"/>
    <col min="5384" max="5384" width="5.7109375" style="1119" customWidth="1"/>
    <col min="5385" max="5385" width="11" style="1119" customWidth="1"/>
    <col min="5386" max="5386" width="32.42578125" style="1119" customWidth="1"/>
    <col min="5387" max="5389" width="9.140625" style="1119"/>
    <col min="5390" max="5390" width="0" style="1119" hidden="1" customWidth="1"/>
    <col min="5391" max="5632" width="9.140625" style="1119"/>
    <col min="5633" max="5633" width="12.42578125" style="1119" customWidth="1"/>
    <col min="5634" max="5634" width="20" style="1119" customWidth="1"/>
    <col min="5635" max="5635" width="16.140625" style="1119" customWidth="1"/>
    <col min="5636" max="5637" width="15.140625" style="1119" customWidth="1"/>
    <col min="5638" max="5638" width="30.7109375" style="1119" customWidth="1"/>
    <col min="5639" max="5639" width="10.7109375" style="1119" customWidth="1"/>
    <col min="5640" max="5640" width="5.7109375" style="1119" customWidth="1"/>
    <col min="5641" max="5641" width="11" style="1119" customWidth="1"/>
    <col min="5642" max="5642" width="32.42578125" style="1119" customWidth="1"/>
    <col min="5643" max="5645" width="9.140625" style="1119"/>
    <col min="5646" max="5646" width="0" style="1119" hidden="1" customWidth="1"/>
    <col min="5647" max="5888" width="9.140625" style="1119"/>
    <col min="5889" max="5889" width="12.42578125" style="1119" customWidth="1"/>
    <col min="5890" max="5890" width="20" style="1119" customWidth="1"/>
    <col min="5891" max="5891" width="16.140625" style="1119" customWidth="1"/>
    <col min="5892" max="5893" width="15.140625" style="1119" customWidth="1"/>
    <col min="5894" max="5894" width="30.7109375" style="1119" customWidth="1"/>
    <col min="5895" max="5895" width="10.7109375" style="1119" customWidth="1"/>
    <col min="5896" max="5896" width="5.7109375" style="1119" customWidth="1"/>
    <col min="5897" max="5897" width="11" style="1119" customWidth="1"/>
    <col min="5898" max="5898" width="32.42578125" style="1119" customWidth="1"/>
    <col min="5899" max="5901" width="9.140625" style="1119"/>
    <col min="5902" max="5902" width="0" style="1119" hidden="1" customWidth="1"/>
    <col min="5903" max="6144" width="9.140625" style="1119"/>
    <col min="6145" max="6145" width="12.42578125" style="1119" customWidth="1"/>
    <col min="6146" max="6146" width="20" style="1119" customWidth="1"/>
    <col min="6147" max="6147" width="16.140625" style="1119" customWidth="1"/>
    <col min="6148" max="6149" width="15.140625" style="1119" customWidth="1"/>
    <col min="6150" max="6150" width="30.7109375" style="1119" customWidth="1"/>
    <col min="6151" max="6151" width="10.7109375" style="1119" customWidth="1"/>
    <col min="6152" max="6152" width="5.7109375" style="1119" customWidth="1"/>
    <col min="6153" max="6153" width="11" style="1119" customWidth="1"/>
    <col min="6154" max="6154" width="32.42578125" style="1119" customWidth="1"/>
    <col min="6155" max="6157" width="9.140625" style="1119"/>
    <col min="6158" max="6158" width="0" style="1119" hidden="1" customWidth="1"/>
    <col min="6159" max="6400" width="9.140625" style="1119"/>
    <col min="6401" max="6401" width="12.42578125" style="1119" customWidth="1"/>
    <col min="6402" max="6402" width="20" style="1119" customWidth="1"/>
    <col min="6403" max="6403" width="16.140625" style="1119" customWidth="1"/>
    <col min="6404" max="6405" width="15.140625" style="1119" customWidth="1"/>
    <col min="6406" max="6406" width="30.7109375" style="1119" customWidth="1"/>
    <col min="6407" max="6407" width="10.7109375" style="1119" customWidth="1"/>
    <col min="6408" max="6408" width="5.7109375" style="1119" customWidth="1"/>
    <col min="6409" max="6409" width="11" style="1119" customWidth="1"/>
    <col min="6410" max="6410" width="32.42578125" style="1119" customWidth="1"/>
    <col min="6411" max="6413" width="9.140625" style="1119"/>
    <col min="6414" max="6414" width="0" style="1119" hidden="1" customWidth="1"/>
    <col min="6415" max="6656" width="9.140625" style="1119"/>
    <col min="6657" max="6657" width="12.42578125" style="1119" customWidth="1"/>
    <col min="6658" max="6658" width="20" style="1119" customWidth="1"/>
    <col min="6659" max="6659" width="16.140625" style="1119" customWidth="1"/>
    <col min="6660" max="6661" width="15.140625" style="1119" customWidth="1"/>
    <col min="6662" max="6662" width="30.7109375" style="1119" customWidth="1"/>
    <col min="6663" max="6663" width="10.7109375" style="1119" customWidth="1"/>
    <col min="6664" max="6664" width="5.7109375" style="1119" customWidth="1"/>
    <col min="6665" max="6665" width="11" style="1119" customWidth="1"/>
    <col min="6666" max="6666" width="32.42578125" style="1119" customWidth="1"/>
    <col min="6667" max="6669" width="9.140625" style="1119"/>
    <col min="6670" max="6670" width="0" style="1119" hidden="1" customWidth="1"/>
    <col min="6671" max="6912" width="9.140625" style="1119"/>
    <col min="6913" max="6913" width="12.42578125" style="1119" customWidth="1"/>
    <col min="6914" max="6914" width="20" style="1119" customWidth="1"/>
    <col min="6915" max="6915" width="16.140625" style="1119" customWidth="1"/>
    <col min="6916" max="6917" width="15.140625" style="1119" customWidth="1"/>
    <col min="6918" max="6918" width="30.7109375" style="1119" customWidth="1"/>
    <col min="6919" max="6919" width="10.7109375" style="1119" customWidth="1"/>
    <col min="6920" max="6920" width="5.7109375" style="1119" customWidth="1"/>
    <col min="6921" max="6921" width="11" style="1119" customWidth="1"/>
    <col min="6922" max="6922" width="32.42578125" style="1119" customWidth="1"/>
    <col min="6923" max="6925" width="9.140625" style="1119"/>
    <col min="6926" max="6926" width="0" style="1119" hidden="1" customWidth="1"/>
    <col min="6927" max="7168" width="9.140625" style="1119"/>
    <col min="7169" max="7169" width="12.42578125" style="1119" customWidth="1"/>
    <col min="7170" max="7170" width="20" style="1119" customWidth="1"/>
    <col min="7171" max="7171" width="16.140625" style="1119" customWidth="1"/>
    <col min="7172" max="7173" width="15.140625" style="1119" customWidth="1"/>
    <col min="7174" max="7174" width="30.7109375" style="1119" customWidth="1"/>
    <col min="7175" max="7175" width="10.7109375" style="1119" customWidth="1"/>
    <col min="7176" max="7176" width="5.7109375" style="1119" customWidth="1"/>
    <col min="7177" max="7177" width="11" style="1119" customWidth="1"/>
    <col min="7178" max="7178" width="32.42578125" style="1119" customWidth="1"/>
    <col min="7179" max="7181" width="9.140625" style="1119"/>
    <col min="7182" max="7182" width="0" style="1119" hidden="1" customWidth="1"/>
    <col min="7183" max="7424" width="9.140625" style="1119"/>
    <col min="7425" max="7425" width="12.42578125" style="1119" customWidth="1"/>
    <col min="7426" max="7426" width="20" style="1119" customWidth="1"/>
    <col min="7427" max="7427" width="16.140625" style="1119" customWidth="1"/>
    <col min="7428" max="7429" width="15.140625" style="1119" customWidth="1"/>
    <col min="7430" max="7430" width="30.7109375" style="1119" customWidth="1"/>
    <col min="7431" max="7431" width="10.7109375" style="1119" customWidth="1"/>
    <col min="7432" max="7432" width="5.7109375" style="1119" customWidth="1"/>
    <col min="7433" max="7433" width="11" style="1119" customWidth="1"/>
    <col min="7434" max="7434" width="32.42578125" style="1119" customWidth="1"/>
    <col min="7435" max="7437" width="9.140625" style="1119"/>
    <col min="7438" max="7438" width="0" style="1119" hidden="1" customWidth="1"/>
    <col min="7439" max="7680" width="9.140625" style="1119"/>
    <col min="7681" max="7681" width="12.42578125" style="1119" customWidth="1"/>
    <col min="7682" max="7682" width="20" style="1119" customWidth="1"/>
    <col min="7683" max="7683" width="16.140625" style="1119" customWidth="1"/>
    <col min="7684" max="7685" width="15.140625" style="1119" customWidth="1"/>
    <col min="7686" max="7686" width="30.7109375" style="1119" customWidth="1"/>
    <col min="7687" max="7687" width="10.7109375" style="1119" customWidth="1"/>
    <col min="7688" max="7688" width="5.7109375" style="1119" customWidth="1"/>
    <col min="7689" max="7689" width="11" style="1119" customWidth="1"/>
    <col min="7690" max="7690" width="32.42578125" style="1119" customWidth="1"/>
    <col min="7691" max="7693" width="9.140625" style="1119"/>
    <col min="7694" max="7694" width="0" style="1119" hidden="1" customWidth="1"/>
    <col min="7695" max="7936" width="9.140625" style="1119"/>
    <col min="7937" max="7937" width="12.42578125" style="1119" customWidth="1"/>
    <col min="7938" max="7938" width="20" style="1119" customWidth="1"/>
    <col min="7939" max="7939" width="16.140625" style="1119" customWidth="1"/>
    <col min="7940" max="7941" width="15.140625" style="1119" customWidth="1"/>
    <col min="7942" max="7942" width="30.7109375" style="1119" customWidth="1"/>
    <col min="7943" max="7943" width="10.7109375" style="1119" customWidth="1"/>
    <col min="7944" max="7944" width="5.7109375" style="1119" customWidth="1"/>
    <col min="7945" max="7945" width="11" style="1119" customWidth="1"/>
    <col min="7946" max="7946" width="32.42578125" style="1119" customWidth="1"/>
    <col min="7947" max="7949" width="9.140625" style="1119"/>
    <col min="7950" max="7950" width="0" style="1119" hidden="1" customWidth="1"/>
    <col min="7951" max="8192" width="9.140625" style="1119"/>
    <col min="8193" max="8193" width="12.42578125" style="1119" customWidth="1"/>
    <col min="8194" max="8194" width="20" style="1119" customWidth="1"/>
    <col min="8195" max="8195" width="16.140625" style="1119" customWidth="1"/>
    <col min="8196" max="8197" width="15.140625" style="1119" customWidth="1"/>
    <col min="8198" max="8198" width="30.7109375" style="1119" customWidth="1"/>
    <col min="8199" max="8199" width="10.7109375" style="1119" customWidth="1"/>
    <col min="8200" max="8200" width="5.7109375" style="1119" customWidth="1"/>
    <col min="8201" max="8201" width="11" style="1119" customWidth="1"/>
    <col min="8202" max="8202" width="32.42578125" style="1119" customWidth="1"/>
    <col min="8203" max="8205" width="9.140625" style="1119"/>
    <col min="8206" max="8206" width="0" style="1119" hidden="1" customWidth="1"/>
    <col min="8207" max="8448" width="9.140625" style="1119"/>
    <col min="8449" max="8449" width="12.42578125" style="1119" customWidth="1"/>
    <col min="8450" max="8450" width="20" style="1119" customWidth="1"/>
    <col min="8451" max="8451" width="16.140625" style="1119" customWidth="1"/>
    <col min="8452" max="8453" width="15.140625" style="1119" customWidth="1"/>
    <col min="8454" max="8454" width="30.7109375" style="1119" customWidth="1"/>
    <col min="8455" max="8455" width="10.7109375" style="1119" customWidth="1"/>
    <col min="8456" max="8456" width="5.7109375" style="1119" customWidth="1"/>
    <col min="8457" max="8457" width="11" style="1119" customWidth="1"/>
    <col min="8458" max="8458" width="32.42578125" style="1119" customWidth="1"/>
    <col min="8459" max="8461" width="9.140625" style="1119"/>
    <col min="8462" max="8462" width="0" style="1119" hidden="1" customWidth="1"/>
    <col min="8463" max="8704" width="9.140625" style="1119"/>
    <col min="8705" max="8705" width="12.42578125" style="1119" customWidth="1"/>
    <col min="8706" max="8706" width="20" style="1119" customWidth="1"/>
    <col min="8707" max="8707" width="16.140625" style="1119" customWidth="1"/>
    <col min="8708" max="8709" width="15.140625" style="1119" customWidth="1"/>
    <col min="8710" max="8710" width="30.7109375" style="1119" customWidth="1"/>
    <col min="8711" max="8711" width="10.7109375" style="1119" customWidth="1"/>
    <col min="8712" max="8712" width="5.7109375" style="1119" customWidth="1"/>
    <col min="8713" max="8713" width="11" style="1119" customWidth="1"/>
    <col min="8714" max="8714" width="32.42578125" style="1119" customWidth="1"/>
    <col min="8715" max="8717" width="9.140625" style="1119"/>
    <col min="8718" max="8718" width="0" style="1119" hidden="1" customWidth="1"/>
    <col min="8719" max="8960" width="9.140625" style="1119"/>
    <col min="8961" max="8961" width="12.42578125" style="1119" customWidth="1"/>
    <col min="8962" max="8962" width="20" style="1119" customWidth="1"/>
    <col min="8963" max="8963" width="16.140625" style="1119" customWidth="1"/>
    <col min="8964" max="8965" width="15.140625" style="1119" customWidth="1"/>
    <col min="8966" max="8966" width="30.7109375" style="1119" customWidth="1"/>
    <col min="8967" max="8967" width="10.7109375" style="1119" customWidth="1"/>
    <col min="8968" max="8968" width="5.7109375" style="1119" customWidth="1"/>
    <col min="8969" max="8969" width="11" style="1119" customWidth="1"/>
    <col min="8970" max="8970" width="32.42578125" style="1119" customWidth="1"/>
    <col min="8971" max="8973" width="9.140625" style="1119"/>
    <col min="8974" max="8974" width="0" style="1119" hidden="1" customWidth="1"/>
    <col min="8975" max="9216" width="9.140625" style="1119"/>
    <col min="9217" max="9217" width="12.42578125" style="1119" customWidth="1"/>
    <col min="9218" max="9218" width="20" style="1119" customWidth="1"/>
    <col min="9219" max="9219" width="16.140625" style="1119" customWidth="1"/>
    <col min="9220" max="9221" width="15.140625" style="1119" customWidth="1"/>
    <col min="9222" max="9222" width="30.7109375" style="1119" customWidth="1"/>
    <col min="9223" max="9223" width="10.7109375" style="1119" customWidth="1"/>
    <col min="9224" max="9224" width="5.7109375" style="1119" customWidth="1"/>
    <col min="9225" max="9225" width="11" style="1119" customWidth="1"/>
    <col min="9226" max="9226" width="32.42578125" style="1119" customWidth="1"/>
    <col min="9227" max="9229" width="9.140625" style="1119"/>
    <col min="9230" max="9230" width="0" style="1119" hidden="1" customWidth="1"/>
    <col min="9231" max="9472" width="9.140625" style="1119"/>
    <col min="9473" max="9473" width="12.42578125" style="1119" customWidth="1"/>
    <col min="9474" max="9474" width="20" style="1119" customWidth="1"/>
    <col min="9475" max="9475" width="16.140625" style="1119" customWidth="1"/>
    <col min="9476" max="9477" width="15.140625" style="1119" customWidth="1"/>
    <col min="9478" max="9478" width="30.7109375" style="1119" customWidth="1"/>
    <col min="9479" max="9479" width="10.7109375" style="1119" customWidth="1"/>
    <col min="9480" max="9480" width="5.7109375" style="1119" customWidth="1"/>
    <col min="9481" max="9481" width="11" style="1119" customWidth="1"/>
    <col min="9482" max="9482" width="32.42578125" style="1119" customWidth="1"/>
    <col min="9483" max="9485" width="9.140625" style="1119"/>
    <col min="9486" max="9486" width="0" style="1119" hidden="1" customWidth="1"/>
    <col min="9487" max="9728" width="9.140625" style="1119"/>
    <col min="9729" max="9729" width="12.42578125" style="1119" customWidth="1"/>
    <col min="9730" max="9730" width="20" style="1119" customWidth="1"/>
    <col min="9731" max="9731" width="16.140625" style="1119" customWidth="1"/>
    <col min="9732" max="9733" width="15.140625" style="1119" customWidth="1"/>
    <col min="9734" max="9734" width="30.7109375" style="1119" customWidth="1"/>
    <col min="9735" max="9735" width="10.7109375" style="1119" customWidth="1"/>
    <col min="9736" max="9736" width="5.7109375" style="1119" customWidth="1"/>
    <col min="9737" max="9737" width="11" style="1119" customWidth="1"/>
    <col min="9738" max="9738" width="32.42578125" style="1119" customWidth="1"/>
    <col min="9739" max="9741" width="9.140625" style="1119"/>
    <col min="9742" max="9742" width="0" style="1119" hidden="1" customWidth="1"/>
    <col min="9743" max="9984" width="9.140625" style="1119"/>
    <col min="9985" max="9985" width="12.42578125" style="1119" customWidth="1"/>
    <col min="9986" max="9986" width="20" style="1119" customWidth="1"/>
    <col min="9987" max="9987" width="16.140625" style="1119" customWidth="1"/>
    <col min="9988" max="9989" width="15.140625" style="1119" customWidth="1"/>
    <col min="9990" max="9990" width="30.7109375" style="1119" customWidth="1"/>
    <col min="9991" max="9991" width="10.7109375" style="1119" customWidth="1"/>
    <col min="9992" max="9992" width="5.7109375" style="1119" customWidth="1"/>
    <col min="9993" max="9993" width="11" style="1119" customWidth="1"/>
    <col min="9994" max="9994" width="32.42578125" style="1119" customWidth="1"/>
    <col min="9995" max="9997" width="9.140625" style="1119"/>
    <col min="9998" max="9998" width="0" style="1119" hidden="1" customWidth="1"/>
    <col min="9999" max="10240" width="9.140625" style="1119"/>
    <col min="10241" max="10241" width="12.42578125" style="1119" customWidth="1"/>
    <col min="10242" max="10242" width="20" style="1119" customWidth="1"/>
    <col min="10243" max="10243" width="16.140625" style="1119" customWidth="1"/>
    <col min="10244" max="10245" width="15.140625" style="1119" customWidth="1"/>
    <col min="10246" max="10246" width="30.7109375" style="1119" customWidth="1"/>
    <col min="10247" max="10247" width="10.7109375" style="1119" customWidth="1"/>
    <col min="10248" max="10248" width="5.7109375" style="1119" customWidth="1"/>
    <col min="10249" max="10249" width="11" style="1119" customWidth="1"/>
    <col min="10250" max="10250" width="32.42578125" style="1119" customWidth="1"/>
    <col min="10251" max="10253" width="9.140625" style="1119"/>
    <col min="10254" max="10254" width="0" style="1119" hidden="1" customWidth="1"/>
    <col min="10255" max="10496" width="9.140625" style="1119"/>
    <col min="10497" max="10497" width="12.42578125" style="1119" customWidth="1"/>
    <col min="10498" max="10498" width="20" style="1119" customWidth="1"/>
    <col min="10499" max="10499" width="16.140625" style="1119" customWidth="1"/>
    <col min="10500" max="10501" width="15.140625" style="1119" customWidth="1"/>
    <col min="10502" max="10502" width="30.7109375" style="1119" customWidth="1"/>
    <col min="10503" max="10503" width="10.7109375" style="1119" customWidth="1"/>
    <col min="10504" max="10504" width="5.7109375" style="1119" customWidth="1"/>
    <col min="10505" max="10505" width="11" style="1119" customWidth="1"/>
    <col min="10506" max="10506" width="32.42578125" style="1119" customWidth="1"/>
    <col min="10507" max="10509" width="9.140625" style="1119"/>
    <col min="10510" max="10510" width="0" style="1119" hidden="1" customWidth="1"/>
    <col min="10511" max="10752" width="9.140625" style="1119"/>
    <col min="10753" max="10753" width="12.42578125" style="1119" customWidth="1"/>
    <col min="10754" max="10754" width="20" style="1119" customWidth="1"/>
    <col min="10755" max="10755" width="16.140625" style="1119" customWidth="1"/>
    <col min="10756" max="10757" width="15.140625" style="1119" customWidth="1"/>
    <col min="10758" max="10758" width="30.7109375" style="1119" customWidth="1"/>
    <col min="10759" max="10759" width="10.7109375" style="1119" customWidth="1"/>
    <col min="10760" max="10760" width="5.7109375" style="1119" customWidth="1"/>
    <col min="10761" max="10761" width="11" style="1119" customWidth="1"/>
    <col min="10762" max="10762" width="32.42578125" style="1119" customWidth="1"/>
    <col min="10763" max="10765" width="9.140625" style="1119"/>
    <col min="10766" max="10766" width="0" style="1119" hidden="1" customWidth="1"/>
    <col min="10767" max="11008" width="9.140625" style="1119"/>
    <col min="11009" max="11009" width="12.42578125" style="1119" customWidth="1"/>
    <col min="11010" max="11010" width="20" style="1119" customWidth="1"/>
    <col min="11011" max="11011" width="16.140625" style="1119" customWidth="1"/>
    <col min="11012" max="11013" width="15.140625" style="1119" customWidth="1"/>
    <col min="11014" max="11014" width="30.7109375" style="1119" customWidth="1"/>
    <col min="11015" max="11015" width="10.7109375" style="1119" customWidth="1"/>
    <col min="11016" max="11016" width="5.7109375" style="1119" customWidth="1"/>
    <col min="11017" max="11017" width="11" style="1119" customWidth="1"/>
    <col min="11018" max="11018" width="32.42578125" style="1119" customWidth="1"/>
    <col min="11019" max="11021" width="9.140625" style="1119"/>
    <col min="11022" max="11022" width="0" style="1119" hidden="1" customWidth="1"/>
    <col min="11023" max="11264" width="9.140625" style="1119"/>
    <col min="11265" max="11265" width="12.42578125" style="1119" customWidth="1"/>
    <col min="11266" max="11266" width="20" style="1119" customWidth="1"/>
    <col min="11267" max="11267" width="16.140625" style="1119" customWidth="1"/>
    <col min="11268" max="11269" width="15.140625" style="1119" customWidth="1"/>
    <col min="11270" max="11270" width="30.7109375" style="1119" customWidth="1"/>
    <col min="11271" max="11271" width="10.7109375" style="1119" customWidth="1"/>
    <col min="11272" max="11272" width="5.7109375" style="1119" customWidth="1"/>
    <col min="11273" max="11273" width="11" style="1119" customWidth="1"/>
    <col min="11274" max="11274" width="32.42578125" style="1119" customWidth="1"/>
    <col min="11275" max="11277" width="9.140625" style="1119"/>
    <col min="11278" max="11278" width="0" style="1119" hidden="1" customWidth="1"/>
    <col min="11279" max="11520" width="9.140625" style="1119"/>
    <col min="11521" max="11521" width="12.42578125" style="1119" customWidth="1"/>
    <col min="11522" max="11522" width="20" style="1119" customWidth="1"/>
    <col min="11523" max="11523" width="16.140625" style="1119" customWidth="1"/>
    <col min="11524" max="11525" width="15.140625" style="1119" customWidth="1"/>
    <col min="11526" max="11526" width="30.7109375" style="1119" customWidth="1"/>
    <col min="11527" max="11527" width="10.7109375" style="1119" customWidth="1"/>
    <col min="11528" max="11528" width="5.7109375" style="1119" customWidth="1"/>
    <col min="11529" max="11529" width="11" style="1119" customWidth="1"/>
    <col min="11530" max="11530" width="32.42578125" style="1119" customWidth="1"/>
    <col min="11531" max="11533" width="9.140625" style="1119"/>
    <col min="11534" max="11534" width="0" style="1119" hidden="1" customWidth="1"/>
    <col min="11535" max="11776" width="9.140625" style="1119"/>
    <col min="11777" max="11777" width="12.42578125" style="1119" customWidth="1"/>
    <col min="11778" max="11778" width="20" style="1119" customWidth="1"/>
    <col min="11779" max="11779" width="16.140625" style="1119" customWidth="1"/>
    <col min="11780" max="11781" width="15.140625" style="1119" customWidth="1"/>
    <col min="11782" max="11782" width="30.7109375" style="1119" customWidth="1"/>
    <col min="11783" max="11783" width="10.7109375" style="1119" customWidth="1"/>
    <col min="11784" max="11784" width="5.7109375" style="1119" customWidth="1"/>
    <col min="11785" max="11785" width="11" style="1119" customWidth="1"/>
    <col min="11786" max="11786" width="32.42578125" style="1119" customWidth="1"/>
    <col min="11787" max="11789" width="9.140625" style="1119"/>
    <col min="11790" max="11790" width="0" style="1119" hidden="1" customWidth="1"/>
    <col min="11791" max="12032" width="9.140625" style="1119"/>
    <col min="12033" max="12033" width="12.42578125" style="1119" customWidth="1"/>
    <col min="12034" max="12034" width="20" style="1119" customWidth="1"/>
    <col min="12035" max="12035" width="16.140625" style="1119" customWidth="1"/>
    <col min="12036" max="12037" width="15.140625" style="1119" customWidth="1"/>
    <col min="12038" max="12038" width="30.7109375" style="1119" customWidth="1"/>
    <col min="12039" max="12039" width="10.7109375" style="1119" customWidth="1"/>
    <col min="12040" max="12040" width="5.7109375" style="1119" customWidth="1"/>
    <col min="12041" max="12041" width="11" style="1119" customWidth="1"/>
    <col min="12042" max="12042" width="32.42578125" style="1119" customWidth="1"/>
    <col min="12043" max="12045" width="9.140625" style="1119"/>
    <col min="12046" max="12046" width="0" style="1119" hidden="1" customWidth="1"/>
    <col min="12047" max="12288" width="9.140625" style="1119"/>
    <col min="12289" max="12289" width="12.42578125" style="1119" customWidth="1"/>
    <col min="12290" max="12290" width="20" style="1119" customWidth="1"/>
    <col min="12291" max="12291" width="16.140625" style="1119" customWidth="1"/>
    <col min="12292" max="12293" width="15.140625" style="1119" customWidth="1"/>
    <col min="12294" max="12294" width="30.7109375" style="1119" customWidth="1"/>
    <col min="12295" max="12295" width="10.7109375" style="1119" customWidth="1"/>
    <col min="12296" max="12296" width="5.7109375" style="1119" customWidth="1"/>
    <col min="12297" max="12297" width="11" style="1119" customWidth="1"/>
    <col min="12298" max="12298" width="32.42578125" style="1119" customWidth="1"/>
    <col min="12299" max="12301" width="9.140625" style="1119"/>
    <col min="12302" max="12302" width="0" style="1119" hidden="1" customWidth="1"/>
    <col min="12303" max="12544" width="9.140625" style="1119"/>
    <col min="12545" max="12545" width="12.42578125" style="1119" customWidth="1"/>
    <col min="12546" max="12546" width="20" style="1119" customWidth="1"/>
    <col min="12547" max="12547" width="16.140625" style="1119" customWidth="1"/>
    <col min="12548" max="12549" width="15.140625" style="1119" customWidth="1"/>
    <col min="12550" max="12550" width="30.7109375" style="1119" customWidth="1"/>
    <col min="12551" max="12551" width="10.7109375" style="1119" customWidth="1"/>
    <col min="12552" max="12552" width="5.7109375" style="1119" customWidth="1"/>
    <col min="12553" max="12553" width="11" style="1119" customWidth="1"/>
    <col min="12554" max="12554" width="32.42578125" style="1119" customWidth="1"/>
    <col min="12555" max="12557" width="9.140625" style="1119"/>
    <col min="12558" max="12558" width="0" style="1119" hidden="1" customWidth="1"/>
    <col min="12559" max="12800" width="9.140625" style="1119"/>
    <col min="12801" max="12801" width="12.42578125" style="1119" customWidth="1"/>
    <col min="12802" max="12802" width="20" style="1119" customWidth="1"/>
    <col min="12803" max="12803" width="16.140625" style="1119" customWidth="1"/>
    <col min="12804" max="12805" width="15.140625" style="1119" customWidth="1"/>
    <col min="12806" max="12806" width="30.7109375" style="1119" customWidth="1"/>
    <col min="12807" max="12807" width="10.7109375" style="1119" customWidth="1"/>
    <col min="12808" max="12808" width="5.7109375" style="1119" customWidth="1"/>
    <col min="12809" max="12809" width="11" style="1119" customWidth="1"/>
    <col min="12810" max="12810" width="32.42578125" style="1119" customWidth="1"/>
    <col min="12811" max="12813" width="9.140625" style="1119"/>
    <col min="12814" max="12814" width="0" style="1119" hidden="1" customWidth="1"/>
    <col min="12815" max="13056" width="9.140625" style="1119"/>
    <col min="13057" max="13057" width="12.42578125" style="1119" customWidth="1"/>
    <col min="13058" max="13058" width="20" style="1119" customWidth="1"/>
    <col min="13059" max="13059" width="16.140625" style="1119" customWidth="1"/>
    <col min="13060" max="13061" width="15.140625" style="1119" customWidth="1"/>
    <col min="13062" max="13062" width="30.7109375" style="1119" customWidth="1"/>
    <col min="13063" max="13063" width="10.7109375" style="1119" customWidth="1"/>
    <col min="13064" max="13064" width="5.7109375" style="1119" customWidth="1"/>
    <col min="13065" max="13065" width="11" style="1119" customWidth="1"/>
    <col min="13066" max="13066" width="32.42578125" style="1119" customWidth="1"/>
    <col min="13067" max="13069" width="9.140625" style="1119"/>
    <col min="13070" max="13070" width="0" style="1119" hidden="1" customWidth="1"/>
    <col min="13071" max="13312" width="9.140625" style="1119"/>
    <col min="13313" max="13313" width="12.42578125" style="1119" customWidth="1"/>
    <col min="13314" max="13314" width="20" style="1119" customWidth="1"/>
    <col min="13315" max="13315" width="16.140625" style="1119" customWidth="1"/>
    <col min="13316" max="13317" width="15.140625" style="1119" customWidth="1"/>
    <col min="13318" max="13318" width="30.7109375" style="1119" customWidth="1"/>
    <col min="13319" max="13319" width="10.7109375" style="1119" customWidth="1"/>
    <col min="13320" max="13320" width="5.7109375" style="1119" customWidth="1"/>
    <col min="13321" max="13321" width="11" style="1119" customWidth="1"/>
    <col min="13322" max="13322" width="32.42578125" style="1119" customWidth="1"/>
    <col min="13323" max="13325" width="9.140625" style="1119"/>
    <col min="13326" max="13326" width="0" style="1119" hidden="1" customWidth="1"/>
    <col min="13327" max="13568" width="9.140625" style="1119"/>
    <col min="13569" max="13569" width="12.42578125" style="1119" customWidth="1"/>
    <col min="13570" max="13570" width="20" style="1119" customWidth="1"/>
    <col min="13571" max="13571" width="16.140625" style="1119" customWidth="1"/>
    <col min="13572" max="13573" width="15.140625" style="1119" customWidth="1"/>
    <col min="13574" max="13574" width="30.7109375" style="1119" customWidth="1"/>
    <col min="13575" max="13575" width="10.7109375" style="1119" customWidth="1"/>
    <col min="13576" max="13576" width="5.7109375" style="1119" customWidth="1"/>
    <col min="13577" max="13577" width="11" style="1119" customWidth="1"/>
    <col min="13578" max="13578" width="32.42578125" style="1119" customWidth="1"/>
    <col min="13579" max="13581" width="9.140625" style="1119"/>
    <col min="13582" max="13582" width="0" style="1119" hidden="1" customWidth="1"/>
    <col min="13583" max="13824" width="9.140625" style="1119"/>
    <col min="13825" max="13825" width="12.42578125" style="1119" customWidth="1"/>
    <col min="13826" max="13826" width="20" style="1119" customWidth="1"/>
    <col min="13827" max="13827" width="16.140625" style="1119" customWidth="1"/>
    <col min="13828" max="13829" width="15.140625" style="1119" customWidth="1"/>
    <col min="13830" max="13830" width="30.7109375" style="1119" customWidth="1"/>
    <col min="13831" max="13831" width="10.7109375" style="1119" customWidth="1"/>
    <col min="13832" max="13832" width="5.7109375" style="1119" customWidth="1"/>
    <col min="13833" max="13833" width="11" style="1119" customWidth="1"/>
    <col min="13834" max="13834" width="32.42578125" style="1119" customWidth="1"/>
    <col min="13835" max="13837" width="9.140625" style="1119"/>
    <col min="13838" max="13838" width="0" style="1119" hidden="1" customWidth="1"/>
    <col min="13839" max="14080" width="9.140625" style="1119"/>
    <col min="14081" max="14081" width="12.42578125" style="1119" customWidth="1"/>
    <col min="14082" max="14082" width="20" style="1119" customWidth="1"/>
    <col min="14083" max="14083" width="16.140625" style="1119" customWidth="1"/>
    <col min="14084" max="14085" width="15.140625" style="1119" customWidth="1"/>
    <col min="14086" max="14086" width="30.7109375" style="1119" customWidth="1"/>
    <col min="14087" max="14087" width="10.7109375" style="1119" customWidth="1"/>
    <col min="14088" max="14088" width="5.7109375" style="1119" customWidth="1"/>
    <col min="14089" max="14089" width="11" style="1119" customWidth="1"/>
    <col min="14090" max="14090" width="32.42578125" style="1119" customWidth="1"/>
    <col min="14091" max="14093" width="9.140625" style="1119"/>
    <col min="14094" max="14094" width="0" style="1119" hidden="1" customWidth="1"/>
    <col min="14095" max="14336" width="9.140625" style="1119"/>
    <col min="14337" max="14337" width="12.42578125" style="1119" customWidth="1"/>
    <col min="14338" max="14338" width="20" style="1119" customWidth="1"/>
    <col min="14339" max="14339" width="16.140625" style="1119" customWidth="1"/>
    <col min="14340" max="14341" width="15.140625" style="1119" customWidth="1"/>
    <col min="14342" max="14342" width="30.7109375" style="1119" customWidth="1"/>
    <col min="14343" max="14343" width="10.7109375" style="1119" customWidth="1"/>
    <col min="14344" max="14344" width="5.7109375" style="1119" customWidth="1"/>
    <col min="14345" max="14345" width="11" style="1119" customWidth="1"/>
    <col min="14346" max="14346" width="32.42578125" style="1119" customWidth="1"/>
    <col min="14347" max="14349" width="9.140625" style="1119"/>
    <col min="14350" max="14350" width="0" style="1119" hidden="1" customWidth="1"/>
    <col min="14351" max="14592" width="9.140625" style="1119"/>
    <col min="14593" max="14593" width="12.42578125" style="1119" customWidth="1"/>
    <col min="14594" max="14594" width="20" style="1119" customWidth="1"/>
    <col min="14595" max="14595" width="16.140625" style="1119" customWidth="1"/>
    <col min="14596" max="14597" width="15.140625" style="1119" customWidth="1"/>
    <col min="14598" max="14598" width="30.7109375" style="1119" customWidth="1"/>
    <col min="14599" max="14599" width="10.7109375" style="1119" customWidth="1"/>
    <col min="14600" max="14600" width="5.7109375" style="1119" customWidth="1"/>
    <col min="14601" max="14601" width="11" style="1119" customWidth="1"/>
    <col min="14602" max="14602" width="32.42578125" style="1119" customWidth="1"/>
    <col min="14603" max="14605" width="9.140625" style="1119"/>
    <col min="14606" max="14606" width="0" style="1119" hidden="1" customWidth="1"/>
    <col min="14607" max="14848" width="9.140625" style="1119"/>
    <col min="14849" max="14849" width="12.42578125" style="1119" customWidth="1"/>
    <col min="14850" max="14850" width="20" style="1119" customWidth="1"/>
    <col min="14851" max="14851" width="16.140625" style="1119" customWidth="1"/>
    <col min="14852" max="14853" width="15.140625" style="1119" customWidth="1"/>
    <col min="14854" max="14854" width="30.7109375" style="1119" customWidth="1"/>
    <col min="14855" max="14855" width="10.7109375" style="1119" customWidth="1"/>
    <col min="14856" max="14856" width="5.7109375" style="1119" customWidth="1"/>
    <col min="14857" max="14857" width="11" style="1119" customWidth="1"/>
    <col min="14858" max="14858" width="32.42578125" style="1119" customWidth="1"/>
    <col min="14859" max="14861" width="9.140625" style="1119"/>
    <col min="14862" max="14862" width="0" style="1119" hidden="1" customWidth="1"/>
    <col min="14863" max="15104" width="9.140625" style="1119"/>
    <col min="15105" max="15105" width="12.42578125" style="1119" customWidth="1"/>
    <col min="15106" max="15106" width="20" style="1119" customWidth="1"/>
    <col min="15107" max="15107" width="16.140625" style="1119" customWidth="1"/>
    <col min="15108" max="15109" width="15.140625" style="1119" customWidth="1"/>
    <col min="15110" max="15110" width="30.7109375" style="1119" customWidth="1"/>
    <col min="15111" max="15111" width="10.7109375" style="1119" customWidth="1"/>
    <col min="15112" max="15112" width="5.7109375" style="1119" customWidth="1"/>
    <col min="15113" max="15113" width="11" style="1119" customWidth="1"/>
    <col min="15114" max="15114" width="32.42578125" style="1119" customWidth="1"/>
    <col min="15115" max="15117" width="9.140625" style="1119"/>
    <col min="15118" max="15118" width="0" style="1119" hidden="1" customWidth="1"/>
    <col min="15119" max="15360" width="9.140625" style="1119"/>
    <col min="15361" max="15361" width="12.42578125" style="1119" customWidth="1"/>
    <col min="15362" max="15362" width="20" style="1119" customWidth="1"/>
    <col min="15363" max="15363" width="16.140625" style="1119" customWidth="1"/>
    <col min="15364" max="15365" width="15.140625" style="1119" customWidth="1"/>
    <col min="15366" max="15366" width="30.7109375" style="1119" customWidth="1"/>
    <col min="15367" max="15367" width="10.7109375" style="1119" customWidth="1"/>
    <col min="15368" max="15368" width="5.7109375" style="1119" customWidth="1"/>
    <col min="15369" max="15369" width="11" style="1119" customWidth="1"/>
    <col min="15370" max="15370" width="32.42578125" style="1119" customWidth="1"/>
    <col min="15371" max="15373" width="9.140625" style="1119"/>
    <col min="15374" max="15374" width="0" style="1119" hidden="1" customWidth="1"/>
    <col min="15375" max="15616" width="9.140625" style="1119"/>
    <col min="15617" max="15617" width="12.42578125" style="1119" customWidth="1"/>
    <col min="15618" max="15618" width="20" style="1119" customWidth="1"/>
    <col min="15619" max="15619" width="16.140625" style="1119" customWidth="1"/>
    <col min="15620" max="15621" width="15.140625" style="1119" customWidth="1"/>
    <col min="15622" max="15622" width="30.7109375" style="1119" customWidth="1"/>
    <col min="15623" max="15623" width="10.7109375" style="1119" customWidth="1"/>
    <col min="15624" max="15624" width="5.7109375" style="1119" customWidth="1"/>
    <col min="15625" max="15625" width="11" style="1119" customWidth="1"/>
    <col min="15626" max="15626" width="32.42578125" style="1119" customWidth="1"/>
    <col min="15627" max="15629" width="9.140625" style="1119"/>
    <col min="15630" max="15630" width="0" style="1119" hidden="1" customWidth="1"/>
    <col min="15631" max="15872" width="9.140625" style="1119"/>
    <col min="15873" max="15873" width="12.42578125" style="1119" customWidth="1"/>
    <col min="15874" max="15874" width="20" style="1119" customWidth="1"/>
    <col min="15875" max="15875" width="16.140625" style="1119" customWidth="1"/>
    <col min="15876" max="15877" width="15.140625" style="1119" customWidth="1"/>
    <col min="15878" max="15878" width="30.7109375" style="1119" customWidth="1"/>
    <col min="15879" max="15879" width="10.7109375" style="1119" customWidth="1"/>
    <col min="15880" max="15880" width="5.7109375" style="1119" customWidth="1"/>
    <col min="15881" max="15881" width="11" style="1119" customWidth="1"/>
    <col min="15882" max="15882" width="32.42578125" style="1119" customWidth="1"/>
    <col min="15883" max="15885" width="9.140625" style="1119"/>
    <col min="15886" max="15886" width="0" style="1119" hidden="1" customWidth="1"/>
    <col min="15887" max="16128" width="9.140625" style="1119"/>
    <col min="16129" max="16129" width="12.42578125" style="1119" customWidth="1"/>
    <col min="16130" max="16130" width="20" style="1119" customWidth="1"/>
    <col min="16131" max="16131" width="16.140625" style="1119" customWidth="1"/>
    <col min="16132" max="16133" width="15.140625" style="1119" customWidth="1"/>
    <col min="16134" max="16134" width="30.7109375" style="1119" customWidth="1"/>
    <col min="16135" max="16135" width="10.7109375" style="1119" customWidth="1"/>
    <col min="16136" max="16136" width="5.7109375" style="1119" customWidth="1"/>
    <col min="16137" max="16137" width="11" style="1119" customWidth="1"/>
    <col min="16138" max="16138" width="32.42578125" style="1119" customWidth="1"/>
    <col min="16139" max="16141" width="9.140625" style="1119"/>
    <col min="16142" max="16142" width="0" style="1119" hidden="1" customWidth="1"/>
    <col min="16143" max="16384" width="9.140625" style="1119"/>
  </cols>
  <sheetData>
    <row r="1" spans="1:11" ht="18.75">
      <c r="A1" s="1881" t="s">
        <v>3609</v>
      </c>
      <c r="B1" s="1092" t="s">
        <v>4174</v>
      </c>
      <c r="C1" s="1012"/>
      <c r="D1" s="1012"/>
      <c r="E1" s="1186"/>
      <c r="F1" s="905"/>
      <c r="G1" s="905"/>
      <c r="H1" s="2472" t="s">
        <v>2595</v>
      </c>
      <c r="I1" s="2472"/>
      <c r="J1" s="1193" t="s">
        <v>3610</v>
      </c>
    </row>
    <row r="2" spans="1:11">
      <c r="B2" s="1034" t="s">
        <v>3198</v>
      </c>
      <c r="C2" s="1035">
        <f>'Basic Info'!C29:D29</f>
        <v>0</v>
      </c>
      <c r="D2" s="923"/>
      <c r="E2" s="923"/>
      <c r="F2" s="923"/>
      <c r="G2" s="923"/>
      <c r="H2" s="2502"/>
      <c r="I2" s="2502"/>
      <c r="J2" s="1006"/>
    </row>
    <row r="3" spans="1:11">
      <c r="B3" s="923"/>
      <c r="C3" s="923"/>
      <c r="D3" s="923"/>
      <c r="E3" s="923"/>
      <c r="F3" s="923"/>
      <c r="G3" s="923"/>
      <c r="H3" s="2502"/>
      <c r="I3" s="2502"/>
      <c r="J3" s="1006"/>
    </row>
    <row r="4" spans="1:11">
      <c r="C4" s="923"/>
      <c r="D4" s="923"/>
      <c r="E4" s="923"/>
      <c r="F4" s="923"/>
      <c r="G4" s="923"/>
      <c r="H4" s="2502"/>
      <c r="I4" s="2502"/>
      <c r="J4" s="1006"/>
    </row>
    <row r="5" spans="1:11">
      <c r="B5" s="1239" t="s">
        <v>3981</v>
      </c>
      <c r="C5" s="923"/>
      <c r="D5" s="923"/>
      <c r="E5" s="923"/>
      <c r="F5" s="923"/>
      <c r="G5" s="923"/>
      <c r="H5" s="1225"/>
      <c r="I5" s="1225"/>
      <c r="J5" s="1226"/>
    </row>
    <row r="6" spans="1:11" ht="25.5" customHeight="1">
      <c r="B6" s="2395" t="s">
        <v>3778</v>
      </c>
      <c r="C6" s="2395"/>
      <c r="D6" s="2395"/>
      <c r="E6" s="2395"/>
      <c r="F6" s="2395"/>
      <c r="G6" s="2395"/>
      <c r="H6" s="2395"/>
      <c r="I6" s="2395"/>
      <c r="J6" s="2395"/>
    </row>
    <row r="7" spans="1:11">
      <c r="B7" s="2395" t="s">
        <v>3779</v>
      </c>
      <c r="C7" s="2395"/>
      <c r="D7" s="2395"/>
      <c r="E7" s="2395"/>
      <c r="F7" s="2395"/>
      <c r="G7" s="2395"/>
      <c r="H7" s="923"/>
      <c r="I7" s="923"/>
      <c r="J7" s="1122"/>
    </row>
    <row r="8" spans="1:11">
      <c r="A8" s="1298"/>
      <c r="B8" s="2395" t="s">
        <v>3780</v>
      </c>
      <c r="C8" s="2395"/>
      <c r="D8" s="2395"/>
      <c r="E8" s="2395"/>
      <c r="F8" s="2395"/>
      <c r="G8" s="2395"/>
      <c r="H8" s="923"/>
      <c r="I8" s="923"/>
      <c r="J8" s="1122"/>
      <c r="K8" s="1298"/>
    </row>
    <row r="9" spans="1:11">
      <c r="A9" s="1298"/>
      <c r="B9" s="2395" t="s">
        <v>3781</v>
      </c>
      <c r="C9" s="2395"/>
      <c r="D9" s="2395"/>
      <c r="E9" s="2395"/>
      <c r="F9" s="2395"/>
      <c r="G9" s="2395"/>
      <c r="H9" s="923"/>
      <c r="I9" s="923"/>
      <c r="J9" s="1122"/>
      <c r="K9" s="898"/>
    </row>
    <row r="10" spans="1:11" ht="13.5" customHeight="1">
      <c r="A10" s="1298"/>
      <c r="B10" s="2395" t="s">
        <v>3782</v>
      </c>
      <c r="C10" s="2395"/>
      <c r="D10" s="2395"/>
      <c r="E10" s="2395"/>
      <c r="F10" s="2395"/>
      <c r="G10" s="2395"/>
      <c r="H10" s="923"/>
      <c r="I10" s="923"/>
      <c r="J10" s="1122"/>
      <c r="K10" s="898"/>
    </row>
    <row r="11" spans="1:11" ht="13.5" customHeight="1">
      <c r="A11" s="1298"/>
      <c r="B11" s="2395" t="s">
        <v>3783</v>
      </c>
      <c r="C11" s="2395"/>
      <c r="D11" s="2395"/>
      <c r="E11" s="2395"/>
      <c r="F11" s="2395"/>
      <c r="G11" s="2395"/>
      <c r="H11" s="923"/>
      <c r="I11" s="923"/>
      <c r="J11" s="1122"/>
      <c r="K11" s="898"/>
    </row>
    <row r="12" spans="1:11" ht="13.5" customHeight="1">
      <c r="A12" s="1298"/>
      <c r="B12" s="967" t="s">
        <v>3765</v>
      </c>
      <c r="C12" s="923"/>
      <c r="D12" s="923"/>
      <c r="E12" s="923"/>
      <c r="F12" s="923"/>
      <c r="G12" s="923"/>
      <c r="H12" s="923"/>
      <c r="I12" s="923"/>
      <c r="J12" s="1122"/>
      <c r="K12" s="898"/>
    </row>
    <row r="13" spans="1:11" ht="13.5" customHeight="1">
      <c r="A13" s="1298"/>
      <c r="B13" s="1239" t="s">
        <v>3927</v>
      </c>
      <c r="C13" s="923"/>
      <c r="D13" s="923"/>
      <c r="E13" s="923"/>
      <c r="F13" s="923"/>
      <c r="G13" s="923"/>
      <c r="H13" s="923"/>
      <c r="I13" s="923"/>
      <c r="J13" s="1122"/>
      <c r="K13" s="898"/>
    </row>
    <row r="14" spans="1:11" ht="13.5" customHeight="1">
      <c r="A14" s="1298"/>
      <c r="B14" s="923" t="s">
        <v>3613</v>
      </c>
      <c r="C14" s="923"/>
      <c r="D14" s="923"/>
      <c r="E14" s="923"/>
      <c r="F14" s="923"/>
      <c r="G14" s="923"/>
      <c r="H14" s="923"/>
      <c r="I14" s="923"/>
      <c r="J14" s="923"/>
      <c r="K14" s="898"/>
    </row>
    <row r="15" spans="1:11" ht="13.5" customHeight="1">
      <c r="A15" s="1298"/>
      <c r="B15" s="923" t="s">
        <v>3661</v>
      </c>
      <c r="C15" s="923"/>
      <c r="D15" s="923"/>
      <c r="E15" s="923"/>
      <c r="F15" s="923"/>
      <c r="G15" s="923"/>
      <c r="H15" s="923"/>
      <c r="I15" s="923"/>
      <c r="J15" s="923"/>
      <c r="K15" s="1298"/>
    </row>
    <row r="16" spans="1:11">
      <c r="A16" s="1298"/>
      <c r="B16" s="923" t="s">
        <v>3784</v>
      </c>
      <c r="C16" s="923"/>
      <c r="D16" s="923"/>
      <c r="E16" s="923"/>
      <c r="F16" s="923"/>
      <c r="G16" s="923"/>
      <c r="H16" s="923"/>
      <c r="I16" s="923"/>
      <c r="J16" s="923"/>
      <c r="K16" s="1298"/>
    </row>
    <row r="17" spans="1:11">
      <c r="A17" s="1298"/>
      <c r="B17" s="923"/>
      <c r="C17" s="923"/>
      <c r="D17" s="923"/>
      <c r="E17" s="923"/>
      <c r="F17" s="923"/>
      <c r="G17" s="923"/>
      <c r="H17" s="923"/>
      <c r="I17" s="923"/>
      <c r="J17" s="923"/>
      <c r="K17" s="1298"/>
    </row>
    <row r="18" spans="1:11">
      <c r="A18" s="1298"/>
      <c r="B18" s="1011" t="s">
        <v>3982</v>
      </c>
      <c r="C18" s="923"/>
      <c r="D18" s="923"/>
      <c r="E18" s="923"/>
      <c r="F18" s="923"/>
      <c r="G18" s="923"/>
      <c r="H18" s="923"/>
      <c r="I18" s="923"/>
      <c r="J18" s="923"/>
      <c r="K18" s="1298"/>
    </row>
    <row r="19" spans="1:11" ht="38.25" customHeight="1">
      <c r="A19" s="1298"/>
      <c r="B19" s="2395" t="s">
        <v>3785</v>
      </c>
      <c r="C19" s="2395"/>
      <c r="D19" s="2395"/>
      <c r="E19" s="2395"/>
      <c r="F19" s="2395"/>
      <c r="G19" s="2395"/>
      <c r="H19" s="2395"/>
      <c r="I19" s="2395"/>
      <c r="J19" s="2395"/>
      <c r="K19" s="1298"/>
    </row>
    <row r="20" spans="1:11">
      <c r="B20" s="2395" t="s">
        <v>3786</v>
      </c>
      <c r="C20" s="2395"/>
      <c r="D20" s="2395"/>
      <c r="E20" s="2395"/>
      <c r="F20" s="2395"/>
      <c r="G20" s="2395"/>
      <c r="H20" s="2395"/>
      <c r="I20" s="2395"/>
      <c r="J20" s="2395"/>
    </row>
    <row r="21" spans="1:11" ht="26.25" customHeight="1">
      <c r="A21" s="1298"/>
      <c r="B21" s="2395" t="s">
        <v>3787</v>
      </c>
      <c r="C21" s="2395"/>
      <c r="D21" s="2395"/>
      <c r="E21" s="2395"/>
      <c r="F21" s="2395"/>
      <c r="G21" s="2395"/>
      <c r="H21" s="2395"/>
      <c r="I21" s="2395"/>
      <c r="J21" s="2395"/>
      <c r="K21" s="1298"/>
    </row>
    <row r="22" spans="1:11">
      <c r="A22" s="1298"/>
      <c r="B22" s="2395" t="s">
        <v>3983</v>
      </c>
      <c r="C22" s="2395"/>
      <c r="D22" s="2395"/>
      <c r="E22" s="2395"/>
      <c r="F22" s="2395"/>
      <c r="G22" s="2395"/>
      <c r="H22" s="923"/>
      <c r="I22" s="923"/>
      <c r="J22" s="923"/>
      <c r="K22" s="1298"/>
    </row>
    <row r="23" spans="1:11">
      <c r="A23" s="1298"/>
      <c r="B23" s="2395" t="s">
        <v>3788</v>
      </c>
      <c r="C23" s="2395"/>
      <c r="D23" s="2395"/>
      <c r="E23" s="2395"/>
      <c r="F23" s="2395"/>
      <c r="G23" s="2395"/>
      <c r="H23" s="2395"/>
      <c r="I23" s="2395"/>
      <c r="J23" s="2395"/>
      <c r="K23" s="1298"/>
    </row>
    <row r="24" spans="1:11" ht="50.25" customHeight="1">
      <c r="A24" s="1298"/>
      <c r="B24" s="2587" t="s">
        <v>4180</v>
      </c>
      <c r="C24" s="2576"/>
      <c r="D24" s="2576"/>
      <c r="E24" s="2576"/>
      <c r="F24" s="2576"/>
      <c r="G24" s="2576"/>
      <c r="H24" s="2576"/>
      <c r="I24" s="2576"/>
      <c r="J24" s="2576"/>
      <c r="K24" s="1298"/>
    </row>
    <row r="25" spans="1:11">
      <c r="A25" s="1298"/>
      <c r="B25" s="1307"/>
      <c r="C25" s="1307"/>
      <c r="D25" s="1307"/>
      <c r="E25" s="1307"/>
      <c r="F25" s="1307"/>
      <c r="G25" s="1307"/>
      <c r="H25" s="923"/>
      <c r="I25" s="923"/>
      <c r="J25" s="923"/>
      <c r="K25" s="1298"/>
    </row>
    <row r="26" spans="1:11">
      <c r="A26" s="1298"/>
      <c r="B26" s="1165" t="s">
        <v>3928</v>
      </c>
      <c r="C26" s="1038"/>
      <c r="D26" s="1038"/>
      <c r="E26" s="1038"/>
      <c r="H26" s="1298"/>
    </row>
    <row r="27" spans="1:11" ht="37.5" customHeight="1">
      <c r="A27" s="1298"/>
      <c r="B27" s="2414" t="s">
        <v>4585</v>
      </c>
      <c r="C27" s="2395"/>
      <c r="D27" s="2395"/>
      <c r="E27" s="2395"/>
      <c r="F27" s="2395"/>
      <c r="G27" s="2395"/>
      <c r="H27" s="2395"/>
      <c r="I27" s="2395"/>
      <c r="J27" s="2395"/>
    </row>
    <row r="28" spans="1:11" ht="27.75" customHeight="1">
      <c r="A28" s="1298"/>
      <c r="B28" s="2591" t="s">
        <v>4171</v>
      </c>
      <c r="C28" s="2591"/>
      <c r="D28" s="2591"/>
      <c r="E28" s="2591"/>
      <c r="F28" s="2591"/>
      <c r="G28" s="2591"/>
      <c r="H28" s="2591"/>
      <c r="I28" s="2591"/>
      <c r="J28" s="2591"/>
      <c r="K28" s="1298"/>
    </row>
    <row r="29" spans="1:11" ht="32.25" customHeight="1">
      <c r="A29" s="1298"/>
      <c r="B29" s="1335"/>
      <c r="C29" s="1335"/>
      <c r="D29" s="1335"/>
      <c r="E29" s="1335"/>
      <c r="F29" s="1335"/>
      <c r="G29" s="1335"/>
      <c r="H29" s="1335"/>
      <c r="I29" s="1335"/>
      <c r="J29" s="1335"/>
      <c r="K29" s="1298"/>
    </row>
    <row r="30" spans="1:11" ht="64.5" customHeight="1">
      <c r="A30" s="1298"/>
      <c r="B30" s="2443"/>
      <c r="C30" s="2443"/>
      <c r="D30" s="2443"/>
      <c r="E30" s="2443"/>
      <c r="F30" s="2443"/>
      <c r="G30" s="2443"/>
      <c r="H30" s="2443"/>
      <c r="I30" s="1083" t="s">
        <v>3627</v>
      </c>
      <c r="J30" s="1105" t="s">
        <v>3975</v>
      </c>
      <c r="K30" s="1298"/>
    </row>
    <row r="31" spans="1:11" ht="50.25" customHeight="1">
      <c r="B31" s="2593" t="s">
        <v>3976</v>
      </c>
      <c r="C31" s="2594"/>
      <c r="D31" s="2594"/>
      <c r="E31" s="2594"/>
      <c r="F31" s="2594"/>
      <c r="G31" s="2594"/>
      <c r="H31" s="2595"/>
      <c r="I31" s="1107"/>
      <c r="J31" s="1107"/>
    </row>
    <row r="32" spans="1:11" ht="51.75" customHeight="1">
      <c r="B32" s="2381" t="s">
        <v>4175</v>
      </c>
      <c r="C32" s="2382"/>
      <c r="D32" s="2382"/>
      <c r="E32" s="2382"/>
      <c r="F32" s="2382"/>
      <c r="G32" s="2382"/>
      <c r="H32" s="2382"/>
      <c r="I32" s="1101"/>
      <c r="J32" s="1101"/>
    </row>
    <row r="33" spans="1:10" ht="49.5" customHeight="1">
      <c r="B33" s="2381" t="s">
        <v>4179</v>
      </c>
      <c r="C33" s="2382"/>
      <c r="D33" s="2382"/>
      <c r="E33" s="2382"/>
      <c r="F33" s="2382"/>
      <c r="G33" s="2382"/>
      <c r="H33" s="2382"/>
      <c r="I33" s="1101"/>
      <c r="J33" s="1101"/>
    </row>
    <row r="34" spans="1:10" ht="39" customHeight="1">
      <c r="A34" s="1332"/>
      <c r="B34" s="2381" t="s">
        <v>4176</v>
      </c>
      <c r="C34" s="2382"/>
      <c r="D34" s="2382"/>
      <c r="E34" s="2382"/>
      <c r="F34" s="2382"/>
      <c r="G34" s="2382"/>
      <c r="H34" s="2382"/>
      <c r="I34" s="1101"/>
      <c r="J34" s="1101"/>
    </row>
    <row r="35" spans="1:10" ht="38.25" customHeight="1">
      <c r="B35" s="2381" t="s">
        <v>4177</v>
      </c>
      <c r="C35" s="2382"/>
      <c r="D35" s="2382"/>
      <c r="E35" s="2382"/>
      <c r="F35" s="2382"/>
      <c r="G35" s="2382"/>
      <c r="H35" s="2382"/>
      <c r="I35" s="1101"/>
      <c r="J35" s="1101"/>
    </row>
    <row r="36" spans="1:10" ht="62.25" customHeight="1">
      <c r="B36" s="2381" t="s">
        <v>4178</v>
      </c>
      <c r="C36" s="2382"/>
      <c r="D36" s="2382"/>
      <c r="E36" s="2382"/>
      <c r="F36" s="2382"/>
      <c r="G36" s="2382"/>
      <c r="H36" s="2382"/>
      <c r="I36" s="1101"/>
      <c r="J36" s="1101"/>
    </row>
    <row r="37" spans="1:10" ht="26.25" customHeight="1">
      <c r="B37" s="2381" t="s">
        <v>3491</v>
      </c>
      <c r="C37" s="2382"/>
      <c r="D37" s="2382"/>
      <c r="E37" s="2382"/>
      <c r="F37" s="2382"/>
      <c r="G37" s="2382"/>
      <c r="H37" s="2382"/>
      <c r="I37" s="1101"/>
      <c r="J37" s="1101"/>
    </row>
    <row r="38" spans="1:10" ht="25.5" customHeight="1">
      <c r="B38" s="2381" t="s">
        <v>3495</v>
      </c>
      <c r="C38" s="2382"/>
      <c r="D38" s="2382"/>
      <c r="E38" s="2382"/>
      <c r="F38" s="2382"/>
      <c r="G38" s="2382"/>
      <c r="H38" s="2382"/>
      <c r="I38" s="1101"/>
      <c r="J38" s="1101"/>
    </row>
    <row r="39" spans="1:10" ht="25.5" customHeight="1">
      <c r="B39" s="2381" t="s">
        <v>3497</v>
      </c>
      <c r="C39" s="2382"/>
      <c r="D39" s="2382"/>
      <c r="E39" s="2382"/>
      <c r="F39" s="2382"/>
      <c r="G39" s="2382"/>
      <c r="H39" s="2382"/>
      <c r="I39" s="1101"/>
      <c r="J39" s="1101"/>
    </row>
    <row r="40" spans="1:10" ht="23.25" customHeight="1">
      <c r="A40" s="1333"/>
      <c r="B40" s="2381" t="s">
        <v>3499</v>
      </c>
      <c r="C40" s="2382"/>
      <c r="D40" s="2382"/>
      <c r="E40" s="2382"/>
      <c r="F40" s="2382"/>
      <c r="G40" s="2382"/>
      <c r="H40" s="2382"/>
      <c r="I40" s="1101"/>
      <c r="J40" s="1101"/>
    </row>
    <row r="41" spans="1:10" ht="23.25" customHeight="1">
      <c r="B41" s="2381" t="s">
        <v>3501</v>
      </c>
      <c r="C41" s="2382"/>
      <c r="D41" s="2382"/>
      <c r="E41" s="2382"/>
      <c r="F41" s="2382"/>
      <c r="G41" s="2382"/>
      <c r="H41" s="2382"/>
      <c r="I41" s="1101"/>
      <c r="J41" s="1101"/>
    </row>
    <row r="42" spans="1:10" ht="25.5" customHeight="1">
      <c r="B42" s="2381" t="s">
        <v>3503</v>
      </c>
      <c r="C42" s="2382"/>
      <c r="D42" s="2382"/>
      <c r="E42" s="2382"/>
      <c r="F42" s="2382"/>
      <c r="G42" s="2382"/>
      <c r="H42" s="2382"/>
      <c r="I42" s="1101"/>
      <c r="J42" s="1101"/>
    </row>
    <row r="43" spans="1:10" ht="25.5" customHeight="1">
      <c r="B43" s="2381" t="s">
        <v>3505</v>
      </c>
      <c r="C43" s="2382"/>
      <c r="D43" s="2382"/>
      <c r="E43" s="2382"/>
      <c r="F43" s="2382"/>
      <c r="G43" s="2382"/>
      <c r="H43" s="2382"/>
      <c r="I43" s="1101"/>
      <c r="J43" s="1101"/>
    </row>
    <row r="44" spans="1:10" ht="25.5" customHeight="1">
      <c r="B44" s="2381" t="s">
        <v>3507</v>
      </c>
      <c r="C44" s="2382"/>
      <c r="D44" s="2382"/>
      <c r="E44" s="2382"/>
      <c r="F44" s="2382"/>
      <c r="G44" s="2382"/>
      <c r="H44" s="2382"/>
      <c r="I44" s="1101"/>
      <c r="J44" s="1101"/>
    </row>
    <row r="45" spans="1:10" ht="25.5" customHeight="1">
      <c r="B45" s="2381" t="s">
        <v>3509</v>
      </c>
      <c r="C45" s="2382"/>
      <c r="D45" s="2382"/>
      <c r="E45" s="2382"/>
      <c r="F45" s="2382"/>
      <c r="G45" s="2382"/>
      <c r="H45" s="2382"/>
      <c r="I45" s="1101"/>
      <c r="J45" s="1101"/>
    </row>
    <row r="46" spans="1:10" ht="25.5" customHeight="1">
      <c r="B46" s="2381" t="s">
        <v>3511</v>
      </c>
      <c r="C46" s="2382"/>
      <c r="D46" s="2382"/>
      <c r="E46" s="2382"/>
      <c r="F46" s="2382"/>
      <c r="G46" s="2382"/>
      <c r="H46" s="2382"/>
      <c r="I46" s="1101"/>
      <c r="J46" s="1101"/>
    </row>
    <row r="47" spans="1:10" ht="25.5" customHeight="1">
      <c r="B47" s="2381" t="s">
        <v>3513</v>
      </c>
      <c r="C47" s="2382"/>
      <c r="D47" s="2382"/>
      <c r="E47" s="2382"/>
      <c r="F47" s="2382"/>
      <c r="G47" s="2382"/>
      <c r="H47" s="2382"/>
      <c r="I47" s="1101"/>
      <c r="J47" s="1101"/>
    </row>
    <row r="48" spans="1:10" ht="25.5" customHeight="1">
      <c r="B48" s="2381" t="s">
        <v>3515</v>
      </c>
      <c r="C48" s="2382"/>
      <c r="D48" s="2382"/>
      <c r="E48" s="2382"/>
      <c r="F48" s="2382"/>
      <c r="G48" s="2382"/>
      <c r="H48" s="2382"/>
      <c r="I48" s="1101"/>
      <c r="J48" s="1101"/>
    </row>
    <row r="49" spans="1:14" ht="25.5" customHeight="1">
      <c r="B49" s="2381" t="s">
        <v>3517</v>
      </c>
      <c r="C49" s="2382"/>
      <c r="D49" s="2382"/>
      <c r="E49" s="2382"/>
      <c r="F49" s="2382"/>
      <c r="G49" s="2382"/>
      <c r="H49" s="2382"/>
      <c r="I49" s="1101"/>
      <c r="J49" s="1101"/>
    </row>
    <row r="50" spans="1:14" ht="25.5" customHeight="1">
      <c r="B50" s="2381" t="s">
        <v>3519</v>
      </c>
      <c r="C50" s="2382"/>
      <c r="D50" s="2382"/>
      <c r="E50" s="2382"/>
      <c r="F50" s="2382"/>
      <c r="G50" s="2382"/>
      <c r="H50" s="2382"/>
      <c r="I50" s="1101"/>
      <c r="J50" s="1101"/>
    </row>
    <row r="51" spans="1:14" ht="25.5" customHeight="1">
      <c r="B51" s="2381" t="s">
        <v>3521</v>
      </c>
      <c r="C51" s="2382"/>
      <c r="D51" s="2382"/>
      <c r="E51" s="2382"/>
      <c r="F51" s="2382"/>
      <c r="G51" s="2382"/>
      <c r="H51" s="2382"/>
      <c r="I51" s="1101"/>
      <c r="J51" s="1101"/>
    </row>
    <row r="52" spans="1:14" ht="25.5" customHeight="1"/>
    <row r="53" spans="1:14" ht="25.5" customHeight="1"/>
    <row r="54" spans="1:14" ht="25.5" customHeight="1"/>
    <row r="56" spans="1:14">
      <c r="B56" s="1334"/>
      <c r="C56" s="1334"/>
      <c r="D56" s="1334"/>
      <c r="E56" s="1334"/>
    </row>
    <row r="57" spans="1:14">
      <c r="B57" s="2592"/>
      <c r="C57" s="2592"/>
      <c r="D57" s="2592"/>
      <c r="E57" s="2592"/>
    </row>
    <row r="58" spans="1:14">
      <c r="B58" s="2592"/>
      <c r="C58" s="2592"/>
      <c r="D58" s="2592"/>
      <c r="E58" s="2592"/>
    </row>
    <row r="59" spans="1:14">
      <c r="A59" s="1334"/>
      <c r="B59" s="2592"/>
      <c r="C59" s="2592"/>
      <c r="D59" s="2592"/>
      <c r="E59" s="2592"/>
      <c r="N59" s="1119" t="s">
        <v>1493</v>
      </c>
    </row>
    <row r="60" spans="1:14">
      <c r="A60" s="1233"/>
      <c r="B60" s="2592"/>
      <c r="C60" s="2592"/>
      <c r="D60" s="2592"/>
      <c r="E60" s="2592"/>
      <c r="N60" s="1119" t="s">
        <v>1494</v>
      </c>
    </row>
    <row r="61" spans="1:14">
      <c r="A61" s="1233"/>
      <c r="B61" s="2592"/>
      <c r="C61" s="2592"/>
      <c r="D61" s="2592"/>
      <c r="E61" s="2592"/>
      <c r="N61" s="1119" t="s">
        <v>2677</v>
      </c>
    </row>
    <row r="62" spans="1:14">
      <c r="A62" s="1233"/>
      <c r="B62" s="2592"/>
      <c r="C62" s="2592"/>
      <c r="D62" s="2592"/>
      <c r="E62" s="2592"/>
    </row>
    <row r="63" spans="1:14">
      <c r="A63" s="1233"/>
      <c r="B63" s="2592"/>
      <c r="C63" s="2592"/>
      <c r="D63" s="2592"/>
      <c r="E63" s="2592"/>
    </row>
    <row r="64" spans="1:14">
      <c r="A64" s="1233"/>
      <c r="B64" s="2592"/>
      <c r="C64" s="2592"/>
      <c r="D64" s="2592"/>
      <c r="E64" s="2592"/>
    </row>
    <row r="65" spans="1:5">
      <c r="A65" s="1233"/>
      <c r="B65" s="2592"/>
      <c r="C65" s="2592"/>
      <c r="D65" s="2592"/>
      <c r="E65" s="2592"/>
    </row>
    <row r="66" spans="1:5">
      <c r="A66" s="1233"/>
      <c r="B66" s="2592"/>
      <c r="C66" s="2592"/>
      <c r="D66" s="2592"/>
      <c r="E66" s="2592"/>
    </row>
    <row r="67" spans="1:5">
      <c r="A67" s="1233"/>
      <c r="B67" s="2592"/>
      <c r="C67" s="2592"/>
      <c r="D67" s="2592"/>
      <c r="E67" s="2592"/>
    </row>
    <row r="68" spans="1:5">
      <c r="A68" s="1233"/>
      <c r="B68" s="2592"/>
      <c r="C68" s="2592"/>
      <c r="D68" s="2592"/>
      <c r="E68" s="2592"/>
    </row>
    <row r="69" spans="1:5" ht="60" customHeight="1">
      <c r="A69" s="1233"/>
      <c r="B69" s="2592"/>
      <c r="C69" s="2592"/>
      <c r="D69" s="2592"/>
      <c r="E69" s="2592"/>
    </row>
    <row r="70" spans="1:5" ht="69" customHeight="1">
      <c r="A70" s="1233"/>
      <c r="B70" s="2592"/>
      <c r="C70" s="2592"/>
      <c r="D70" s="2592"/>
      <c r="E70" s="2592"/>
    </row>
    <row r="71" spans="1:5" ht="45" customHeight="1">
      <c r="A71" s="1233"/>
      <c r="B71" s="2592"/>
      <c r="C71" s="2592"/>
      <c r="D71" s="2592"/>
      <c r="E71" s="2592"/>
    </row>
    <row r="72" spans="1:5" ht="63" customHeight="1">
      <c r="A72" s="1233"/>
      <c r="B72" s="2592"/>
      <c r="C72" s="2592"/>
      <c r="D72" s="2592"/>
      <c r="E72" s="2592"/>
    </row>
    <row r="73" spans="1:5" ht="61.5" customHeight="1">
      <c r="A73" s="1233"/>
    </row>
    <row r="74" spans="1:5" ht="33" customHeight="1">
      <c r="A74" s="1233"/>
    </row>
    <row r="75" spans="1:5" ht="48" customHeight="1">
      <c r="A75" s="1233"/>
    </row>
    <row r="76" spans="1:5" ht="48.75" customHeight="1"/>
    <row r="77" spans="1:5" ht="81" customHeight="1"/>
    <row r="78" spans="1:5" ht="178.5" customHeight="1"/>
    <row r="79" spans="1:5" ht="45.75" customHeight="1"/>
    <row r="80" spans="1:5" ht="33" customHeight="1"/>
    <row r="81" ht="36" customHeight="1"/>
  </sheetData>
  <sheetProtection formatCells="0" formatColumns="0" formatRows="0" insertColumns="0" insertRows="0"/>
  <mergeCells count="56">
    <mergeCell ref="B21:J21"/>
    <mergeCell ref="B31:H31"/>
    <mergeCell ref="B30:H30"/>
    <mergeCell ref="B27:J27"/>
    <mergeCell ref="H1:I1"/>
    <mergeCell ref="H2:I2"/>
    <mergeCell ref="H3:I3"/>
    <mergeCell ref="H4:I4"/>
    <mergeCell ref="B7:G7"/>
    <mergeCell ref="B8:G8"/>
    <mergeCell ref="B9:G9"/>
    <mergeCell ref="B10:G10"/>
    <mergeCell ref="B11:G11"/>
    <mergeCell ref="B6:J6"/>
    <mergeCell ref="B20:J20"/>
    <mergeCell ref="B19:J19"/>
    <mergeCell ref="B37:H37"/>
    <mergeCell ref="B22:G22"/>
    <mergeCell ref="B32:H32"/>
    <mergeCell ref="B33:H33"/>
    <mergeCell ref="B34:H34"/>
    <mergeCell ref="B35:H35"/>
    <mergeCell ref="B36:H36"/>
    <mergeCell ref="B28:J28"/>
    <mergeCell ref="B24:J24"/>
    <mergeCell ref="B23:J23"/>
    <mergeCell ref="B49:H49"/>
    <mergeCell ref="B38:H38"/>
    <mergeCell ref="B39:H39"/>
    <mergeCell ref="B40:H40"/>
    <mergeCell ref="B41:H41"/>
    <mergeCell ref="B42:H42"/>
    <mergeCell ref="B43:H43"/>
    <mergeCell ref="B44:H44"/>
    <mergeCell ref="B45:H45"/>
    <mergeCell ref="B46:H46"/>
    <mergeCell ref="B47:H47"/>
    <mergeCell ref="B48:H48"/>
    <mergeCell ref="B72:E72"/>
    <mergeCell ref="B66:E66"/>
    <mergeCell ref="B67:E67"/>
    <mergeCell ref="B68:E68"/>
    <mergeCell ref="B69:E69"/>
    <mergeCell ref="B70:E70"/>
    <mergeCell ref="B71:E71"/>
    <mergeCell ref="B65:E65"/>
    <mergeCell ref="B50:H50"/>
    <mergeCell ref="B51:H51"/>
    <mergeCell ref="B57:E57"/>
    <mergeCell ref="B58:E58"/>
    <mergeCell ref="B59:E59"/>
    <mergeCell ref="B60:E60"/>
    <mergeCell ref="B61:E61"/>
    <mergeCell ref="B62:E62"/>
    <mergeCell ref="B63:E63"/>
    <mergeCell ref="B64:E64"/>
  </mergeCells>
  <dataValidations count="1">
    <dataValidation type="list" allowBlank="1" showInputMessage="1" showErrorMessage="1" sqref="H33 JD36 SZ36 ACV36 AMR36 AWN36 BGJ36 BQF36 CAB36 CJX36 CTT36 DDP36 DNL36 DXH36 EHD36 EQZ36 FAV36 FKR36 FUN36 GEJ36 GOF36 GYB36 HHX36 HRT36 IBP36 ILL36 IVH36 JFD36 JOZ36 JYV36 KIR36 KSN36 LCJ36 LMF36 LWB36 MFX36 MPT36 MZP36 NJL36 NTH36 ODD36 OMZ36 OWV36 PGR36 PQN36 QAJ36 QKF36 QUB36 RDX36 RNT36 RXP36 SHL36 SRH36 TBD36 TKZ36 TUV36 UER36 UON36 UYJ36 VIF36 VSB36 WBX36 WLT36 WVP36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JD34:JE34 SZ34:TA34 ACV34:ACW34 AMR34:AMS34 AWN34:AWO34 BGJ34:BGK34 BQF34:BQG34 CAB34:CAC34 CJX34:CJY34 CTT34:CTU34 DDP34:DDQ34 DNL34:DNM34 DXH34:DXI34 EHD34:EHE34 EQZ34:ERA34 FAV34:FAW34 FKR34:FKS34 FUN34:FUO34 GEJ34:GEK34 GOF34:GOG34 GYB34:GYC34 HHX34:HHY34 HRT34:HRU34 IBP34:IBQ34 ILL34:ILM34 IVH34:IVI34 JFD34:JFE34 JOZ34:JPA34 JYV34:JYW34 KIR34:KIS34 KSN34:KSO34 LCJ34:LCK34 LMF34:LMG34 LWB34:LWC34 MFX34:MFY34 MPT34:MPU34 MZP34:MZQ34 NJL34:NJM34 NTH34:NTI34 ODD34:ODE34 OMZ34:ONA34 OWV34:OWW34 PGR34:PGS34 PQN34:PQO34 QAJ34:QAK34 QKF34:QKG34 QUB34:QUC34 RDX34:RDY34 RNT34:RNU34 RXP34:RXQ34 SHL34:SHM34 SRH34:SRI34 TBD34:TBE34 TKZ34:TLA34 TUV34:TUW34 UER34:UES34 UON34:UOO34 UYJ34:UYK34 VIF34:VIG34 VSB34:VSC34 WBX34:WBY34 WLT34:WLU34 WVP34:WVQ34 JD65570:JE65570 SZ65570:TA65570 ACV65570:ACW65570 AMR65570:AMS65570 AWN65570:AWO65570 BGJ65570:BGK65570 BQF65570:BQG65570 CAB65570:CAC65570 CJX65570:CJY65570 CTT65570:CTU65570 DDP65570:DDQ65570 DNL65570:DNM65570 DXH65570:DXI65570 EHD65570:EHE65570 EQZ65570:ERA65570 FAV65570:FAW65570 FKR65570:FKS65570 FUN65570:FUO65570 GEJ65570:GEK65570 GOF65570:GOG65570 GYB65570:GYC65570 HHX65570:HHY65570 HRT65570:HRU65570 IBP65570:IBQ65570 ILL65570:ILM65570 IVH65570:IVI65570 JFD65570:JFE65570 JOZ65570:JPA65570 JYV65570:JYW65570 KIR65570:KIS65570 KSN65570:KSO65570 LCJ65570:LCK65570 LMF65570:LMG65570 LWB65570:LWC65570 MFX65570:MFY65570 MPT65570:MPU65570 MZP65570:MZQ65570 NJL65570:NJM65570 NTH65570:NTI65570 ODD65570:ODE65570 OMZ65570:ONA65570 OWV65570:OWW65570 PGR65570:PGS65570 PQN65570:PQO65570 QAJ65570:QAK65570 QKF65570:QKG65570 QUB65570:QUC65570 RDX65570:RDY65570 RNT65570:RNU65570 RXP65570:RXQ65570 SHL65570:SHM65570 SRH65570:SRI65570 TBD65570:TBE65570 TKZ65570:TLA65570 TUV65570:TUW65570 UER65570:UES65570 UON65570:UOO65570 UYJ65570:UYK65570 VIF65570:VIG65570 VSB65570:VSC65570 WBX65570:WBY65570 WLT65570:WLU65570 WVP65570:WVQ65570 JD131106:JE131106 SZ131106:TA131106 ACV131106:ACW131106 AMR131106:AMS131106 AWN131106:AWO131106 BGJ131106:BGK131106 BQF131106:BQG131106 CAB131106:CAC131106 CJX131106:CJY131106 CTT131106:CTU131106 DDP131106:DDQ131106 DNL131106:DNM131106 DXH131106:DXI131106 EHD131106:EHE131106 EQZ131106:ERA131106 FAV131106:FAW131106 FKR131106:FKS131106 FUN131106:FUO131106 GEJ131106:GEK131106 GOF131106:GOG131106 GYB131106:GYC131106 HHX131106:HHY131106 HRT131106:HRU131106 IBP131106:IBQ131106 ILL131106:ILM131106 IVH131106:IVI131106 JFD131106:JFE131106 JOZ131106:JPA131106 JYV131106:JYW131106 KIR131106:KIS131106 KSN131106:KSO131106 LCJ131106:LCK131106 LMF131106:LMG131106 LWB131106:LWC131106 MFX131106:MFY131106 MPT131106:MPU131106 MZP131106:MZQ131106 NJL131106:NJM131106 NTH131106:NTI131106 ODD131106:ODE131106 OMZ131106:ONA131106 OWV131106:OWW131106 PGR131106:PGS131106 PQN131106:PQO131106 QAJ131106:QAK131106 QKF131106:QKG131106 QUB131106:QUC131106 RDX131106:RDY131106 RNT131106:RNU131106 RXP131106:RXQ131106 SHL131106:SHM131106 SRH131106:SRI131106 TBD131106:TBE131106 TKZ131106:TLA131106 TUV131106:TUW131106 UER131106:UES131106 UON131106:UOO131106 UYJ131106:UYK131106 VIF131106:VIG131106 VSB131106:VSC131106 WBX131106:WBY131106 WLT131106:WLU131106 WVP131106:WVQ131106 JD196642:JE196642 SZ196642:TA196642 ACV196642:ACW196642 AMR196642:AMS196642 AWN196642:AWO196642 BGJ196642:BGK196642 BQF196642:BQG196642 CAB196642:CAC196642 CJX196642:CJY196642 CTT196642:CTU196642 DDP196642:DDQ196642 DNL196642:DNM196642 DXH196642:DXI196642 EHD196642:EHE196642 EQZ196642:ERA196642 FAV196642:FAW196642 FKR196642:FKS196642 FUN196642:FUO196642 GEJ196642:GEK196642 GOF196642:GOG196642 GYB196642:GYC196642 HHX196642:HHY196642 HRT196642:HRU196642 IBP196642:IBQ196642 ILL196642:ILM196642 IVH196642:IVI196642 JFD196642:JFE196642 JOZ196642:JPA196642 JYV196642:JYW196642 KIR196642:KIS196642 KSN196642:KSO196642 LCJ196642:LCK196642 LMF196642:LMG196642 LWB196642:LWC196642 MFX196642:MFY196642 MPT196642:MPU196642 MZP196642:MZQ196642 NJL196642:NJM196642 NTH196642:NTI196642 ODD196642:ODE196642 OMZ196642:ONA196642 OWV196642:OWW196642 PGR196642:PGS196642 PQN196642:PQO196642 QAJ196642:QAK196642 QKF196642:QKG196642 QUB196642:QUC196642 RDX196642:RDY196642 RNT196642:RNU196642 RXP196642:RXQ196642 SHL196642:SHM196642 SRH196642:SRI196642 TBD196642:TBE196642 TKZ196642:TLA196642 TUV196642:TUW196642 UER196642:UES196642 UON196642:UOO196642 UYJ196642:UYK196642 VIF196642:VIG196642 VSB196642:VSC196642 WBX196642:WBY196642 WLT196642:WLU196642 WVP196642:WVQ196642 JD262178:JE262178 SZ262178:TA262178 ACV262178:ACW262178 AMR262178:AMS262178 AWN262178:AWO262178 BGJ262178:BGK262178 BQF262178:BQG262178 CAB262178:CAC262178 CJX262178:CJY262178 CTT262178:CTU262178 DDP262178:DDQ262178 DNL262178:DNM262178 DXH262178:DXI262178 EHD262178:EHE262178 EQZ262178:ERA262178 FAV262178:FAW262178 FKR262178:FKS262178 FUN262178:FUO262178 GEJ262178:GEK262178 GOF262178:GOG262178 GYB262178:GYC262178 HHX262178:HHY262178 HRT262178:HRU262178 IBP262178:IBQ262178 ILL262178:ILM262178 IVH262178:IVI262178 JFD262178:JFE262178 JOZ262178:JPA262178 JYV262178:JYW262178 KIR262178:KIS262178 KSN262178:KSO262178 LCJ262178:LCK262178 LMF262178:LMG262178 LWB262178:LWC262178 MFX262178:MFY262178 MPT262178:MPU262178 MZP262178:MZQ262178 NJL262178:NJM262178 NTH262178:NTI262178 ODD262178:ODE262178 OMZ262178:ONA262178 OWV262178:OWW262178 PGR262178:PGS262178 PQN262178:PQO262178 QAJ262178:QAK262178 QKF262178:QKG262178 QUB262178:QUC262178 RDX262178:RDY262178 RNT262178:RNU262178 RXP262178:RXQ262178 SHL262178:SHM262178 SRH262178:SRI262178 TBD262178:TBE262178 TKZ262178:TLA262178 TUV262178:TUW262178 UER262178:UES262178 UON262178:UOO262178 UYJ262178:UYK262178 VIF262178:VIG262178 VSB262178:VSC262178 WBX262178:WBY262178 WLT262178:WLU262178 WVP262178:WVQ262178 JD327714:JE327714 SZ327714:TA327714 ACV327714:ACW327714 AMR327714:AMS327714 AWN327714:AWO327714 BGJ327714:BGK327714 BQF327714:BQG327714 CAB327714:CAC327714 CJX327714:CJY327714 CTT327714:CTU327714 DDP327714:DDQ327714 DNL327714:DNM327714 DXH327714:DXI327714 EHD327714:EHE327714 EQZ327714:ERA327714 FAV327714:FAW327714 FKR327714:FKS327714 FUN327714:FUO327714 GEJ327714:GEK327714 GOF327714:GOG327714 GYB327714:GYC327714 HHX327714:HHY327714 HRT327714:HRU327714 IBP327714:IBQ327714 ILL327714:ILM327714 IVH327714:IVI327714 JFD327714:JFE327714 JOZ327714:JPA327714 JYV327714:JYW327714 KIR327714:KIS327714 KSN327714:KSO327714 LCJ327714:LCK327714 LMF327714:LMG327714 LWB327714:LWC327714 MFX327714:MFY327714 MPT327714:MPU327714 MZP327714:MZQ327714 NJL327714:NJM327714 NTH327714:NTI327714 ODD327714:ODE327714 OMZ327714:ONA327714 OWV327714:OWW327714 PGR327714:PGS327714 PQN327714:PQO327714 QAJ327714:QAK327714 QKF327714:QKG327714 QUB327714:QUC327714 RDX327714:RDY327714 RNT327714:RNU327714 RXP327714:RXQ327714 SHL327714:SHM327714 SRH327714:SRI327714 TBD327714:TBE327714 TKZ327714:TLA327714 TUV327714:TUW327714 UER327714:UES327714 UON327714:UOO327714 UYJ327714:UYK327714 VIF327714:VIG327714 VSB327714:VSC327714 WBX327714:WBY327714 WLT327714:WLU327714 WVP327714:WVQ327714 JD393250:JE393250 SZ393250:TA393250 ACV393250:ACW393250 AMR393250:AMS393250 AWN393250:AWO393250 BGJ393250:BGK393250 BQF393250:BQG393250 CAB393250:CAC393250 CJX393250:CJY393250 CTT393250:CTU393250 DDP393250:DDQ393250 DNL393250:DNM393250 DXH393250:DXI393250 EHD393250:EHE393250 EQZ393250:ERA393250 FAV393250:FAW393250 FKR393250:FKS393250 FUN393250:FUO393250 GEJ393250:GEK393250 GOF393250:GOG393250 GYB393250:GYC393250 HHX393250:HHY393250 HRT393250:HRU393250 IBP393250:IBQ393250 ILL393250:ILM393250 IVH393250:IVI393250 JFD393250:JFE393250 JOZ393250:JPA393250 JYV393250:JYW393250 KIR393250:KIS393250 KSN393250:KSO393250 LCJ393250:LCK393250 LMF393250:LMG393250 LWB393250:LWC393250 MFX393250:MFY393250 MPT393250:MPU393250 MZP393250:MZQ393250 NJL393250:NJM393250 NTH393250:NTI393250 ODD393250:ODE393250 OMZ393250:ONA393250 OWV393250:OWW393250 PGR393250:PGS393250 PQN393250:PQO393250 QAJ393250:QAK393250 QKF393250:QKG393250 QUB393250:QUC393250 RDX393250:RDY393250 RNT393250:RNU393250 RXP393250:RXQ393250 SHL393250:SHM393250 SRH393250:SRI393250 TBD393250:TBE393250 TKZ393250:TLA393250 TUV393250:TUW393250 UER393250:UES393250 UON393250:UOO393250 UYJ393250:UYK393250 VIF393250:VIG393250 VSB393250:VSC393250 WBX393250:WBY393250 WLT393250:WLU393250 WVP393250:WVQ393250 JD458786:JE458786 SZ458786:TA458786 ACV458786:ACW458786 AMR458786:AMS458786 AWN458786:AWO458786 BGJ458786:BGK458786 BQF458786:BQG458786 CAB458786:CAC458786 CJX458786:CJY458786 CTT458786:CTU458786 DDP458786:DDQ458786 DNL458786:DNM458786 DXH458786:DXI458786 EHD458786:EHE458786 EQZ458786:ERA458786 FAV458786:FAW458786 FKR458786:FKS458786 FUN458786:FUO458786 GEJ458786:GEK458786 GOF458786:GOG458786 GYB458786:GYC458786 HHX458786:HHY458786 HRT458786:HRU458786 IBP458786:IBQ458786 ILL458786:ILM458786 IVH458786:IVI458786 JFD458786:JFE458786 JOZ458786:JPA458786 JYV458786:JYW458786 KIR458786:KIS458786 KSN458786:KSO458786 LCJ458786:LCK458786 LMF458786:LMG458786 LWB458786:LWC458786 MFX458786:MFY458786 MPT458786:MPU458786 MZP458786:MZQ458786 NJL458786:NJM458786 NTH458786:NTI458786 ODD458786:ODE458786 OMZ458786:ONA458786 OWV458786:OWW458786 PGR458786:PGS458786 PQN458786:PQO458786 QAJ458786:QAK458786 QKF458786:QKG458786 QUB458786:QUC458786 RDX458786:RDY458786 RNT458786:RNU458786 RXP458786:RXQ458786 SHL458786:SHM458786 SRH458786:SRI458786 TBD458786:TBE458786 TKZ458786:TLA458786 TUV458786:TUW458786 UER458786:UES458786 UON458786:UOO458786 UYJ458786:UYK458786 VIF458786:VIG458786 VSB458786:VSC458786 WBX458786:WBY458786 WLT458786:WLU458786 WVP458786:WVQ458786 JD524322:JE524322 SZ524322:TA524322 ACV524322:ACW524322 AMR524322:AMS524322 AWN524322:AWO524322 BGJ524322:BGK524322 BQF524322:BQG524322 CAB524322:CAC524322 CJX524322:CJY524322 CTT524322:CTU524322 DDP524322:DDQ524322 DNL524322:DNM524322 DXH524322:DXI524322 EHD524322:EHE524322 EQZ524322:ERA524322 FAV524322:FAW524322 FKR524322:FKS524322 FUN524322:FUO524322 GEJ524322:GEK524322 GOF524322:GOG524322 GYB524322:GYC524322 HHX524322:HHY524322 HRT524322:HRU524322 IBP524322:IBQ524322 ILL524322:ILM524322 IVH524322:IVI524322 JFD524322:JFE524322 JOZ524322:JPA524322 JYV524322:JYW524322 KIR524322:KIS524322 KSN524322:KSO524322 LCJ524322:LCK524322 LMF524322:LMG524322 LWB524322:LWC524322 MFX524322:MFY524322 MPT524322:MPU524322 MZP524322:MZQ524322 NJL524322:NJM524322 NTH524322:NTI524322 ODD524322:ODE524322 OMZ524322:ONA524322 OWV524322:OWW524322 PGR524322:PGS524322 PQN524322:PQO524322 QAJ524322:QAK524322 QKF524322:QKG524322 QUB524322:QUC524322 RDX524322:RDY524322 RNT524322:RNU524322 RXP524322:RXQ524322 SHL524322:SHM524322 SRH524322:SRI524322 TBD524322:TBE524322 TKZ524322:TLA524322 TUV524322:TUW524322 UER524322:UES524322 UON524322:UOO524322 UYJ524322:UYK524322 VIF524322:VIG524322 VSB524322:VSC524322 WBX524322:WBY524322 WLT524322:WLU524322 WVP524322:WVQ524322 JD589858:JE589858 SZ589858:TA589858 ACV589858:ACW589858 AMR589858:AMS589858 AWN589858:AWO589858 BGJ589858:BGK589858 BQF589858:BQG589858 CAB589858:CAC589858 CJX589858:CJY589858 CTT589858:CTU589858 DDP589858:DDQ589858 DNL589858:DNM589858 DXH589858:DXI589858 EHD589858:EHE589858 EQZ589858:ERA589858 FAV589858:FAW589858 FKR589858:FKS589858 FUN589858:FUO589858 GEJ589858:GEK589858 GOF589858:GOG589858 GYB589858:GYC589858 HHX589858:HHY589858 HRT589858:HRU589858 IBP589858:IBQ589858 ILL589858:ILM589858 IVH589858:IVI589858 JFD589858:JFE589858 JOZ589858:JPA589858 JYV589858:JYW589858 KIR589858:KIS589858 KSN589858:KSO589858 LCJ589858:LCK589858 LMF589858:LMG589858 LWB589858:LWC589858 MFX589858:MFY589858 MPT589858:MPU589858 MZP589858:MZQ589858 NJL589858:NJM589858 NTH589858:NTI589858 ODD589858:ODE589858 OMZ589858:ONA589858 OWV589858:OWW589858 PGR589858:PGS589858 PQN589858:PQO589858 QAJ589858:QAK589858 QKF589858:QKG589858 QUB589858:QUC589858 RDX589858:RDY589858 RNT589858:RNU589858 RXP589858:RXQ589858 SHL589858:SHM589858 SRH589858:SRI589858 TBD589858:TBE589858 TKZ589858:TLA589858 TUV589858:TUW589858 UER589858:UES589858 UON589858:UOO589858 UYJ589858:UYK589858 VIF589858:VIG589858 VSB589858:VSC589858 WBX589858:WBY589858 WLT589858:WLU589858 WVP589858:WVQ589858 JD655394:JE655394 SZ655394:TA655394 ACV655394:ACW655394 AMR655394:AMS655394 AWN655394:AWO655394 BGJ655394:BGK655394 BQF655394:BQG655394 CAB655394:CAC655394 CJX655394:CJY655394 CTT655394:CTU655394 DDP655394:DDQ655394 DNL655394:DNM655394 DXH655394:DXI655394 EHD655394:EHE655394 EQZ655394:ERA655394 FAV655394:FAW655394 FKR655394:FKS655394 FUN655394:FUO655394 GEJ655394:GEK655394 GOF655394:GOG655394 GYB655394:GYC655394 HHX655394:HHY655394 HRT655394:HRU655394 IBP655394:IBQ655394 ILL655394:ILM655394 IVH655394:IVI655394 JFD655394:JFE655394 JOZ655394:JPA655394 JYV655394:JYW655394 KIR655394:KIS655394 KSN655394:KSO655394 LCJ655394:LCK655394 LMF655394:LMG655394 LWB655394:LWC655394 MFX655394:MFY655394 MPT655394:MPU655394 MZP655394:MZQ655394 NJL655394:NJM655394 NTH655394:NTI655394 ODD655394:ODE655394 OMZ655394:ONA655394 OWV655394:OWW655394 PGR655394:PGS655394 PQN655394:PQO655394 QAJ655394:QAK655394 QKF655394:QKG655394 QUB655394:QUC655394 RDX655394:RDY655394 RNT655394:RNU655394 RXP655394:RXQ655394 SHL655394:SHM655394 SRH655394:SRI655394 TBD655394:TBE655394 TKZ655394:TLA655394 TUV655394:TUW655394 UER655394:UES655394 UON655394:UOO655394 UYJ655394:UYK655394 VIF655394:VIG655394 VSB655394:VSC655394 WBX655394:WBY655394 WLT655394:WLU655394 WVP655394:WVQ655394 JD720930:JE720930 SZ720930:TA720930 ACV720930:ACW720930 AMR720930:AMS720930 AWN720930:AWO720930 BGJ720930:BGK720930 BQF720930:BQG720930 CAB720930:CAC720930 CJX720930:CJY720930 CTT720930:CTU720930 DDP720930:DDQ720930 DNL720930:DNM720930 DXH720930:DXI720930 EHD720930:EHE720930 EQZ720930:ERA720930 FAV720930:FAW720930 FKR720930:FKS720930 FUN720930:FUO720930 GEJ720930:GEK720930 GOF720930:GOG720930 GYB720930:GYC720930 HHX720930:HHY720930 HRT720930:HRU720930 IBP720930:IBQ720930 ILL720930:ILM720930 IVH720930:IVI720930 JFD720930:JFE720930 JOZ720930:JPA720930 JYV720930:JYW720930 KIR720930:KIS720930 KSN720930:KSO720930 LCJ720930:LCK720930 LMF720930:LMG720930 LWB720930:LWC720930 MFX720930:MFY720930 MPT720930:MPU720930 MZP720930:MZQ720930 NJL720930:NJM720930 NTH720930:NTI720930 ODD720930:ODE720930 OMZ720930:ONA720930 OWV720930:OWW720930 PGR720930:PGS720930 PQN720930:PQO720930 QAJ720930:QAK720930 QKF720930:QKG720930 QUB720930:QUC720930 RDX720930:RDY720930 RNT720930:RNU720930 RXP720930:RXQ720930 SHL720930:SHM720930 SRH720930:SRI720930 TBD720930:TBE720930 TKZ720930:TLA720930 TUV720930:TUW720930 UER720930:UES720930 UON720930:UOO720930 UYJ720930:UYK720930 VIF720930:VIG720930 VSB720930:VSC720930 WBX720930:WBY720930 WLT720930:WLU720930 WVP720930:WVQ720930 JD786466:JE786466 SZ786466:TA786466 ACV786466:ACW786466 AMR786466:AMS786466 AWN786466:AWO786466 BGJ786466:BGK786466 BQF786466:BQG786466 CAB786466:CAC786466 CJX786466:CJY786466 CTT786466:CTU786466 DDP786466:DDQ786466 DNL786466:DNM786466 DXH786466:DXI786466 EHD786466:EHE786466 EQZ786466:ERA786466 FAV786466:FAW786466 FKR786466:FKS786466 FUN786466:FUO786466 GEJ786466:GEK786466 GOF786466:GOG786466 GYB786466:GYC786466 HHX786466:HHY786466 HRT786466:HRU786466 IBP786466:IBQ786466 ILL786466:ILM786466 IVH786466:IVI786466 JFD786466:JFE786466 JOZ786466:JPA786466 JYV786466:JYW786466 KIR786466:KIS786466 KSN786466:KSO786466 LCJ786466:LCK786466 LMF786466:LMG786466 LWB786466:LWC786466 MFX786466:MFY786466 MPT786466:MPU786466 MZP786466:MZQ786466 NJL786466:NJM786466 NTH786466:NTI786466 ODD786466:ODE786466 OMZ786466:ONA786466 OWV786466:OWW786466 PGR786466:PGS786466 PQN786466:PQO786466 QAJ786466:QAK786466 QKF786466:QKG786466 QUB786466:QUC786466 RDX786466:RDY786466 RNT786466:RNU786466 RXP786466:RXQ786466 SHL786466:SHM786466 SRH786466:SRI786466 TBD786466:TBE786466 TKZ786466:TLA786466 TUV786466:TUW786466 UER786466:UES786466 UON786466:UOO786466 UYJ786466:UYK786466 VIF786466:VIG786466 VSB786466:VSC786466 WBX786466:WBY786466 WLT786466:WLU786466 WVP786466:WVQ786466 JD852002:JE852002 SZ852002:TA852002 ACV852002:ACW852002 AMR852002:AMS852002 AWN852002:AWO852002 BGJ852002:BGK852002 BQF852002:BQG852002 CAB852002:CAC852002 CJX852002:CJY852002 CTT852002:CTU852002 DDP852002:DDQ852002 DNL852002:DNM852002 DXH852002:DXI852002 EHD852002:EHE852002 EQZ852002:ERA852002 FAV852002:FAW852002 FKR852002:FKS852002 FUN852002:FUO852002 GEJ852002:GEK852002 GOF852002:GOG852002 GYB852002:GYC852002 HHX852002:HHY852002 HRT852002:HRU852002 IBP852002:IBQ852002 ILL852002:ILM852002 IVH852002:IVI852002 JFD852002:JFE852002 JOZ852002:JPA852002 JYV852002:JYW852002 KIR852002:KIS852002 KSN852002:KSO852002 LCJ852002:LCK852002 LMF852002:LMG852002 LWB852002:LWC852002 MFX852002:MFY852002 MPT852002:MPU852002 MZP852002:MZQ852002 NJL852002:NJM852002 NTH852002:NTI852002 ODD852002:ODE852002 OMZ852002:ONA852002 OWV852002:OWW852002 PGR852002:PGS852002 PQN852002:PQO852002 QAJ852002:QAK852002 QKF852002:QKG852002 QUB852002:QUC852002 RDX852002:RDY852002 RNT852002:RNU852002 RXP852002:RXQ852002 SHL852002:SHM852002 SRH852002:SRI852002 TBD852002:TBE852002 TKZ852002:TLA852002 TUV852002:TUW852002 UER852002:UES852002 UON852002:UOO852002 UYJ852002:UYK852002 VIF852002:VIG852002 VSB852002:VSC852002 WBX852002:WBY852002 WLT852002:WLU852002 WVP852002:WVQ852002 JD917538:JE917538 SZ917538:TA917538 ACV917538:ACW917538 AMR917538:AMS917538 AWN917538:AWO917538 BGJ917538:BGK917538 BQF917538:BQG917538 CAB917538:CAC917538 CJX917538:CJY917538 CTT917538:CTU917538 DDP917538:DDQ917538 DNL917538:DNM917538 DXH917538:DXI917538 EHD917538:EHE917538 EQZ917538:ERA917538 FAV917538:FAW917538 FKR917538:FKS917538 FUN917538:FUO917538 GEJ917538:GEK917538 GOF917538:GOG917538 GYB917538:GYC917538 HHX917538:HHY917538 HRT917538:HRU917538 IBP917538:IBQ917538 ILL917538:ILM917538 IVH917538:IVI917538 JFD917538:JFE917538 JOZ917538:JPA917538 JYV917538:JYW917538 KIR917538:KIS917538 KSN917538:KSO917538 LCJ917538:LCK917538 LMF917538:LMG917538 LWB917538:LWC917538 MFX917538:MFY917538 MPT917538:MPU917538 MZP917538:MZQ917538 NJL917538:NJM917538 NTH917538:NTI917538 ODD917538:ODE917538 OMZ917538:ONA917538 OWV917538:OWW917538 PGR917538:PGS917538 PQN917538:PQO917538 QAJ917538:QAK917538 QKF917538:QKG917538 QUB917538:QUC917538 RDX917538:RDY917538 RNT917538:RNU917538 RXP917538:RXQ917538 SHL917538:SHM917538 SRH917538:SRI917538 TBD917538:TBE917538 TKZ917538:TLA917538 TUV917538:TUW917538 UER917538:UES917538 UON917538:UOO917538 UYJ917538:UYK917538 VIF917538:VIG917538 VSB917538:VSC917538 WBX917538:WBY917538 WLT917538:WLU917538 WVP917538:WVQ917538 JD983074:JE983074 SZ983074:TA983074 ACV983074:ACW983074 AMR983074:AMS983074 AWN983074:AWO983074 BGJ983074:BGK983074 BQF983074:BQG983074 CAB983074:CAC983074 CJX983074:CJY983074 CTT983074:CTU983074 DDP983074:DDQ983074 DNL983074:DNM983074 DXH983074:DXI983074 EHD983074:EHE983074 EQZ983074:ERA983074 FAV983074:FAW983074 FKR983074:FKS983074 FUN983074:FUO983074 GEJ983074:GEK983074 GOF983074:GOG983074 GYB983074:GYC983074 HHX983074:HHY983074 HRT983074:HRU983074 IBP983074:IBQ983074 ILL983074:ILM983074 IVH983074:IVI983074 JFD983074:JFE983074 JOZ983074:JPA983074 JYV983074:JYW983074 KIR983074:KIS983074 KSN983074:KSO983074 LCJ983074:LCK983074 LMF983074:LMG983074 LWB983074:LWC983074 MFX983074:MFY983074 MPT983074:MPU983074 MZP983074:MZQ983074 NJL983074:NJM983074 NTH983074:NTI983074 ODD983074:ODE983074 OMZ983074:ONA983074 OWV983074:OWW983074 PGR983074:PGS983074 PQN983074:PQO983074 QAJ983074:QAK983074 QKF983074:QKG983074 QUB983074:QUC983074 RDX983074:RDY983074 RNT983074:RNU983074 RXP983074:RXQ983074 SHL983074:SHM983074 SRH983074:SRI983074 TBD983074:TBE983074 TKZ983074:TLA983074 TUV983074:TUW983074 UER983074:UES983074 UON983074:UOO983074 UYJ983074:UYK983074 VIF983074:VIG983074 VSB983074:VSC983074 WBX983074:WBY983074 WLT983074:WLU983074 WVP983074:WVQ983074 JD37:JE54 SZ37:TA54 ACV37:ACW54 AMR37:AMS54 AWN37:AWO54 BGJ37:BGK54 BQF37:BQG54 CAB37:CAC54 CJX37:CJY54 CTT37:CTU54 DDP37:DDQ54 DNL37:DNM54 DXH37:DXI54 EHD37:EHE54 EQZ37:ERA54 FAV37:FAW54 FKR37:FKS54 FUN37:FUO54 GEJ37:GEK54 GOF37:GOG54 GYB37:GYC54 HHX37:HHY54 HRT37:HRU54 IBP37:IBQ54 ILL37:ILM54 IVH37:IVI54 JFD37:JFE54 JOZ37:JPA54 JYV37:JYW54 KIR37:KIS54 KSN37:KSO54 LCJ37:LCK54 LMF37:LMG54 LWB37:LWC54 MFX37:MFY54 MPT37:MPU54 MZP37:MZQ54 NJL37:NJM54 NTH37:NTI54 ODD37:ODE54 OMZ37:ONA54 OWV37:OWW54 PGR37:PGS54 PQN37:PQO54 QAJ37:QAK54 QKF37:QKG54 QUB37:QUC54 RDX37:RDY54 RNT37:RNU54 RXP37:RXQ54 SHL37:SHM54 SRH37:SRI54 TBD37:TBE54 TKZ37:TLA54 TUV37:TUW54 UER37:UES54 UON37:UOO54 UYJ37:UYK54 VIF37:VIG54 VSB37:VSC54 WBX37:WBY54 WLT37:WLU54 WVP37:WVQ54 JD65573:JE65590 SZ65573:TA65590 ACV65573:ACW65590 AMR65573:AMS65590 AWN65573:AWO65590 BGJ65573:BGK65590 BQF65573:BQG65590 CAB65573:CAC65590 CJX65573:CJY65590 CTT65573:CTU65590 DDP65573:DDQ65590 DNL65573:DNM65590 DXH65573:DXI65590 EHD65573:EHE65590 EQZ65573:ERA65590 FAV65573:FAW65590 FKR65573:FKS65590 FUN65573:FUO65590 GEJ65573:GEK65590 GOF65573:GOG65590 GYB65573:GYC65590 HHX65573:HHY65590 HRT65573:HRU65590 IBP65573:IBQ65590 ILL65573:ILM65590 IVH65573:IVI65590 JFD65573:JFE65590 JOZ65573:JPA65590 JYV65573:JYW65590 KIR65573:KIS65590 KSN65573:KSO65590 LCJ65573:LCK65590 LMF65573:LMG65590 LWB65573:LWC65590 MFX65573:MFY65590 MPT65573:MPU65590 MZP65573:MZQ65590 NJL65573:NJM65590 NTH65573:NTI65590 ODD65573:ODE65590 OMZ65573:ONA65590 OWV65573:OWW65590 PGR65573:PGS65590 PQN65573:PQO65590 QAJ65573:QAK65590 QKF65573:QKG65590 QUB65573:QUC65590 RDX65573:RDY65590 RNT65573:RNU65590 RXP65573:RXQ65590 SHL65573:SHM65590 SRH65573:SRI65590 TBD65573:TBE65590 TKZ65573:TLA65590 TUV65573:TUW65590 UER65573:UES65590 UON65573:UOO65590 UYJ65573:UYK65590 VIF65573:VIG65590 VSB65573:VSC65590 WBX65573:WBY65590 WLT65573:WLU65590 WVP65573:WVQ65590 JD131109:JE131126 SZ131109:TA131126 ACV131109:ACW131126 AMR131109:AMS131126 AWN131109:AWO131126 BGJ131109:BGK131126 BQF131109:BQG131126 CAB131109:CAC131126 CJX131109:CJY131126 CTT131109:CTU131126 DDP131109:DDQ131126 DNL131109:DNM131126 DXH131109:DXI131126 EHD131109:EHE131126 EQZ131109:ERA131126 FAV131109:FAW131126 FKR131109:FKS131126 FUN131109:FUO131126 GEJ131109:GEK131126 GOF131109:GOG131126 GYB131109:GYC131126 HHX131109:HHY131126 HRT131109:HRU131126 IBP131109:IBQ131126 ILL131109:ILM131126 IVH131109:IVI131126 JFD131109:JFE131126 JOZ131109:JPA131126 JYV131109:JYW131126 KIR131109:KIS131126 KSN131109:KSO131126 LCJ131109:LCK131126 LMF131109:LMG131126 LWB131109:LWC131126 MFX131109:MFY131126 MPT131109:MPU131126 MZP131109:MZQ131126 NJL131109:NJM131126 NTH131109:NTI131126 ODD131109:ODE131126 OMZ131109:ONA131126 OWV131109:OWW131126 PGR131109:PGS131126 PQN131109:PQO131126 QAJ131109:QAK131126 QKF131109:QKG131126 QUB131109:QUC131126 RDX131109:RDY131126 RNT131109:RNU131126 RXP131109:RXQ131126 SHL131109:SHM131126 SRH131109:SRI131126 TBD131109:TBE131126 TKZ131109:TLA131126 TUV131109:TUW131126 UER131109:UES131126 UON131109:UOO131126 UYJ131109:UYK131126 VIF131109:VIG131126 VSB131109:VSC131126 WBX131109:WBY131126 WLT131109:WLU131126 WVP131109:WVQ131126 JD196645:JE196662 SZ196645:TA196662 ACV196645:ACW196662 AMR196645:AMS196662 AWN196645:AWO196662 BGJ196645:BGK196662 BQF196645:BQG196662 CAB196645:CAC196662 CJX196645:CJY196662 CTT196645:CTU196662 DDP196645:DDQ196662 DNL196645:DNM196662 DXH196645:DXI196662 EHD196645:EHE196662 EQZ196645:ERA196662 FAV196645:FAW196662 FKR196645:FKS196662 FUN196645:FUO196662 GEJ196645:GEK196662 GOF196645:GOG196662 GYB196645:GYC196662 HHX196645:HHY196662 HRT196645:HRU196662 IBP196645:IBQ196662 ILL196645:ILM196662 IVH196645:IVI196662 JFD196645:JFE196662 JOZ196645:JPA196662 JYV196645:JYW196662 KIR196645:KIS196662 KSN196645:KSO196662 LCJ196645:LCK196662 LMF196645:LMG196662 LWB196645:LWC196662 MFX196645:MFY196662 MPT196645:MPU196662 MZP196645:MZQ196662 NJL196645:NJM196662 NTH196645:NTI196662 ODD196645:ODE196662 OMZ196645:ONA196662 OWV196645:OWW196662 PGR196645:PGS196662 PQN196645:PQO196662 QAJ196645:QAK196662 QKF196645:QKG196662 QUB196645:QUC196662 RDX196645:RDY196662 RNT196645:RNU196662 RXP196645:RXQ196662 SHL196645:SHM196662 SRH196645:SRI196662 TBD196645:TBE196662 TKZ196645:TLA196662 TUV196645:TUW196662 UER196645:UES196662 UON196645:UOO196662 UYJ196645:UYK196662 VIF196645:VIG196662 VSB196645:VSC196662 WBX196645:WBY196662 WLT196645:WLU196662 WVP196645:WVQ196662 JD262181:JE262198 SZ262181:TA262198 ACV262181:ACW262198 AMR262181:AMS262198 AWN262181:AWO262198 BGJ262181:BGK262198 BQF262181:BQG262198 CAB262181:CAC262198 CJX262181:CJY262198 CTT262181:CTU262198 DDP262181:DDQ262198 DNL262181:DNM262198 DXH262181:DXI262198 EHD262181:EHE262198 EQZ262181:ERA262198 FAV262181:FAW262198 FKR262181:FKS262198 FUN262181:FUO262198 GEJ262181:GEK262198 GOF262181:GOG262198 GYB262181:GYC262198 HHX262181:HHY262198 HRT262181:HRU262198 IBP262181:IBQ262198 ILL262181:ILM262198 IVH262181:IVI262198 JFD262181:JFE262198 JOZ262181:JPA262198 JYV262181:JYW262198 KIR262181:KIS262198 KSN262181:KSO262198 LCJ262181:LCK262198 LMF262181:LMG262198 LWB262181:LWC262198 MFX262181:MFY262198 MPT262181:MPU262198 MZP262181:MZQ262198 NJL262181:NJM262198 NTH262181:NTI262198 ODD262181:ODE262198 OMZ262181:ONA262198 OWV262181:OWW262198 PGR262181:PGS262198 PQN262181:PQO262198 QAJ262181:QAK262198 QKF262181:QKG262198 QUB262181:QUC262198 RDX262181:RDY262198 RNT262181:RNU262198 RXP262181:RXQ262198 SHL262181:SHM262198 SRH262181:SRI262198 TBD262181:TBE262198 TKZ262181:TLA262198 TUV262181:TUW262198 UER262181:UES262198 UON262181:UOO262198 UYJ262181:UYK262198 VIF262181:VIG262198 VSB262181:VSC262198 WBX262181:WBY262198 WLT262181:WLU262198 WVP262181:WVQ262198 JD327717:JE327734 SZ327717:TA327734 ACV327717:ACW327734 AMR327717:AMS327734 AWN327717:AWO327734 BGJ327717:BGK327734 BQF327717:BQG327734 CAB327717:CAC327734 CJX327717:CJY327734 CTT327717:CTU327734 DDP327717:DDQ327734 DNL327717:DNM327734 DXH327717:DXI327734 EHD327717:EHE327734 EQZ327717:ERA327734 FAV327717:FAW327734 FKR327717:FKS327734 FUN327717:FUO327734 GEJ327717:GEK327734 GOF327717:GOG327734 GYB327717:GYC327734 HHX327717:HHY327734 HRT327717:HRU327734 IBP327717:IBQ327734 ILL327717:ILM327734 IVH327717:IVI327734 JFD327717:JFE327734 JOZ327717:JPA327734 JYV327717:JYW327734 KIR327717:KIS327734 KSN327717:KSO327734 LCJ327717:LCK327734 LMF327717:LMG327734 LWB327717:LWC327734 MFX327717:MFY327734 MPT327717:MPU327734 MZP327717:MZQ327734 NJL327717:NJM327734 NTH327717:NTI327734 ODD327717:ODE327734 OMZ327717:ONA327734 OWV327717:OWW327734 PGR327717:PGS327734 PQN327717:PQO327734 QAJ327717:QAK327734 QKF327717:QKG327734 QUB327717:QUC327734 RDX327717:RDY327734 RNT327717:RNU327734 RXP327717:RXQ327734 SHL327717:SHM327734 SRH327717:SRI327734 TBD327717:TBE327734 TKZ327717:TLA327734 TUV327717:TUW327734 UER327717:UES327734 UON327717:UOO327734 UYJ327717:UYK327734 VIF327717:VIG327734 VSB327717:VSC327734 WBX327717:WBY327734 WLT327717:WLU327734 WVP327717:WVQ327734 JD393253:JE393270 SZ393253:TA393270 ACV393253:ACW393270 AMR393253:AMS393270 AWN393253:AWO393270 BGJ393253:BGK393270 BQF393253:BQG393270 CAB393253:CAC393270 CJX393253:CJY393270 CTT393253:CTU393270 DDP393253:DDQ393270 DNL393253:DNM393270 DXH393253:DXI393270 EHD393253:EHE393270 EQZ393253:ERA393270 FAV393253:FAW393270 FKR393253:FKS393270 FUN393253:FUO393270 GEJ393253:GEK393270 GOF393253:GOG393270 GYB393253:GYC393270 HHX393253:HHY393270 HRT393253:HRU393270 IBP393253:IBQ393270 ILL393253:ILM393270 IVH393253:IVI393270 JFD393253:JFE393270 JOZ393253:JPA393270 JYV393253:JYW393270 KIR393253:KIS393270 KSN393253:KSO393270 LCJ393253:LCK393270 LMF393253:LMG393270 LWB393253:LWC393270 MFX393253:MFY393270 MPT393253:MPU393270 MZP393253:MZQ393270 NJL393253:NJM393270 NTH393253:NTI393270 ODD393253:ODE393270 OMZ393253:ONA393270 OWV393253:OWW393270 PGR393253:PGS393270 PQN393253:PQO393270 QAJ393253:QAK393270 QKF393253:QKG393270 QUB393253:QUC393270 RDX393253:RDY393270 RNT393253:RNU393270 RXP393253:RXQ393270 SHL393253:SHM393270 SRH393253:SRI393270 TBD393253:TBE393270 TKZ393253:TLA393270 TUV393253:TUW393270 UER393253:UES393270 UON393253:UOO393270 UYJ393253:UYK393270 VIF393253:VIG393270 VSB393253:VSC393270 WBX393253:WBY393270 WLT393253:WLU393270 WVP393253:WVQ393270 JD458789:JE458806 SZ458789:TA458806 ACV458789:ACW458806 AMR458789:AMS458806 AWN458789:AWO458806 BGJ458789:BGK458806 BQF458789:BQG458806 CAB458789:CAC458806 CJX458789:CJY458806 CTT458789:CTU458806 DDP458789:DDQ458806 DNL458789:DNM458806 DXH458789:DXI458806 EHD458789:EHE458806 EQZ458789:ERA458806 FAV458789:FAW458806 FKR458789:FKS458806 FUN458789:FUO458806 GEJ458789:GEK458806 GOF458789:GOG458806 GYB458789:GYC458806 HHX458789:HHY458806 HRT458789:HRU458806 IBP458789:IBQ458806 ILL458789:ILM458806 IVH458789:IVI458806 JFD458789:JFE458806 JOZ458789:JPA458806 JYV458789:JYW458806 KIR458789:KIS458806 KSN458789:KSO458806 LCJ458789:LCK458806 LMF458789:LMG458806 LWB458789:LWC458806 MFX458789:MFY458806 MPT458789:MPU458806 MZP458789:MZQ458806 NJL458789:NJM458806 NTH458789:NTI458806 ODD458789:ODE458806 OMZ458789:ONA458806 OWV458789:OWW458806 PGR458789:PGS458806 PQN458789:PQO458806 QAJ458789:QAK458806 QKF458789:QKG458806 QUB458789:QUC458806 RDX458789:RDY458806 RNT458789:RNU458806 RXP458789:RXQ458806 SHL458789:SHM458806 SRH458789:SRI458806 TBD458789:TBE458806 TKZ458789:TLA458806 TUV458789:TUW458806 UER458789:UES458806 UON458789:UOO458806 UYJ458789:UYK458806 VIF458789:VIG458806 VSB458789:VSC458806 WBX458789:WBY458806 WLT458789:WLU458806 WVP458789:WVQ458806 JD524325:JE524342 SZ524325:TA524342 ACV524325:ACW524342 AMR524325:AMS524342 AWN524325:AWO524342 BGJ524325:BGK524342 BQF524325:BQG524342 CAB524325:CAC524342 CJX524325:CJY524342 CTT524325:CTU524342 DDP524325:DDQ524342 DNL524325:DNM524342 DXH524325:DXI524342 EHD524325:EHE524342 EQZ524325:ERA524342 FAV524325:FAW524342 FKR524325:FKS524342 FUN524325:FUO524342 GEJ524325:GEK524342 GOF524325:GOG524342 GYB524325:GYC524342 HHX524325:HHY524342 HRT524325:HRU524342 IBP524325:IBQ524342 ILL524325:ILM524342 IVH524325:IVI524342 JFD524325:JFE524342 JOZ524325:JPA524342 JYV524325:JYW524342 KIR524325:KIS524342 KSN524325:KSO524342 LCJ524325:LCK524342 LMF524325:LMG524342 LWB524325:LWC524342 MFX524325:MFY524342 MPT524325:MPU524342 MZP524325:MZQ524342 NJL524325:NJM524342 NTH524325:NTI524342 ODD524325:ODE524342 OMZ524325:ONA524342 OWV524325:OWW524342 PGR524325:PGS524342 PQN524325:PQO524342 QAJ524325:QAK524342 QKF524325:QKG524342 QUB524325:QUC524342 RDX524325:RDY524342 RNT524325:RNU524342 RXP524325:RXQ524342 SHL524325:SHM524342 SRH524325:SRI524342 TBD524325:TBE524342 TKZ524325:TLA524342 TUV524325:TUW524342 UER524325:UES524342 UON524325:UOO524342 UYJ524325:UYK524342 VIF524325:VIG524342 VSB524325:VSC524342 WBX524325:WBY524342 WLT524325:WLU524342 WVP524325:WVQ524342 JD589861:JE589878 SZ589861:TA589878 ACV589861:ACW589878 AMR589861:AMS589878 AWN589861:AWO589878 BGJ589861:BGK589878 BQF589861:BQG589878 CAB589861:CAC589878 CJX589861:CJY589878 CTT589861:CTU589878 DDP589861:DDQ589878 DNL589861:DNM589878 DXH589861:DXI589878 EHD589861:EHE589878 EQZ589861:ERA589878 FAV589861:FAW589878 FKR589861:FKS589878 FUN589861:FUO589878 GEJ589861:GEK589878 GOF589861:GOG589878 GYB589861:GYC589878 HHX589861:HHY589878 HRT589861:HRU589878 IBP589861:IBQ589878 ILL589861:ILM589878 IVH589861:IVI589878 JFD589861:JFE589878 JOZ589861:JPA589878 JYV589861:JYW589878 KIR589861:KIS589878 KSN589861:KSO589878 LCJ589861:LCK589878 LMF589861:LMG589878 LWB589861:LWC589878 MFX589861:MFY589878 MPT589861:MPU589878 MZP589861:MZQ589878 NJL589861:NJM589878 NTH589861:NTI589878 ODD589861:ODE589878 OMZ589861:ONA589878 OWV589861:OWW589878 PGR589861:PGS589878 PQN589861:PQO589878 QAJ589861:QAK589878 QKF589861:QKG589878 QUB589861:QUC589878 RDX589861:RDY589878 RNT589861:RNU589878 RXP589861:RXQ589878 SHL589861:SHM589878 SRH589861:SRI589878 TBD589861:TBE589878 TKZ589861:TLA589878 TUV589861:TUW589878 UER589861:UES589878 UON589861:UOO589878 UYJ589861:UYK589878 VIF589861:VIG589878 VSB589861:VSC589878 WBX589861:WBY589878 WLT589861:WLU589878 WVP589861:WVQ589878 JD655397:JE655414 SZ655397:TA655414 ACV655397:ACW655414 AMR655397:AMS655414 AWN655397:AWO655414 BGJ655397:BGK655414 BQF655397:BQG655414 CAB655397:CAC655414 CJX655397:CJY655414 CTT655397:CTU655414 DDP655397:DDQ655414 DNL655397:DNM655414 DXH655397:DXI655414 EHD655397:EHE655414 EQZ655397:ERA655414 FAV655397:FAW655414 FKR655397:FKS655414 FUN655397:FUO655414 GEJ655397:GEK655414 GOF655397:GOG655414 GYB655397:GYC655414 HHX655397:HHY655414 HRT655397:HRU655414 IBP655397:IBQ655414 ILL655397:ILM655414 IVH655397:IVI655414 JFD655397:JFE655414 JOZ655397:JPA655414 JYV655397:JYW655414 KIR655397:KIS655414 KSN655397:KSO655414 LCJ655397:LCK655414 LMF655397:LMG655414 LWB655397:LWC655414 MFX655397:MFY655414 MPT655397:MPU655414 MZP655397:MZQ655414 NJL655397:NJM655414 NTH655397:NTI655414 ODD655397:ODE655414 OMZ655397:ONA655414 OWV655397:OWW655414 PGR655397:PGS655414 PQN655397:PQO655414 QAJ655397:QAK655414 QKF655397:QKG655414 QUB655397:QUC655414 RDX655397:RDY655414 RNT655397:RNU655414 RXP655397:RXQ655414 SHL655397:SHM655414 SRH655397:SRI655414 TBD655397:TBE655414 TKZ655397:TLA655414 TUV655397:TUW655414 UER655397:UES655414 UON655397:UOO655414 UYJ655397:UYK655414 VIF655397:VIG655414 VSB655397:VSC655414 WBX655397:WBY655414 WLT655397:WLU655414 WVP655397:WVQ655414 JD720933:JE720950 SZ720933:TA720950 ACV720933:ACW720950 AMR720933:AMS720950 AWN720933:AWO720950 BGJ720933:BGK720950 BQF720933:BQG720950 CAB720933:CAC720950 CJX720933:CJY720950 CTT720933:CTU720950 DDP720933:DDQ720950 DNL720933:DNM720950 DXH720933:DXI720950 EHD720933:EHE720950 EQZ720933:ERA720950 FAV720933:FAW720950 FKR720933:FKS720950 FUN720933:FUO720950 GEJ720933:GEK720950 GOF720933:GOG720950 GYB720933:GYC720950 HHX720933:HHY720950 HRT720933:HRU720950 IBP720933:IBQ720950 ILL720933:ILM720950 IVH720933:IVI720950 JFD720933:JFE720950 JOZ720933:JPA720950 JYV720933:JYW720950 KIR720933:KIS720950 KSN720933:KSO720950 LCJ720933:LCK720950 LMF720933:LMG720950 LWB720933:LWC720950 MFX720933:MFY720950 MPT720933:MPU720950 MZP720933:MZQ720950 NJL720933:NJM720950 NTH720933:NTI720950 ODD720933:ODE720950 OMZ720933:ONA720950 OWV720933:OWW720950 PGR720933:PGS720950 PQN720933:PQO720950 QAJ720933:QAK720950 QKF720933:QKG720950 QUB720933:QUC720950 RDX720933:RDY720950 RNT720933:RNU720950 RXP720933:RXQ720950 SHL720933:SHM720950 SRH720933:SRI720950 TBD720933:TBE720950 TKZ720933:TLA720950 TUV720933:TUW720950 UER720933:UES720950 UON720933:UOO720950 UYJ720933:UYK720950 VIF720933:VIG720950 VSB720933:VSC720950 WBX720933:WBY720950 WLT720933:WLU720950 WVP720933:WVQ720950 JD786469:JE786486 SZ786469:TA786486 ACV786469:ACW786486 AMR786469:AMS786486 AWN786469:AWO786486 BGJ786469:BGK786486 BQF786469:BQG786486 CAB786469:CAC786486 CJX786469:CJY786486 CTT786469:CTU786486 DDP786469:DDQ786486 DNL786469:DNM786486 DXH786469:DXI786486 EHD786469:EHE786486 EQZ786469:ERA786486 FAV786469:FAW786486 FKR786469:FKS786486 FUN786469:FUO786486 GEJ786469:GEK786486 GOF786469:GOG786486 GYB786469:GYC786486 HHX786469:HHY786486 HRT786469:HRU786486 IBP786469:IBQ786486 ILL786469:ILM786486 IVH786469:IVI786486 JFD786469:JFE786486 JOZ786469:JPA786486 JYV786469:JYW786486 KIR786469:KIS786486 KSN786469:KSO786486 LCJ786469:LCK786486 LMF786469:LMG786486 LWB786469:LWC786486 MFX786469:MFY786486 MPT786469:MPU786486 MZP786469:MZQ786486 NJL786469:NJM786486 NTH786469:NTI786486 ODD786469:ODE786486 OMZ786469:ONA786486 OWV786469:OWW786486 PGR786469:PGS786486 PQN786469:PQO786486 QAJ786469:QAK786486 QKF786469:QKG786486 QUB786469:QUC786486 RDX786469:RDY786486 RNT786469:RNU786486 RXP786469:RXQ786486 SHL786469:SHM786486 SRH786469:SRI786486 TBD786469:TBE786486 TKZ786469:TLA786486 TUV786469:TUW786486 UER786469:UES786486 UON786469:UOO786486 UYJ786469:UYK786486 VIF786469:VIG786486 VSB786469:VSC786486 WBX786469:WBY786486 WLT786469:WLU786486 WVP786469:WVQ786486 JD852005:JE852022 SZ852005:TA852022 ACV852005:ACW852022 AMR852005:AMS852022 AWN852005:AWO852022 BGJ852005:BGK852022 BQF852005:BQG852022 CAB852005:CAC852022 CJX852005:CJY852022 CTT852005:CTU852022 DDP852005:DDQ852022 DNL852005:DNM852022 DXH852005:DXI852022 EHD852005:EHE852022 EQZ852005:ERA852022 FAV852005:FAW852022 FKR852005:FKS852022 FUN852005:FUO852022 GEJ852005:GEK852022 GOF852005:GOG852022 GYB852005:GYC852022 HHX852005:HHY852022 HRT852005:HRU852022 IBP852005:IBQ852022 ILL852005:ILM852022 IVH852005:IVI852022 JFD852005:JFE852022 JOZ852005:JPA852022 JYV852005:JYW852022 KIR852005:KIS852022 KSN852005:KSO852022 LCJ852005:LCK852022 LMF852005:LMG852022 LWB852005:LWC852022 MFX852005:MFY852022 MPT852005:MPU852022 MZP852005:MZQ852022 NJL852005:NJM852022 NTH852005:NTI852022 ODD852005:ODE852022 OMZ852005:ONA852022 OWV852005:OWW852022 PGR852005:PGS852022 PQN852005:PQO852022 QAJ852005:QAK852022 QKF852005:QKG852022 QUB852005:QUC852022 RDX852005:RDY852022 RNT852005:RNU852022 RXP852005:RXQ852022 SHL852005:SHM852022 SRH852005:SRI852022 TBD852005:TBE852022 TKZ852005:TLA852022 TUV852005:TUW852022 UER852005:UES852022 UON852005:UOO852022 UYJ852005:UYK852022 VIF852005:VIG852022 VSB852005:VSC852022 WBX852005:WBY852022 WLT852005:WLU852022 WVP852005:WVQ852022 JD917541:JE917558 SZ917541:TA917558 ACV917541:ACW917558 AMR917541:AMS917558 AWN917541:AWO917558 BGJ917541:BGK917558 BQF917541:BQG917558 CAB917541:CAC917558 CJX917541:CJY917558 CTT917541:CTU917558 DDP917541:DDQ917558 DNL917541:DNM917558 DXH917541:DXI917558 EHD917541:EHE917558 EQZ917541:ERA917558 FAV917541:FAW917558 FKR917541:FKS917558 FUN917541:FUO917558 GEJ917541:GEK917558 GOF917541:GOG917558 GYB917541:GYC917558 HHX917541:HHY917558 HRT917541:HRU917558 IBP917541:IBQ917558 ILL917541:ILM917558 IVH917541:IVI917558 JFD917541:JFE917558 JOZ917541:JPA917558 JYV917541:JYW917558 KIR917541:KIS917558 KSN917541:KSO917558 LCJ917541:LCK917558 LMF917541:LMG917558 LWB917541:LWC917558 MFX917541:MFY917558 MPT917541:MPU917558 MZP917541:MZQ917558 NJL917541:NJM917558 NTH917541:NTI917558 ODD917541:ODE917558 OMZ917541:ONA917558 OWV917541:OWW917558 PGR917541:PGS917558 PQN917541:PQO917558 QAJ917541:QAK917558 QKF917541:QKG917558 QUB917541:QUC917558 RDX917541:RDY917558 RNT917541:RNU917558 RXP917541:RXQ917558 SHL917541:SHM917558 SRH917541:SRI917558 TBD917541:TBE917558 TKZ917541:TLA917558 TUV917541:TUW917558 UER917541:UES917558 UON917541:UOO917558 UYJ917541:UYK917558 VIF917541:VIG917558 VSB917541:VSC917558 WBX917541:WBY917558 WLT917541:WLU917558 WVP917541:WVQ917558 JD983077:JE983094 SZ983077:TA983094 ACV983077:ACW983094 AMR983077:AMS983094 AWN983077:AWO983094 BGJ983077:BGK983094 BQF983077:BQG983094 CAB983077:CAC983094 CJX983077:CJY983094 CTT983077:CTU983094 DDP983077:DDQ983094 DNL983077:DNM983094 DXH983077:DXI983094 EHD983077:EHE983094 EQZ983077:ERA983094 FAV983077:FAW983094 FKR983077:FKS983094 FUN983077:FUO983094 GEJ983077:GEK983094 GOF983077:GOG983094 GYB983077:GYC983094 HHX983077:HHY983094 HRT983077:HRU983094 IBP983077:IBQ983094 ILL983077:ILM983094 IVH983077:IVI983094 JFD983077:JFE983094 JOZ983077:JPA983094 JYV983077:JYW983094 KIR983077:KIS983094 KSN983077:KSO983094 LCJ983077:LCK983094 LMF983077:LMG983094 LWB983077:LWC983094 MFX983077:MFY983094 MPT983077:MPU983094 MZP983077:MZQ983094 NJL983077:NJM983094 NTH983077:NTI983094 ODD983077:ODE983094 OMZ983077:ONA983094 OWV983077:OWW983094 PGR983077:PGS983094 PQN983077:PQO983094 QAJ983077:QAK983094 QKF983077:QKG983094 QUB983077:QUC983094 RDX983077:RDY983094 RNT983077:RNU983094 RXP983077:RXQ983094 SHL983077:SHM983094 SRH983077:SRI983094 TBD983077:TBE983094 TKZ983077:TLA983094 TUV983077:TUW983094 UER983077:UES983094 UON983077:UOO983094 UYJ983077:UYK983094 VIF983077:VIG983094 VSB983077:VSC983094 WBX983077:WBY983094 WLT983077:WLU983094 WVP983077:WVQ983094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JE35:JE36 TA35:TA36 ACW35:ACW36 AMS35:AMS36 AWO35:AWO36 BGK35:BGK36 BQG35:BQG36 CAC35:CAC36 CJY35:CJY36 CTU35:CTU36 DDQ35:DDQ36 DNM35:DNM36 DXI35:DXI36 EHE35:EHE36 ERA35:ERA36 FAW35:FAW36 FKS35:FKS36 FUO35:FUO36 GEK35:GEK36 GOG35:GOG36 GYC35:GYC36 HHY35:HHY36 HRU35:HRU36 IBQ35:IBQ36 ILM35:ILM36 IVI35:IVI36 JFE35:JFE36 JPA35:JPA36 JYW35:JYW36 KIS35:KIS36 KSO35:KSO36 LCK35:LCK36 LMG35:LMG36 LWC35:LWC36 MFY35:MFY36 MPU35:MPU36 MZQ35:MZQ36 NJM35:NJM36 NTI35:NTI36 ODE35:ODE36 ONA35:ONA36 OWW35:OWW36 PGS35:PGS36 PQO35:PQO36 QAK35:QAK36 QKG35:QKG36 QUC35:QUC36 RDY35:RDY36 RNU35:RNU36 RXQ35:RXQ36 SHM35:SHM36 SRI35:SRI36 TBE35:TBE36 TLA35:TLA36 TUW35:TUW36 UES35:UES36 UOO35:UOO36 UYK35:UYK36 VIG35:VIG36 VSC35:VSC36 WBY35:WBY36 WLU35:WLU36 WVQ35:WVQ36 JE65571:JE65572 TA65571:TA65572 ACW65571:ACW65572 AMS65571:AMS65572 AWO65571:AWO65572 BGK65571:BGK65572 BQG65571:BQG65572 CAC65571:CAC65572 CJY65571:CJY65572 CTU65571:CTU65572 DDQ65571:DDQ65572 DNM65571:DNM65572 DXI65571:DXI65572 EHE65571:EHE65572 ERA65571:ERA65572 FAW65571:FAW65572 FKS65571:FKS65572 FUO65571:FUO65572 GEK65571:GEK65572 GOG65571:GOG65572 GYC65571:GYC65572 HHY65571:HHY65572 HRU65571:HRU65572 IBQ65571:IBQ65572 ILM65571:ILM65572 IVI65571:IVI65572 JFE65571:JFE65572 JPA65571:JPA65572 JYW65571:JYW65572 KIS65571:KIS65572 KSO65571:KSO65572 LCK65571:LCK65572 LMG65571:LMG65572 LWC65571:LWC65572 MFY65571:MFY65572 MPU65571:MPU65572 MZQ65571:MZQ65572 NJM65571:NJM65572 NTI65571:NTI65572 ODE65571:ODE65572 ONA65571:ONA65572 OWW65571:OWW65572 PGS65571:PGS65572 PQO65571:PQO65572 QAK65571:QAK65572 QKG65571:QKG65572 QUC65571:QUC65572 RDY65571:RDY65572 RNU65571:RNU65572 RXQ65571:RXQ65572 SHM65571:SHM65572 SRI65571:SRI65572 TBE65571:TBE65572 TLA65571:TLA65572 TUW65571:TUW65572 UES65571:UES65572 UOO65571:UOO65572 UYK65571:UYK65572 VIG65571:VIG65572 VSC65571:VSC65572 WBY65571:WBY65572 WLU65571:WLU65572 WVQ65571:WVQ65572 JE131107:JE131108 TA131107:TA131108 ACW131107:ACW131108 AMS131107:AMS131108 AWO131107:AWO131108 BGK131107:BGK131108 BQG131107:BQG131108 CAC131107:CAC131108 CJY131107:CJY131108 CTU131107:CTU131108 DDQ131107:DDQ131108 DNM131107:DNM131108 DXI131107:DXI131108 EHE131107:EHE131108 ERA131107:ERA131108 FAW131107:FAW131108 FKS131107:FKS131108 FUO131107:FUO131108 GEK131107:GEK131108 GOG131107:GOG131108 GYC131107:GYC131108 HHY131107:HHY131108 HRU131107:HRU131108 IBQ131107:IBQ131108 ILM131107:ILM131108 IVI131107:IVI131108 JFE131107:JFE131108 JPA131107:JPA131108 JYW131107:JYW131108 KIS131107:KIS131108 KSO131107:KSO131108 LCK131107:LCK131108 LMG131107:LMG131108 LWC131107:LWC131108 MFY131107:MFY131108 MPU131107:MPU131108 MZQ131107:MZQ131108 NJM131107:NJM131108 NTI131107:NTI131108 ODE131107:ODE131108 ONA131107:ONA131108 OWW131107:OWW131108 PGS131107:PGS131108 PQO131107:PQO131108 QAK131107:QAK131108 QKG131107:QKG131108 QUC131107:QUC131108 RDY131107:RDY131108 RNU131107:RNU131108 RXQ131107:RXQ131108 SHM131107:SHM131108 SRI131107:SRI131108 TBE131107:TBE131108 TLA131107:TLA131108 TUW131107:TUW131108 UES131107:UES131108 UOO131107:UOO131108 UYK131107:UYK131108 VIG131107:VIG131108 VSC131107:VSC131108 WBY131107:WBY131108 WLU131107:WLU131108 WVQ131107:WVQ131108 JE196643:JE196644 TA196643:TA196644 ACW196643:ACW196644 AMS196643:AMS196644 AWO196643:AWO196644 BGK196643:BGK196644 BQG196643:BQG196644 CAC196643:CAC196644 CJY196643:CJY196644 CTU196643:CTU196644 DDQ196643:DDQ196644 DNM196643:DNM196644 DXI196643:DXI196644 EHE196643:EHE196644 ERA196643:ERA196644 FAW196643:FAW196644 FKS196643:FKS196644 FUO196643:FUO196644 GEK196643:GEK196644 GOG196643:GOG196644 GYC196643:GYC196644 HHY196643:HHY196644 HRU196643:HRU196644 IBQ196643:IBQ196644 ILM196643:ILM196644 IVI196643:IVI196644 JFE196643:JFE196644 JPA196643:JPA196644 JYW196643:JYW196644 KIS196643:KIS196644 KSO196643:KSO196644 LCK196643:LCK196644 LMG196643:LMG196644 LWC196643:LWC196644 MFY196643:MFY196644 MPU196643:MPU196644 MZQ196643:MZQ196644 NJM196643:NJM196644 NTI196643:NTI196644 ODE196643:ODE196644 ONA196643:ONA196644 OWW196643:OWW196644 PGS196643:PGS196644 PQO196643:PQO196644 QAK196643:QAK196644 QKG196643:QKG196644 QUC196643:QUC196644 RDY196643:RDY196644 RNU196643:RNU196644 RXQ196643:RXQ196644 SHM196643:SHM196644 SRI196643:SRI196644 TBE196643:TBE196644 TLA196643:TLA196644 TUW196643:TUW196644 UES196643:UES196644 UOO196643:UOO196644 UYK196643:UYK196644 VIG196643:VIG196644 VSC196643:VSC196644 WBY196643:WBY196644 WLU196643:WLU196644 WVQ196643:WVQ196644 JE262179:JE262180 TA262179:TA262180 ACW262179:ACW262180 AMS262179:AMS262180 AWO262179:AWO262180 BGK262179:BGK262180 BQG262179:BQG262180 CAC262179:CAC262180 CJY262179:CJY262180 CTU262179:CTU262180 DDQ262179:DDQ262180 DNM262179:DNM262180 DXI262179:DXI262180 EHE262179:EHE262180 ERA262179:ERA262180 FAW262179:FAW262180 FKS262179:FKS262180 FUO262179:FUO262180 GEK262179:GEK262180 GOG262179:GOG262180 GYC262179:GYC262180 HHY262179:HHY262180 HRU262179:HRU262180 IBQ262179:IBQ262180 ILM262179:ILM262180 IVI262179:IVI262180 JFE262179:JFE262180 JPA262179:JPA262180 JYW262179:JYW262180 KIS262179:KIS262180 KSO262179:KSO262180 LCK262179:LCK262180 LMG262179:LMG262180 LWC262179:LWC262180 MFY262179:MFY262180 MPU262179:MPU262180 MZQ262179:MZQ262180 NJM262179:NJM262180 NTI262179:NTI262180 ODE262179:ODE262180 ONA262179:ONA262180 OWW262179:OWW262180 PGS262179:PGS262180 PQO262179:PQO262180 QAK262179:QAK262180 QKG262179:QKG262180 QUC262179:QUC262180 RDY262179:RDY262180 RNU262179:RNU262180 RXQ262179:RXQ262180 SHM262179:SHM262180 SRI262179:SRI262180 TBE262179:TBE262180 TLA262179:TLA262180 TUW262179:TUW262180 UES262179:UES262180 UOO262179:UOO262180 UYK262179:UYK262180 VIG262179:VIG262180 VSC262179:VSC262180 WBY262179:WBY262180 WLU262179:WLU262180 WVQ262179:WVQ262180 JE327715:JE327716 TA327715:TA327716 ACW327715:ACW327716 AMS327715:AMS327716 AWO327715:AWO327716 BGK327715:BGK327716 BQG327715:BQG327716 CAC327715:CAC327716 CJY327715:CJY327716 CTU327715:CTU327716 DDQ327715:DDQ327716 DNM327715:DNM327716 DXI327715:DXI327716 EHE327715:EHE327716 ERA327715:ERA327716 FAW327715:FAW327716 FKS327715:FKS327716 FUO327715:FUO327716 GEK327715:GEK327716 GOG327715:GOG327716 GYC327715:GYC327716 HHY327715:HHY327716 HRU327715:HRU327716 IBQ327715:IBQ327716 ILM327715:ILM327716 IVI327715:IVI327716 JFE327715:JFE327716 JPA327715:JPA327716 JYW327715:JYW327716 KIS327715:KIS327716 KSO327715:KSO327716 LCK327715:LCK327716 LMG327715:LMG327716 LWC327715:LWC327716 MFY327715:MFY327716 MPU327715:MPU327716 MZQ327715:MZQ327716 NJM327715:NJM327716 NTI327715:NTI327716 ODE327715:ODE327716 ONA327715:ONA327716 OWW327715:OWW327716 PGS327715:PGS327716 PQO327715:PQO327716 QAK327715:QAK327716 QKG327715:QKG327716 QUC327715:QUC327716 RDY327715:RDY327716 RNU327715:RNU327716 RXQ327715:RXQ327716 SHM327715:SHM327716 SRI327715:SRI327716 TBE327715:TBE327716 TLA327715:TLA327716 TUW327715:TUW327716 UES327715:UES327716 UOO327715:UOO327716 UYK327715:UYK327716 VIG327715:VIG327716 VSC327715:VSC327716 WBY327715:WBY327716 WLU327715:WLU327716 WVQ327715:WVQ327716 JE393251:JE393252 TA393251:TA393252 ACW393251:ACW393252 AMS393251:AMS393252 AWO393251:AWO393252 BGK393251:BGK393252 BQG393251:BQG393252 CAC393251:CAC393252 CJY393251:CJY393252 CTU393251:CTU393252 DDQ393251:DDQ393252 DNM393251:DNM393252 DXI393251:DXI393252 EHE393251:EHE393252 ERA393251:ERA393252 FAW393251:FAW393252 FKS393251:FKS393252 FUO393251:FUO393252 GEK393251:GEK393252 GOG393251:GOG393252 GYC393251:GYC393252 HHY393251:HHY393252 HRU393251:HRU393252 IBQ393251:IBQ393252 ILM393251:ILM393252 IVI393251:IVI393252 JFE393251:JFE393252 JPA393251:JPA393252 JYW393251:JYW393252 KIS393251:KIS393252 KSO393251:KSO393252 LCK393251:LCK393252 LMG393251:LMG393252 LWC393251:LWC393252 MFY393251:MFY393252 MPU393251:MPU393252 MZQ393251:MZQ393252 NJM393251:NJM393252 NTI393251:NTI393252 ODE393251:ODE393252 ONA393251:ONA393252 OWW393251:OWW393252 PGS393251:PGS393252 PQO393251:PQO393252 QAK393251:QAK393252 QKG393251:QKG393252 QUC393251:QUC393252 RDY393251:RDY393252 RNU393251:RNU393252 RXQ393251:RXQ393252 SHM393251:SHM393252 SRI393251:SRI393252 TBE393251:TBE393252 TLA393251:TLA393252 TUW393251:TUW393252 UES393251:UES393252 UOO393251:UOO393252 UYK393251:UYK393252 VIG393251:VIG393252 VSC393251:VSC393252 WBY393251:WBY393252 WLU393251:WLU393252 WVQ393251:WVQ393252 JE458787:JE458788 TA458787:TA458788 ACW458787:ACW458788 AMS458787:AMS458788 AWO458787:AWO458788 BGK458787:BGK458788 BQG458787:BQG458788 CAC458787:CAC458788 CJY458787:CJY458788 CTU458787:CTU458788 DDQ458787:DDQ458788 DNM458787:DNM458788 DXI458787:DXI458788 EHE458787:EHE458788 ERA458787:ERA458788 FAW458787:FAW458788 FKS458787:FKS458788 FUO458787:FUO458788 GEK458787:GEK458788 GOG458787:GOG458788 GYC458787:GYC458788 HHY458787:HHY458788 HRU458787:HRU458788 IBQ458787:IBQ458788 ILM458787:ILM458788 IVI458787:IVI458788 JFE458787:JFE458788 JPA458787:JPA458788 JYW458787:JYW458788 KIS458787:KIS458788 KSO458787:KSO458788 LCK458787:LCK458788 LMG458787:LMG458788 LWC458787:LWC458788 MFY458787:MFY458788 MPU458787:MPU458788 MZQ458787:MZQ458788 NJM458787:NJM458788 NTI458787:NTI458788 ODE458787:ODE458788 ONA458787:ONA458788 OWW458787:OWW458788 PGS458787:PGS458788 PQO458787:PQO458788 QAK458787:QAK458788 QKG458787:QKG458788 QUC458787:QUC458788 RDY458787:RDY458788 RNU458787:RNU458788 RXQ458787:RXQ458788 SHM458787:SHM458788 SRI458787:SRI458788 TBE458787:TBE458788 TLA458787:TLA458788 TUW458787:TUW458788 UES458787:UES458788 UOO458787:UOO458788 UYK458787:UYK458788 VIG458787:VIG458788 VSC458787:VSC458788 WBY458787:WBY458788 WLU458787:WLU458788 WVQ458787:WVQ458788 JE524323:JE524324 TA524323:TA524324 ACW524323:ACW524324 AMS524323:AMS524324 AWO524323:AWO524324 BGK524323:BGK524324 BQG524323:BQG524324 CAC524323:CAC524324 CJY524323:CJY524324 CTU524323:CTU524324 DDQ524323:DDQ524324 DNM524323:DNM524324 DXI524323:DXI524324 EHE524323:EHE524324 ERA524323:ERA524324 FAW524323:FAW524324 FKS524323:FKS524324 FUO524323:FUO524324 GEK524323:GEK524324 GOG524323:GOG524324 GYC524323:GYC524324 HHY524323:HHY524324 HRU524323:HRU524324 IBQ524323:IBQ524324 ILM524323:ILM524324 IVI524323:IVI524324 JFE524323:JFE524324 JPA524323:JPA524324 JYW524323:JYW524324 KIS524323:KIS524324 KSO524323:KSO524324 LCK524323:LCK524324 LMG524323:LMG524324 LWC524323:LWC524324 MFY524323:MFY524324 MPU524323:MPU524324 MZQ524323:MZQ524324 NJM524323:NJM524324 NTI524323:NTI524324 ODE524323:ODE524324 ONA524323:ONA524324 OWW524323:OWW524324 PGS524323:PGS524324 PQO524323:PQO524324 QAK524323:QAK524324 QKG524323:QKG524324 QUC524323:QUC524324 RDY524323:RDY524324 RNU524323:RNU524324 RXQ524323:RXQ524324 SHM524323:SHM524324 SRI524323:SRI524324 TBE524323:TBE524324 TLA524323:TLA524324 TUW524323:TUW524324 UES524323:UES524324 UOO524323:UOO524324 UYK524323:UYK524324 VIG524323:VIG524324 VSC524323:VSC524324 WBY524323:WBY524324 WLU524323:WLU524324 WVQ524323:WVQ524324 JE589859:JE589860 TA589859:TA589860 ACW589859:ACW589860 AMS589859:AMS589860 AWO589859:AWO589860 BGK589859:BGK589860 BQG589859:BQG589860 CAC589859:CAC589860 CJY589859:CJY589860 CTU589859:CTU589860 DDQ589859:DDQ589860 DNM589859:DNM589860 DXI589859:DXI589860 EHE589859:EHE589860 ERA589859:ERA589860 FAW589859:FAW589860 FKS589859:FKS589860 FUO589859:FUO589860 GEK589859:GEK589860 GOG589859:GOG589860 GYC589859:GYC589860 HHY589859:HHY589860 HRU589859:HRU589860 IBQ589859:IBQ589860 ILM589859:ILM589860 IVI589859:IVI589860 JFE589859:JFE589860 JPA589859:JPA589860 JYW589859:JYW589860 KIS589859:KIS589860 KSO589859:KSO589860 LCK589859:LCK589860 LMG589859:LMG589860 LWC589859:LWC589860 MFY589859:MFY589860 MPU589859:MPU589860 MZQ589859:MZQ589860 NJM589859:NJM589860 NTI589859:NTI589860 ODE589859:ODE589860 ONA589859:ONA589860 OWW589859:OWW589860 PGS589859:PGS589860 PQO589859:PQO589860 QAK589859:QAK589860 QKG589859:QKG589860 QUC589859:QUC589860 RDY589859:RDY589860 RNU589859:RNU589860 RXQ589859:RXQ589860 SHM589859:SHM589860 SRI589859:SRI589860 TBE589859:TBE589860 TLA589859:TLA589860 TUW589859:TUW589860 UES589859:UES589860 UOO589859:UOO589860 UYK589859:UYK589860 VIG589859:VIG589860 VSC589859:VSC589860 WBY589859:WBY589860 WLU589859:WLU589860 WVQ589859:WVQ589860 JE655395:JE655396 TA655395:TA655396 ACW655395:ACW655396 AMS655395:AMS655396 AWO655395:AWO655396 BGK655395:BGK655396 BQG655395:BQG655396 CAC655395:CAC655396 CJY655395:CJY655396 CTU655395:CTU655396 DDQ655395:DDQ655396 DNM655395:DNM655396 DXI655395:DXI655396 EHE655395:EHE655396 ERA655395:ERA655396 FAW655395:FAW655396 FKS655395:FKS655396 FUO655395:FUO655396 GEK655395:GEK655396 GOG655395:GOG655396 GYC655395:GYC655396 HHY655395:HHY655396 HRU655395:HRU655396 IBQ655395:IBQ655396 ILM655395:ILM655396 IVI655395:IVI655396 JFE655395:JFE655396 JPA655395:JPA655396 JYW655395:JYW655396 KIS655395:KIS655396 KSO655395:KSO655396 LCK655395:LCK655396 LMG655395:LMG655396 LWC655395:LWC655396 MFY655395:MFY655396 MPU655395:MPU655396 MZQ655395:MZQ655396 NJM655395:NJM655396 NTI655395:NTI655396 ODE655395:ODE655396 ONA655395:ONA655396 OWW655395:OWW655396 PGS655395:PGS655396 PQO655395:PQO655396 QAK655395:QAK655396 QKG655395:QKG655396 QUC655395:QUC655396 RDY655395:RDY655396 RNU655395:RNU655396 RXQ655395:RXQ655396 SHM655395:SHM655396 SRI655395:SRI655396 TBE655395:TBE655396 TLA655395:TLA655396 TUW655395:TUW655396 UES655395:UES655396 UOO655395:UOO655396 UYK655395:UYK655396 VIG655395:VIG655396 VSC655395:VSC655396 WBY655395:WBY655396 WLU655395:WLU655396 WVQ655395:WVQ655396 JE720931:JE720932 TA720931:TA720932 ACW720931:ACW720932 AMS720931:AMS720932 AWO720931:AWO720932 BGK720931:BGK720932 BQG720931:BQG720932 CAC720931:CAC720932 CJY720931:CJY720932 CTU720931:CTU720932 DDQ720931:DDQ720932 DNM720931:DNM720932 DXI720931:DXI720932 EHE720931:EHE720932 ERA720931:ERA720932 FAW720931:FAW720932 FKS720931:FKS720932 FUO720931:FUO720932 GEK720931:GEK720932 GOG720931:GOG720932 GYC720931:GYC720932 HHY720931:HHY720932 HRU720931:HRU720932 IBQ720931:IBQ720932 ILM720931:ILM720932 IVI720931:IVI720932 JFE720931:JFE720932 JPA720931:JPA720932 JYW720931:JYW720932 KIS720931:KIS720932 KSO720931:KSO720932 LCK720931:LCK720932 LMG720931:LMG720932 LWC720931:LWC720932 MFY720931:MFY720932 MPU720931:MPU720932 MZQ720931:MZQ720932 NJM720931:NJM720932 NTI720931:NTI720932 ODE720931:ODE720932 ONA720931:ONA720932 OWW720931:OWW720932 PGS720931:PGS720932 PQO720931:PQO720932 QAK720931:QAK720932 QKG720931:QKG720932 QUC720931:QUC720932 RDY720931:RDY720932 RNU720931:RNU720932 RXQ720931:RXQ720932 SHM720931:SHM720932 SRI720931:SRI720932 TBE720931:TBE720932 TLA720931:TLA720932 TUW720931:TUW720932 UES720931:UES720932 UOO720931:UOO720932 UYK720931:UYK720932 VIG720931:VIG720932 VSC720931:VSC720932 WBY720931:WBY720932 WLU720931:WLU720932 WVQ720931:WVQ720932 JE786467:JE786468 TA786467:TA786468 ACW786467:ACW786468 AMS786467:AMS786468 AWO786467:AWO786468 BGK786467:BGK786468 BQG786467:BQG786468 CAC786467:CAC786468 CJY786467:CJY786468 CTU786467:CTU786468 DDQ786467:DDQ786468 DNM786467:DNM786468 DXI786467:DXI786468 EHE786467:EHE786468 ERA786467:ERA786468 FAW786467:FAW786468 FKS786467:FKS786468 FUO786467:FUO786468 GEK786467:GEK786468 GOG786467:GOG786468 GYC786467:GYC786468 HHY786467:HHY786468 HRU786467:HRU786468 IBQ786467:IBQ786468 ILM786467:ILM786468 IVI786467:IVI786468 JFE786467:JFE786468 JPA786467:JPA786468 JYW786467:JYW786468 KIS786467:KIS786468 KSO786467:KSO786468 LCK786467:LCK786468 LMG786467:LMG786468 LWC786467:LWC786468 MFY786467:MFY786468 MPU786467:MPU786468 MZQ786467:MZQ786468 NJM786467:NJM786468 NTI786467:NTI786468 ODE786467:ODE786468 ONA786467:ONA786468 OWW786467:OWW786468 PGS786467:PGS786468 PQO786467:PQO786468 QAK786467:QAK786468 QKG786467:QKG786468 QUC786467:QUC786468 RDY786467:RDY786468 RNU786467:RNU786468 RXQ786467:RXQ786468 SHM786467:SHM786468 SRI786467:SRI786468 TBE786467:TBE786468 TLA786467:TLA786468 TUW786467:TUW786468 UES786467:UES786468 UOO786467:UOO786468 UYK786467:UYK786468 VIG786467:VIG786468 VSC786467:VSC786468 WBY786467:WBY786468 WLU786467:WLU786468 WVQ786467:WVQ786468 JE852003:JE852004 TA852003:TA852004 ACW852003:ACW852004 AMS852003:AMS852004 AWO852003:AWO852004 BGK852003:BGK852004 BQG852003:BQG852004 CAC852003:CAC852004 CJY852003:CJY852004 CTU852003:CTU852004 DDQ852003:DDQ852004 DNM852003:DNM852004 DXI852003:DXI852004 EHE852003:EHE852004 ERA852003:ERA852004 FAW852003:FAW852004 FKS852003:FKS852004 FUO852003:FUO852004 GEK852003:GEK852004 GOG852003:GOG852004 GYC852003:GYC852004 HHY852003:HHY852004 HRU852003:HRU852004 IBQ852003:IBQ852004 ILM852003:ILM852004 IVI852003:IVI852004 JFE852003:JFE852004 JPA852003:JPA852004 JYW852003:JYW852004 KIS852003:KIS852004 KSO852003:KSO852004 LCK852003:LCK852004 LMG852003:LMG852004 LWC852003:LWC852004 MFY852003:MFY852004 MPU852003:MPU852004 MZQ852003:MZQ852004 NJM852003:NJM852004 NTI852003:NTI852004 ODE852003:ODE852004 ONA852003:ONA852004 OWW852003:OWW852004 PGS852003:PGS852004 PQO852003:PQO852004 QAK852003:QAK852004 QKG852003:QKG852004 QUC852003:QUC852004 RDY852003:RDY852004 RNU852003:RNU852004 RXQ852003:RXQ852004 SHM852003:SHM852004 SRI852003:SRI852004 TBE852003:TBE852004 TLA852003:TLA852004 TUW852003:TUW852004 UES852003:UES852004 UOO852003:UOO852004 UYK852003:UYK852004 VIG852003:VIG852004 VSC852003:VSC852004 WBY852003:WBY852004 WLU852003:WLU852004 WVQ852003:WVQ852004 JE917539:JE917540 TA917539:TA917540 ACW917539:ACW917540 AMS917539:AMS917540 AWO917539:AWO917540 BGK917539:BGK917540 BQG917539:BQG917540 CAC917539:CAC917540 CJY917539:CJY917540 CTU917539:CTU917540 DDQ917539:DDQ917540 DNM917539:DNM917540 DXI917539:DXI917540 EHE917539:EHE917540 ERA917539:ERA917540 FAW917539:FAW917540 FKS917539:FKS917540 FUO917539:FUO917540 GEK917539:GEK917540 GOG917539:GOG917540 GYC917539:GYC917540 HHY917539:HHY917540 HRU917539:HRU917540 IBQ917539:IBQ917540 ILM917539:ILM917540 IVI917539:IVI917540 JFE917539:JFE917540 JPA917539:JPA917540 JYW917539:JYW917540 KIS917539:KIS917540 KSO917539:KSO917540 LCK917539:LCK917540 LMG917539:LMG917540 LWC917539:LWC917540 MFY917539:MFY917540 MPU917539:MPU917540 MZQ917539:MZQ917540 NJM917539:NJM917540 NTI917539:NTI917540 ODE917539:ODE917540 ONA917539:ONA917540 OWW917539:OWW917540 PGS917539:PGS917540 PQO917539:PQO917540 QAK917539:QAK917540 QKG917539:QKG917540 QUC917539:QUC917540 RDY917539:RDY917540 RNU917539:RNU917540 RXQ917539:RXQ917540 SHM917539:SHM917540 SRI917539:SRI917540 TBE917539:TBE917540 TLA917539:TLA917540 TUW917539:TUW917540 UES917539:UES917540 UOO917539:UOO917540 UYK917539:UYK917540 VIG917539:VIG917540 VSC917539:VSC917540 WBY917539:WBY917540 WLU917539:WLU917540 WVQ917539:WVQ917540 JE983075:JE983076 TA983075:TA983076 ACW983075:ACW983076 AMS983075:AMS983076 AWO983075:AWO983076 BGK983075:BGK983076 BQG983075:BQG983076 CAC983075:CAC983076 CJY983075:CJY983076 CTU983075:CTU983076 DDQ983075:DDQ983076 DNM983075:DNM983076 DXI983075:DXI983076 EHE983075:EHE983076 ERA983075:ERA983076 FAW983075:FAW983076 FKS983075:FKS983076 FUO983075:FUO983076 GEK983075:GEK983076 GOG983075:GOG983076 GYC983075:GYC983076 HHY983075:HHY983076 HRU983075:HRU983076 IBQ983075:IBQ983076 ILM983075:ILM983076 IVI983075:IVI983076 JFE983075:JFE983076 JPA983075:JPA983076 JYW983075:JYW983076 KIS983075:KIS983076 KSO983075:KSO983076 LCK983075:LCK983076 LMG983075:LMG983076 LWC983075:LWC983076 MFY983075:MFY983076 MPU983075:MPU983076 MZQ983075:MZQ983076 NJM983075:NJM983076 NTI983075:NTI983076 ODE983075:ODE983076 ONA983075:ONA983076 OWW983075:OWW983076 PGS983075:PGS983076 PQO983075:PQO983076 QAK983075:QAK983076 QKG983075:QKG983076 QUC983075:QUC983076 RDY983075:RDY983076 RNU983075:RNU983076 RXQ983075:RXQ983076 SHM983075:SHM983076 SRI983075:SRI983076 TBE983075:TBE983076 TLA983075:TLA983076 TUW983075:TUW983076 UES983075:UES983076 UOO983075:UOO983076 UYK983075:UYK983076 VIG983075:VIG983076 VSC983075:VSC983076 WBY983075:WBY983076 WLU983075:WLU983076 WVQ983075:WVQ983076 I983072:I983073 I917536:I917537 I852000:I852001 I786464:I786465 I720928:I720929 I655392:I655393 I589856:I589857 I524320:I524321 I458784:I458785 I393248:I393249 I327712:I327713 I262176:I262177 I196640:I196641 I131104:I131105 I65568:I65569 I31:I33 H983069 H917533 H851997 H786461 H720925 H655389 H589853 H524317 H458781 H393245 H327709 H262173 H196637 H131101 H65565 H131105 H983074:I983091 H917538:I917555 H852002:I852019 H786466:I786483 H720930:I720947 H655394:I655411 H589858:I589875 H524322:I524339 H458786:I458803 H393250:I393267 H327714:I327731 H262178:I262195 H196642:I196659 H131106:I131123 H65570:I65587 H34:I51 H983071:I983071 H917535:I917535 H851999:I851999 H786463:I786463 H720927:I720927 H655391:I655391 H589855:I589855 H524319:I524319 H458783:I458783 H393247:I393247 H327711:I327711 H262175:I262175 H196639:I196639 H131103:I131103 H65567:I65567 H65569 H983073 H917537 H852001 H786465 H720929 H655393 H589857 H524321 H458785 H393249 H327713 H262177 H196641">
      <formula1>$N$58:$N$61</formula1>
    </dataValidation>
  </dataValidations>
  <hyperlinks>
    <hyperlink ref="A1" location="'T&amp;V TOC'!A1" display="TOC"/>
  </hyperlinks>
  <pageMargins left="0.25" right="0.25" top="0.75" bottom="0.75" header="0.3" footer="0.3"/>
  <pageSetup scale="47" fitToHeight="0" orientation="portrait" r:id="rId1"/>
  <headerFooter alignWithMargins="0"/>
  <legacyDrawingHF r:id="rId2"/>
</worksheet>
</file>

<file path=xl/worksheets/sheet34.xml><?xml version="1.0" encoding="utf-8"?>
<worksheet xmlns="http://schemas.openxmlformats.org/spreadsheetml/2006/main" xmlns:r="http://schemas.openxmlformats.org/officeDocument/2006/relationships">
  <sheetPr>
    <tabColor theme="3" tint="0.39997558519241921"/>
  </sheetPr>
  <dimension ref="A1:BX78"/>
  <sheetViews>
    <sheetView showGridLines="0" view="pageBreakPreview" zoomScaleNormal="100" zoomScaleSheetLayoutView="100" workbookViewId="0"/>
  </sheetViews>
  <sheetFormatPr defaultRowHeight="12"/>
  <cols>
    <col min="1" max="1" width="4.7109375" style="1129" bestFit="1" customWidth="1"/>
    <col min="2" max="2" width="20" style="1119" customWidth="1"/>
    <col min="3" max="3" width="16" style="1119" customWidth="1"/>
    <col min="4" max="4" width="13.5703125" style="1119" customWidth="1"/>
    <col min="5" max="5" width="11" style="1119" customWidth="1"/>
    <col min="6" max="6" width="26.28515625" style="1119" customWidth="1"/>
    <col min="7" max="7" width="15.5703125" style="1119" customWidth="1"/>
    <col min="8" max="8" width="11" style="1119" customWidth="1"/>
    <col min="9" max="9" width="12" style="1119" customWidth="1"/>
    <col min="10" max="10" width="16" style="1119" customWidth="1"/>
    <col min="11" max="11" width="18.5703125" style="1119" customWidth="1"/>
    <col min="12" max="12" width="18.5703125" style="1129" customWidth="1"/>
    <col min="13" max="13" width="9.140625" style="1129"/>
    <col min="14" max="14" width="9.140625" style="1129" hidden="1" customWidth="1"/>
    <col min="15" max="76" width="9.140625" style="1129"/>
    <col min="77" max="256" width="9.140625" style="1121"/>
    <col min="257" max="257" width="18.140625" style="1121" customWidth="1"/>
    <col min="258" max="258" width="20" style="1121" customWidth="1"/>
    <col min="259" max="259" width="16" style="1121" customWidth="1"/>
    <col min="260" max="260" width="13.5703125" style="1121" customWidth="1"/>
    <col min="261" max="261" width="11" style="1121" customWidth="1"/>
    <col min="262" max="262" width="26.28515625" style="1121" customWidth="1"/>
    <col min="263" max="263" width="15.5703125" style="1121" customWidth="1"/>
    <col min="264" max="265" width="11" style="1121" customWidth="1"/>
    <col min="266" max="266" width="20.42578125" style="1121" customWidth="1"/>
    <col min="267" max="268" width="18.5703125" style="1121" customWidth="1"/>
    <col min="269" max="269" width="9.140625" style="1121"/>
    <col min="270" max="270" width="0" style="1121" hidden="1" customWidth="1"/>
    <col min="271" max="512" width="9.140625" style="1121"/>
    <col min="513" max="513" width="18.140625" style="1121" customWidth="1"/>
    <col min="514" max="514" width="20" style="1121" customWidth="1"/>
    <col min="515" max="515" width="16" style="1121" customWidth="1"/>
    <col min="516" max="516" width="13.5703125" style="1121" customWidth="1"/>
    <col min="517" max="517" width="11" style="1121" customWidth="1"/>
    <col min="518" max="518" width="26.28515625" style="1121" customWidth="1"/>
    <col min="519" max="519" width="15.5703125" style="1121" customWidth="1"/>
    <col min="520" max="521" width="11" style="1121" customWidth="1"/>
    <col min="522" max="522" width="20.42578125" style="1121" customWidth="1"/>
    <col min="523" max="524" width="18.5703125" style="1121" customWidth="1"/>
    <col min="525" max="525" width="9.140625" style="1121"/>
    <col min="526" max="526" width="0" style="1121" hidden="1" customWidth="1"/>
    <col min="527" max="768" width="9.140625" style="1121"/>
    <col min="769" max="769" width="18.140625" style="1121" customWidth="1"/>
    <col min="770" max="770" width="20" style="1121" customWidth="1"/>
    <col min="771" max="771" width="16" style="1121" customWidth="1"/>
    <col min="772" max="772" width="13.5703125" style="1121" customWidth="1"/>
    <col min="773" max="773" width="11" style="1121" customWidth="1"/>
    <col min="774" max="774" width="26.28515625" style="1121" customWidth="1"/>
    <col min="775" max="775" width="15.5703125" style="1121" customWidth="1"/>
    <col min="776" max="777" width="11" style="1121" customWidth="1"/>
    <col min="778" max="778" width="20.42578125" style="1121" customWidth="1"/>
    <col min="779" max="780" width="18.5703125" style="1121" customWidth="1"/>
    <col min="781" max="781" width="9.140625" style="1121"/>
    <col min="782" max="782" width="0" style="1121" hidden="1" customWidth="1"/>
    <col min="783" max="1024" width="9.140625" style="1121"/>
    <col min="1025" max="1025" width="18.140625" style="1121" customWidth="1"/>
    <col min="1026" max="1026" width="20" style="1121" customWidth="1"/>
    <col min="1027" max="1027" width="16" style="1121" customWidth="1"/>
    <col min="1028" max="1028" width="13.5703125" style="1121" customWidth="1"/>
    <col min="1029" max="1029" width="11" style="1121" customWidth="1"/>
    <col min="1030" max="1030" width="26.28515625" style="1121" customWidth="1"/>
    <col min="1031" max="1031" width="15.5703125" style="1121" customWidth="1"/>
    <col min="1032" max="1033" width="11" style="1121" customWidth="1"/>
    <col min="1034" max="1034" width="20.42578125" style="1121" customWidth="1"/>
    <col min="1035" max="1036" width="18.5703125" style="1121" customWidth="1"/>
    <col min="1037" max="1037" width="9.140625" style="1121"/>
    <col min="1038" max="1038" width="0" style="1121" hidden="1" customWidth="1"/>
    <col min="1039" max="1280" width="9.140625" style="1121"/>
    <col min="1281" max="1281" width="18.140625" style="1121" customWidth="1"/>
    <col min="1282" max="1282" width="20" style="1121" customWidth="1"/>
    <col min="1283" max="1283" width="16" style="1121" customWidth="1"/>
    <col min="1284" max="1284" width="13.5703125" style="1121" customWidth="1"/>
    <col min="1285" max="1285" width="11" style="1121" customWidth="1"/>
    <col min="1286" max="1286" width="26.28515625" style="1121" customWidth="1"/>
    <col min="1287" max="1287" width="15.5703125" style="1121" customWidth="1"/>
    <col min="1288" max="1289" width="11" style="1121" customWidth="1"/>
    <col min="1290" max="1290" width="20.42578125" style="1121" customWidth="1"/>
    <col min="1291" max="1292" width="18.5703125" style="1121" customWidth="1"/>
    <col min="1293" max="1293" width="9.140625" style="1121"/>
    <col min="1294" max="1294" width="0" style="1121" hidden="1" customWidth="1"/>
    <col min="1295" max="1536" width="9.140625" style="1121"/>
    <col min="1537" max="1537" width="18.140625" style="1121" customWidth="1"/>
    <col min="1538" max="1538" width="20" style="1121" customWidth="1"/>
    <col min="1539" max="1539" width="16" style="1121" customWidth="1"/>
    <col min="1540" max="1540" width="13.5703125" style="1121" customWidth="1"/>
    <col min="1541" max="1541" width="11" style="1121" customWidth="1"/>
    <col min="1542" max="1542" width="26.28515625" style="1121" customWidth="1"/>
    <col min="1543" max="1543" width="15.5703125" style="1121" customWidth="1"/>
    <col min="1544" max="1545" width="11" style="1121" customWidth="1"/>
    <col min="1546" max="1546" width="20.42578125" style="1121" customWidth="1"/>
    <col min="1547" max="1548" width="18.5703125" style="1121" customWidth="1"/>
    <col min="1549" max="1549" width="9.140625" style="1121"/>
    <col min="1550" max="1550" width="0" style="1121" hidden="1" customWidth="1"/>
    <col min="1551" max="1792" width="9.140625" style="1121"/>
    <col min="1793" max="1793" width="18.140625" style="1121" customWidth="1"/>
    <col min="1794" max="1794" width="20" style="1121" customWidth="1"/>
    <col min="1795" max="1795" width="16" style="1121" customWidth="1"/>
    <col min="1796" max="1796" width="13.5703125" style="1121" customWidth="1"/>
    <col min="1797" max="1797" width="11" style="1121" customWidth="1"/>
    <col min="1798" max="1798" width="26.28515625" style="1121" customWidth="1"/>
    <col min="1799" max="1799" width="15.5703125" style="1121" customWidth="1"/>
    <col min="1800" max="1801" width="11" style="1121" customWidth="1"/>
    <col min="1802" max="1802" width="20.42578125" style="1121" customWidth="1"/>
    <col min="1803" max="1804" width="18.5703125" style="1121" customWidth="1"/>
    <col min="1805" max="1805" width="9.140625" style="1121"/>
    <col min="1806" max="1806" width="0" style="1121" hidden="1" customWidth="1"/>
    <col min="1807" max="2048" width="9.140625" style="1121"/>
    <col min="2049" max="2049" width="18.140625" style="1121" customWidth="1"/>
    <col min="2050" max="2050" width="20" style="1121" customWidth="1"/>
    <col min="2051" max="2051" width="16" style="1121" customWidth="1"/>
    <col min="2052" max="2052" width="13.5703125" style="1121" customWidth="1"/>
    <col min="2053" max="2053" width="11" style="1121" customWidth="1"/>
    <col min="2054" max="2054" width="26.28515625" style="1121" customWidth="1"/>
    <col min="2055" max="2055" width="15.5703125" style="1121" customWidth="1"/>
    <col min="2056" max="2057" width="11" style="1121" customWidth="1"/>
    <col min="2058" max="2058" width="20.42578125" style="1121" customWidth="1"/>
    <col min="2059" max="2060" width="18.5703125" style="1121" customWidth="1"/>
    <col min="2061" max="2061" width="9.140625" style="1121"/>
    <col min="2062" max="2062" width="0" style="1121" hidden="1" customWidth="1"/>
    <col min="2063" max="2304" width="9.140625" style="1121"/>
    <col min="2305" max="2305" width="18.140625" style="1121" customWidth="1"/>
    <col min="2306" max="2306" width="20" style="1121" customWidth="1"/>
    <col min="2307" max="2307" width="16" style="1121" customWidth="1"/>
    <col min="2308" max="2308" width="13.5703125" style="1121" customWidth="1"/>
    <col min="2309" max="2309" width="11" style="1121" customWidth="1"/>
    <col min="2310" max="2310" width="26.28515625" style="1121" customWidth="1"/>
    <col min="2311" max="2311" width="15.5703125" style="1121" customWidth="1"/>
    <col min="2312" max="2313" width="11" style="1121" customWidth="1"/>
    <col min="2314" max="2314" width="20.42578125" style="1121" customWidth="1"/>
    <col min="2315" max="2316" width="18.5703125" style="1121" customWidth="1"/>
    <col min="2317" max="2317" width="9.140625" style="1121"/>
    <col min="2318" max="2318" width="0" style="1121" hidden="1" customWidth="1"/>
    <col min="2319" max="2560" width="9.140625" style="1121"/>
    <col min="2561" max="2561" width="18.140625" style="1121" customWidth="1"/>
    <col min="2562" max="2562" width="20" style="1121" customWidth="1"/>
    <col min="2563" max="2563" width="16" style="1121" customWidth="1"/>
    <col min="2564" max="2564" width="13.5703125" style="1121" customWidth="1"/>
    <col min="2565" max="2565" width="11" style="1121" customWidth="1"/>
    <col min="2566" max="2566" width="26.28515625" style="1121" customWidth="1"/>
    <col min="2567" max="2567" width="15.5703125" style="1121" customWidth="1"/>
    <col min="2568" max="2569" width="11" style="1121" customWidth="1"/>
    <col min="2570" max="2570" width="20.42578125" style="1121" customWidth="1"/>
    <col min="2571" max="2572" width="18.5703125" style="1121" customWidth="1"/>
    <col min="2573" max="2573" width="9.140625" style="1121"/>
    <col min="2574" max="2574" width="0" style="1121" hidden="1" customWidth="1"/>
    <col min="2575" max="2816" width="9.140625" style="1121"/>
    <col min="2817" max="2817" width="18.140625" style="1121" customWidth="1"/>
    <col min="2818" max="2818" width="20" style="1121" customWidth="1"/>
    <col min="2819" max="2819" width="16" style="1121" customWidth="1"/>
    <col min="2820" max="2820" width="13.5703125" style="1121" customWidth="1"/>
    <col min="2821" max="2821" width="11" style="1121" customWidth="1"/>
    <col min="2822" max="2822" width="26.28515625" style="1121" customWidth="1"/>
    <col min="2823" max="2823" width="15.5703125" style="1121" customWidth="1"/>
    <col min="2824" max="2825" width="11" style="1121" customWidth="1"/>
    <col min="2826" max="2826" width="20.42578125" style="1121" customWidth="1"/>
    <col min="2827" max="2828" width="18.5703125" style="1121" customWidth="1"/>
    <col min="2829" max="2829" width="9.140625" style="1121"/>
    <col min="2830" max="2830" width="0" style="1121" hidden="1" customWidth="1"/>
    <col min="2831" max="3072" width="9.140625" style="1121"/>
    <col min="3073" max="3073" width="18.140625" style="1121" customWidth="1"/>
    <col min="3074" max="3074" width="20" style="1121" customWidth="1"/>
    <col min="3075" max="3075" width="16" style="1121" customWidth="1"/>
    <col min="3076" max="3076" width="13.5703125" style="1121" customWidth="1"/>
    <col min="3077" max="3077" width="11" style="1121" customWidth="1"/>
    <col min="3078" max="3078" width="26.28515625" style="1121" customWidth="1"/>
    <col min="3079" max="3079" width="15.5703125" style="1121" customWidth="1"/>
    <col min="3080" max="3081" width="11" style="1121" customWidth="1"/>
    <col min="3082" max="3082" width="20.42578125" style="1121" customWidth="1"/>
    <col min="3083" max="3084" width="18.5703125" style="1121" customWidth="1"/>
    <col min="3085" max="3085" width="9.140625" style="1121"/>
    <col min="3086" max="3086" width="0" style="1121" hidden="1" customWidth="1"/>
    <col min="3087" max="3328" width="9.140625" style="1121"/>
    <col min="3329" max="3329" width="18.140625" style="1121" customWidth="1"/>
    <col min="3330" max="3330" width="20" style="1121" customWidth="1"/>
    <col min="3331" max="3331" width="16" style="1121" customWidth="1"/>
    <col min="3332" max="3332" width="13.5703125" style="1121" customWidth="1"/>
    <col min="3333" max="3333" width="11" style="1121" customWidth="1"/>
    <col min="3334" max="3334" width="26.28515625" style="1121" customWidth="1"/>
    <col min="3335" max="3335" width="15.5703125" style="1121" customWidth="1"/>
    <col min="3336" max="3337" width="11" style="1121" customWidth="1"/>
    <col min="3338" max="3338" width="20.42578125" style="1121" customWidth="1"/>
    <col min="3339" max="3340" width="18.5703125" style="1121" customWidth="1"/>
    <col min="3341" max="3341" width="9.140625" style="1121"/>
    <col min="3342" max="3342" width="0" style="1121" hidden="1" customWidth="1"/>
    <col min="3343" max="3584" width="9.140625" style="1121"/>
    <col min="3585" max="3585" width="18.140625" style="1121" customWidth="1"/>
    <col min="3586" max="3586" width="20" style="1121" customWidth="1"/>
    <col min="3587" max="3587" width="16" style="1121" customWidth="1"/>
    <col min="3588" max="3588" width="13.5703125" style="1121" customWidth="1"/>
    <col min="3589" max="3589" width="11" style="1121" customWidth="1"/>
    <col min="3590" max="3590" width="26.28515625" style="1121" customWidth="1"/>
    <col min="3591" max="3591" width="15.5703125" style="1121" customWidth="1"/>
    <col min="3592" max="3593" width="11" style="1121" customWidth="1"/>
    <col min="3594" max="3594" width="20.42578125" style="1121" customWidth="1"/>
    <col min="3595" max="3596" width="18.5703125" style="1121" customWidth="1"/>
    <col min="3597" max="3597" width="9.140625" style="1121"/>
    <col min="3598" max="3598" width="0" style="1121" hidden="1" customWidth="1"/>
    <col min="3599" max="3840" width="9.140625" style="1121"/>
    <col min="3841" max="3841" width="18.140625" style="1121" customWidth="1"/>
    <col min="3842" max="3842" width="20" style="1121" customWidth="1"/>
    <col min="3843" max="3843" width="16" style="1121" customWidth="1"/>
    <col min="3844" max="3844" width="13.5703125" style="1121" customWidth="1"/>
    <col min="3845" max="3845" width="11" style="1121" customWidth="1"/>
    <col min="3846" max="3846" width="26.28515625" style="1121" customWidth="1"/>
    <col min="3847" max="3847" width="15.5703125" style="1121" customWidth="1"/>
    <col min="3848" max="3849" width="11" style="1121" customWidth="1"/>
    <col min="3850" max="3850" width="20.42578125" style="1121" customWidth="1"/>
    <col min="3851" max="3852" width="18.5703125" style="1121" customWidth="1"/>
    <col min="3853" max="3853" width="9.140625" style="1121"/>
    <col min="3854" max="3854" width="0" style="1121" hidden="1" customWidth="1"/>
    <col min="3855" max="4096" width="9.140625" style="1121"/>
    <col min="4097" max="4097" width="18.140625" style="1121" customWidth="1"/>
    <col min="4098" max="4098" width="20" style="1121" customWidth="1"/>
    <col min="4099" max="4099" width="16" style="1121" customWidth="1"/>
    <col min="4100" max="4100" width="13.5703125" style="1121" customWidth="1"/>
    <col min="4101" max="4101" width="11" style="1121" customWidth="1"/>
    <col min="4102" max="4102" width="26.28515625" style="1121" customWidth="1"/>
    <col min="4103" max="4103" width="15.5703125" style="1121" customWidth="1"/>
    <col min="4104" max="4105" width="11" style="1121" customWidth="1"/>
    <col min="4106" max="4106" width="20.42578125" style="1121" customWidth="1"/>
    <col min="4107" max="4108" width="18.5703125" style="1121" customWidth="1"/>
    <col min="4109" max="4109" width="9.140625" style="1121"/>
    <col min="4110" max="4110" width="0" style="1121" hidden="1" customWidth="1"/>
    <col min="4111" max="4352" width="9.140625" style="1121"/>
    <col min="4353" max="4353" width="18.140625" style="1121" customWidth="1"/>
    <col min="4354" max="4354" width="20" style="1121" customWidth="1"/>
    <col min="4355" max="4355" width="16" style="1121" customWidth="1"/>
    <col min="4356" max="4356" width="13.5703125" style="1121" customWidth="1"/>
    <col min="4357" max="4357" width="11" style="1121" customWidth="1"/>
    <col min="4358" max="4358" width="26.28515625" style="1121" customWidth="1"/>
    <col min="4359" max="4359" width="15.5703125" style="1121" customWidth="1"/>
    <col min="4360" max="4361" width="11" style="1121" customWidth="1"/>
    <col min="4362" max="4362" width="20.42578125" style="1121" customWidth="1"/>
    <col min="4363" max="4364" width="18.5703125" style="1121" customWidth="1"/>
    <col min="4365" max="4365" width="9.140625" style="1121"/>
    <col min="4366" max="4366" width="0" style="1121" hidden="1" customWidth="1"/>
    <col min="4367" max="4608" width="9.140625" style="1121"/>
    <col min="4609" max="4609" width="18.140625" style="1121" customWidth="1"/>
    <col min="4610" max="4610" width="20" style="1121" customWidth="1"/>
    <col min="4611" max="4611" width="16" style="1121" customWidth="1"/>
    <col min="4612" max="4612" width="13.5703125" style="1121" customWidth="1"/>
    <col min="4613" max="4613" width="11" style="1121" customWidth="1"/>
    <col min="4614" max="4614" width="26.28515625" style="1121" customWidth="1"/>
    <col min="4615" max="4615" width="15.5703125" style="1121" customWidth="1"/>
    <col min="4616" max="4617" width="11" style="1121" customWidth="1"/>
    <col min="4618" max="4618" width="20.42578125" style="1121" customWidth="1"/>
    <col min="4619" max="4620" width="18.5703125" style="1121" customWidth="1"/>
    <col min="4621" max="4621" width="9.140625" style="1121"/>
    <col min="4622" max="4622" width="0" style="1121" hidden="1" customWidth="1"/>
    <col min="4623" max="4864" width="9.140625" style="1121"/>
    <col min="4865" max="4865" width="18.140625" style="1121" customWidth="1"/>
    <col min="4866" max="4866" width="20" style="1121" customWidth="1"/>
    <col min="4867" max="4867" width="16" style="1121" customWidth="1"/>
    <col min="4868" max="4868" width="13.5703125" style="1121" customWidth="1"/>
    <col min="4869" max="4869" width="11" style="1121" customWidth="1"/>
    <col min="4870" max="4870" width="26.28515625" style="1121" customWidth="1"/>
    <col min="4871" max="4871" width="15.5703125" style="1121" customWidth="1"/>
    <col min="4872" max="4873" width="11" style="1121" customWidth="1"/>
    <col min="4874" max="4874" width="20.42578125" style="1121" customWidth="1"/>
    <col min="4875" max="4876" width="18.5703125" style="1121" customWidth="1"/>
    <col min="4877" max="4877" width="9.140625" style="1121"/>
    <col min="4878" max="4878" width="0" style="1121" hidden="1" customWidth="1"/>
    <col min="4879" max="5120" width="9.140625" style="1121"/>
    <col min="5121" max="5121" width="18.140625" style="1121" customWidth="1"/>
    <col min="5122" max="5122" width="20" style="1121" customWidth="1"/>
    <col min="5123" max="5123" width="16" style="1121" customWidth="1"/>
    <col min="5124" max="5124" width="13.5703125" style="1121" customWidth="1"/>
    <col min="5125" max="5125" width="11" style="1121" customWidth="1"/>
    <col min="5126" max="5126" width="26.28515625" style="1121" customWidth="1"/>
    <col min="5127" max="5127" width="15.5703125" style="1121" customWidth="1"/>
    <col min="5128" max="5129" width="11" style="1121" customWidth="1"/>
    <col min="5130" max="5130" width="20.42578125" style="1121" customWidth="1"/>
    <col min="5131" max="5132" width="18.5703125" style="1121" customWidth="1"/>
    <col min="5133" max="5133" width="9.140625" style="1121"/>
    <col min="5134" max="5134" width="0" style="1121" hidden="1" customWidth="1"/>
    <col min="5135" max="5376" width="9.140625" style="1121"/>
    <col min="5377" max="5377" width="18.140625" style="1121" customWidth="1"/>
    <col min="5378" max="5378" width="20" style="1121" customWidth="1"/>
    <col min="5379" max="5379" width="16" style="1121" customWidth="1"/>
    <col min="5380" max="5380" width="13.5703125" style="1121" customWidth="1"/>
    <col min="5381" max="5381" width="11" style="1121" customWidth="1"/>
    <col min="5382" max="5382" width="26.28515625" style="1121" customWidth="1"/>
    <col min="5383" max="5383" width="15.5703125" style="1121" customWidth="1"/>
    <col min="5384" max="5385" width="11" style="1121" customWidth="1"/>
    <col min="5386" max="5386" width="20.42578125" style="1121" customWidth="1"/>
    <col min="5387" max="5388" width="18.5703125" style="1121" customWidth="1"/>
    <col min="5389" max="5389" width="9.140625" style="1121"/>
    <col min="5390" max="5390" width="0" style="1121" hidden="1" customWidth="1"/>
    <col min="5391" max="5632" width="9.140625" style="1121"/>
    <col min="5633" max="5633" width="18.140625" style="1121" customWidth="1"/>
    <col min="5634" max="5634" width="20" style="1121" customWidth="1"/>
    <col min="5635" max="5635" width="16" style="1121" customWidth="1"/>
    <col min="5636" max="5636" width="13.5703125" style="1121" customWidth="1"/>
    <col min="5637" max="5637" width="11" style="1121" customWidth="1"/>
    <col min="5638" max="5638" width="26.28515625" style="1121" customWidth="1"/>
    <col min="5639" max="5639" width="15.5703125" style="1121" customWidth="1"/>
    <col min="5640" max="5641" width="11" style="1121" customWidth="1"/>
    <col min="5642" max="5642" width="20.42578125" style="1121" customWidth="1"/>
    <col min="5643" max="5644" width="18.5703125" style="1121" customWidth="1"/>
    <col min="5645" max="5645" width="9.140625" style="1121"/>
    <col min="5646" max="5646" width="0" style="1121" hidden="1" customWidth="1"/>
    <col min="5647" max="5888" width="9.140625" style="1121"/>
    <col min="5889" max="5889" width="18.140625" style="1121" customWidth="1"/>
    <col min="5890" max="5890" width="20" style="1121" customWidth="1"/>
    <col min="5891" max="5891" width="16" style="1121" customWidth="1"/>
    <col min="5892" max="5892" width="13.5703125" style="1121" customWidth="1"/>
    <col min="5893" max="5893" width="11" style="1121" customWidth="1"/>
    <col min="5894" max="5894" width="26.28515625" style="1121" customWidth="1"/>
    <col min="5895" max="5895" width="15.5703125" style="1121" customWidth="1"/>
    <col min="5896" max="5897" width="11" style="1121" customWidth="1"/>
    <col min="5898" max="5898" width="20.42578125" style="1121" customWidth="1"/>
    <col min="5899" max="5900" width="18.5703125" style="1121" customWidth="1"/>
    <col min="5901" max="5901" width="9.140625" style="1121"/>
    <col min="5902" max="5902" width="0" style="1121" hidden="1" customWidth="1"/>
    <col min="5903" max="6144" width="9.140625" style="1121"/>
    <col min="6145" max="6145" width="18.140625" style="1121" customWidth="1"/>
    <col min="6146" max="6146" width="20" style="1121" customWidth="1"/>
    <col min="6147" max="6147" width="16" style="1121" customWidth="1"/>
    <col min="6148" max="6148" width="13.5703125" style="1121" customWidth="1"/>
    <col min="6149" max="6149" width="11" style="1121" customWidth="1"/>
    <col min="6150" max="6150" width="26.28515625" style="1121" customWidth="1"/>
    <col min="6151" max="6151" width="15.5703125" style="1121" customWidth="1"/>
    <col min="6152" max="6153" width="11" style="1121" customWidth="1"/>
    <col min="6154" max="6154" width="20.42578125" style="1121" customWidth="1"/>
    <col min="6155" max="6156" width="18.5703125" style="1121" customWidth="1"/>
    <col min="6157" max="6157" width="9.140625" style="1121"/>
    <col min="6158" max="6158" width="0" style="1121" hidden="1" customWidth="1"/>
    <col min="6159" max="6400" width="9.140625" style="1121"/>
    <col min="6401" max="6401" width="18.140625" style="1121" customWidth="1"/>
    <col min="6402" max="6402" width="20" style="1121" customWidth="1"/>
    <col min="6403" max="6403" width="16" style="1121" customWidth="1"/>
    <col min="6404" max="6404" width="13.5703125" style="1121" customWidth="1"/>
    <col min="6405" max="6405" width="11" style="1121" customWidth="1"/>
    <col min="6406" max="6406" width="26.28515625" style="1121" customWidth="1"/>
    <col min="6407" max="6407" width="15.5703125" style="1121" customWidth="1"/>
    <col min="6408" max="6409" width="11" style="1121" customWidth="1"/>
    <col min="6410" max="6410" width="20.42578125" style="1121" customWidth="1"/>
    <col min="6411" max="6412" width="18.5703125" style="1121" customWidth="1"/>
    <col min="6413" max="6413" width="9.140625" style="1121"/>
    <col min="6414" max="6414" width="0" style="1121" hidden="1" customWidth="1"/>
    <col min="6415" max="6656" width="9.140625" style="1121"/>
    <col min="6657" max="6657" width="18.140625" style="1121" customWidth="1"/>
    <col min="6658" max="6658" width="20" style="1121" customWidth="1"/>
    <col min="6659" max="6659" width="16" style="1121" customWidth="1"/>
    <col min="6660" max="6660" width="13.5703125" style="1121" customWidth="1"/>
    <col min="6661" max="6661" width="11" style="1121" customWidth="1"/>
    <col min="6662" max="6662" width="26.28515625" style="1121" customWidth="1"/>
    <col min="6663" max="6663" width="15.5703125" style="1121" customWidth="1"/>
    <col min="6664" max="6665" width="11" style="1121" customWidth="1"/>
    <col min="6666" max="6666" width="20.42578125" style="1121" customWidth="1"/>
    <col min="6667" max="6668" width="18.5703125" style="1121" customWidth="1"/>
    <col min="6669" max="6669" width="9.140625" style="1121"/>
    <col min="6670" max="6670" width="0" style="1121" hidden="1" customWidth="1"/>
    <col min="6671" max="6912" width="9.140625" style="1121"/>
    <col min="6913" max="6913" width="18.140625" style="1121" customWidth="1"/>
    <col min="6914" max="6914" width="20" style="1121" customWidth="1"/>
    <col min="6915" max="6915" width="16" style="1121" customWidth="1"/>
    <col min="6916" max="6916" width="13.5703125" style="1121" customWidth="1"/>
    <col min="6917" max="6917" width="11" style="1121" customWidth="1"/>
    <col min="6918" max="6918" width="26.28515625" style="1121" customWidth="1"/>
    <col min="6919" max="6919" width="15.5703125" style="1121" customWidth="1"/>
    <col min="6920" max="6921" width="11" style="1121" customWidth="1"/>
    <col min="6922" max="6922" width="20.42578125" style="1121" customWidth="1"/>
    <col min="6923" max="6924" width="18.5703125" style="1121" customWidth="1"/>
    <col min="6925" max="6925" width="9.140625" style="1121"/>
    <col min="6926" max="6926" width="0" style="1121" hidden="1" customWidth="1"/>
    <col min="6927" max="7168" width="9.140625" style="1121"/>
    <col min="7169" max="7169" width="18.140625" style="1121" customWidth="1"/>
    <col min="7170" max="7170" width="20" style="1121" customWidth="1"/>
    <col min="7171" max="7171" width="16" style="1121" customWidth="1"/>
    <col min="7172" max="7172" width="13.5703125" style="1121" customWidth="1"/>
    <col min="7173" max="7173" width="11" style="1121" customWidth="1"/>
    <col min="7174" max="7174" width="26.28515625" style="1121" customWidth="1"/>
    <col min="7175" max="7175" width="15.5703125" style="1121" customWidth="1"/>
    <col min="7176" max="7177" width="11" style="1121" customWidth="1"/>
    <col min="7178" max="7178" width="20.42578125" style="1121" customWidth="1"/>
    <col min="7179" max="7180" width="18.5703125" style="1121" customWidth="1"/>
    <col min="7181" max="7181" width="9.140625" style="1121"/>
    <col min="7182" max="7182" width="0" style="1121" hidden="1" customWidth="1"/>
    <col min="7183" max="7424" width="9.140625" style="1121"/>
    <col min="7425" max="7425" width="18.140625" style="1121" customWidth="1"/>
    <col min="7426" max="7426" width="20" style="1121" customWidth="1"/>
    <col min="7427" max="7427" width="16" style="1121" customWidth="1"/>
    <col min="7428" max="7428" width="13.5703125" style="1121" customWidth="1"/>
    <col min="7429" max="7429" width="11" style="1121" customWidth="1"/>
    <col min="7430" max="7430" width="26.28515625" style="1121" customWidth="1"/>
    <col min="7431" max="7431" width="15.5703125" style="1121" customWidth="1"/>
    <col min="7432" max="7433" width="11" style="1121" customWidth="1"/>
    <col min="7434" max="7434" width="20.42578125" style="1121" customWidth="1"/>
    <col min="7435" max="7436" width="18.5703125" style="1121" customWidth="1"/>
    <col min="7437" max="7437" width="9.140625" style="1121"/>
    <col min="7438" max="7438" width="0" style="1121" hidden="1" customWidth="1"/>
    <col min="7439" max="7680" width="9.140625" style="1121"/>
    <col min="7681" max="7681" width="18.140625" style="1121" customWidth="1"/>
    <col min="7682" max="7682" width="20" style="1121" customWidth="1"/>
    <col min="7683" max="7683" width="16" style="1121" customWidth="1"/>
    <col min="7684" max="7684" width="13.5703125" style="1121" customWidth="1"/>
    <col min="7685" max="7685" width="11" style="1121" customWidth="1"/>
    <col min="7686" max="7686" width="26.28515625" style="1121" customWidth="1"/>
    <col min="7687" max="7687" width="15.5703125" style="1121" customWidth="1"/>
    <col min="7688" max="7689" width="11" style="1121" customWidth="1"/>
    <col min="7690" max="7690" width="20.42578125" style="1121" customWidth="1"/>
    <col min="7691" max="7692" width="18.5703125" style="1121" customWidth="1"/>
    <col min="7693" max="7693" width="9.140625" style="1121"/>
    <col min="7694" max="7694" width="0" style="1121" hidden="1" customWidth="1"/>
    <col min="7695" max="7936" width="9.140625" style="1121"/>
    <col min="7937" max="7937" width="18.140625" style="1121" customWidth="1"/>
    <col min="7938" max="7938" width="20" style="1121" customWidth="1"/>
    <col min="7939" max="7939" width="16" style="1121" customWidth="1"/>
    <col min="7940" max="7940" width="13.5703125" style="1121" customWidth="1"/>
    <col min="7941" max="7941" width="11" style="1121" customWidth="1"/>
    <col min="7942" max="7942" width="26.28515625" style="1121" customWidth="1"/>
    <col min="7943" max="7943" width="15.5703125" style="1121" customWidth="1"/>
    <col min="7944" max="7945" width="11" style="1121" customWidth="1"/>
    <col min="7946" max="7946" width="20.42578125" style="1121" customWidth="1"/>
    <col min="7947" max="7948" width="18.5703125" style="1121" customWidth="1"/>
    <col min="7949" max="7949" width="9.140625" style="1121"/>
    <col min="7950" max="7950" width="0" style="1121" hidden="1" customWidth="1"/>
    <col min="7951" max="8192" width="9.140625" style="1121"/>
    <col min="8193" max="8193" width="18.140625" style="1121" customWidth="1"/>
    <col min="8194" max="8194" width="20" style="1121" customWidth="1"/>
    <col min="8195" max="8195" width="16" style="1121" customWidth="1"/>
    <col min="8196" max="8196" width="13.5703125" style="1121" customWidth="1"/>
    <col min="8197" max="8197" width="11" style="1121" customWidth="1"/>
    <col min="8198" max="8198" width="26.28515625" style="1121" customWidth="1"/>
    <col min="8199" max="8199" width="15.5703125" style="1121" customWidth="1"/>
    <col min="8200" max="8201" width="11" style="1121" customWidth="1"/>
    <col min="8202" max="8202" width="20.42578125" style="1121" customWidth="1"/>
    <col min="8203" max="8204" width="18.5703125" style="1121" customWidth="1"/>
    <col min="8205" max="8205" width="9.140625" style="1121"/>
    <col min="8206" max="8206" width="0" style="1121" hidden="1" customWidth="1"/>
    <col min="8207" max="8448" width="9.140625" style="1121"/>
    <col min="8449" max="8449" width="18.140625" style="1121" customWidth="1"/>
    <col min="8450" max="8450" width="20" style="1121" customWidth="1"/>
    <col min="8451" max="8451" width="16" style="1121" customWidth="1"/>
    <col min="8452" max="8452" width="13.5703125" style="1121" customWidth="1"/>
    <col min="8453" max="8453" width="11" style="1121" customWidth="1"/>
    <col min="8454" max="8454" width="26.28515625" style="1121" customWidth="1"/>
    <col min="8455" max="8455" width="15.5703125" style="1121" customWidth="1"/>
    <col min="8456" max="8457" width="11" style="1121" customWidth="1"/>
    <col min="8458" max="8458" width="20.42578125" style="1121" customWidth="1"/>
    <col min="8459" max="8460" width="18.5703125" style="1121" customWidth="1"/>
    <col min="8461" max="8461" width="9.140625" style="1121"/>
    <col min="8462" max="8462" width="0" style="1121" hidden="1" customWidth="1"/>
    <col min="8463" max="8704" width="9.140625" style="1121"/>
    <col min="8705" max="8705" width="18.140625" style="1121" customWidth="1"/>
    <col min="8706" max="8706" width="20" style="1121" customWidth="1"/>
    <col min="8707" max="8707" width="16" style="1121" customWidth="1"/>
    <col min="8708" max="8708" width="13.5703125" style="1121" customWidth="1"/>
    <col min="8709" max="8709" width="11" style="1121" customWidth="1"/>
    <col min="8710" max="8710" width="26.28515625" style="1121" customWidth="1"/>
    <col min="8711" max="8711" width="15.5703125" style="1121" customWidth="1"/>
    <col min="8712" max="8713" width="11" style="1121" customWidth="1"/>
    <col min="8714" max="8714" width="20.42578125" style="1121" customWidth="1"/>
    <col min="8715" max="8716" width="18.5703125" style="1121" customWidth="1"/>
    <col min="8717" max="8717" width="9.140625" style="1121"/>
    <col min="8718" max="8718" width="0" style="1121" hidden="1" customWidth="1"/>
    <col min="8719" max="8960" width="9.140625" style="1121"/>
    <col min="8961" max="8961" width="18.140625" style="1121" customWidth="1"/>
    <col min="8962" max="8962" width="20" style="1121" customWidth="1"/>
    <col min="8963" max="8963" width="16" style="1121" customWidth="1"/>
    <col min="8964" max="8964" width="13.5703125" style="1121" customWidth="1"/>
    <col min="8965" max="8965" width="11" style="1121" customWidth="1"/>
    <col min="8966" max="8966" width="26.28515625" style="1121" customWidth="1"/>
    <col min="8967" max="8967" width="15.5703125" style="1121" customWidth="1"/>
    <col min="8968" max="8969" width="11" style="1121" customWidth="1"/>
    <col min="8970" max="8970" width="20.42578125" style="1121" customWidth="1"/>
    <col min="8971" max="8972" width="18.5703125" style="1121" customWidth="1"/>
    <col min="8973" max="8973" width="9.140625" style="1121"/>
    <col min="8974" max="8974" width="0" style="1121" hidden="1" customWidth="1"/>
    <col min="8975" max="9216" width="9.140625" style="1121"/>
    <col min="9217" max="9217" width="18.140625" style="1121" customWidth="1"/>
    <col min="9218" max="9218" width="20" style="1121" customWidth="1"/>
    <col min="9219" max="9219" width="16" style="1121" customWidth="1"/>
    <col min="9220" max="9220" width="13.5703125" style="1121" customWidth="1"/>
    <col min="9221" max="9221" width="11" style="1121" customWidth="1"/>
    <col min="9222" max="9222" width="26.28515625" style="1121" customWidth="1"/>
    <col min="9223" max="9223" width="15.5703125" style="1121" customWidth="1"/>
    <col min="9224" max="9225" width="11" style="1121" customWidth="1"/>
    <col min="9226" max="9226" width="20.42578125" style="1121" customWidth="1"/>
    <col min="9227" max="9228" width="18.5703125" style="1121" customWidth="1"/>
    <col min="9229" max="9229" width="9.140625" style="1121"/>
    <col min="9230" max="9230" width="0" style="1121" hidden="1" customWidth="1"/>
    <col min="9231" max="9472" width="9.140625" style="1121"/>
    <col min="9473" max="9473" width="18.140625" style="1121" customWidth="1"/>
    <col min="9474" max="9474" width="20" style="1121" customWidth="1"/>
    <col min="9475" max="9475" width="16" style="1121" customWidth="1"/>
    <col min="9476" max="9476" width="13.5703125" style="1121" customWidth="1"/>
    <col min="9477" max="9477" width="11" style="1121" customWidth="1"/>
    <col min="9478" max="9478" width="26.28515625" style="1121" customWidth="1"/>
    <col min="9479" max="9479" width="15.5703125" style="1121" customWidth="1"/>
    <col min="9480" max="9481" width="11" style="1121" customWidth="1"/>
    <col min="9482" max="9482" width="20.42578125" style="1121" customWidth="1"/>
    <col min="9483" max="9484" width="18.5703125" style="1121" customWidth="1"/>
    <col min="9485" max="9485" width="9.140625" style="1121"/>
    <col min="9486" max="9486" width="0" style="1121" hidden="1" customWidth="1"/>
    <col min="9487" max="9728" width="9.140625" style="1121"/>
    <col min="9729" max="9729" width="18.140625" style="1121" customWidth="1"/>
    <col min="9730" max="9730" width="20" style="1121" customWidth="1"/>
    <col min="9731" max="9731" width="16" style="1121" customWidth="1"/>
    <col min="9732" max="9732" width="13.5703125" style="1121" customWidth="1"/>
    <col min="9733" max="9733" width="11" style="1121" customWidth="1"/>
    <col min="9734" max="9734" width="26.28515625" style="1121" customWidth="1"/>
    <col min="9735" max="9735" width="15.5703125" style="1121" customWidth="1"/>
    <col min="9736" max="9737" width="11" style="1121" customWidth="1"/>
    <col min="9738" max="9738" width="20.42578125" style="1121" customWidth="1"/>
    <col min="9739" max="9740" width="18.5703125" style="1121" customWidth="1"/>
    <col min="9741" max="9741" width="9.140625" style="1121"/>
    <col min="9742" max="9742" width="0" style="1121" hidden="1" customWidth="1"/>
    <col min="9743" max="9984" width="9.140625" style="1121"/>
    <col min="9985" max="9985" width="18.140625" style="1121" customWidth="1"/>
    <col min="9986" max="9986" width="20" style="1121" customWidth="1"/>
    <col min="9987" max="9987" width="16" style="1121" customWidth="1"/>
    <col min="9988" max="9988" width="13.5703125" style="1121" customWidth="1"/>
    <col min="9989" max="9989" width="11" style="1121" customWidth="1"/>
    <col min="9990" max="9990" width="26.28515625" style="1121" customWidth="1"/>
    <col min="9991" max="9991" width="15.5703125" style="1121" customWidth="1"/>
    <col min="9992" max="9993" width="11" style="1121" customWidth="1"/>
    <col min="9994" max="9994" width="20.42578125" style="1121" customWidth="1"/>
    <col min="9995" max="9996" width="18.5703125" style="1121" customWidth="1"/>
    <col min="9997" max="9997" width="9.140625" style="1121"/>
    <col min="9998" max="9998" width="0" style="1121" hidden="1" customWidth="1"/>
    <col min="9999" max="10240" width="9.140625" style="1121"/>
    <col min="10241" max="10241" width="18.140625" style="1121" customWidth="1"/>
    <col min="10242" max="10242" width="20" style="1121" customWidth="1"/>
    <col min="10243" max="10243" width="16" style="1121" customWidth="1"/>
    <col min="10244" max="10244" width="13.5703125" style="1121" customWidth="1"/>
    <col min="10245" max="10245" width="11" style="1121" customWidth="1"/>
    <col min="10246" max="10246" width="26.28515625" style="1121" customWidth="1"/>
    <col min="10247" max="10247" width="15.5703125" style="1121" customWidth="1"/>
    <col min="10248" max="10249" width="11" style="1121" customWidth="1"/>
    <col min="10250" max="10250" width="20.42578125" style="1121" customWidth="1"/>
    <col min="10251" max="10252" width="18.5703125" style="1121" customWidth="1"/>
    <col min="10253" max="10253" width="9.140625" style="1121"/>
    <col min="10254" max="10254" width="0" style="1121" hidden="1" customWidth="1"/>
    <col min="10255" max="10496" width="9.140625" style="1121"/>
    <col min="10497" max="10497" width="18.140625" style="1121" customWidth="1"/>
    <col min="10498" max="10498" width="20" style="1121" customWidth="1"/>
    <col min="10499" max="10499" width="16" style="1121" customWidth="1"/>
    <col min="10500" max="10500" width="13.5703125" style="1121" customWidth="1"/>
    <col min="10501" max="10501" width="11" style="1121" customWidth="1"/>
    <col min="10502" max="10502" width="26.28515625" style="1121" customWidth="1"/>
    <col min="10503" max="10503" width="15.5703125" style="1121" customWidth="1"/>
    <col min="10504" max="10505" width="11" style="1121" customWidth="1"/>
    <col min="10506" max="10506" width="20.42578125" style="1121" customWidth="1"/>
    <col min="10507" max="10508" width="18.5703125" style="1121" customWidth="1"/>
    <col min="10509" max="10509" width="9.140625" style="1121"/>
    <col min="10510" max="10510" width="0" style="1121" hidden="1" customWidth="1"/>
    <col min="10511" max="10752" width="9.140625" style="1121"/>
    <col min="10753" max="10753" width="18.140625" style="1121" customWidth="1"/>
    <col min="10754" max="10754" width="20" style="1121" customWidth="1"/>
    <col min="10755" max="10755" width="16" style="1121" customWidth="1"/>
    <col min="10756" max="10756" width="13.5703125" style="1121" customWidth="1"/>
    <col min="10757" max="10757" width="11" style="1121" customWidth="1"/>
    <col min="10758" max="10758" width="26.28515625" style="1121" customWidth="1"/>
    <col min="10759" max="10759" width="15.5703125" style="1121" customWidth="1"/>
    <col min="10760" max="10761" width="11" style="1121" customWidth="1"/>
    <col min="10762" max="10762" width="20.42578125" style="1121" customWidth="1"/>
    <col min="10763" max="10764" width="18.5703125" style="1121" customWidth="1"/>
    <col min="10765" max="10765" width="9.140625" style="1121"/>
    <col min="10766" max="10766" width="0" style="1121" hidden="1" customWidth="1"/>
    <col min="10767" max="11008" width="9.140625" style="1121"/>
    <col min="11009" max="11009" width="18.140625" style="1121" customWidth="1"/>
    <col min="11010" max="11010" width="20" style="1121" customWidth="1"/>
    <col min="11011" max="11011" width="16" style="1121" customWidth="1"/>
    <col min="11012" max="11012" width="13.5703125" style="1121" customWidth="1"/>
    <col min="11013" max="11013" width="11" style="1121" customWidth="1"/>
    <col min="11014" max="11014" width="26.28515625" style="1121" customWidth="1"/>
    <col min="11015" max="11015" width="15.5703125" style="1121" customWidth="1"/>
    <col min="11016" max="11017" width="11" style="1121" customWidth="1"/>
    <col min="11018" max="11018" width="20.42578125" style="1121" customWidth="1"/>
    <col min="11019" max="11020" width="18.5703125" style="1121" customWidth="1"/>
    <col min="11021" max="11021" width="9.140625" style="1121"/>
    <col min="11022" max="11022" width="0" style="1121" hidden="1" customWidth="1"/>
    <col min="11023" max="11264" width="9.140625" style="1121"/>
    <col min="11265" max="11265" width="18.140625" style="1121" customWidth="1"/>
    <col min="11266" max="11266" width="20" style="1121" customWidth="1"/>
    <col min="11267" max="11267" width="16" style="1121" customWidth="1"/>
    <col min="11268" max="11268" width="13.5703125" style="1121" customWidth="1"/>
    <col min="11269" max="11269" width="11" style="1121" customWidth="1"/>
    <col min="11270" max="11270" width="26.28515625" style="1121" customWidth="1"/>
    <col min="11271" max="11271" width="15.5703125" style="1121" customWidth="1"/>
    <col min="11272" max="11273" width="11" style="1121" customWidth="1"/>
    <col min="11274" max="11274" width="20.42578125" style="1121" customWidth="1"/>
    <col min="11275" max="11276" width="18.5703125" style="1121" customWidth="1"/>
    <col min="11277" max="11277" width="9.140625" style="1121"/>
    <col min="11278" max="11278" width="0" style="1121" hidden="1" customWidth="1"/>
    <col min="11279" max="11520" width="9.140625" style="1121"/>
    <col min="11521" max="11521" width="18.140625" style="1121" customWidth="1"/>
    <col min="11522" max="11522" width="20" style="1121" customWidth="1"/>
    <col min="11523" max="11523" width="16" style="1121" customWidth="1"/>
    <col min="11524" max="11524" width="13.5703125" style="1121" customWidth="1"/>
    <col min="11525" max="11525" width="11" style="1121" customWidth="1"/>
    <col min="11526" max="11526" width="26.28515625" style="1121" customWidth="1"/>
    <col min="11527" max="11527" width="15.5703125" style="1121" customWidth="1"/>
    <col min="11528" max="11529" width="11" style="1121" customWidth="1"/>
    <col min="11530" max="11530" width="20.42578125" style="1121" customWidth="1"/>
    <col min="11531" max="11532" width="18.5703125" style="1121" customWidth="1"/>
    <col min="11533" max="11533" width="9.140625" style="1121"/>
    <col min="11534" max="11534" width="0" style="1121" hidden="1" customWidth="1"/>
    <col min="11535" max="11776" width="9.140625" style="1121"/>
    <col min="11777" max="11777" width="18.140625" style="1121" customWidth="1"/>
    <col min="11778" max="11778" width="20" style="1121" customWidth="1"/>
    <col min="11779" max="11779" width="16" style="1121" customWidth="1"/>
    <col min="11780" max="11780" width="13.5703125" style="1121" customWidth="1"/>
    <col min="11781" max="11781" width="11" style="1121" customWidth="1"/>
    <col min="11782" max="11782" width="26.28515625" style="1121" customWidth="1"/>
    <col min="11783" max="11783" width="15.5703125" style="1121" customWidth="1"/>
    <col min="11784" max="11785" width="11" style="1121" customWidth="1"/>
    <col min="11786" max="11786" width="20.42578125" style="1121" customWidth="1"/>
    <col min="11787" max="11788" width="18.5703125" style="1121" customWidth="1"/>
    <col min="11789" max="11789" width="9.140625" style="1121"/>
    <col min="11790" max="11790" width="0" style="1121" hidden="1" customWidth="1"/>
    <col min="11791" max="12032" width="9.140625" style="1121"/>
    <col min="12033" max="12033" width="18.140625" style="1121" customWidth="1"/>
    <col min="12034" max="12034" width="20" style="1121" customWidth="1"/>
    <col min="12035" max="12035" width="16" style="1121" customWidth="1"/>
    <col min="12036" max="12036" width="13.5703125" style="1121" customWidth="1"/>
    <col min="12037" max="12037" width="11" style="1121" customWidth="1"/>
    <col min="12038" max="12038" width="26.28515625" style="1121" customWidth="1"/>
    <col min="12039" max="12039" width="15.5703125" style="1121" customWidth="1"/>
    <col min="12040" max="12041" width="11" style="1121" customWidth="1"/>
    <col min="12042" max="12042" width="20.42578125" style="1121" customWidth="1"/>
    <col min="12043" max="12044" width="18.5703125" style="1121" customWidth="1"/>
    <col min="12045" max="12045" width="9.140625" style="1121"/>
    <col min="12046" max="12046" width="0" style="1121" hidden="1" customWidth="1"/>
    <col min="12047" max="12288" width="9.140625" style="1121"/>
    <col min="12289" max="12289" width="18.140625" style="1121" customWidth="1"/>
    <col min="12290" max="12290" width="20" style="1121" customWidth="1"/>
    <col min="12291" max="12291" width="16" style="1121" customWidth="1"/>
    <col min="12292" max="12292" width="13.5703125" style="1121" customWidth="1"/>
    <col min="12293" max="12293" width="11" style="1121" customWidth="1"/>
    <col min="12294" max="12294" width="26.28515625" style="1121" customWidth="1"/>
    <col min="12295" max="12295" width="15.5703125" style="1121" customWidth="1"/>
    <col min="12296" max="12297" width="11" style="1121" customWidth="1"/>
    <col min="12298" max="12298" width="20.42578125" style="1121" customWidth="1"/>
    <col min="12299" max="12300" width="18.5703125" style="1121" customWidth="1"/>
    <col min="12301" max="12301" width="9.140625" style="1121"/>
    <col min="12302" max="12302" width="0" style="1121" hidden="1" customWidth="1"/>
    <col min="12303" max="12544" width="9.140625" style="1121"/>
    <col min="12545" max="12545" width="18.140625" style="1121" customWidth="1"/>
    <col min="12546" max="12546" width="20" style="1121" customWidth="1"/>
    <col min="12547" max="12547" width="16" style="1121" customWidth="1"/>
    <col min="12548" max="12548" width="13.5703125" style="1121" customWidth="1"/>
    <col min="12549" max="12549" width="11" style="1121" customWidth="1"/>
    <col min="12550" max="12550" width="26.28515625" style="1121" customWidth="1"/>
    <col min="12551" max="12551" width="15.5703125" style="1121" customWidth="1"/>
    <col min="12552" max="12553" width="11" style="1121" customWidth="1"/>
    <col min="12554" max="12554" width="20.42578125" style="1121" customWidth="1"/>
    <col min="12555" max="12556" width="18.5703125" style="1121" customWidth="1"/>
    <col min="12557" max="12557" width="9.140625" style="1121"/>
    <col min="12558" max="12558" width="0" style="1121" hidden="1" customWidth="1"/>
    <col min="12559" max="12800" width="9.140625" style="1121"/>
    <col min="12801" max="12801" width="18.140625" style="1121" customWidth="1"/>
    <col min="12802" max="12802" width="20" style="1121" customWidth="1"/>
    <col min="12803" max="12803" width="16" style="1121" customWidth="1"/>
    <col min="12804" max="12804" width="13.5703125" style="1121" customWidth="1"/>
    <col min="12805" max="12805" width="11" style="1121" customWidth="1"/>
    <col min="12806" max="12806" width="26.28515625" style="1121" customWidth="1"/>
    <col min="12807" max="12807" width="15.5703125" style="1121" customWidth="1"/>
    <col min="12808" max="12809" width="11" style="1121" customWidth="1"/>
    <col min="12810" max="12810" width="20.42578125" style="1121" customWidth="1"/>
    <col min="12811" max="12812" width="18.5703125" style="1121" customWidth="1"/>
    <col min="12813" max="12813" width="9.140625" style="1121"/>
    <col min="12814" max="12814" width="0" style="1121" hidden="1" customWidth="1"/>
    <col min="12815" max="13056" width="9.140625" style="1121"/>
    <col min="13057" max="13057" width="18.140625" style="1121" customWidth="1"/>
    <col min="13058" max="13058" width="20" style="1121" customWidth="1"/>
    <col min="13059" max="13059" width="16" style="1121" customWidth="1"/>
    <col min="13060" max="13060" width="13.5703125" style="1121" customWidth="1"/>
    <col min="13061" max="13061" width="11" style="1121" customWidth="1"/>
    <col min="13062" max="13062" width="26.28515625" style="1121" customWidth="1"/>
    <col min="13063" max="13063" width="15.5703125" style="1121" customWidth="1"/>
    <col min="13064" max="13065" width="11" style="1121" customWidth="1"/>
    <col min="13066" max="13066" width="20.42578125" style="1121" customWidth="1"/>
    <col min="13067" max="13068" width="18.5703125" style="1121" customWidth="1"/>
    <col min="13069" max="13069" width="9.140625" style="1121"/>
    <col min="13070" max="13070" width="0" style="1121" hidden="1" customWidth="1"/>
    <col min="13071" max="13312" width="9.140625" style="1121"/>
    <col min="13313" max="13313" width="18.140625" style="1121" customWidth="1"/>
    <col min="13314" max="13314" width="20" style="1121" customWidth="1"/>
    <col min="13315" max="13315" width="16" style="1121" customWidth="1"/>
    <col min="13316" max="13316" width="13.5703125" style="1121" customWidth="1"/>
    <col min="13317" max="13317" width="11" style="1121" customWidth="1"/>
    <col min="13318" max="13318" width="26.28515625" style="1121" customWidth="1"/>
    <col min="13319" max="13319" width="15.5703125" style="1121" customWidth="1"/>
    <col min="13320" max="13321" width="11" style="1121" customWidth="1"/>
    <col min="13322" max="13322" width="20.42578125" style="1121" customWidth="1"/>
    <col min="13323" max="13324" width="18.5703125" style="1121" customWidth="1"/>
    <col min="13325" max="13325" width="9.140625" style="1121"/>
    <col min="13326" max="13326" width="0" style="1121" hidden="1" customWidth="1"/>
    <col min="13327" max="13568" width="9.140625" style="1121"/>
    <col min="13569" max="13569" width="18.140625" style="1121" customWidth="1"/>
    <col min="13570" max="13570" width="20" style="1121" customWidth="1"/>
    <col min="13571" max="13571" width="16" style="1121" customWidth="1"/>
    <col min="13572" max="13572" width="13.5703125" style="1121" customWidth="1"/>
    <col min="13573" max="13573" width="11" style="1121" customWidth="1"/>
    <col min="13574" max="13574" width="26.28515625" style="1121" customWidth="1"/>
    <col min="13575" max="13575" width="15.5703125" style="1121" customWidth="1"/>
    <col min="13576" max="13577" width="11" style="1121" customWidth="1"/>
    <col min="13578" max="13578" width="20.42578125" style="1121" customWidth="1"/>
    <col min="13579" max="13580" width="18.5703125" style="1121" customWidth="1"/>
    <col min="13581" max="13581" width="9.140625" style="1121"/>
    <col min="13582" max="13582" width="0" style="1121" hidden="1" customWidth="1"/>
    <col min="13583" max="13824" width="9.140625" style="1121"/>
    <col min="13825" max="13825" width="18.140625" style="1121" customWidth="1"/>
    <col min="13826" max="13826" width="20" style="1121" customWidth="1"/>
    <col min="13827" max="13827" width="16" style="1121" customWidth="1"/>
    <col min="13828" max="13828" width="13.5703125" style="1121" customWidth="1"/>
    <col min="13829" max="13829" width="11" style="1121" customWidth="1"/>
    <col min="13830" max="13830" width="26.28515625" style="1121" customWidth="1"/>
    <col min="13831" max="13831" width="15.5703125" style="1121" customWidth="1"/>
    <col min="13832" max="13833" width="11" style="1121" customWidth="1"/>
    <col min="13834" max="13834" width="20.42578125" style="1121" customWidth="1"/>
    <col min="13835" max="13836" width="18.5703125" style="1121" customWidth="1"/>
    <col min="13837" max="13837" width="9.140625" style="1121"/>
    <col min="13838" max="13838" width="0" style="1121" hidden="1" customWidth="1"/>
    <col min="13839" max="14080" width="9.140625" style="1121"/>
    <col min="14081" max="14081" width="18.140625" style="1121" customWidth="1"/>
    <col min="14082" max="14082" width="20" style="1121" customWidth="1"/>
    <col min="14083" max="14083" width="16" style="1121" customWidth="1"/>
    <col min="14084" max="14084" width="13.5703125" style="1121" customWidth="1"/>
    <col min="14085" max="14085" width="11" style="1121" customWidth="1"/>
    <col min="14086" max="14086" width="26.28515625" style="1121" customWidth="1"/>
    <col min="14087" max="14087" width="15.5703125" style="1121" customWidth="1"/>
    <col min="14088" max="14089" width="11" style="1121" customWidth="1"/>
    <col min="14090" max="14090" width="20.42578125" style="1121" customWidth="1"/>
    <col min="14091" max="14092" width="18.5703125" style="1121" customWidth="1"/>
    <col min="14093" max="14093" width="9.140625" style="1121"/>
    <col min="14094" max="14094" width="0" style="1121" hidden="1" customWidth="1"/>
    <col min="14095" max="14336" width="9.140625" style="1121"/>
    <col min="14337" max="14337" width="18.140625" style="1121" customWidth="1"/>
    <col min="14338" max="14338" width="20" style="1121" customWidth="1"/>
    <col min="14339" max="14339" width="16" style="1121" customWidth="1"/>
    <col min="14340" max="14340" width="13.5703125" style="1121" customWidth="1"/>
    <col min="14341" max="14341" width="11" style="1121" customWidth="1"/>
    <col min="14342" max="14342" width="26.28515625" style="1121" customWidth="1"/>
    <col min="14343" max="14343" width="15.5703125" style="1121" customWidth="1"/>
    <col min="14344" max="14345" width="11" style="1121" customWidth="1"/>
    <col min="14346" max="14346" width="20.42578125" style="1121" customWidth="1"/>
    <col min="14347" max="14348" width="18.5703125" style="1121" customWidth="1"/>
    <col min="14349" max="14349" width="9.140625" style="1121"/>
    <col min="14350" max="14350" width="0" style="1121" hidden="1" customWidth="1"/>
    <col min="14351" max="14592" width="9.140625" style="1121"/>
    <col min="14593" max="14593" width="18.140625" style="1121" customWidth="1"/>
    <col min="14594" max="14594" width="20" style="1121" customWidth="1"/>
    <col min="14595" max="14595" width="16" style="1121" customWidth="1"/>
    <col min="14596" max="14596" width="13.5703125" style="1121" customWidth="1"/>
    <col min="14597" max="14597" width="11" style="1121" customWidth="1"/>
    <col min="14598" max="14598" width="26.28515625" style="1121" customWidth="1"/>
    <col min="14599" max="14599" width="15.5703125" style="1121" customWidth="1"/>
    <col min="14600" max="14601" width="11" style="1121" customWidth="1"/>
    <col min="14602" max="14602" width="20.42578125" style="1121" customWidth="1"/>
    <col min="14603" max="14604" width="18.5703125" style="1121" customWidth="1"/>
    <col min="14605" max="14605" width="9.140625" style="1121"/>
    <col min="14606" max="14606" width="0" style="1121" hidden="1" customWidth="1"/>
    <col min="14607" max="14848" width="9.140625" style="1121"/>
    <col min="14849" max="14849" width="18.140625" style="1121" customWidth="1"/>
    <col min="14850" max="14850" width="20" style="1121" customWidth="1"/>
    <col min="14851" max="14851" width="16" style="1121" customWidth="1"/>
    <col min="14852" max="14852" width="13.5703125" style="1121" customWidth="1"/>
    <col min="14853" max="14853" width="11" style="1121" customWidth="1"/>
    <col min="14854" max="14854" width="26.28515625" style="1121" customWidth="1"/>
    <col min="14855" max="14855" width="15.5703125" style="1121" customWidth="1"/>
    <col min="14856" max="14857" width="11" style="1121" customWidth="1"/>
    <col min="14858" max="14858" width="20.42578125" style="1121" customWidth="1"/>
    <col min="14859" max="14860" width="18.5703125" style="1121" customWidth="1"/>
    <col min="14861" max="14861" width="9.140625" style="1121"/>
    <col min="14862" max="14862" width="0" style="1121" hidden="1" customWidth="1"/>
    <col min="14863" max="15104" width="9.140625" style="1121"/>
    <col min="15105" max="15105" width="18.140625" style="1121" customWidth="1"/>
    <col min="15106" max="15106" width="20" style="1121" customWidth="1"/>
    <col min="15107" max="15107" width="16" style="1121" customWidth="1"/>
    <col min="15108" max="15108" width="13.5703125" style="1121" customWidth="1"/>
    <col min="15109" max="15109" width="11" style="1121" customWidth="1"/>
    <col min="15110" max="15110" width="26.28515625" style="1121" customWidth="1"/>
    <col min="15111" max="15111" width="15.5703125" style="1121" customWidth="1"/>
    <col min="15112" max="15113" width="11" style="1121" customWidth="1"/>
    <col min="15114" max="15114" width="20.42578125" style="1121" customWidth="1"/>
    <col min="15115" max="15116" width="18.5703125" style="1121" customWidth="1"/>
    <col min="15117" max="15117" width="9.140625" style="1121"/>
    <col min="15118" max="15118" width="0" style="1121" hidden="1" customWidth="1"/>
    <col min="15119" max="15360" width="9.140625" style="1121"/>
    <col min="15361" max="15361" width="18.140625" style="1121" customWidth="1"/>
    <col min="15362" max="15362" width="20" style="1121" customWidth="1"/>
    <col min="15363" max="15363" width="16" style="1121" customWidth="1"/>
    <col min="15364" max="15364" width="13.5703125" style="1121" customWidth="1"/>
    <col min="15365" max="15365" width="11" style="1121" customWidth="1"/>
    <col min="15366" max="15366" width="26.28515625" style="1121" customWidth="1"/>
    <col min="15367" max="15367" width="15.5703125" style="1121" customWidth="1"/>
    <col min="15368" max="15369" width="11" style="1121" customWidth="1"/>
    <col min="15370" max="15370" width="20.42578125" style="1121" customWidth="1"/>
    <col min="15371" max="15372" width="18.5703125" style="1121" customWidth="1"/>
    <col min="15373" max="15373" width="9.140625" style="1121"/>
    <col min="15374" max="15374" width="0" style="1121" hidden="1" customWidth="1"/>
    <col min="15375" max="15616" width="9.140625" style="1121"/>
    <col min="15617" max="15617" width="18.140625" style="1121" customWidth="1"/>
    <col min="15618" max="15618" width="20" style="1121" customWidth="1"/>
    <col min="15619" max="15619" width="16" style="1121" customWidth="1"/>
    <col min="15620" max="15620" width="13.5703125" style="1121" customWidth="1"/>
    <col min="15621" max="15621" width="11" style="1121" customWidth="1"/>
    <col min="15622" max="15622" width="26.28515625" style="1121" customWidth="1"/>
    <col min="15623" max="15623" width="15.5703125" style="1121" customWidth="1"/>
    <col min="15624" max="15625" width="11" style="1121" customWidth="1"/>
    <col min="15626" max="15626" width="20.42578125" style="1121" customWidth="1"/>
    <col min="15627" max="15628" width="18.5703125" style="1121" customWidth="1"/>
    <col min="15629" max="15629" width="9.140625" style="1121"/>
    <col min="15630" max="15630" width="0" style="1121" hidden="1" customWidth="1"/>
    <col min="15631" max="15872" width="9.140625" style="1121"/>
    <col min="15873" max="15873" width="18.140625" style="1121" customWidth="1"/>
    <col min="15874" max="15874" width="20" style="1121" customWidth="1"/>
    <col min="15875" max="15875" width="16" style="1121" customWidth="1"/>
    <col min="15876" max="15876" width="13.5703125" style="1121" customWidth="1"/>
    <col min="15877" max="15877" width="11" style="1121" customWidth="1"/>
    <col min="15878" max="15878" width="26.28515625" style="1121" customWidth="1"/>
    <col min="15879" max="15879" width="15.5703125" style="1121" customWidth="1"/>
    <col min="15880" max="15881" width="11" style="1121" customWidth="1"/>
    <col min="15882" max="15882" width="20.42578125" style="1121" customWidth="1"/>
    <col min="15883" max="15884" width="18.5703125" style="1121" customWidth="1"/>
    <col min="15885" max="15885" width="9.140625" style="1121"/>
    <col min="15886" max="15886" width="0" style="1121" hidden="1" customWidth="1"/>
    <col min="15887" max="16128" width="9.140625" style="1121"/>
    <col min="16129" max="16129" width="18.140625" style="1121" customWidth="1"/>
    <col min="16130" max="16130" width="20" style="1121" customWidth="1"/>
    <col min="16131" max="16131" width="16" style="1121" customWidth="1"/>
    <col min="16132" max="16132" width="13.5703125" style="1121" customWidth="1"/>
    <col min="16133" max="16133" width="11" style="1121" customWidth="1"/>
    <col min="16134" max="16134" width="26.28515625" style="1121" customWidth="1"/>
    <col min="16135" max="16135" width="15.5703125" style="1121" customWidth="1"/>
    <col min="16136" max="16137" width="11" style="1121" customWidth="1"/>
    <col min="16138" max="16138" width="20.42578125" style="1121" customWidth="1"/>
    <col min="16139" max="16140" width="18.5703125" style="1121" customWidth="1"/>
    <col min="16141" max="16141" width="9.140625" style="1121"/>
    <col min="16142" max="16142" width="0" style="1121" hidden="1" customWidth="1"/>
    <col min="16143" max="16384" width="9.140625" style="1121"/>
  </cols>
  <sheetData>
    <row r="1" spans="1:76" s="1119" customFormat="1" ht="18.75">
      <c r="A1" s="1881" t="s">
        <v>3609</v>
      </c>
      <c r="B1" s="1092" t="s">
        <v>4181</v>
      </c>
      <c r="C1" s="1216"/>
      <c r="D1" s="1216"/>
      <c r="E1" s="1216"/>
      <c r="F1" s="905"/>
      <c r="G1" s="905"/>
      <c r="H1" s="1349"/>
      <c r="I1" s="1346" t="s">
        <v>2595</v>
      </c>
      <c r="J1" s="2436" t="s">
        <v>3610</v>
      </c>
      <c r="K1" s="2437"/>
    </row>
    <row r="2" spans="1:76" s="1119" customFormat="1">
      <c r="B2" s="1034" t="s">
        <v>3198</v>
      </c>
      <c r="C2" s="1035">
        <f>'Basic Info'!C29:D29</f>
        <v>0</v>
      </c>
      <c r="D2" s="923"/>
      <c r="E2" s="923"/>
      <c r="F2" s="923"/>
      <c r="G2" s="923"/>
      <c r="H2" s="1349"/>
      <c r="I2" s="1347"/>
      <c r="J2" s="2597"/>
      <c r="K2" s="2598"/>
    </row>
    <row r="3" spans="1:76" s="1119" customFormat="1">
      <c r="B3" s="923"/>
      <c r="C3" s="923"/>
      <c r="D3" s="923"/>
      <c r="E3" s="923"/>
      <c r="F3" s="923"/>
      <c r="G3" s="923"/>
      <c r="H3" s="1349"/>
      <c r="I3" s="1347"/>
      <c r="J3" s="2597"/>
      <c r="K3" s="2598"/>
    </row>
    <row r="4" spans="1:76">
      <c r="C4" s="923"/>
      <c r="D4" s="923"/>
      <c r="E4" s="923"/>
      <c r="F4" s="923"/>
      <c r="G4" s="923"/>
      <c r="H4" s="1350"/>
      <c r="I4" s="1347"/>
      <c r="J4" s="2599"/>
      <c r="K4" s="2598"/>
    </row>
    <row r="5" spans="1:76" s="1275" customFormat="1">
      <c r="A5" s="1198"/>
      <c r="B5" s="1239" t="s">
        <v>3981</v>
      </c>
      <c r="C5" s="923"/>
      <c r="D5" s="923"/>
      <c r="E5" s="923"/>
      <c r="F5" s="923"/>
      <c r="G5" s="923"/>
      <c r="H5" s="1348"/>
      <c r="I5" s="1343"/>
      <c r="J5" s="1344"/>
      <c r="K5" s="1344"/>
      <c r="L5" s="1259"/>
      <c r="M5" s="1198"/>
      <c r="N5" s="1198"/>
      <c r="O5" s="1198"/>
      <c r="P5" s="1198"/>
      <c r="Q5" s="1198"/>
      <c r="R5" s="1198"/>
      <c r="S5" s="1198"/>
      <c r="T5" s="1198"/>
      <c r="U5" s="1198"/>
      <c r="V5" s="1198"/>
      <c r="W5" s="1198"/>
      <c r="X5" s="1198"/>
      <c r="Y5" s="1198"/>
      <c r="Z5" s="1198"/>
      <c r="AA5" s="1198"/>
      <c r="AB5" s="1198"/>
      <c r="AC5" s="1198"/>
      <c r="AD5" s="1198"/>
      <c r="AE5" s="1198"/>
      <c r="AF5" s="1198"/>
      <c r="AG5" s="1198"/>
      <c r="AH5" s="1198"/>
      <c r="AI5" s="1198"/>
      <c r="AJ5" s="1198"/>
      <c r="AK5" s="1198"/>
      <c r="AL5" s="1198"/>
      <c r="AM5" s="1198"/>
      <c r="AN5" s="1198"/>
      <c r="AO5" s="1198"/>
      <c r="AP5" s="1198"/>
      <c r="AQ5" s="1198"/>
      <c r="AR5" s="1198"/>
      <c r="AS5" s="1198"/>
      <c r="AT5" s="1198"/>
      <c r="AU5" s="1198"/>
      <c r="AV5" s="1198"/>
      <c r="AW5" s="1198"/>
      <c r="AX5" s="1198"/>
      <c r="AY5" s="1198"/>
      <c r="AZ5" s="1198"/>
      <c r="BA5" s="1198"/>
      <c r="BB5" s="1198"/>
      <c r="BC5" s="1198"/>
      <c r="BD5" s="1198"/>
      <c r="BE5" s="1198"/>
      <c r="BF5" s="1198"/>
      <c r="BG5" s="1198"/>
      <c r="BH5" s="1198"/>
      <c r="BI5" s="1198"/>
      <c r="BJ5" s="1198"/>
      <c r="BK5" s="1198"/>
      <c r="BL5" s="1198"/>
      <c r="BM5" s="1198"/>
      <c r="BN5" s="1198"/>
      <c r="BO5" s="1198"/>
      <c r="BP5" s="1198"/>
      <c r="BQ5" s="1198"/>
      <c r="BR5" s="1198"/>
      <c r="BS5" s="1198"/>
      <c r="BT5" s="1198"/>
      <c r="BU5" s="1198"/>
      <c r="BV5" s="1198"/>
      <c r="BW5" s="1198"/>
      <c r="BX5" s="1198"/>
    </row>
    <row r="6" spans="1:76" ht="24" customHeight="1">
      <c r="A6" s="1226"/>
      <c r="B6" s="2395" t="s">
        <v>3778</v>
      </c>
      <c r="C6" s="2395"/>
      <c r="D6" s="2395"/>
      <c r="E6" s="2395"/>
      <c r="F6" s="2395"/>
      <c r="G6" s="2395"/>
      <c r="H6" s="2395"/>
      <c r="I6" s="2395"/>
      <c r="J6" s="2395"/>
      <c r="K6" s="2395"/>
      <c r="L6" s="1226"/>
    </row>
    <row r="7" spans="1:76">
      <c r="A7" s="1226"/>
      <c r="B7" s="2395" t="s">
        <v>3779</v>
      </c>
      <c r="C7" s="2395"/>
      <c r="D7" s="2395"/>
      <c r="E7" s="2395"/>
      <c r="F7" s="2395"/>
      <c r="G7" s="2395"/>
      <c r="H7" s="923"/>
      <c r="I7" s="923"/>
      <c r="J7" s="1122"/>
      <c r="K7" s="1122"/>
      <c r="L7" s="1226"/>
    </row>
    <row r="8" spans="1:76">
      <c r="A8" s="1226"/>
      <c r="B8" s="2395" t="s">
        <v>3780</v>
      </c>
      <c r="C8" s="2395"/>
      <c r="D8" s="2395"/>
      <c r="E8" s="2395"/>
      <c r="F8" s="2395"/>
      <c r="G8" s="2395"/>
      <c r="H8" s="923"/>
      <c r="I8" s="923"/>
      <c r="J8" s="1122"/>
      <c r="K8" s="1122"/>
      <c r="L8" s="1226"/>
    </row>
    <row r="9" spans="1:76">
      <c r="A9" s="1226"/>
      <c r="B9" s="2395" t="s">
        <v>3781</v>
      </c>
      <c r="C9" s="2395"/>
      <c r="D9" s="2395"/>
      <c r="E9" s="2395"/>
      <c r="F9" s="2395"/>
      <c r="G9" s="2395"/>
      <c r="H9" s="923"/>
      <c r="I9" s="923"/>
      <c r="J9" s="1122"/>
      <c r="K9" s="1122"/>
      <c r="L9" s="1274"/>
    </row>
    <row r="10" spans="1:76" ht="13.5" customHeight="1">
      <c r="A10" s="1226"/>
      <c r="B10" s="2395" t="s">
        <v>3782</v>
      </c>
      <c r="C10" s="2395"/>
      <c r="D10" s="2395"/>
      <c r="E10" s="2395"/>
      <c r="F10" s="2395"/>
      <c r="G10" s="2395"/>
      <c r="H10" s="923"/>
      <c r="I10" s="923"/>
      <c r="J10" s="1122"/>
      <c r="K10" s="1122"/>
      <c r="L10" s="1274"/>
    </row>
    <row r="11" spans="1:76" ht="13.5" customHeight="1">
      <c r="A11" s="1226"/>
      <c r="B11" s="2395" t="s">
        <v>3783</v>
      </c>
      <c r="C11" s="2395"/>
      <c r="D11" s="2395"/>
      <c r="E11" s="2395"/>
      <c r="F11" s="2395"/>
      <c r="G11" s="2395"/>
      <c r="H11" s="923"/>
      <c r="I11" s="923"/>
      <c r="J11" s="1122"/>
      <c r="K11" s="1122"/>
      <c r="L11" s="1274"/>
    </row>
    <row r="12" spans="1:76" ht="13.5" customHeight="1">
      <c r="A12" s="1226"/>
      <c r="B12" s="923"/>
      <c r="C12" s="923"/>
      <c r="D12" s="923"/>
      <c r="E12" s="923"/>
      <c r="F12" s="923"/>
      <c r="G12" s="923"/>
      <c r="H12" s="923"/>
      <c r="I12" s="923"/>
      <c r="J12" s="1122"/>
      <c r="K12" s="1122"/>
      <c r="L12" s="1274"/>
    </row>
    <row r="13" spans="1:76" ht="13.5" customHeight="1">
      <c r="A13" s="1226"/>
      <c r="B13" s="1239" t="s">
        <v>3927</v>
      </c>
      <c r="C13" s="923"/>
      <c r="D13" s="923"/>
      <c r="E13" s="923"/>
      <c r="F13" s="923"/>
      <c r="G13" s="923"/>
      <c r="H13" s="923"/>
      <c r="I13" s="923"/>
      <c r="J13" s="1122"/>
      <c r="K13" s="1122"/>
      <c r="L13" s="1274"/>
    </row>
    <row r="14" spans="1:76" ht="13.5" customHeight="1">
      <c r="A14" s="1226"/>
      <c r="B14" s="923" t="s">
        <v>3613</v>
      </c>
      <c r="C14" s="923"/>
      <c r="D14" s="923"/>
      <c r="E14" s="923"/>
      <c r="F14" s="923"/>
      <c r="G14" s="923"/>
      <c r="H14" s="923"/>
      <c r="I14" s="923"/>
      <c r="J14" s="1122"/>
      <c r="K14" s="1122"/>
      <c r="L14" s="1274"/>
    </row>
    <row r="15" spans="1:76">
      <c r="A15" s="1226"/>
      <c r="B15" s="923" t="s">
        <v>3661</v>
      </c>
      <c r="C15" s="923"/>
      <c r="D15" s="923"/>
      <c r="E15" s="923"/>
      <c r="F15" s="923"/>
      <c r="G15" s="923"/>
      <c r="H15" s="923"/>
      <c r="I15" s="923"/>
      <c r="J15" s="1122"/>
      <c r="K15" s="1122"/>
      <c r="L15" s="1274"/>
    </row>
    <row r="16" spans="1:76">
      <c r="A16" s="1226"/>
      <c r="B16" s="923" t="s">
        <v>3789</v>
      </c>
      <c r="C16" s="923"/>
      <c r="D16" s="923"/>
      <c r="E16" s="923"/>
      <c r="F16" s="923"/>
      <c r="G16" s="923"/>
      <c r="H16" s="923"/>
      <c r="I16" s="923"/>
      <c r="J16" s="1122"/>
      <c r="K16" s="1122"/>
      <c r="L16" s="1274"/>
    </row>
    <row r="17" spans="1:12">
      <c r="A17" s="1226"/>
      <c r="B17" s="923" t="s">
        <v>3790</v>
      </c>
      <c r="C17" s="923"/>
      <c r="D17" s="923"/>
      <c r="E17" s="923"/>
      <c r="F17" s="923"/>
      <c r="G17" s="923"/>
      <c r="H17" s="923"/>
      <c r="I17" s="923"/>
      <c r="J17" s="1122"/>
      <c r="K17" s="1122"/>
      <c r="L17" s="1274"/>
    </row>
    <row r="18" spans="1:12">
      <c r="A18" s="1226"/>
      <c r="B18" s="923" t="s">
        <v>3791</v>
      </c>
      <c r="C18" s="923"/>
      <c r="D18" s="923"/>
      <c r="E18" s="923"/>
      <c r="F18" s="923"/>
      <c r="G18" s="923"/>
      <c r="H18" s="923"/>
      <c r="I18" s="923"/>
      <c r="J18" s="923"/>
      <c r="K18" s="923"/>
      <c r="L18" s="1274"/>
    </row>
    <row r="19" spans="1:12">
      <c r="A19" s="1226"/>
      <c r="B19" s="923" t="s">
        <v>3792</v>
      </c>
      <c r="C19" s="923"/>
      <c r="D19" s="923"/>
      <c r="E19" s="923"/>
      <c r="F19" s="923"/>
      <c r="G19" s="923"/>
      <c r="H19" s="923"/>
      <c r="I19" s="923"/>
      <c r="J19" s="923"/>
      <c r="K19" s="923"/>
      <c r="L19" s="1274"/>
    </row>
    <row r="20" spans="1:12">
      <c r="A20" s="1226"/>
      <c r="B20" s="923" t="s">
        <v>3793</v>
      </c>
      <c r="C20" s="923"/>
      <c r="D20" s="923"/>
      <c r="E20" s="923"/>
      <c r="F20" s="923"/>
      <c r="G20" s="923"/>
      <c r="H20" s="923"/>
      <c r="I20" s="923"/>
      <c r="J20" s="923"/>
      <c r="K20" s="923"/>
      <c r="L20" s="1274"/>
    </row>
    <row r="21" spans="1:12">
      <c r="A21" s="1226"/>
      <c r="B21" s="923" t="s">
        <v>3794</v>
      </c>
      <c r="C21" s="923"/>
      <c r="D21" s="923"/>
      <c r="E21" s="923"/>
      <c r="F21" s="923"/>
      <c r="G21" s="923"/>
      <c r="H21" s="923"/>
      <c r="I21" s="923"/>
      <c r="J21" s="923"/>
      <c r="K21" s="923"/>
      <c r="L21" s="1226"/>
    </row>
    <row r="22" spans="1:12">
      <c r="A22" s="1226"/>
      <c r="B22" s="923" t="s">
        <v>3795</v>
      </c>
      <c r="C22" s="923"/>
      <c r="D22" s="923"/>
      <c r="E22" s="923"/>
      <c r="F22" s="923"/>
      <c r="G22" s="923"/>
      <c r="H22" s="923"/>
      <c r="I22" s="923"/>
      <c r="J22" s="923"/>
      <c r="K22" s="923"/>
      <c r="L22" s="1226"/>
    </row>
    <row r="23" spans="1:12">
      <c r="A23" s="1226"/>
      <c r="B23" s="923" t="s">
        <v>3796</v>
      </c>
      <c r="C23" s="923"/>
      <c r="D23" s="923"/>
      <c r="E23" s="923"/>
      <c r="F23" s="923"/>
      <c r="G23" s="923"/>
      <c r="H23" s="923"/>
      <c r="I23" s="923"/>
      <c r="J23" s="923"/>
      <c r="K23" s="923"/>
      <c r="L23" s="1226"/>
    </row>
    <row r="24" spans="1:12">
      <c r="A24" s="1226"/>
      <c r="B24" s="923" t="s">
        <v>3797</v>
      </c>
      <c r="C24" s="923"/>
      <c r="D24" s="923"/>
      <c r="E24" s="923"/>
      <c r="F24" s="923"/>
      <c r="G24" s="923"/>
      <c r="H24" s="923"/>
      <c r="I24" s="923"/>
      <c r="J24" s="923"/>
      <c r="K24" s="923"/>
      <c r="L24" s="1226"/>
    </row>
    <row r="25" spans="1:12">
      <c r="A25" s="1226"/>
      <c r="B25" s="923"/>
      <c r="C25" s="923"/>
      <c r="D25" s="923"/>
      <c r="E25" s="923"/>
      <c r="F25" s="923"/>
      <c r="G25" s="923"/>
      <c r="H25" s="923"/>
      <c r="I25" s="923"/>
      <c r="J25" s="923"/>
      <c r="K25" s="923"/>
      <c r="L25" s="1226"/>
    </row>
    <row r="26" spans="1:12">
      <c r="A26" s="1226"/>
      <c r="B26" s="1011" t="s">
        <v>3982</v>
      </c>
      <c r="C26" s="923"/>
      <c r="D26" s="923"/>
      <c r="E26" s="923"/>
      <c r="F26" s="923"/>
      <c r="G26" s="923"/>
      <c r="H26" s="923"/>
      <c r="I26" s="923"/>
      <c r="J26" s="923"/>
      <c r="K26" s="923"/>
      <c r="L26" s="1226"/>
    </row>
    <row r="27" spans="1:12" ht="38.25" customHeight="1">
      <c r="A27" s="1226"/>
      <c r="B27" s="2395" t="s">
        <v>3785</v>
      </c>
      <c r="C27" s="2395"/>
      <c r="D27" s="2395"/>
      <c r="E27" s="2395"/>
      <c r="F27" s="2395"/>
      <c r="G27" s="2395"/>
      <c r="H27" s="2395"/>
      <c r="I27" s="2395"/>
      <c r="J27" s="2395"/>
      <c r="K27" s="2395"/>
      <c r="L27" s="1226"/>
    </row>
    <row r="28" spans="1:12" ht="12" customHeight="1">
      <c r="A28" s="1226"/>
      <c r="B28" s="2395" t="s">
        <v>3786</v>
      </c>
      <c r="C28" s="2395"/>
      <c r="D28" s="2395"/>
      <c r="E28" s="2395"/>
      <c r="F28" s="2395"/>
      <c r="G28" s="2395"/>
      <c r="H28" s="2395"/>
      <c r="I28" s="2395"/>
      <c r="J28" s="2395"/>
      <c r="K28" s="2395"/>
      <c r="L28" s="1226"/>
    </row>
    <row r="29" spans="1:12" ht="26.25" customHeight="1">
      <c r="A29" s="1226"/>
      <c r="B29" s="2395" t="s">
        <v>3787</v>
      </c>
      <c r="C29" s="2395"/>
      <c r="D29" s="2395"/>
      <c r="E29" s="2395"/>
      <c r="F29" s="2395"/>
      <c r="G29" s="2395"/>
      <c r="H29" s="2395"/>
      <c r="I29" s="2395"/>
      <c r="J29" s="2395"/>
      <c r="K29" s="2395"/>
      <c r="L29" s="1226"/>
    </row>
    <row r="30" spans="1:12" ht="60.75" customHeight="1">
      <c r="A30" s="1226"/>
      <c r="B30" s="2395" t="s">
        <v>3798</v>
      </c>
      <c r="C30" s="2395"/>
      <c r="D30" s="2395"/>
      <c r="E30" s="2395"/>
      <c r="F30" s="2395"/>
      <c r="G30" s="2395"/>
      <c r="H30" s="2395"/>
      <c r="I30" s="2395"/>
      <c r="J30" s="2395"/>
      <c r="K30" s="2395"/>
      <c r="L30" s="1226"/>
    </row>
    <row r="31" spans="1:12" ht="39" customHeight="1">
      <c r="A31" s="1226"/>
      <c r="B31" s="2459" t="s">
        <v>4184</v>
      </c>
      <c r="C31" s="2583"/>
      <c r="D31" s="2583"/>
      <c r="E31" s="2583"/>
      <c r="F31" s="2583"/>
      <c r="G31" s="2583"/>
      <c r="H31" s="2583"/>
      <c r="I31" s="2583"/>
      <c r="J31" s="2583"/>
      <c r="K31" s="2583"/>
      <c r="L31" s="1226"/>
    </row>
    <row r="32" spans="1:12">
      <c r="A32" s="1226"/>
      <c r="B32" s="2395" t="s">
        <v>3983</v>
      </c>
      <c r="C32" s="2395"/>
      <c r="D32" s="2395"/>
      <c r="E32" s="2395"/>
      <c r="F32" s="2395"/>
      <c r="G32" s="2395"/>
      <c r="H32" s="923"/>
      <c r="I32" s="923"/>
      <c r="J32" s="923"/>
      <c r="K32" s="923"/>
      <c r="L32" s="1226"/>
    </row>
    <row r="33" spans="1:76">
      <c r="A33" s="1226"/>
      <c r="B33" s="2395" t="s">
        <v>3788</v>
      </c>
      <c r="C33" s="2395"/>
      <c r="D33" s="2395"/>
      <c r="E33" s="2395"/>
      <c r="F33" s="2395"/>
      <c r="G33" s="2395"/>
      <c r="H33" s="2395"/>
      <c r="I33" s="2395"/>
      <c r="J33" s="2395"/>
      <c r="K33" s="2395"/>
      <c r="L33" s="1226"/>
    </row>
    <row r="34" spans="1:76" ht="66" customHeight="1">
      <c r="A34" s="1226"/>
      <c r="B34" s="2459" t="s">
        <v>4180</v>
      </c>
      <c r="C34" s="2583"/>
      <c r="D34" s="2583"/>
      <c r="E34" s="2583"/>
      <c r="F34" s="2583"/>
      <c r="G34" s="2583"/>
      <c r="H34" s="2583"/>
      <c r="I34" s="2583"/>
      <c r="J34" s="2583"/>
      <c r="K34" s="2583"/>
      <c r="L34" s="1226"/>
    </row>
    <row r="35" spans="1:76" ht="16.5" customHeight="1">
      <c r="A35" s="1226"/>
      <c r="B35" s="1145"/>
      <c r="C35" s="1145"/>
      <c r="D35" s="1145"/>
      <c r="E35" s="1145"/>
      <c r="F35" s="1145"/>
      <c r="G35" s="1145"/>
      <c r="H35" s="1146"/>
      <c r="I35" s="1146"/>
      <c r="J35" s="1145"/>
      <c r="K35" s="1145"/>
      <c r="L35" s="1226"/>
    </row>
    <row r="36" spans="1:76" ht="60.75" customHeight="1">
      <c r="A36" s="1226"/>
      <c r="B36" s="2388"/>
      <c r="C36" s="2390"/>
      <c r="D36" s="2388" t="s">
        <v>4096</v>
      </c>
      <c r="E36" s="2389"/>
      <c r="F36" s="2389"/>
      <c r="G36" s="2389"/>
      <c r="H36" s="2390"/>
      <c r="I36" s="1083" t="s">
        <v>3627</v>
      </c>
      <c r="J36" s="2388" t="s">
        <v>3975</v>
      </c>
      <c r="K36" s="2390"/>
      <c r="L36" s="1226"/>
    </row>
    <row r="37" spans="1:76" ht="90" customHeight="1">
      <c r="A37" s="1226"/>
      <c r="B37" s="2509" t="s">
        <v>3976</v>
      </c>
      <c r="C37" s="2564"/>
      <c r="D37" s="2414" t="s">
        <v>4464</v>
      </c>
      <c r="E37" s="2395"/>
      <c r="F37" s="2395"/>
      <c r="G37" s="2395"/>
      <c r="H37" s="2425"/>
      <c r="I37" s="1107"/>
      <c r="J37" s="2393"/>
      <c r="K37" s="2393"/>
      <c r="L37" s="1226"/>
    </row>
    <row r="38" spans="1:76" s="1139" customFormat="1" ht="181.5" customHeight="1">
      <c r="A38" s="1336"/>
      <c r="B38" s="2391" t="s">
        <v>4182</v>
      </c>
      <c r="C38" s="2400"/>
      <c r="D38" s="2400"/>
      <c r="E38" s="2400"/>
      <c r="F38" s="2400"/>
      <c r="G38" s="2400"/>
      <c r="H38" s="2450"/>
      <c r="I38" s="1345"/>
      <c r="J38" s="2383"/>
      <c r="K38" s="2383"/>
      <c r="L38" s="1263"/>
      <c r="M38" s="1259"/>
      <c r="N38" s="1200"/>
      <c r="O38" s="1200"/>
      <c r="P38" s="1200"/>
      <c r="Q38" s="1200"/>
      <c r="R38" s="1200"/>
      <c r="S38" s="1200"/>
      <c r="T38" s="1200"/>
      <c r="U38" s="1200"/>
      <c r="V38" s="1200"/>
      <c r="W38" s="1200"/>
      <c r="X38" s="1200"/>
      <c r="Y38" s="1200"/>
      <c r="Z38" s="1200"/>
      <c r="AA38" s="1200"/>
      <c r="AB38" s="1200"/>
      <c r="AC38" s="1200"/>
      <c r="AD38" s="1200"/>
      <c r="AE38" s="1200"/>
      <c r="AF38" s="1200"/>
      <c r="AG38" s="1200"/>
      <c r="AH38" s="1200"/>
      <c r="AI38" s="1200"/>
      <c r="AJ38" s="1200"/>
      <c r="AK38" s="1200"/>
      <c r="AL38" s="1200"/>
      <c r="AM38" s="1200"/>
      <c r="AN38" s="1200"/>
      <c r="AO38" s="1200"/>
      <c r="AP38" s="1200"/>
      <c r="AQ38" s="1200"/>
      <c r="AR38" s="1200"/>
      <c r="AS38" s="1200"/>
      <c r="AT38" s="1200"/>
      <c r="AU38" s="1200"/>
      <c r="AV38" s="1200"/>
      <c r="AW38" s="1200"/>
      <c r="AX38" s="1200"/>
      <c r="AY38" s="1200"/>
      <c r="AZ38" s="1200"/>
      <c r="BA38" s="1200"/>
      <c r="BB38" s="1200"/>
      <c r="BC38" s="1200"/>
      <c r="BD38" s="1200"/>
      <c r="BE38" s="1200"/>
      <c r="BF38" s="1200"/>
      <c r="BG38" s="1200"/>
      <c r="BH38" s="1200"/>
      <c r="BI38" s="1200"/>
      <c r="BJ38" s="1200"/>
      <c r="BK38" s="1200"/>
      <c r="BL38" s="1200"/>
      <c r="BM38" s="1200"/>
      <c r="BN38" s="1200"/>
      <c r="BO38" s="1200"/>
      <c r="BP38" s="1200"/>
      <c r="BQ38" s="1200"/>
      <c r="BR38" s="1200"/>
      <c r="BS38" s="1200"/>
      <c r="BT38" s="1200"/>
      <c r="BU38" s="1200"/>
      <c r="BV38" s="1200"/>
      <c r="BW38" s="1200"/>
      <c r="BX38" s="1200"/>
    </row>
    <row r="39" spans="1:76" s="1139" customFormat="1" ht="33.75" customHeight="1">
      <c r="A39" s="1259"/>
      <c r="B39" s="2596" t="s">
        <v>3799</v>
      </c>
      <c r="C39" s="2596"/>
      <c r="D39" s="2596"/>
      <c r="E39" s="2596"/>
      <c r="F39" s="2596"/>
      <c r="G39" s="2596"/>
      <c r="H39" s="2596"/>
      <c r="I39" s="2596"/>
      <c r="J39" s="2596"/>
      <c r="K39" s="2596"/>
      <c r="L39" s="1256"/>
      <c r="M39" s="1259"/>
      <c r="N39" s="1129"/>
      <c r="O39" s="1200"/>
      <c r="P39" s="1200"/>
      <c r="Q39" s="1200"/>
      <c r="R39" s="1200"/>
      <c r="S39" s="1200"/>
      <c r="T39" s="1200"/>
      <c r="U39" s="1200"/>
      <c r="V39" s="1200"/>
      <c r="W39" s="1200"/>
      <c r="X39" s="1200"/>
      <c r="Y39" s="1200"/>
      <c r="Z39" s="1200"/>
      <c r="AA39" s="1200"/>
      <c r="AB39" s="1200"/>
      <c r="AC39" s="1200"/>
      <c r="AD39" s="1200"/>
      <c r="AE39" s="1200"/>
      <c r="AF39" s="1200"/>
      <c r="AG39" s="1200"/>
      <c r="AH39" s="1200"/>
      <c r="AI39" s="1200"/>
      <c r="AJ39" s="1200"/>
      <c r="AK39" s="1200"/>
      <c r="AL39" s="1200"/>
      <c r="AM39" s="1200"/>
      <c r="AN39" s="1200"/>
      <c r="AO39" s="1200"/>
      <c r="AP39" s="1200"/>
      <c r="AQ39" s="1200"/>
      <c r="AR39" s="1200"/>
      <c r="AS39" s="1200"/>
      <c r="AT39" s="1200"/>
      <c r="AU39" s="1200"/>
      <c r="AV39" s="1200"/>
      <c r="AW39" s="1200"/>
      <c r="AX39" s="1200"/>
      <c r="AY39" s="1200"/>
      <c r="AZ39" s="1200"/>
      <c r="BA39" s="1200"/>
      <c r="BB39" s="1200"/>
      <c r="BC39" s="1200"/>
      <c r="BD39" s="1200"/>
      <c r="BE39" s="1200"/>
      <c r="BF39" s="1200"/>
      <c r="BG39" s="1200"/>
      <c r="BH39" s="1200"/>
      <c r="BI39" s="1200"/>
      <c r="BJ39" s="1200"/>
      <c r="BK39" s="1200"/>
      <c r="BL39" s="1200"/>
      <c r="BM39" s="1200"/>
      <c r="BN39" s="1200"/>
      <c r="BO39" s="1200"/>
      <c r="BP39" s="1200"/>
      <c r="BQ39" s="1200"/>
      <c r="BR39" s="1200"/>
      <c r="BS39" s="1200"/>
      <c r="BT39" s="1200"/>
      <c r="BU39" s="1200"/>
      <c r="BV39" s="1200"/>
      <c r="BW39" s="1200"/>
      <c r="BX39" s="1200"/>
    </row>
    <row r="40" spans="1:76" s="1139" customFormat="1">
      <c r="A40" s="1337"/>
      <c r="B40" s="1295"/>
      <c r="C40" s="1295"/>
      <c r="D40" s="1295"/>
      <c r="E40" s="1295"/>
      <c r="F40" s="1295"/>
      <c r="G40" s="1295"/>
      <c r="H40" s="1295"/>
      <c r="I40" s="1295"/>
      <c r="J40" s="1295"/>
      <c r="K40" s="1295"/>
      <c r="L40" s="1263"/>
      <c r="M40" s="1200"/>
      <c r="N40" s="1129"/>
      <c r="O40" s="1200"/>
      <c r="P40" s="1200"/>
      <c r="Q40" s="1200"/>
      <c r="R40" s="1200"/>
      <c r="S40" s="1200"/>
      <c r="T40" s="1200"/>
      <c r="U40" s="1200"/>
      <c r="V40" s="1200"/>
      <c r="W40" s="1200"/>
      <c r="X40" s="1200"/>
      <c r="Y40" s="1200"/>
      <c r="Z40" s="1200"/>
      <c r="AA40" s="1200"/>
      <c r="AB40" s="1200"/>
      <c r="AC40" s="1200"/>
      <c r="AD40" s="1200"/>
      <c r="AE40" s="1200"/>
      <c r="AF40" s="1200"/>
      <c r="AG40" s="1200"/>
      <c r="AH40" s="1200"/>
      <c r="AI40" s="1200"/>
      <c r="AJ40" s="1200"/>
      <c r="AK40" s="1200"/>
      <c r="AL40" s="1200"/>
      <c r="AM40" s="1200"/>
      <c r="AN40" s="1200"/>
      <c r="AO40" s="1200"/>
      <c r="AP40" s="1200"/>
      <c r="AQ40" s="1200"/>
      <c r="AR40" s="1200"/>
      <c r="AS40" s="1200"/>
      <c r="AT40" s="1200"/>
      <c r="AU40" s="1200"/>
      <c r="AV40" s="1200"/>
      <c r="AW40" s="1200"/>
      <c r="AX40" s="1200"/>
      <c r="AY40" s="1200"/>
      <c r="AZ40" s="1200"/>
      <c r="BA40" s="1200"/>
      <c r="BB40" s="1200"/>
      <c r="BC40" s="1200"/>
      <c r="BD40" s="1200"/>
      <c r="BE40" s="1200"/>
      <c r="BF40" s="1200"/>
      <c r="BG40" s="1200"/>
      <c r="BH40" s="1200"/>
      <c r="BI40" s="1200"/>
      <c r="BJ40" s="1200"/>
      <c r="BK40" s="1200"/>
      <c r="BL40" s="1200"/>
      <c r="BM40" s="1200"/>
      <c r="BN40" s="1200"/>
      <c r="BO40" s="1200"/>
      <c r="BP40" s="1200"/>
      <c r="BQ40" s="1200"/>
      <c r="BR40" s="1200"/>
      <c r="BS40" s="1200"/>
      <c r="BT40" s="1200"/>
      <c r="BU40" s="1200"/>
      <c r="BV40" s="1200"/>
      <c r="BW40" s="1200"/>
      <c r="BX40" s="1200"/>
    </row>
    <row r="41" spans="1:76">
      <c r="B41" s="1342" t="s">
        <v>4183</v>
      </c>
      <c r="C41" s="1295"/>
      <c r="D41" s="1295"/>
      <c r="E41" s="1295"/>
      <c r="F41" s="1295"/>
      <c r="G41" s="1295"/>
      <c r="H41" s="1295"/>
      <c r="I41" s="1295"/>
      <c r="J41" s="1295"/>
      <c r="K41" s="1295"/>
      <c r="L41" s="1263"/>
    </row>
    <row r="42" spans="1:76" s="1123" customFormat="1" ht="60">
      <c r="A42" s="1226"/>
      <c r="B42" s="1114" t="s">
        <v>3800</v>
      </c>
      <c r="C42" s="1114" t="s">
        <v>3801</v>
      </c>
      <c r="D42" s="1114" t="s">
        <v>3802</v>
      </c>
      <c r="E42" s="1114" t="s">
        <v>3803</v>
      </c>
      <c r="F42" s="1114" t="s">
        <v>3804</v>
      </c>
      <c r="G42" s="1114" t="s">
        <v>3805</v>
      </c>
      <c r="H42" s="1114" t="s">
        <v>3806</v>
      </c>
      <c r="I42" s="1114" t="s">
        <v>3807</v>
      </c>
      <c r="J42" s="1114" t="s">
        <v>3808</v>
      </c>
      <c r="K42" s="1114" t="s">
        <v>3658</v>
      </c>
      <c r="L42" s="1338"/>
      <c r="M42" s="1280"/>
      <c r="N42" s="1338"/>
      <c r="O42" s="1226"/>
      <c r="P42" s="1226"/>
      <c r="Q42" s="1226"/>
      <c r="R42" s="1226"/>
      <c r="S42" s="1226"/>
      <c r="T42" s="1226"/>
      <c r="U42" s="1226"/>
      <c r="V42" s="1226"/>
      <c r="W42" s="1226"/>
      <c r="X42" s="1226"/>
      <c r="Y42" s="1226"/>
      <c r="Z42" s="1226"/>
      <c r="AA42" s="1226"/>
      <c r="AB42" s="1226"/>
      <c r="AC42" s="1226"/>
      <c r="AD42" s="1226"/>
      <c r="AE42" s="1226"/>
      <c r="AF42" s="1226"/>
      <c r="AG42" s="1226"/>
      <c r="AH42" s="1226"/>
      <c r="AI42" s="1226"/>
      <c r="AJ42" s="1226"/>
      <c r="AK42" s="1226"/>
      <c r="AL42" s="1226"/>
      <c r="AM42" s="1226"/>
      <c r="AN42" s="1226"/>
      <c r="AO42" s="1226"/>
      <c r="AP42" s="1226"/>
      <c r="AQ42" s="1226"/>
      <c r="AR42" s="1226"/>
      <c r="AS42" s="1226"/>
      <c r="AT42" s="1226"/>
      <c r="AU42" s="1226"/>
      <c r="AV42" s="1226"/>
      <c r="AW42" s="1226"/>
      <c r="AX42" s="1226"/>
      <c r="AY42" s="1226"/>
      <c r="AZ42" s="1226"/>
      <c r="BA42" s="1226"/>
      <c r="BB42" s="1226"/>
      <c r="BC42" s="1226"/>
      <c r="BD42" s="1226"/>
      <c r="BE42" s="1226"/>
      <c r="BF42" s="1226"/>
      <c r="BG42" s="1226"/>
      <c r="BH42" s="1226"/>
      <c r="BI42" s="1226"/>
      <c r="BJ42" s="1226"/>
      <c r="BK42" s="1226"/>
      <c r="BL42" s="1226"/>
      <c r="BM42" s="1226"/>
      <c r="BN42" s="1226"/>
      <c r="BO42" s="1226"/>
      <c r="BP42" s="1226"/>
      <c r="BQ42" s="1226"/>
      <c r="BR42" s="1226"/>
      <c r="BS42" s="1226"/>
      <c r="BT42" s="1226"/>
      <c r="BU42" s="1226"/>
      <c r="BV42" s="1226"/>
      <c r="BW42" s="1226"/>
      <c r="BX42" s="1226"/>
    </row>
    <row r="43" spans="1:76" s="1123" customFormat="1" ht="23.25" customHeight="1">
      <c r="A43" s="1226"/>
      <c r="B43" s="1115"/>
      <c r="C43" s="1115"/>
      <c r="D43" s="1115"/>
      <c r="E43" s="1351"/>
      <c r="F43" s="1351"/>
      <c r="G43" s="1355">
        <f t="shared" ref="G43:G51" si="0">(2*D43)+(E43*F43)</f>
        <v>0</v>
      </c>
      <c r="H43" s="1116"/>
      <c r="I43" s="1356" t="e">
        <f>H43/G43</f>
        <v>#DIV/0!</v>
      </c>
      <c r="J43" s="1356" t="e">
        <f>I43/0.18</f>
        <v>#DIV/0!</v>
      </c>
      <c r="K43" s="1354"/>
      <c r="L43" s="1338"/>
      <c r="M43" s="1280"/>
      <c r="N43" s="1338"/>
      <c r="O43" s="1226"/>
      <c r="P43" s="1226"/>
      <c r="Q43" s="1226"/>
      <c r="R43" s="1226"/>
      <c r="S43" s="1226"/>
      <c r="T43" s="1226"/>
      <c r="U43" s="1226"/>
      <c r="V43" s="1226"/>
      <c r="W43" s="1226"/>
      <c r="X43" s="1226"/>
      <c r="Y43" s="1226"/>
      <c r="Z43" s="1226"/>
      <c r="AA43" s="1226"/>
      <c r="AB43" s="1226"/>
      <c r="AC43" s="1226"/>
      <c r="AD43" s="1226"/>
      <c r="AE43" s="1226"/>
      <c r="AF43" s="1226"/>
      <c r="AG43" s="1226"/>
      <c r="AH43" s="1226"/>
      <c r="AI43" s="1226"/>
      <c r="AJ43" s="1226"/>
      <c r="AK43" s="1226"/>
      <c r="AL43" s="1226"/>
      <c r="AM43" s="1226"/>
      <c r="AN43" s="1226"/>
      <c r="AO43" s="1226"/>
      <c r="AP43" s="1226"/>
      <c r="AQ43" s="1226"/>
      <c r="AR43" s="1226"/>
      <c r="AS43" s="1226"/>
      <c r="AT43" s="1226"/>
      <c r="AU43" s="1226"/>
      <c r="AV43" s="1226"/>
      <c r="AW43" s="1226"/>
      <c r="AX43" s="1226"/>
      <c r="AY43" s="1226"/>
      <c r="AZ43" s="1226"/>
      <c r="BA43" s="1226"/>
      <c r="BB43" s="1226"/>
      <c r="BC43" s="1226"/>
      <c r="BD43" s="1226"/>
      <c r="BE43" s="1226"/>
      <c r="BF43" s="1226"/>
      <c r="BG43" s="1226"/>
      <c r="BH43" s="1226"/>
      <c r="BI43" s="1226"/>
      <c r="BJ43" s="1226"/>
      <c r="BK43" s="1226"/>
      <c r="BL43" s="1226"/>
      <c r="BM43" s="1226"/>
      <c r="BN43" s="1226"/>
      <c r="BO43" s="1226"/>
      <c r="BP43" s="1226"/>
      <c r="BQ43" s="1226"/>
      <c r="BR43" s="1226"/>
      <c r="BS43" s="1226"/>
      <c r="BT43" s="1226"/>
      <c r="BU43" s="1226"/>
      <c r="BV43" s="1226"/>
      <c r="BW43" s="1226"/>
      <c r="BX43" s="1226"/>
    </row>
    <row r="44" spans="1:76" s="1123" customFormat="1" ht="23.25" customHeight="1">
      <c r="A44" s="1226"/>
      <c r="B44" s="1115"/>
      <c r="C44" s="1115"/>
      <c r="D44" s="1115"/>
      <c r="E44" s="1351"/>
      <c r="F44" s="1351"/>
      <c r="G44" s="1355">
        <f t="shared" si="0"/>
        <v>0</v>
      </c>
      <c r="H44" s="1116"/>
      <c r="I44" s="1356" t="e">
        <f t="shared" ref="I44:I51" si="1">H44/G44</f>
        <v>#DIV/0!</v>
      </c>
      <c r="J44" s="1356" t="e">
        <f t="shared" ref="J44:J51" si="2">I44/0.18</f>
        <v>#DIV/0!</v>
      </c>
      <c r="K44" s="1354"/>
      <c r="L44" s="1338"/>
      <c r="M44" s="1280"/>
      <c r="N44" s="1338"/>
      <c r="O44" s="1226"/>
      <c r="P44" s="1226"/>
      <c r="Q44" s="1226"/>
      <c r="R44" s="1226"/>
      <c r="S44" s="1226"/>
      <c r="T44" s="1226"/>
      <c r="U44" s="1226"/>
      <c r="V44" s="1226"/>
      <c r="W44" s="1226"/>
      <c r="X44" s="1226"/>
      <c r="Y44" s="1226"/>
      <c r="Z44" s="1226"/>
      <c r="AA44" s="1226"/>
      <c r="AB44" s="1226"/>
      <c r="AC44" s="1226"/>
      <c r="AD44" s="1226"/>
      <c r="AE44" s="1226"/>
      <c r="AF44" s="1226"/>
      <c r="AG44" s="1226"/>
      <c r="AH44" s="1226"/>
      <c r="AI44" s="1226"/>
      <c r="AJ44" s="1226"/>
      <c r="AK44" s="1226"/>
      <c r="AL44" s="1226"/>
      <c r="AM44" s="1226"/>
      <c r="AN44" s="1226"/>
      <c r="AO44" s="1226"/>
      <c r="AP44" s="1226"/>
      <c r="AQ44" s="1226"/>
      <c r="AR44" s="1226"/>
      <c r="AS44" s="1226"/>
      <c r="AT44" s="1226"/>
      <c r="AU44" s="1226"/>
      <c r="AV44" s="1226"/>
      <c r="AW44" s="1226"/>
      <c r="AX44" s="1226"/>
      <c r="AY44" s="1226"/>
      <c r="AZ44" s="1226"/>
      <c r="BA44" s="1226"/>
      <c r="BB44" s="1226"/>
      <c r="BC44" s="1226"/>
      <c r="BD44" s="1226"/>
      <c r="BE44" s="1226"/>
      <c r="BF44" s="1226"/>
      <c r="BG44" s="1226"/>
      <c r="BH44" s="1226"/>
      <c r="BI44" s="1226"/>
      <c r="BJ44" s="1226"/>
      <c r="BK44" s="1226"/>
      <c r="BL44" s="1226"/>
      <c r="BM44" s="1226"/>
      <c r="BN44" s="1226"/>
      <c r="BO44" s="1226"/>
      <c r="BP44" s="1226"/>
      <c r="BQ44" s="1226"/>
      <c r="BR44" s="1226"/>
      <c r="BS44" s="1226"/>
      <c r="BT44" s="1226"/>
      <c r="BU44" s="1226"/>
      <c r="BV44" s="1226"/>
      <c r="BW44" s="1226"/>
      <c r="BX44" s="1226"/>
    </row>
    <row r="45" spans="1:76" s="1123" customFormat="1" ht="23.25" customHeight="1">
      <c r="A45" s="1226"/>
      <c r="B45" s="1115"/>
      <c r="C45" s="1115"/>
      <c r="D45" s="1115"/>
      <c r="E45" s="1351"/>
      <c r="F45" s="1351"/>
      <c r="G45" s="1355">
        <f t="shared" si="0"/>
        <v>0</v>
      </c>
      <c r="H45" s="1116"/>
      <c r="I45" s="1356" t="e">
        <f t="shared" si="1"/>
        <v>#DIV/0!</v>
      </c>
      <c r="J45" s="1356" t="e">
        <f t="shared" si="2"/>
        <v>#DIV/0!</v>
      </c>
      <c r="K45" s="1354"/>
      <c r="L45" s="1338"/>
      <c r="M45" s="1226"/>
      <c r="N45" s="1280"/>
      <c r="O45" s="1338"/>
      <c r="P45" s="1226"/>
      <c r="Q45" s="1226"/>
      <c r="R45" s="1226"/>
      <c r="S45" s="1226"/>
      <c r="T45" s="1226"/>
      <c r="U45" s="1226"/>
      <c r="V45" s="1226"/>
      <c r="W45" s="1226"/>
      <c r="X45" s="1226"/>
      <c r="Y45" s="1226"/>
      <c r="Z45" s="1226"/>
      <c r="AA45" s="1226"/>
      <c r="AB45" s="1226"/>
      <c r="AC45" s="1226"/>
      <c r="AD45" s="1226"/>
      <c r="AE45" s="1226"/>
      <c r="AF45" s="1226"/>
      <c r="AG45" s="1226"/>
      <c r="AH45" s="1226"/>
      <c r="AI45" s="1226"/>
      <c r="AJ45" s="1226"/>
      <c r="AK45" s="1226"/>
      <c r="AL45" s="1226"/>
      <c r="AM45" s="1226"/>
      <c r="AN45" s="1226"/>
      <c r="AO45" s="1226"/>
      <c r="AP45" s="1226"/>
      <c r="AQ45" s="1226"/>
      <c r="AR45" s="1226"/>
      <c r="AS45" s="1226"/>
      <c r="AT45" s="1226"/>
      <c r="AU45" s="1226"/>
      <c r="AV45" s="1226"/>
      <c r="AW45" s="1226"/>
      <c r="AX45" s="1226"/>
      <c r="AY45" s="1226"/>
      <c r="AZ45" s="1226"/>
      <c r="BA45" s="1226"/>
      <c r="BB45" s="1226"/>
      <c r="BC45" s="1226"/>
      <c r="BD45" s="1226"/>
      <c r="BE45" s="1226"/>
      <c r="BF45" s="1226"/>
      <c r="BG45" s="1226"/>
      <c r="BH45" s="1226"/>
      <c r="BI45" s="1226"/>
      <c r="BJ45" s="1226"/>
      <c r="BK45" s="1226"/>
      <c r="BL45" s="1226"/>
      <c r="BM45" s="1226"/>
      <c r="BN45" s="1226"/>
      <c r="BO45" s="1226"/>
      <c r="BP45" s="1226"/>
      <c r="BQ45" s="1226"/>
      <c r="BR45" s="1226"/>
      <c r="BS45" s="1226"/>
      <c r="BT45" s="1226"/>
      <c r="BU45" s="1226"/>
      <c r="BV45" s="1226"/>
      <c r="BW45" s="1226"/>
      <c r="BX45" s="1226"/>
    </row>
    <row r="46" spans="1:76" s="1123" customFormat="1" ht="23.25" customHeight="1">
      <c r="A46" s="1226"/>
      <c r="B46" s="1115"/>
      <c r="C46" s="1115"/>
      <c r="D46" s="1115"/>
      <c r="E46" s="1351"/>
      <c r="F46" s="1351"/>
      <c r="G46" s="1355">
        <f t="shared" si="0"/>
        <v>0</v>
      </c>
      <c r="H46" s="1116"/>
      <c r="I46" s="1356" t="e">
        <f t="shared" si="1"/>
        <v>#DIV/0!</v>
      </c>
      <c r="J46" s="1356" t="e">
        <f t="shared" si="2"/>
        <v>#DIV/0!</v>
      </c>
      <c r="K46" s="1354"/>
      <c r="L46" s="1339"/>
      <c r="M46" s="1226"/>
      <c r="N46" s="1280"/>
      <c r="O46" s="1338"/>
      <c r="P46" s="1226"/>
      <c r="Q46" s="1226"/>
      <c r="R46" s="1226"/>
      <c r="S46" s="1226"/>
      <c r="T46" s="1226"/>
      <c r="U46" s="1226"/>
      <c r="V46" s="1226"/>
      <c r="W46" s="1226"/>
      <c r="X46" s="1226"/>
      <c r="Y46" s="1226"/>
      <c r="Z46" s="1226"/>
      <c r="AA46" s="1226"/>
      <c r="AB46" s="1226"/>
      <c r="AC46" s="1226"/>
      <c r="AD46" s="1226"/>
      <c r="AE46" s="1226"/>
      <c r="AF46" s="1226"/>
      <c r="AG46" s="1226"/>
      <c r="AH46" s="1226"/>
      <c r="AI46" s="1226"/>
      <c r="AJ46" s="1226"/>
      <c r="AK46" s="1226"/>
      <c r="AL46" s="1226"/>
      <c r="AM46" s="1226"/>
      <c r="AN46" s="1226"/>
      <c r="AO46" s="1226"/>
      <c r="AP46" s="1226"/>
      <c r="AQ46" s="1226"/>
      <c r="AR46" s="1226"/>
      <c r="AS46" s="1226"/>
      <c r="AT46" s="1226"/>
      <c r="AU46" s="1226"/>
      <c r="AV46" s="1226"/>
      <c r="AW46" s="1226"/>
      <c r="AX46" s="1226"/>
      <c r="AY46" s="1226"/>
      <c r="AZ46" s="1226"/>
      <c r="BA46" s="1226"/>
      <c r="BB46" s="1226"/>
      <c r="BC46" s="1226"/>
      <c r="BD46" s="1226"/>
      <c r="BE46" s="1226"/>
      <c r="BF46" s="1226"/>
      <c r="BG46" s="1226"/>
      <c r="BH46" s="1226"/>
      <c r="BI46" s="1226"/>
      <c r="BJ46" s="1226"/>
      <c r="BK46" s="1226"/>
      <c r="BL46" s="1226"/>
      <c r="BM46" s="1226"/>
      <c r="BN46" s="1226"/>
      <c r="BO46" s="1226"/>
      <c r="BP46" s="1226"/>
      <c r="BQ46" s="1226"/>
      <c r="BR46" s="1226"/>
      <c r="BS46" s="1226"/>
      <c r="BT46" s="1226"/>
      <c r="BU46" s="1226"/>
      <c r="BV46" s="1226"/>
      <c r="BW46" s="1226"/>
      <c r="BX46" s="1226"/>
    </row>
    <row r="47" spans="1:76" s="1123" customFormat="1" ht="23.25" customHeight="1">
      <c r="A47" s="1226"/>
      <c r="B47" s="1352"/>
      <c r="C47" s="1352"/>
      <c r="D47" s="1115"/>
      <c r="E47" s="1351"/>
      <c r="F47" s="1351"/>
      <c r="G47" s="1355">
        <f t="shared" si="0"/>
        <v>0</v>
      </c>
      <c r="H47" s="1116"/>
      <c r="I47" s="1356" t="e">
        <f t="shared" si="1"/>
        <v>#DIV/0!</v>
      </c>
      <c r="J47" s="1356" t="e">
        <f t="shared" si="2"/>
        <v>#DIV/0!</v>
      </c>
      <c r="K47" s="1354"/>
      <c r="L47" s="1339"/>
      <c r="M47" s="1226"/>
      <c r="N47" s="1280"/>
      <c r="O47" s="1338"/>
      <c r="P47" s="1226"/>
      <c r="Q47" s="1226"/>
      <c r="R47" s="1226"/>
      <c r="S47" s="1226"/>
      <c r="T47" s="1226"/>
      <c r="U47" s="1226"/>
      <c r="V47" s="1226"/>
      <c r="W47" s="1226"/>
      <c r="X47" s="1226"/>
      <c r="Y47" s="1226"/>
      <c r="Z47" s="1226"/>
      <c r="AA47" s="1226"/>
      <c r="AB47" s="1226"/>
      <c r="AC47" s="1226"/>
      <c r="AD47" s="1226"/>
      <c r="AE47" s="1226"/>
      <c r="AF47" s="1226"/>
      <c r="AG47" s="1226"/>
      <c r="AH47" s="1226"/>
      <c r="AI47" s="1226"/>
      <c r="AJ47" s="1226"/>
      <c r="AK47" s="1226"/>
      <c r="AL47" s="1226"/>
      <c r="AM47" s="1226"/>
      <c r="AN47" s="1226"/>
      <c r="AO47" s="1226"/>
      <c r="AP47" s="1226"/>
      <c r="AQ47" s="1226"/>
      <c r="AR47" s="1226"/>
      <c r="AS47" s="1226"/>
      <c r="AT47" s="1226"/>
      <c r="AU47" s="1226"/>
      <c r="AV47" s="1226"/>
      <c r="AW47" s="1226"/>
      <c r="AX47" s="1226"/>
      <c r="AY47" s="1226"/>
      <c r="AZ47" s="1226"/>
      <c r="BA47" s="1226"/>
      <c r="BB47" s="1226"/>
      <c r="BC47" s="1226"/>
      <c r="BD47" s="1226"/>
      <c r="BE47" s="1226"/>
      <c r="BF47" s="1226"/>
      <c r="BG47" s="1226"/>
      <c r="BH47" s="1226"/>
      <c r="BI47" s="1226"/>
      <c r="BJ47" s="1226"/>
      <c r="BK47" s="1226"/>
      <c r="BL47" s="1226"/>
      <c r="BM47" s="1226"/>
      <c r="BN47" s="1226"/>
      <c r="BO47" s="1226"/>
      <c r="BP47" s="1226"/>
      <c r="BQ47" s="1226"/>
      <c r="BR47" s="1226"/>
      <c r="BS47" s="1226"/>
      <c r="BT47" s="1226"/>
      <c r="BU47" s="1226"/>
      <c r="BV47" s="1226"/>
      <c r="BW47" s="1226"/>
      <c r="BX47" s="1226"/>
    </row>
    <row r="48" spans="1:76" s="1123" customFormat="1" ht="23.25" customHeight="1">
      <c r="A48" s="1226"/>
      <c r="B48" s="1352"/>
      <c r="C48" s="1352"/>
      <c r="D48" s="1115"/>
      <c r="E48" s="1351"/>
      <c r="F48" s="1351"/>
      <c r="G48" s="1355">
        <f t="shared" si="0"/>
        <v>0</v>
      </c>
      <c r="H48" s="1116"/>
      <c r="I48" s="1356" t="e">
        <f t="shared" si="1"/>
        <v>#DIV/0!</v>
      </c>
      <c r="J48" s="1356" t="e">
        <f t="shared" si="2"/>
        <v>#DIV/0!</v>
      </c>
      <c r="K48" s="1354"/>
      <c r="L48" s="1339"/>
      <c r="M48" s="1226"/>
      <c r="N48" s="1280"/>
      <c r="O48" s="1338"/>
      <c r="P48" s="1226"/>
      <c r="Q48" s="1226"/>
      <c r="R48" s="1226"/>
      <c r="S48" s="1226"/>
      <c r="T48" s="1226"/>
      <c r="U48" s="1226"/>
      <c r="V48" s="1226"/>
      <c r="W48" s="1226"/>
      <c r="X48" s="1226"/>
      <c r="Y48" s="1226"/>
      <c r="Z48" s="1226"/>
      <c r="AA48" s="1226"/>
      <c r="AB48" s="1226"/>
      <c r="AC48" s="1226"/>
      <c r="AD48" s="1226"/>
      <c r="AE48" s="1226"/>
      <c r="AF48" s="1226"/>
      <c r="AG48" s="1226"/>
      <c r="AH48" s="1226"/>
      <c r="AI48" s="1226"/>
      <c r="AJ48" s="1226"/>
      <c r="AK48" s="1226"/>
      <c r="AL48" s="1226"/>
      <c r="AM48" s="1226"/>
      <c r="AN48" s="1226"/>
      <c r="AO48" s="1226"/>
      <c r="AP48" s="1226"/>
      <c r="AQ48" s="1226"/>
      <c r="AR48" s="1226"/>
      <c r="AS48" s="1226"/>
      <c r="AT48" s="1226"/>
      <c r="AU48" s="1226"/>
      <c r="AV48" s="1226"/>
      <c r="AW48" s="1226"/>
      <c r="AX48" s="1226"/>
      <c r="AY48" s="1226"/>
      <c r="AZ48" s="1226"/>
      <c r="BA48" s="1226"/>
      <c r="BB48" s="1226"/>
      <c r="BC48" s="1226"/>
      <c r="BD48" s="1226"/>
      <c r="BE48" s="1226"/>
      <c r="BF48" s="1226"/>
      <c r="BG48" s="1226"/>
      <c r="BH48" s="1226"/>
      <c r="BI48" s="1226"/>
      <c r="BJ48" s="1226"/>
      <c r="BK48" s="1226"/>
      <c r="BL48" s="1226"/>
      <c r="BM48" s="1226"/>
      <c r="BN48" s="1226"/>
      <c r="BO48" s="1226"/>
      <c r="BP48" s="1226"/>
      <c r="BQ48" s="1226"/>
      <c r="BR48" s="1226"/>
      <c r="BS48" s="1226"/>
      <c r="BT48" s="1226"/>
      <c r="BU48" s="1226"/>
      <c r="BV48" s="1226"/>
      <c r="BW48" s="1226"/>
      <c r="BX48" s="1226"/>
    </row>
    <row r="49" spans="1:76" s="1289" customFormat="1" ht="23.25" customHeight="1">
      <c r="A49" s="1198"/>
      <c r="B49" s="1352"/>
      <c r="C49" s="1352"/>
      <c r="D49" s="1115"/>
      <c r="E49" s="1351"/>
      <c r="F49" s="1351"/>
      <c r="G49" s="1355">
        <f t="shared" si="0"/>
        <v>0</v>
      </c>
      <c r="H49" s="1116"/>
      <c r="I49" s="1356" t="e">
        <f t="shared" si="1"/>
        <v>#DIV/0!</v>
      </c>
      <c r="J49" s="1356" t="e">
        <f t="shared" si="2"/>
        <v>#DIV/0!</v>
      </c>
      <c r="K49" s="1354"/>
      <c r="L49" s="1339"/>
      <c r="M49" s="1198"/>
      <c r="N49" s="1198"/>
      <c r="O49" s="1340"/>
      <c r="P49" s="1198"/>
      <c r="Q49" s="1198"/>
      <c r="R49" s="1198"/>
      <c r="S49" s="1198"/>
      <c r="T49" s="1198"/>
      <c r="U49" s="1198"/>
      <c r="V49" s="1198"/>
      <c r="W49" s="1198"/>
      <c r="X49" s="1198"/>
      <c r="Y49" s="1198"/>
      <c r="Z49" s="1198"/>
      <c r="AA49" s="1198"/>
      <c r="AB49" s="1198"/>
      <c r="AC49" s="1198"/>
      <c r="AD49" s="1198"/>
      <c r="AE49" s="1198"/>
      <c r="AF49" s="1198"/>
      <c r="AG49" s="1198"/>
      <c r="AH49" s="1198"/>
      <c r="AI49" s="1198"/>
      <c r="AJ49" s="1198"/>
      <c r="AK49" s="1198"/>
      <c r="AL49" s="1198"/>
      <c r="AM49" s="1198"/>
      <c r="AN49" s="1198"/>
      <c r="AO49" s="1198"/>
      <c r="AP49" s="1198"/>
      <c r="AQ49" s="1198"/>
      <c r="AR49" s="1198"/>
      <c r="AS49" s="1198"/>
      <c r="AT49" s="1198"/>
      <c r="AU49" s="1198"/>
      <c r="AV49" s="1198"/>
      <c r="AW49" s="1198"/>
      <c r="AX49" s="1198"/>
      <c r="AY49" s="1198"/>
      <c r="AZ49" s="1198"/>
      <c r="BA49" s="1198"/>
      <c r="BB49" s="1198"/>
      <c r="BC49" s="1198"/>
      <c r="BD49" s="1198"/>
      <c r="BE49" s="1198"/>
      <c r="BF49" s="1198"/>
      <c r="BG49" s="1198"/>
      <c r="BH49" s="1198"/>
      <c r="BI49" s="1198"/>
      <c r="BJ49" s="1198"/>
      <c r="BK49" s="1198"/>
      <c r="BL49" s="1198"/>
      <c r="BM49" s="1198"/>
      <c r="BN49" s="1198"/>
      <c r="BO49" s="1198"/>
      <c r="BP49" s="1198"/>
      <c r="BQ49" s="1198"/>
      <c r="BR49" s="1198"/>
      <c r="BS49" s="1198"/>
      <c r="BT49" s="1198"/>
      <c r="BU49" s="1198"/>
      <c r="BV49" s="1198"/>
      <c r="BW49" s="1198"/>
      <c r="BX49" s="1198"/>
    </row>
    <row r="50" spans="1:76" ht="23.25" customHeight="1">
      <c r="B50" s="1352"/>
      <c r="C50" s="1352"/>
      <c r="D50" s="1352"/>
      <c r="E50" s="1353"/>
      <c r="F50" s="1353"/>
      <c r="G50" s="1355">
        <f t="shared" si="0"/>
        <v>0</v>
      </c>
      <c r="H50" s="1116"/>
      <c r="I50" s="1356" t="e">
        <f t="shared" si="1"/>
        <v>#DIV/0!</v>
      </c>
      <c r="J50" s="1356" t="e">
        <f t="shared" si="2"/>
        <v>#DIV/0!</v>
      </c>
      <c r="K50" s="1112"/>
      <c r="L50" s="1339"/>
      <c r="O50" s="1340"/>
    </row>
    <row r="51" spans="1:76" ht="23.25" customHeight="1">
      <c r="B51" s="1352"/>
      <c r="C51" s="1352"/>
      <c r="D51" s="1352"/>
      <c r="E51" s="1353"/>
      <c r="F51" s="1353"/>
      <c r="G51" s="1355">
        <f t="shared" si="0"/>
        <v>0</v>
      </c>
      <c r="H51" s="1116"/>
      <c r="I51" s="1356" t="e">
        <f t="shared" si="1"/>
        <v>#DIV/0!</v>
      </c>
      <c r="J51" s="1356" t="e">
        <f t="shared" si="2"/>
        <v>#DIV/0!</v>
      </c>
      <c r="K51" s="1112"/>
      <c r="L51" s="1339"/>
      <c r="O51" s="1340"/>
    </row>
    <row r="52" spans="1:76" ht="29.25" customHeight="1">
      <c r="B52" s="1145"/>
      <c r="L52" s="1339"/>
      <c r="O52" s="1340"/>
    </row>
    <row r="53" spans="1:76" ht="29.25" customHeight="1">
      <c r="B53" s="1145"/>
      <c r="L53" s="1339"/>
      <c r="O53" s="1340"/>
    </row>
    <row r="54" spans="1:76" ht="29.25" customHeight="1">
      <c r="B54" s="1145"/>
      <c r="C54" s="1145"/>
      <c r="D54" s="1145"/>
      <c r="E54" s="1145"/>
      <c r="F54" s="1145"/>
      <c r="G54" s="1145"/>
      <c r="H54" s="1145"/>
      <c r="I54" s="1145"/>
      <c r="J54" s="1145"/>
      <c r="K54" s="1145"/>
      <c r="L54" s="1339"/>
      <c r="O54" s="1340"/>
    </row>
    <row r="55" spans="1:76">
      <c r="B55" s="1145"/>
      <c r="C55" s="1145"/>
      <c r="D55" s="1145"/>
      <c r="E55" s="1145"/>
      <c r="F55" s="1145"/>
      <c r="G55" s="1145"/>
      <c r="H55" s="1145"/>
      <c r="I55" s="1145"/>
      <c r="J55" s="1145"/>
      <c r="K55" s="1145"/>
      <c r="N55" s="1340"/>
    </row>
    <row r="57" spans="1:76">
      <c r="L57" s="1263"/>
      <c r="N57" s="896"/>
    </row>
    <row r="58" spans="1:76">
      <c r="L58" s="1263"/>
      <c r="N58" s="896" t="s">
        <v>1493</v>
      </c>
    </row>
    <row r="59" spans="1:76">
      <c r="N59" s="896" t="s">
        <v>1494</v>
      </c>
    </row>
    <row r="60" spans="1:76">
      <c r="N60" s="896" t="s">
        <v>2677</v>
      </c>
    </row>
    <row r="64" spans="1:76" ht="25.5" customHeight="1"/>
    <row r="65" spans="1:76" ht="27" customHeight="1"/>
    <row r="68" spans="1:76" s="1341" customFormat="1" ht="25.5" customHeight="1">
      <c r="A68" s="1340"/>
      <c r="B68" s="1119"/>
      <c r="C68" s="1119"/>
      <c r="D68" s="1119"/>
      <c r="E68" s="1119"/>
      <c r="F68" s="1119"/>
      <c r="G68" s="1119"/>
      <c r="H68" s="1119"/>
      <c r="I68" s="1119"/>
      <c r="J68" s="1119"/>
      <c r="K68" s="1119"/>
      <c r="L68" s="1129"/>
      <c r="M68" s="1340"/>
      <c r="N68" s="1340"/>
      <c r="O68" s="1340"/>
      <c r="P68" s="1340"/>
      <c r="Q68" s="1340"/>
      <c r="R68" s="1340"/>
      <c r="S68" s="1340"/>
      <c r="T68" s="1340"/>
      <c r="U68" s="1340"/>
      <c r="V68" s="1340"/>
      <c r="W68" s="1340"/>
      <c r="X68" s="1340"/>
      <c r="Y68" s="1340"/>
      <c r="Z68" s="1340"/>
      <c r="AA68" s="1340"/>
      <c r="AB68" s="1340"/>
      <c r="AC68" s="1340"/>
      <c r="AD68" s="1340"/>
      <c r="AE68" s="1340"/>
      <c r="AF68" s="1340"/>
      <c r="AG68" s="1340"/>
      <c r="AH68" s="1340"/>
      <c r="AI68" s="1340"/>
      <c r="AJ68" s="1340"/>
      <c r="AK68" s="1340"/>
      <c r="AL68" s="1340"/>
      <c r="AM68" s="1340"/>
      <c r="AN68" s="1340"/>
      <c r="AO68" s="1340"/>
      <c r="AP68" s="1340"/>
      <c r="AQ68" s="1340"/>
      <c r="AR68" s="1340"/>
      <c r="AS68" s="1340"/>
      <c r="AT68" s="1340"/>
      <c r="AU68" s="1340"/>
      <c r="AV68" s="1340"/>
      <c r="AW68" s="1340"/>
      <c r="AX68" s="1340"/>
      <c r="AY68" s="1340"/>
      <c r="AZ68" s="1340"/>
      <c r="BA68" s="1340"/>
      <c r="BB68" s="1340"/>
      <c r="BC68" s="1340"/>
      <c r="BD68" s="1340"/>
      <c r="BE68" s="1340"/>
      <c r="BF68" s="1340"/>
      <c r="BG68" s="1340"/>
      <c r="BH68" s="1340"/>
      <c r="BI68" s="1340"/>
      <c r="BJ68" s="1340"/>
      <c r="BK68" s="1340"/>
      <c r="BL68" s="1340"/>
      <c r="BM68" s="1340"/>
      <c r="BN68" s="1340"/>
      <c r="BO68" s="1340"/>
      <c r="BP68" s="1340"/>
      <c r="BQ68" s="1340"/>
      <c r="BR68" s="1340"/>
      <c r="BS68" s="1340"/>
      <c r="BT68" s="1340"/>
      <c r="BU68" s="1340"/>
      <c r="BV68" s="1340"/>
      <c r="BW68" s="1340"/>
      <c r="BX68" s="1340"/>
    </row>
    <row r="69" spans="1:76" ht="26.1" customHeight="1"/>
    <row r="70" spans="1:76" ht="26.1" customHeight="1"/>
    <row r="71" spans="1:76" s="1341" customFormat="1" ht="26.1" customHeight="1">
      <c r="A71" s="1340"/>
      <c r="B71" s="1119"/>
      <c r="C71" s="1119"/>
      <c r="D71" s="1119"/>
      <c r="E71" s="1119"/>
      <c r="F71" s="1119"/>
      <c r="G71" s="1119"/>
      <c r="H71" s="1119"/>
      <c r="I71" s="1119"/>
      <c r="J71" s="1119"/>
      <c r="K71" s="1119"/>
      <c r="L71" s="1129"/>
      <c r="M71" s="1340"/>
      <c r="N71" s="1340"/>
      <c r="O71" s="1340"/>
      <c r="P71" s="1340"/>
      <c r="Q71" s="1340"/>
      <c r="R71" s="1340"/>
      <c r="S71" s="1340"/>
      <c r="T71" s="1340"/>
      <c r="U71" s="1340"/>
      <c r="V71" s="1340"/>
      <c r="W71" s="1340"/>
      <c r="X71" s="1340"/>
      <c r="Y71" s="1340"/>
      <c r="Z71" s="1340"/>
      <c r="AA71" s="1340"/>
      <c r="AB71" s="1340"/>
      <c r="AC71" s="1340"/>
      <c r="AD71" s="1340"/>
      <c r="AE71" s="1340"/>
      <c r="AF71" s="1340"/>
      <c r="AG71" s="1340"/>
      <c r="AH71" s="1340"/>
      <c r="AI71" s="1340"/>
      <c r="AJ71" s="1340"/>
      <c r="AK71" s="1340"/>
      <c r="AL71" s="1340"/>
      <c r="AM71" s="1340"/>
      <c r="AN71" s="1340"/>
      <c r="AO71" s="1340"/>
      <c r="AP71" s="1340"/>
      <c r="AQ71" s="1340"/>
      <c r="AR71" s="1340"/>
      <c r="AS71" s="1340"/>
      <c r="AT71" s="1340"/>
      <c r="AU71" s="1340"/>
      <c r="AV71" s="1340"/>
      <c r="AW71" s="1340"/>
      <c r="AX71" s="1340"/>
      <c r="AY71" s="1340"/>
      <c r="AZ71" s="1340"/>
      <c r="BA71" s="1340"/>
      <c r="BB71" s="1340"/>
      <c r="BC71" s="1340"/>
      <c r="BD71" s="1340"/>
      <c r="BE71" s="1340"/>
      <c r="BF71" s="1340"/>
      <c r="BG71" s="1340"/>
      <c r="BH71" s="1340"/>
      <c r="BI71" s="1340"/>
      <c r="BJ71" s="1340"/>
      <c r="BK71" s="1340"/>
      <c r="BL71" s="1340"/>
      <c r="BM71" s="1340"/>
      <c r="BN71" s="1340"/>
      <c r="BO71" s="1340"/>
      <c r="BP71" s="1340"/>
      <c r="BQ71" s="1340"/>
      <c r="BR71" s="1340"/>
      <c r="BS71" s="1340"/>
      <c r="BT71" s="1340"/>
      <c r="BU71" s="1340"/>
      <c r="BV71" s="1340"/>
      <c r="BW71" s="1340"/>
      <c r="BX71" s="1340"/>
    </row>
    <row r="72" spans="1:76" ht="26.1" customHeight="1"/>
    <row r="73" spans="1:76" ht="26.1" customHeight="1"/>
    <row r="74" spans="1:76" ht="26.1" customHeight="1"/>
    <row r="75" spans="1:76" ht="26.1" customHeight="1"/>
    <row r="76" spans="1:76" ht="26.1" customHeight="1"/>
    <row r="77" spans="1:76" ht="24" customHeight="1"/>
    <row r="78" spans="1:76" ht="24" customHeight="1"/>
  </sheetData>
  <sheetProtection formatCells="0" formatColumns="0" formatRows="0" insertColumns="0" insertRows="0"/>
  <mergeCells count="27">
    <mergeCell ref="B36:C36"/>
    <mergeCell ref="D36:H36"/>
    <mergeCell ref="J37:K37"/>
    <mergeCell ref="B9:G9"/>
    <mergeCell ref="J1:K1"/>
    <mergeCell ref="J2:K2"/>
    <mergeCell ref="J3:K3"/>
    <mergeCell ref="J4:K4"/>
    <mergeCell ref="B7:G7"/>
    <mergeCell ref="B8:G8"/>
    <mergeCell ref="B6:K6"/>
    <mergeCell ref="B38:H38"/>
    <mergeCell ref="J38:K38"/>
    <mergeCell ref="B39:K39"/>
    <mergeCell ref="J36:K36"/>
    <mergeCell ref="B10:G10"/>
    <mergeCell ref="B11:G11"/>
    <mergeCell ref="B32:G32"/>
    <mergeCell ref="B27:K27"/>
    <mergeCell ref="B28:K28"/>
    <mergeCell ref="B29:K29"/>
    <mergeCell ref="B30:K30"/>
    <mergeCell ref="B31:K31"/>
    <mergeCell ref="B33:K33"/>
    <mergeCell ref="B34:K34"/>
    <mergeCell ref="D37:H37"/>
    <mergeCell ref="B37:C37"/>
  </mergeCells>
  <conditionalFormatting sqref="I43:I51">
    <cfRule type="cellIs" dxfId="3" priority="2" stopIfTrue="1" operator="greaterThan">
      <formula>0.315</formula>
    </cfRule>
    <cfRule type="cellIs" dxfId="2" priority="3" stopIfTrue="1" operator="greaterThan">
      <formula>0.315</formula>
    </cfRule>
  </conditionalFormatting>
  <conditionalFormatting sqref="J43:J51">
    <cfRule type="cellIs" dxfId="1" priority="1" stopIfTrue="1" operator="greaterThan">
      <formula>1.75</formula>
    </cfRule>
  </conditionalFormatting>
  <dataValidations count="1">
    <dataValidation type="list" allowBlank="1" showInputMessage="1" showErrorMessage="1" sqref="JD65575:JE65575 JD40:JE40 SZ40:TA40 ACV40:ACW40 AMR40:AMS40 AWN40:AWO40 BGJ40:BGK40 BQF40:BQG40 CAB40:CAC40 CJX40:CJY40 CTT40:CTU40 DDP40:DDQ40 DNL40:DNM40 DXH40:DXI40 EHD40:EHE40 EQZ40:ERA40 FAV40:FAW40 FKR40:FKS40 FUN40:FUO40 GEJ40:GEK40 GOF40:GOG40 GYB40:GYC40 HHX40:HHY40 HRT40:HRU40 IBP40:IBQ40 ILL40:ILM40 IVH40:IVI40 JFD40:JFE40 JOZ40:JPA40 JYV40:JYW40 KIR40:KIS40 KSN40:KSO40 LCJ40:LCK40 LMF40:LMG40 LWB40:LWC40 MFX40:MFY40 MPT40:MPU40 MZP40:MZQ40 NJL40:NJM40 NTH40:NTI40 ODD40:ODE40 OMZ40:ONA40 OWV40:OWW40 PGR40:PGS40 PQN40:PQO40 QAJ40:QAK40 QKF40:QKG40 QUB40:QUC40 RDX40:RDY40 RNT40:RNU40 RXP40:RXQ40 SHL40:SHM40 SRH40:SRI40 TBD40:TBE40 TKZ40:TLA40 TUV40:TUW40 UER40:UES40 UON40:UOO40 UYJ40:UYK40 VIF40:VIG40 VSB40:VSC40 WBX40:WBY40 WLT40:WLU40 WVP40:WVQ40 SZ65575:TA65575 ACV65575:ACW65575 AMR65575:AMS65575 AWN65575:AWO65575 BGJ65575:BGK65575 BQF65575:BQG65575 CAB65575:CAC65575 CJX65575:CJY65575 CTT65575:CTU65575 DDP65575:DDQ65575 DNL65575:DNM65575 DXH65575:DXI65575 EHD65575:EHE65575 EQZ65575:ERA65575 FAV65575:FAW65575 FKR65575:FKS65575 FUN65575:FUO65575 GEJ65575:GEK65575 GOF65575:GOG65575 GYB65575:GYC65575 HHX65575:HHY65575 HRT65575:HRU65575 IBP65575:IBQ65575 ILL65575:ILM65575 IVH65575:IVI65575 JFD65575:JFE65575 JOZ65575:JPA65575 JYV65575:JYW65575 KIR65575:KIS65575 KSN65575:KSO65575 LCJ65575:LCK65575 LMF65575:LMG65575 LWB65575:LWC65575 MFX65575:MFY65575 MPT65575:MPU65575 MZP65575:MZQ65575 NJL65575:NJM65575 NTH65575:NTI65575 ODD65575:ODE65575 OMZ65575:ONA65575 OWV65575:OWW65575 PGR65575:PGS65575 PQN65575:PQO65575 QAJ65575:QAK65575 QKF65575:QKG65575 QUB65575:QUC65575 RDX65575:RDY65575 RNT65575:RNU65575 RXP65575:RXQ65575 SHL65575:SHM65575 SRH65575:SRI65575 TBD65575:TBE65575 TKZ65575:TLA65575 TUV65575:TUW65575 UER65575:UES65575 UON65575:UOO65575 UYJ65575:UYK65575 VIF65575:VIG65575 VSB65575:VSC65575 WBX65575:WBY65575 WLT65575:WLU65575 WVP65575:WVQ65575 JD131111:JE131111 SZ131111:TA131111 ACV131111:ACW131111 AMR131111:AMS131111 AWN131111:AWO131111 BGJ131111:BGK131111 BQF131111:BQG131111 CAB131111:CAC131111 CJX131111:CJY131111 CTT131111:CTU131111 DDP131111:DDQ131111 DNL131111:DNM131111 DXH131111:DXI131111 EHD131111:EHE131111 EQZ131111:ERA131111 FAV131111:FAW131111 FKR131111:FKS131111 FUN131111:FUO131111 GEJ131111:GEK131111 GOF131111:GOG131111 GYB131111:GYC131111 HHX131111:HHY131111 HRT131111:HRU131111 IBP131111:IBQ131111 ILL131111:ILM131111 IVH131111:IVI131111 JFD131111:JFE131111 JOZ131111:JPA131111 JYV131111:JYW131111 KIR131111:KIS131111 KSN131111:KSO131111 LCJ131111:LCK131111 LMF131111:LMG131111 LWB131111:LWC131111 MFX131111:MFY131111 MPT131111:MPU131111 MZP131111:MZQ131111 NJL131111:NJM131111 NTH131111:NTI131111 ODD131111:ODE131111 OMZ131111:ONA131111 OWV131111:OWW131111 PGR131111:PGS131111 PQN131111:PQO131111 QAJ131111:QAK131111 QKF131111:QKG131111 QUB131111:QUC131111 RDX131111:RDY131111 RNT131111:RNU131111 RXP131111:RXQ131111 SHL131111:SHM131111 SRH131111:SRI131111 TBD131111:TBE131111 TKZ131111:TLA131111 TUV131111:TUW131111 UER131111:UES131111 UON131111:UOO131111 UYJ131111:UYK131111 VIF131111:VIG131111 VSB131111:VSC131111 WBX131111:WBY131111 WLT131111:WLU131111 WVP131111:WVQ131111 JD196647:JE196647 SZ196647:TA196647 ACV196647:ACW196647 AMR196647:AMS196647 AWN196647:AWO196647 BGJ196647:BGK196647 BQF196647:BQG196647 CAB196647:CAC196647 CJX196647:CJY196647 CTT196647:CTU196647 DDP196647:DDQ196647 DNL196647:DNM196647 DXH196647:DXI196647 EHD196647:EHE196647 EQZ196647:ERA196647 FAV196647:FAW196647 FKR196647:FKS196647 FUN196647:FUO196647 GEJ196647:GEK196647 GOF196647:GOG196647 GYB196647:GYC196647 HHX196647:HHY196647 HRT196647:HRU196647 IBP196647:IBQ196647 ILL196647:ILM196647 IVH196647:IVI196647 JFD196647:JFE196647 JOZ196647:JPA196647 JYV196647:JYW196647 KIR196647:KIS196647 KSN196647:KSO196647 LCJ196647:LCK196647 LMF196647:LMG196647 LWB196647:LWC196647 MFX196647:MFY196647 MPT196647:MPU196647 MZP196647:MZQ196647 NJL196647:NJM196647 NTH196647:NTI196647 ODD196647:ODE196647 OMZ196647:ONA196647 OWV196647:OWW196647 PGR196647:PGS196647 PQN196647:PQO196647 QAJ196647:QAK196647 QKF196647:QKG196647 QUB196647:QUC196647 RDX196647:RDY196647 RNT196647:RNU196647 RXP196647:RXQ196647 SHL196647:SHM196647 SRH196647:SRI196647 TBD196647:TBE196647 TKZ196647:TLA196647 TUV196647:TUW196647 UER196647:UES196647 UON196647:UOO196647 UYJ196647:UYK196647 VIF196647:VIG196647 VSB196647:VSC196647 WBX196647:WBY196647 WLT196647:WLU196647 WVP196647:WVQ196647 JD262183:JE262183 SZ262183:TA262183 ACV262183:ACW262183 AMR262183:AMS262183 AWN262183:AWO262183 BGJ262183:BGK262183 BQF262183:BQG262183 CAB262183:CAC262183 CJX262183:CJY262183 CTT262183:CTU262183 DDP262183:DDQ262183 DNL262183:DNM262183 DXH262183:DXI262183 EHD262183:EHE262183 EQZ262183:ERA262183 FAV262183:FAW262183 FKR262183:FKS262183 FUN262183:FUO262183 GEJ262183:GEK262183 GOF262183:GOG262183 GYB262183:GYC262183 HHX262183:HHY262183 HRT262183:HRU262183 IBP262183:IBQ262183 ILL262183:ILM262183 IVH262183:IVI262183 JFD262183:JFE262183 JOZ262183:JPA262183 JYV262183:JYW262183 KIR262183:KIS262183 KSN262183:KSO262183 LCJ262183:LCK262183 LMF262183:LMG262183 LWB262183:LWC262183 MFX262183:MFY262183 MPT262183:MPU262183 MZP262183:MZQ262183 NJL262183:NJM262183 NTH262183:NTI262183 ODD262183:ODE262183 OMZ262183:ONA262183 OWV262183:OWW262183 PGR262183:PGS262183 PQN262183:PQO262183 QAJ262183:QAK262183 QKF262183:QKG262183 QUB262183:QUC262183 RDX262183:RDY262183 RNT262183:RNU262183 RXP262183:RXQ262183 SHL262183:SHM262183 SRH262183:SRI262183 TBD262183:TBE262183 TKZ262183:TLA262183 TUV262183:TUW262183 UER262183:UES262183 UON262183:UOO262183 UYJ262183:UYK262183 VIF262183:VIG262183 VSB262183:VSC262183 WBX262183:WBY262183 WLT262183:WLU262183 WVP262183:WVQ262183 JD327719:JE327719 SZ327719:TA327719 ACV327719:ACW327719 AMR327719:AMS327719 AWN327719:AWO327719 BGJ327719:BGK327719 BQF327719:BQG327719 CAB327719:CAC327719 CJX327719:CJY327719 CTT327719:CTU327719 DDP327719:DDQ327719 DNL327719:DNM327719 DXH327719:DXI327719 EHD327719:EHE327719 EQZ327719:ERA327719 FAV327719:FAW327719 FKR327719:FKS327719 FUN327719:FUO327719 GEJ327719:GEK327719 GOF327719:GOG327719 GYB327719:GYC327719 HHX327719:HHY327719 HRT327719:HRU327719 IBP327719:IBQ327719 ILL327719:ILM327719 IVH327719:IVI327719 JFD327719:JFE327719 JOZ327719:JPA327719 JYV327719:JYW327719 KIR327719:KIS327719 KSN327719:KSO327719 LCJ327719:LCK327719 LMF327719:LMG327719 LWB327719:LWC327719 MFX327719:MFY327719 MPT327719:MPU327719 MZP327719:MZQ327719 NJL327719:NJM327719 NTH327719:NTI327719 ODD327719:ODE327719 OMZ327719:ONA327719 OWV327719:OWW327719 PGR327719:PGS327719 PQN327719:PQO327719 QAJ327719:QAK327719 QKF327719:QKG327719 QUB327719:QUC327719 RDX327719:RDY327719 RNT327719:RNU327719 RXP327719:RXQ327719 SHL327719:SHM327719 SRH327719:SRI327719 TBD327719:TBE327719 TKZ327719:TLA327719 TUV327719:TUW327719 UER327719:UES327719 UON327719:UOO327719 UYJ327719:UYK327719 VIF327719:VIG327719 VSB327719:VSC327719 WBX327719:WBY327719 WLT327719:WLU327719 WVP327719:WVQ327719 JD393255:JE393255 SZ393255:TA393255 ACV393255:ACW393255 AMR393255:AMS393255 AWN393255:AWO393255 BGJ393255:BGK393255 BQF393255:BQG393255 CAB393255:CAC393255 CJX393255:CJY393255 CTT393255:CTU393255 DDP393255:DDQ393255 DNL393255:DNM393255 DXH393255:DXI393255 EHD393255:EHE393255 EQZ393255:ERA393255 FAV393255:FAW393255 FKR393255:FKS393255 FUN393255:FUO393255 GEJ393255:GEK393255 GOF393255:GOG393255 GYB393255:GYC393255 HHX393255:HHY393255 HRT393255:HRU393255 IBP393255:IBQ393255 ILL393255:ILM393255 IVH393255:IVI393255 JFD393255:JFE393255 JOZ393255:JPA393255 JYV393255:JYW393255 KIR393255:KIS393255 KSN393255:KSO393255 LCJ393255:LCK393255 LMF393255:LMG393255 LWB393255:LWC393255 MFX393255:MFY393255 MPT393255:MPU393255 MZP393255:MZQ393255 NJL393255:NJM393255 NTH393255:NTI393255 ODD393255:ODE393255 OMZ393255:ONA393255 OWV393255:OWW393255 PGR393255:PGS393255 PQN393255:PQO393255 QAJ393255:QAK393255 QKF393255:QKG393255 QUB393255:QUC393255 RDX393255:RDY393255 RNT393255:RNU393255 RXP393255:RXQ393255 SHL393255:SHM393255 SRH393255:SRI393255 TBD393255:TBE393255 TKZ393255:TLA393255 TUV393255:TUW393255 UER393255:UES393255 UON393255:UOO393255 UYJ393255:UYK393255 VIF393255:VIG393255 VSB393255:VSC393255 WBX393255:WBY393255 WLT393255:WLU393255 WVP393255:WVQ393255 JD458791:JE458791 SZ458791:TA458791 ACV458791:ACW458791 AMR458791:AMS458791 AWN458791:AWO458791 BGJ458791:BGK458791 BQF458791:BQG458791 CAB458791:CAC458791 CJX458791:CJY458791 CTT458791:CTU458791 DDP458791:DDQ458791 DNL458791:DNM458791 DXH458791:DXI458791 EHD458791:EHE458791 EQZ458791:ERA458791 FAV458791:FAW458791 FKR458791:FKS458791 FUN458791:FUO458791 GEJ458791:GEK458791 GOF458791:GOG458791 GYB458791:GYC458791 HHX458791:HHY458791 HRT458791:HRU458791 IBP458791:IBQ458791 ILL458791:ILM458791 IVH458791:IVI458791 JFD458791:JFE458791 JOZ458791:JPA458791 JYV458791:JYW458791 KIR458791:KIS458791 KSN458791:KSO458791 LCJ458791:LCK458791 LMF458791:LMG458791 LWB458791:LWC458791 MFX458791:MFY458791 MPT458791:MPU458791 MZP458791:MZQ458791 NJL458791:NJM458791 NTH458791:NTI458791 ODD458791:ODE458791 OMZ458791:ONA458791 OWV458791:OWW458791 PGR458791:PGS458791 PQN458791:PQO458791 QAJ458791:QAK458791 QKF458791:QKG458791 QUB458791:QUC458791 RDX458791:RDY458791 RNT458791:RNU458791 RXP458791:RXQ458791 SHL458791:SHM458791 SRH458791:SRI458791 TBD458791:TBE458791 TKZ458791:TLA458791 TUV458791:TUW458791 UER458791:UES458791 UON458791:UOO458791 UYJ458791:UYK458791 VIF458791:VIG458791 VSB458791:VSC458791 WBX458791:WBY458791 WLT458791:WLU458791 WVP458791:WVQ458791 JD524327:JE524327 SZ524327:TA524327 ACV524327:ACW524327 AMR524327:AMS524327 AWN524327:AWO524327 BGJ524327:BGK524327 BQF524327:BQG524327 CAB524327:CAC524327 CJX524327:CJY524327 CTT524327:CTU524327 DDP524327:DDQ524327 DNL524327:DNM524327 DXH524327:DXI524327 EHD524327:EHE524327 EQZ524327:ERA524327 FAV524327:FAW524327 FKR524327:FKS524327 FUN524327:FUO524327 GEJ524327:GEK524327 GOF524327:GOG524327 GYB524327:GYC524327 HHX524327:HHY524327 HRT524327:HRU524327 IBP524327:IBQ524327 ILL524327:ILM524327 IVH524327:IVI524327 JFD524327:JFE524327 JOZ524327:JPA524327 JYV524327:JYW524327 KIR524327:KIS524327 KSN524327:KSO524327 LCJ524327:LCK524327 LMF524327:LMG524327 LWB524327:LWC524327 MFX524327:MFY524327 MPT524327:MPU524327 MZP524327:MZQ524327 NJL524327:NJM524327 NTH524327:NTI524327 ODD524327:ODE524327 OMZ524327:ONA524327 OWV524327:OWW524327 PGR524327:PGS524327 PQN524327:PQO524327 QAJ524327:QAK524327 QKF524327:QKG524327 QUB524327:QUC524327 RDX524327:RDY524327 RNT524327:RNU524327 RXP524327:RXQ524327 SHL524327:SHM524327 SRH524327:SRI524327 TBD524327:TBE524327 TKZ524327:TLA524327 TUV524327:TUW524327 UER524327:UES524327 UON524327:UOO524327 UYJ524327:UYK524327 VIF524327:VIG524327 VSB524327:VSC524327 WBX524327:WBY524327 WLT524327:WLU524327 WVP524327:WVQ524327 JD589863:JE589863 SZ589863:TA589863 ACV589863:ACW589863 AMR589863:AMS589863 AWN589863:AWO589863 BGJ589863:BGK589863 BQF589863:BQG589863 CAB589863:CAC589863 CJX589863:CJY589863 CTT589863:CTU589863 DDP589863:DDQ589863 DNL589863:DNM589863 DXH589863:DXI589863 EHD589863:EHE589863 EQZ589863:ERA589863 FAV589863:FAW589863 FKR589863:FKS589863 FUN589863:FUO589863 GEJ589863:GEK589863 GOF589863:GOG589863 GYB589863:GYC589863 HHX589863:HHY589863 HRT589863:HRU589863 IBP589863:IBQ589863 ILL589863:ILM589863 IVH589863:IVI589863 JFD589863:JFE589863 JOZ589863:JPA589863 JYV589863:JYW589863 KIR589863:KIS589863 KSN589863:KSO589863 LCJ589863:LCK589863 LMF589863:LMG589863 LWB589863:LWC589863 MFX589863:MFY589863 MPT589863:MPU589863 MZP589863:MZQ589863 NJL589863:NJM589863 NTH589863:NTI589863 ODD589863:ODE589863 OMZ589863:ONA589863 OWV589863:OWW589863 PGR589863:PGS589863 PQN589863:PQO589863 QAJ589863:QAK589863 QKF589863:QKG589863 QUB589863:QUC589863 RDX589863:RDY589863 RNT589863:RNU589863 RXP589863:RXQ589863 SHL589863:SHM589863 SRH589863:SRI589863 TBD589863:TBE589863 TKZ589863:TLA589863 TUV589863:TUW589863 UER589863:UES589863 UON589863:UOO589863 UYJ589863:UYK589863 VIF589863:VIG589863 VSB589863:VSC589863 WBX589863:WBY589863 WLT589863:WLU589863 WVP589863:WVQ589863 JD655399:JE655399 SZ655399:TA655399 ACV655399:ACW655399 AMR655399:AMS655399 AWN655399:AWO655399 BGJ655399:BGK655399 BQF655399:BQG655399 CAB655399:CAC655399 CJX655399:CJY655399 CTT655399:CTU655399 DDP655399:DDQ655399 DNL655399:DNM655399 DXH655399:DXI655399 EHD655399:EHE655399 EQZ655399:ERA655399 FAV655399:FAW655399 FKR655399:FKS655399 FUN655399:FUO655399 GEJ655399:GEK655399 GOF655399:GOG655399 GYB655399:GYC655399 HHX655399:HHY655399 HRT655399:HRU655399 IBP655399:IBQ655399 ILL655399:ILM655399 IVH655399:IVI655399 JFD655399:JFE655399 JOZ655399:JPA655399 JYV655399:JYW655399 KIR655399:KIS655399 KSN655399:KSO655399 LCJ655399:LCK655399 LMF655399:LMG655399 LWB655399:LWC655399 MFX655399:MFY655399 MPT655399:MPU655399 MZP655399:MZQ655399 NJL655399:NJM655399 NTH655399:NTI655399 ODD655399:ODE655399 OMZ655399:ONA655399 OWV655399:OWW655399 PGR655399:PGS655399 PQN655399:PQO655399 QAJ655399:QAK655399 QKF655399:QKG655399 QUB655399:QUC655399 RDX655399:RDY655399 RNT655399:RNU655399 RXP655399:RXQ655399 SHL655399:SHM655399 SRH655399:SRI655399 TBD655399:TBE655399 TKZ655399:TLA655399 TUV655399:TUW655399 UER655399:UES655399 UON655399:UOO655399 UYJ655399:UYK655399 VIF655399:VIG655399 VSB655399:VSC655399 WBX655399:WBY655399 WLT655399:WLU655399 WVP655399:WVQ655399 JD720935:JE720935 SZ720935:TA720935 ACV720935:ACW720935 AMR720935:AMS720935 AWN720935:AWO720935 BGJ720935:BGK720935 BQF720935:BQG720935 CAB720935:CAC720935 CJX720935:CJY720935 CTT720935:CTU720935 DDP720935:DDQ720935 DNL720935:DNM720935 DXH720935:DXI720935 EHD720935:EHE720935 EQZ720935:ERA720935 FAV720935:FAW720935 FKR720935:FKS720935 FUN720935:FUO720935 GEJ720935:GEK720935 GOF720935:GOG720935 GYB720935:GYC720935 HHX720935:HHY720935 HRT720935:HRU720935 IBP720935:IBQ720935 ILL720935:ILM720935 IVH720935:IVI720935 JFD720935:JFE720935 JOZ720935:JPA720935 JYV720935:JYW720935 KIR720935:KIS720935 KSN720935:KSO720935 LCJ720935:LCK720935 LMF720935:LMG720935 LWB720935:LWC720935 MFX720935:MFY720935 MPT720935:MPU720935 MZP720935:MZQ720935 NJL720935:NJM720935 NTH720935:NTI720935 ODD720935:ODE720935 OMZ720935:ONA720935 OWV720935:OWW720935 PGR720935:PGS720935 PQN720935:PQO720935 QAJ720935:QAK720935 QKF720935:QKG720935 QUB720935:QUC720935 RDX720935:RDY720935 RNT720935:RNU720935 RXP720935:RXQ720935 SHL720935:SHM720935 SRH720935:SRI720935 TBD720935:TBE720935 TKZ720935:TLA720935 TUV720935:TUW720935 UER720935:UES720935 UON720935:UOO720935 UYJ720935:UYK720935 VIF720935:VIG720935 VSB720935:VSC720935 WBX720935:WBY720935 WLT720935:WLU720935 WVP720935:WVQ720935 JD786471:JE786471 SZ786471:TA786471 ACV786471:ACW786471 AMR786471:AMS786471 AWN786471:AWO786471 BGJ786471:BGK786471 BQF786471:BQG786471 CAB786471:CAC786471 CJX786471:CJY786471 CTT786471:CTU786471 DDP786471:DDQ786471 DNL786471:DNM786471 DXH786471:DXI786471 EHD786471:EHE786471 EQZ786471:ERA786471 FAV786471:FAW786471 FKR786471:FKS786471 FUN786471:FUO786471 GEJ786471:GEK786471 GOF786471:GOG786471 GYB786471:GYC786471 HHX786471:HHY786471 HRT786471:HRU786471 IBP786471:IBQ786471 ILL786471:ILM786471 IVH786471:IVI786471 JFD786471:JFE786471 JOZ786471:JPA786471 JYV786471:JYW786471 KIR786471:KIS786471 KSN786471:KSO786471 LCJ786471:LCK786471 LMF786471:LMG786471 LWB786471:LWC786471 MFX786471:MFY786471 MPT786471:MPU786471 MZP786471:MZQ786471 NJL786471:NJM786471 NTH786471:NTI786471 ODD786471:ODE786471 OMZ786471:ONA786471 OWV786471:OWW786471 PGR786471:PGS786471 PQN786471:PQO786471 QAJ786471:QAK786471 QKF786471:QKG786471 QUB786471:QUC786471 RDX786471:RDY786471 RNT786471:RNU786471 RXP786471:RXQ786471 SHL786471:SHM786471 SRH786471:SRI786471 TBD786471:TBE786471 TKZ786471:TLA786471 TUV786471:TUW786471 UER786471:UES786471 UON786471:UOO786471 UYJ786471:UYK786471 VIF786471:VIG786471 VSB786471:VSC786471 WBX786471:WBY786471 WLT786471:WLU786471 WVP786471:WVQ786471 JD852007:JE852007 SZ852007:TA852007 ACV852007:ACW852007 AMR852007:AMS852007 AWN852007:AWO852007 BGJ852007:BGK852007 BQF852007:BQG852007 CAB852007:CAC852007 CJX852007:CJY852007 CTT852007:CTU852007 DDP852007:DDQ852007 DNL852007:DNM852007 DXH852007:DXI852007 EHD852007:EHE852007 EQZ852007:ERA852007 FAV852007:FAW852007 FKR852007:FKS852007 FUN852007:FUO852007 GEJ852007:GEK852007 GOF852007:GOG852007 GYB852007:GYC852007 HHX852007:HHY852007 HRT852007:HRU852007 IBP852007:IBQ852007 ILL852007:ILM852007 IVH852007:IVI852007 JFD852007:JFE852007 JOZ852007:JPA852007 JYV852007:JYW852007 KIR852007:KIS852007 KSN852007:KSO852007 LCJ852007:LCK852007 LMF852007:LMG852007 LWB852007:LWC852007 MFX852007:MFY852007 MPT852007:MPU852007 MZP852007:MZQ852007 NJL852007:NJM852007 NTH852007:NTI852007 ODD852007:ODE852007 OMZ852007:ONA852007 OWV852007:OWW852007 PGR852007:PGS852007 PQN852007:PQO852007 QAJ852007:QAK852007 QKF852007:QKG852007 QUB852007:QUC852007 RDX852007:RDY852007 RNT852007:RNU852007 RXP852007:RXQ852007 SHL852007:SHM852007 SRH852007:SRI852007 TBD852007:TBE852007 TKZ852007:TLA852007 TUV852007:TUW852007 UER852007:UES852007 UON852007:UOO852007 UYJ852007:UYK852007 VIF852007:VIG852007 VSB852007:VSC852007 WBX852007:WBY852007 WLT852007:WLU852007 WVP852007:WVQ852007 JD917543:JE917543 SZ917543:TA917543 ACV917543:ACW917543 AMR917543:AMS917543 AWN917543:AWO917543 BGJ917543:BGK917543 BQF917543:BQG917543 CAB917543:CAC917543 CJX917543:CJY917543 CTT917543:CTU917543 DDP917543:DDQ917543 DNL917543:DNM917543 DXH917543:DXI917543 EHD917543:EHE917543 EQZ917543:ERA917543 FAV917543:FAW917543 FKR917543:FKS917543 FUN917543:FUO917543 GEJ917543:GEK917543 GOF917543:GOG917543 GYB917543:GYC917543 HHX917543:HHY917543 HRT917543:HRU917543 IBP917543:IBQ917543 ILL917543:ILM917543 IVH917543:IVI917543 JFD917543:JFE917543 JOZ917543:JPA917543 JYV917543:JYW917543 KIR917543:KIS917543 KSN917543:KSO917543 LCJ917543:LCK917543 LMF917543:LMG917543 LWB917543:LWC917543 MFX917543:MFY917543 MPT917543:MPU917543 MZP917543:MZQ917543 NJL917543:NJM917543 NTH917543:NTI917543 ODD917543:ODE917543 OMZ917543:ONA917543 OWV917543:OWW917543 PGR917543:PGS917543 PQN917543:PQO917543 QAJ917543:QAK917543 QKF917543:QKG917543 QUB917543:QUC917543 RDX917543:RDY917543 RNT917543:RNU917543 RXP917543:RXQ917543 SHL917543:SHM917543 SRH917543:SRI917543 TBD917543:TBE917543 TKZ917543:TLA917543 TUV917543:TUW917543 UER917543:UES917543 UON917543:UOO917543 UYJ917543:UYK917543 VIF917543:VIG917543 VSB917543:VSC917543 WBX917543:WBY917543 WLT917543:WLU917543 WVP917543:WVQ917543 JD983079:JE983079 SZ983079:TA983079 ACV983079:ACW983079 AMR983079:AMS983079 AWN983079:AWO983079 BGJ983079:BGK983079 BQF983079:BQG983079 CAB983079:CAC983079 CJX983079:CJY983079 CTT983079:CTU983079 DDP983079:DDQ983079 DNL983079:DNM983079 DXH983079:DXI983079 EHD983079:EHE983079 EQZ983079:ERA983079 FAV983079:FAW983079 FKR983079:FKS983079 FUN983079:FUO983079 GEJ983079:GEK983079 GOF983079:GOG983079 GYB983079:GYC983079 HHX983079:HHY983079 HRT983079:HRU983079 IBP983079:IBQ983079 ILL983079:ILM983079 IVH983079:IVI983079 JFD983079:JFE983079 JOZ983079:JPA983079 JYV983079:JYW983079 KIR983079:KIS983079 KSN983079:KSO983079 LCJ983079:LCK983079 LMF983079:LMG983079 LWB983079:LWC983079 MFX983079:MFY983079 MPT983079:MPU983079 MZP983079:MZQ983079 NJL983079:NJM983079 NTH983079:NTI983079 ODD983079:ODE983079 OMZ983079:ONA983079 OWV983079:OWW983079 PGR983079:PGS983079 PQN983079:PQO983079 QAJ983079:QAK983079 QKF983079:QKG983079 QUB983079:QUC983079 RDX983079:RDY983079 RNT983079:RNU983079 RXP983079:RXQ983079 SHL983079:SHM983079 SRH983079:SRI983079 TBD983079:TBE983079 TKZ983079:TLA983079 TUV983079:TUW983079 UER983079:UES983079 UON983079:UOO983079 UYJ983079:UYK983079 VIF983079:VIG983079 VSB983079:VSC983079 WBX983079:WBY983079 WLT983079:WLU983079 WVP983079:WVQ983079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JE65576 TA65576 ACW65576 AMS65576 AWO65576 BGK65576 BQG65576 CAC65576 CJY65576 CTU65576 DDQ65576 DNM65576 DXI65576 EHE65576 ERA65576 FAW65576 FKS65576 FUO65576 GEK65576 GOG65576 GYC65576 HHY65576 HRU65576 IBQ65576 ILM65576 IVI65576 JFE65576 JPA65576 JYW65576 KIS65576 KSO65576 LCK65576 LMG65576 LWC65576 MFY65576 MPU65576 MZQ65576 NJM65576 NTI65576 ODE65576 ONA65576 OWW65576 PGS65576 PQO65576 QAK65576 QKG65576 QUC65576 RDY65576 RNU65576 RXQ65576 SHM65576 SRI65576 TBE65576 TLA65576 TUW65576 UES65576 UOO65576 UYK65576 VIG65576 VSC65576 WBY65576 WLU65576 WVQ65576 JE131112 TA131112 ACW131112 AMS131112 AWO131112 BGK131112 BQG131112 CAC131112 CJY131112 CTU131112 DDQ131112 DNM131112 DXI131112 EHE131112 ERA131112 FAW131112 FKS131112 FUO131112 GEK131112 GOG131112 GYC131112 HHY131112 HRU131112 IBQ131112 ILM131112 IVI131112 JFE131112 JPA131112 JYW131112 KIS131112 KSO131112 LCK131112 LMG131112 LWC131112 MFY131112 MPU131112 MZQ131112 NJM131112 NTI131112 ODE131112 ONA131112 OWW131112 PGS131112 PQO131112 QAK131112 QKG131112 QUC131112 RDY131112 RNU131112 RXQ131112 SHM131112 SRI131112 TBE131112 TLA131112 TUW131112 UES131112 UOO131112 UYK131112 VIG131112 VSC131112 WBY131112 WLU131112 WVQ131112 JE196648 TA196648 ACW196648 AMS196648 AWO196648 BGK196648 BQG196648 CAC196648 CJY196648 CTU196648 DDQ196648 DNM196648 DXI196648 EHE196648 ERA196648 FAW196648 FKS196648 FUO196648 GEK196648 GOG196648 GYC196648 HHY196648 HRU196648 IBQ196648 ILM196648 IVI196648 JFE196648 JPA196648 JYW196648 KIS196648 KSO196648 LCK196648 LMG196648 LWC196648 MFY196648 MPU196648 MZQ196648 NJM196648 NTI196648 ODE196648 ONA196648 OWW196648 PGS196648 PQO196648 QAK196648 QKG196648 QUC196648 RDY196648 RNU196648 RXQ196648 SHM196648 SRI196648 TBE196648 TLA196648 TUW196648 UES196648 UOO196648 UYK196648 VIG196648 VSC196648 WBY196648 WLU196648 WVQ196648 JE262184 TA262184 ACW262184 AMS262184 AWO262184 BGK262184 BQG262184 CAC262184 CJY262184 CTU262184 DDQ262184 DNM262184 DXI262184 EHE262184 ERA262184 FAW262184 FKS262184 FUO262184 GEK262184 GOG262184 GYC262184 HHY262184 HRU262184 IBQ262184 ILM262184 IVI262184 JFE262184 JPA262184 JYW262184 KIS262184 KSO262184 LCK262184 LMG262184 LWC262184 MFY262184 MPU262184 MZQ262184 NJM262184 NTI262184 ODE262184 ONA262184 OWW262184 PGS262184 PQO262184 QAK262184 QKG262184 QUC262184 RDY262184 RNU262184 RXQ262184 SHM262184 SRI262184 TBE262184 TLA262184 TUW262184 UES262184 UOO262184 UYK262184 VIG262184 VSC262184 WBY262184 WLU262184 WVQ262184 JE327720 TA327720 ACW327720 AMS327720 AWO327720 BGK327720 BQG327720 CAC327720 CJY327720 CTU327720 DDQ327720 DNM327720 DXI327720 EHE327720 ERA327720 FAW327720 FKS327720 FUO327720 GEK327720 GOG327720 GYC327720 HHY327720 HRU327720 IBQ327720 ILM327720 IVI327720 JFE327720 JPA327720 JYW327720 KIS327720 KSO327720 LCK327720 LMG327720 LWC327720 MFY327720 MPU327720 MZQ327720 NJM327720 NTI327720 ODE327720 ONA327720 OWW327720 PGS327720 PQO327720 QAK327720 QKG327720 QUC327720 RDY327720 RNU327720 RXQ327720 SHM327720 SRI327720 TBE327720 TLA327720 TUW327720 UES327720 UOO327720 UYK327720 VIG327720 VSC327720 WBY327720 WLU327720 WVQ327720 JE393256 TA393256 ACW393256 AMS393256 AWO393256 BGK393256 BQG393256 CAC393256 CJY393256 CTU393256 DDQ393256 DNM393256 DXI393256 EHE393256 ERA393256 FAW393256 FKS393256 FUO393256 GEK393256 GOG393256 GYC393256 HHY393256 HRU393256 IBQ393256 ILM393256 IVI393256 JFE393256 JPA393256 JYW393256 KIS393256 KSO393256 LCK393256 LMG393256 LWC393256 MFY393256 MPU393256 MZQ393256 NJM393256 NTI393256 ODE393256 ONA393256 OWW393256 PGS393256 PQO393256 QAK393256 QKG393256 QUC393256 RDY393256 RNU393256 RXQ393256 SHM393256 SRI393256 TBE393256 TLA393256 TUW393256 UES393256 UOO393256 UYK393256 VIG393256 VSC393256 WBY393256 WLU393256 WVQ393256 JE458792 TA458792 ACW458792 AMS458792 AWO458792 BGK458792 BQG458792 CAC458792 CJY458792 CTU458792 DDQ458792 DNM458792 DXI458792 EHE458792 ERA458792 FAW458792 FKS458792 FUO458792 GEK458792 GOG458792 GYC458792 HHY458792 HRU458792 IBQ458792 ILM458792 IVI458792 JFE458792 JPA458792 JYW458792 KIS458792 KSO458792 LCK458792 LMG458792 LWC458792 MFY458792 MPU458792 MZQ458792 NJM458792 NTI458792 ODE458792 ONA458792 OWW458792 PGS458792 PQO458792 QAK458792 QKG458792 QUC458792 RDY458792 RNU458792 RXQ458792 SHM458792 SRI458792 TBE458792 TLA458792 TUW458792 UES458792 UOO458792 UYK458792 VIG458792 VSC458792 WBY458792 WLU458792 WVQ458792 JE524328 TA524328 ACW524328 AMS524328 AWO524328 BGK524328 BQG524328 CAC524328 CJY524328 CTU524328 DDQ524328 DNM524328 DXI524328 EHE524328 ERA524328 FAW524328 FKS524328 FUO524328 GEK524328 GOG524328 GYC524328 HHY524328 HRU524328 IBQ524328 ILM524328 IVI524328 JFE524328 JPA524328 JYW524328 KIS524328 KSO524328 LCK524328 LMG524328 LWC524328 MFY524328 MPU524328 MZQ524328 NJM524328 NTI524328 ODE524328 ONA524328 OWW524328 PGS524328 PQO524328 QAK524328 QKG524328 QUC524328 RDY524328 RNU524328 RXQ524328 SHM524328 SRI524328 TBE524328 TLA524328 TUW524328 UES524328 UOO524328 UYK524328 VIG524328 VSC524328 WBY524328 WLU524328 WVQ524328 JE589864 TA589864 ACW589864 AMS589864 AWO589864 BGK589864 BQG589864 CAC589864 CJY589864 CTU589864 DDQ589864 DNM589864 DXI589864 EHE589864 ERA589864 FAW589864 FKS589864 FUO589864 GEK589864 GOG589864 GYC589864 HHY589864 HRU589864 IBQ589864 ILM589864 IVI589864 JFE589864 JPA589864 JYW589864 KIS589864 KSO589864 LCK589864 LMG589864 LWC589864 MFY589864 MPU589864 MZQ589864 NJM589864 NTI589864 ODE589864 ONA589864 OWW589864 PGS589864 PQO589864 QAK589864 QKG589864 QUC589864 RDY589864 RNU589864 RXQ589864 SHM589864 SRI589864 TBE589864 TLA589864 TUW589864 UES589864 UOO589864 UYK589864 VIG589864 VSC589864 WBY589864 WLU589864 WVQ589864 JE655400 TA655400 ACW655400 AMS655400 AWO655400 BGK655400 BQG655400 CAC655400 CJY655400 CTU655400 DDQ655400 DNM655400 DXI655400 EHE655400 ERA655400 FAW655400 FKS655400 FUO655400 GEK655400 GOG655400 GYC655400 HHY655400 HRU655400 IBQ655400 ILM655400 IVI655400 JFE655400 JPA655400 JYW655400 KIS655400 KSO655400 LCK655400 LMG655400 LWC655400 MFY655400 MPU655400 MZQ655400 NJM655400 NTI655400 ODE655400 ONA655400 OWW655400 PGS655400 PQO655400 QAK655400 QKG655400 QUC655400 RDY655400 RNU655400 RXQ655400 SHM655400 SRI655400 TBE655400 TLA655400 TUW655400 UES655400 UOO655400 UYK655400 VIG655400 VSC655400 WBY655400 WLU655400 WVQ655400 JE720936 TA720936 ACW720936 AMS720936 AWO720936 BGK720936 BQG720936 CAC720936 CJY720936 CTU720936 DDQ720936 DNM720936 DXI720936 EHE720936 ERA720936 FAW720936 FKS720936 FUO720936 GEK720936 GOG720936 GYC720936 HHY720936 HRU720936 IBQ720936 ILM720936 IVI720936 JFE720936 JPA720936 JYW720936 KIS720936 KSO720936 LCK720936 LMG720936 LWC720936 MFY720936 MPU720936 MZQ720936 NJM720936 NTI720936 ODE720936 ONA720936 OWW720936 PGS720936 PQO720936 QAK720936 QKG720936 QUC720936 RDY720936 RNU720936 RXQ720936 SHM720936 SRI720936 TBE720936 TLA720936 TUW720936 UES720936 UOO720936 UYK720936 VIG720936 VSC720936 WBY720936 WLU720936 WVQ720936 JE786472 TA786472 ACW786472 AMS786472 AWO786472 BGK786472 BQG786472 CAC786472 CJY786472 CTU786472 DDQ786472 DNM786472 DXI786472 EHE786472 ERA786472 FAW786472 FKS786472 FUO786472 GEK786472 GOG786472 GYC786472 HHY786472 HRU786472 IBQ786472 ILM786472 IVI786472 JFE786472 JPA786472 JYW786472 KIS786472 KSO786472 LCK786472 LMG786472 LWC786472 MFY786472 MPU786472 MZQ786472 NJM786472 NTI786472 ODE786472 ONA786472 OWW786472 PGS786472 PQO786472 QAK786472 QKG786472 QUC786472 RDY786472 RNU786472 RXQ786472 SHM786472 SRI786472 TBE786472 TLA786472 TUW786472 UES786472 UOO786472 UYK786472 VIG786472 VSC786472 WBY786472 WLU786472 WVQ786472 JE852008 TA852008 ACW852008 AMS852008 AWO852008 BGK852008 BQG852008 CAC852008 CJY852008 CTU852008 DDQ852008 DNM852008 DXI852008 EHE852008 ERA852008 FAW852008 FKS852008 FUO852008 GEK852008 GOG852008 GYC852008 HHY852008 HRU852008 IBQ852008 ILM852008 IVI852008 JFE852008 JPA852008 JYW852008 KIS852008 KSO852008 LCK852008 LMG852008 LWC852008 MFY852008 MPU852008 MZQ852008 NJM852008 NTI852008 ODE852008 ONA852008 OWW852008 PGS852008 PQO852008 QAK852008 QKG852008 QUC852008 RDY852008 RNU852008 RXQ852008 SHM852008 SRI852008 TBE852008 TLA852008 TUW852008 UES852008 UOO852008 UYK852008 VIG852008 VSC852008 WBY852008 WLU852008 WVQ852008 JE917544 TA917544 ACW917544 AMS917544 AWO917544 BGK917544 BQG917544 CAC917544 CJY917544 CTU917544 DDQ917544 DNM917544 DXI917544 EHE917544 ERA917544 FAW917544 FKS917544 FUO917544 GEK917544 GOG917544 GYC917544 HHY917544 HRU917544 IBQ917544 ILM917544 IVI917544 JFE917544 JPA917544 JYW917544 KIS917544 KSO917544 LCK917544 LMG917544 LWC917544 MFY917544 MPU917544 MZQ917544 NJM917544 NTI917544 ODE917544 ONA917544 OWW917544 PGS917544 PQO917544 QAK917544 QKG917544 QUC917544 RDY917544 RNU917544 RXQ917544 SHM917544 SRI917544 TBE917544 TLA917544 TUW917544 UES917544 UOO917544 UYK917544 VIG917544 VSC917544 WBY917544 WLU917544 WVQ917544 JE983080 TA983080 ACW983080 AMS983080 AWO983080 BGK983080 BQG983080 CAC983080 CJY983080 CTU983080 DDQ983080 DNM983080 DXI983080 EHE983080 ERA983080 FAW983080 FKS983080 FUO983080 GEK983080 GOG983080 GYC983080 HHY983080 HRU983080 IBQ983080 ILM983080 IVI983080 JFE983080 JPA983080 JYW983080 KIS983080 KSO983080 LCK983080 LMG983080 LWC983080 MFY983080 MPU983080 MZQ983080 NJM983080 NTI983080 ODE983080 ONA983080 OWW983080 PGS983080 PQO983080 QAK983080 QKG983080 QUC983080 RDY983080 RNU983080 RXQ983080 SHM983080 SRI983080 TBE983080 TLA983080 TUW983080 UES983080 UOO983080 UYK983080 VIG983080 VSC983080 WBY983080 WLU983080 WVQ983080 I983077 I917541 I852005 I786469 I720933 I655397 I589861 I524325 I458789 I393253 I327717 I262181 I196645 I131109 I65573 I37:I38 H983076:I983076 H917540:I917540 H852004:I852004 H786468:I786468 H720932:I720932 H655396:I655396 H589860:I589860 H524324:I524324 H458788:I458788 H393252:I393252 H327716:I327716 H262180:I262180 H196644:I196644 H131108:I131108 H65572:I65572">
      <formula1>$N$57:$N$60</formula1>
    </dataValidation>
  </dataValidations>
  <hyperlinks>
    <hyperlink ref="A1" location="'T&amp;V TOC'!A1" display="TOC"/>
  </hyperlinks>
  <pageMargins left="0.25" right="0.25" top="0.75" bottom="0.75" header="0.3" footer="0.3"/>
  <pageSetup scale="47" orientation="portrait" r:id="rId1"/>
  <headerFooter alignWithMargins="0"/>
  <rowBreaks count="1" manualBreakCount="1">
    <brk id="39" min="1" max="10" man="1"/>
  </rowBreaks>
  <legacyDrawingHF r:id="rId2"/>
</worksheet>
</file>

<file path=xl/worksheets/sheet35.xml><?xml version="1.0" encoding="utf-8"?>
<worksheet xmlns="http://schemas.openxmlformats.org/spreadsheetml/2006/main" xmlns:r="http://schemas.openxmlformats.org/officeDocument/2006/relationships">
  <sheetPr>
    <tabColor theme="3" tint="0.59999389629810485"/>
  </sheetPr>
  <dimension ref="A1:BJ105"/>
  <sheetViews>
    <sheetView showGridLines="0" view="pageBreakPreview" zoomScaleNormal="100" zoomScaleSheetLayoutView="100" workbookViewId="0"/>
  </sheetViews>
  <sheetFormatPr defaultRowHeight="12"/>
  <cols>
    <col min="1" max="1" width="5.28515625" style="1119" customWidth="1"/>
    <col min="2" max="2" width="20" style="1119" customWidth="1"/>
    <col min="3" max="11" width="13.85546875" style="1119" customWidth="1"/>
    <col min="12" max="12" width="5.5703125" style="1119" customWidth="1"/>
    <col min="13" max="13" width="8.5703125" style="1119" customWidth="1"/>
    <col min="14" max="15" width="13.85546875" style="1119" customWidth="1"/>
    <col min="16" max="18" width="9.140625" style="1119"/>
    <col min="19" max="19" width="9.140625" style="1119" customWidth="1"/>
    <col min="20" max="20" width="0" style="1119" hidden="1" customWidth="1"/>
    <col min="21" max="255" width="9.140625" style="1119"/>
    <col min="256" max="256" width="13.42578125" style="1119" customWidth="1"/>
    <col min="257" max="257" width="20" style="1119" customWidth="1"/>
    <col min="258" max="271" width="14.140625" style="1119" customWidth="1"/>
    <col min="272" max="274" width="9.140625" style="1119"/>
    <col min="275" max="275" width="9.140625" style="1119" customWidth="1"/>
    <col min="276" max="276" width="0" style="1119" hidden="1" customWidth="1"/>
    <col min="277" max="511" width="9.140625" style="1119"/>
    <col min="512" max="512" width="13.42578125" style="1119" customWidth="1"/>
    <col min="513" max="513" width="20" style="1119" customWidth="1"/>
    <col min="514" max="527" width="14.140625" style="1119" customWidth="1"/>
    <col min="528" max="530" width="9.140625" style="1119"/>
    <col min="531" max="531" width="9.140625" style="1119" customWidth="1"/>
    <col min="532" max="532" width="0" style="1119" hidden="1" customWidth="1"/>
    <col min="533" max="767" width="9.140625" style="1119"/>
    <col min="768" max="768" width="13.42578125" style="1119" customWidth="1"/>
    <col min="769" max="769" width="20" style="1119" customWidth="1"/>
    <col min="770" max="783" width="14.140625" style="1119" customWidth="1"/>
    <col min="784" max="786" width="9.140625" style="1119"/>
    <col min="787" max="787" width="9.140625" style="1119" customWidth="1"/>
    <col min="788" max="788" width="0" style="1119" hidden="1" customWidth="1"/>
    <col min="789" max="1023" width="9.140625" style="1119"/>
    <col min="1024" max="1024" width="13.42578125" style="1119" customWidth="1"/>
    <col min="1025" max="1025" width="20" style="1119" customWidth="1"/>
    <col min="1026" max="1039" width="14.140625" style="1119" customWidth="1"/>
    <col min="1040" max="1042" width="9.140625" style="1119"/>
    <col min="1043" max="1043" width="9.140625" style="1119" customWidth="1"/>
    <col min="1044" max="1044" width="0" style="1119" hidden="1" customWidth="1"/>
    <col min="1045" max="1279" width="9.140625" style="1119"/>
    <col min="1280" max="1280" width="13.42578125" style="1119" customWidth="1"/>
    <col min="1281" max="1281" width="20" style="1119" customWidth="1"/>
    <col min="1282" max="1295" width="14.140625" style="1119" customWidth="1"/>
    <col min="1296" max="1298" width="9.140625" style="1119"/>
    <col min="1299" max="1299" width="9.140625" style="1119" customWidth="1"/>
    <col min="1300" max="1300" width="0" style="1119" hidden="1" customWidth="1"/>
    <col min="1301" max="1535" width="9.140625" style="1119"/>
    <col min="1536" max="1536" width="13.42578125" style="1119" customWidth="1"/>
    <col min="1537" max="1537" width="20" style="1119" customWidth="1"/>
    <col min="1538" max="1551" width="14.140625" style="1119" customWidth="1"/>
    <col min="1552" max="1554" width="9.140625" style="1119"/>
    <col min="1555" max="1555" width="9.140625" style="1119" customWidth="1"/>
    <col min="1556" max="1556" width="0" style="1119" hidden="1" customWidth="1"/>
    <col min="1557" max="1791" width="9.140625" style="1119"/>
    <col min="1792" max="1792" width="13.42578125" style="1119" customWidth="1"/>
    <col min="1793" max="1793" width="20" style="1119" customWidth="1"/>
    <col min="1794" max="1807" width="14.140625" style="1119" customWidth="1"/>
    <col min="1808" max="1810" width="9.140625" style="1119"/>
    <col min="1811" max="1811" width="9.140625" style="1119" customWidth="1"/>
    <col min="1812" max="1812" width="0" style="1119" hidden="1" customWidth="1"/>
    <col min="1813" max="2047" width="9.140625" style="1119"/>
    <col min="2048" max="2048" width="13.42578125" style="1119" customWidth="1"/>
    <col min="2049" max="2049" width="20" style="1119" customWidth="1"/>
    <col min="2050" max="2063" width="14.140625" style="1119" customWidth="1"/>
    <col min="2064" max="2066" width="9.140625" style="1119"/>
    <col min="2067" max="2067" width="9.140625" style="1119" customWidth="1"/>
    <col min="2068" max="2068" width="0" style="1119" hidden="1" customWidth="1"/>
    <col min="2069" max="2303" width="9.140625" style="1119"/>
    <col min="2304" max="2304" width="13.42578125" style="1119" customWidth="1"/>
    <col min="2305" max="2305" width="20" style="1119" customWidth="1"/>
    <col min="2306" max="2319" width="14.140625" style="1119" customWidth="1"/>
    <col min="2320" max="2322" width="9.140625" style="1119"/>
    <col min="2323" max="2323" width="9.140625" style="1119" customWidth="1"/>
    <col min="2324" max="2324" width="0" style="1119" hidden="1" customWidth="1"/>
    <col min="2325" max="2559" width="9.140625" style="1119"/>
    <col min="2560" max="2560" width="13.42578125" style="1119" customWidth="1"/>
    <col min="2561" max="2561" width="20" style="1119" customWidth="1"/>
    <col min="2562" max="2575" width="14.140625" style="1119" customWidth="1"/>
    <col min="2576" max="2578" width="9.140625" style="1119"/>
    <col min="2579" max="2579" width="9.140625" style="1119" customWidth="1"/>
    <col min="2580" max="2580" width="0" style="1119" hidden="1" customWidth="1"/>
    <col min="2581" max="2815" width="9.140625" style="1119"/>
    <col min="2816" max="2816" width="13.42578125" style="1119" customWidth="1"/>
    <col min="2817" max="2817" width="20" style="1119" customWidth="1"/>
    <col min="2818" max="2831" width="14.140625" style="1119" customWidth="1"/>
    <col min="2832" max="2834" width="9.140625" style="1119"/>
    <col min="2835" max="2835" width="9.140625" style="1119" customWidth="1"/>
    <col min="2836" max="2836" width="0" style="1119" hidden="1" customWidth="1"/>
    <col min="2837" max="3071" width="9.140625" style="1119"/>
    <col min="3072" max="3072" width="13.42578125" style="1119" customWidth="1"/>
    <col min="3073" max="3073" width="20" style="1119" customWidth="1"/>
    <col min="3074" max="3087" width="14.140625" style="1119" customWidth="1"/>
    <col min="3088" max="3090" width="9.140625" style="1119"/>
    <col min="3091" max="3091" width="9.140625" style="1119" customWidth="1"/>
    <col min="3092" max="3092" width="0" style="1119" hidden="1" customWidth="1"/>
    <col min="3093" max="3327" width="9.140625" style="1119"/>
    <col min="3328" max="3328" width="13.42578125" style="1119" customWidth="1"/>
    <col min="3329" max="3329" width="20" style="1119" customWidth="1"/>
    <col min="3330" max="3343" width="14.140625" style="1119" customWidth="1"/>
    <col min="3344" max="3346" width="9.140625" style="1119"/>
    <col min="3347" max="3347" width="9.140625" style="1119" customWidth="1"/>
    <col min="3348" max="3348" width="0" style="1119" hidden="1" customWidth="1"/>
    <col min="3349" max="3583" width="9.140625" style="1119"/>
    <col min="3584" max="3584" width="13.42578125" style="1119" customWidth="1"/>
    <col min="3585" max="3585" width="20" style="1119" customWidth="1"/>
    <col min="3586" max="3599" width="14.140625" style="1119" customWidth="1"/>
    <col min="3600" max="3602" width="9.140625" style="1119"/>
    <col min="3603" max="3603" width="9.140625" style="1119" customWidth="1"/>
    <col min="3604" max="3604" width="0" style="1119" hidden="1" customWidth="1"/>
    <col min="3605" max="3839" width="9.140625" style="1119"/>
    <col min="3840" max="3840" width="13.42578125" style="1119" customWidth="1"/>
    <col min="3841" max="3841" width="20" style="1119" customWidth="1"/>
    <col min="3842" max="3855" width="14.140625" style="1119" customWidth="1"/>
    <col min="3856" max="3858" width="9.140625" style="1119"/>
    <col min="3859" max="3859" width="9.140625" style="1119" customWidth="1"/>
    <col min="3860" max="3860" width="0" style="1119" hidden="1" customWidth="1"/>
    <col min="3861" max="4095" width="9.140625" style="1119"/>
    <col min="4096" max="4096" width="13.42578125" style="1119" customWidth="1"/>
    <col min="4097" max="4097" width="20" style="1119" customWidth="1"/>
    <col min="4098" max="4111" width="14.140625" style="1119" customWidth="1"/>
    <col min="4112" max="4114" width="9.140625" style="1119"/>
    <col min="4115" max="4115" width="9.140625" style="1119" customWidth="1"/>
    <col min="4116" max="4116" width="0" style="1119" hidden="1" customWidth="1"/>
    <col min="4117" max="4351" width="9.140625" style="1119"/>
    <col min="4352" max="4352" width="13.42578125" style="1119" customWidth="1"/>
    <col min="4353" max="4353" width="20" style="1119" customWidth="1"/>
    <col min="4354" max="4367" width="14.140625" style="1119" customWidth="1"/>
    <col min="4368" max="4370" width="9.140625" style="1119"/>
    <col min="4371" max="4371" width="9.140625" style="1119" customWidth="1"/>
    <col min="4372" max="4372" width="0" style="1119" hidden="1" customWidth="1"/>
    <col min="4373" max="4607" width="9.140625" style="1119"/>
    <col min="4608" max="4608" width="13.42578125" style="1119" customWidth="1"/>
    <col min="4609" max="4609" width="20" style="1119" customWidth="1"/>
    <col min="4610" max="4623" width="14.140625" style="1119" customWidth="1"/>
    <col min="4624" max="4626" width="9.140625" style="1119"/>
    <col min="4627" max="4627" width="9.140625" style="1119" customWidth="1"/>
    <col min="4628" max="4628" width="0" style="1119" hidden="1" customWidth="1"/>
    <col min="4629" max="4863" width="9.140625" style="1119"/>
    <col min="4864" max="4864" width="13.42578125" style="1119" customWidth="1"/>
    <col min="4865" max="4865" width="20" style="1119" customWidth="1"/>
    <col min="4866" max="4879" width="14.140625" style="1119" customWidth="1"/>
    <col min="4880" max="4882" width="9.140625" style="1119"/>
    <col min="4883" max="4883" width="9.140625" style="1119" customWidth="1"/>
    <col min="4884" max="4884" width="0" style="1119" hidden="1" customWidth="1"/>
    <col min="4885" max="5119" width="9.140625" style="1119"/>
    <col min="5120" max="5120" width="13.42578125" style="1119" customWidth="1"/>
    <col min="5121" max="5121" width="20" style="1119" customWidth="1"/>
    <col min="5122" max="5135" width="14.140625" style="1119" customWidth="1"/>
    <col min="5136" max="5138" width="9.140625" style="1119"/>
    <col min="5139" max="5139" width="9.140625" style="1119" customWidth="1"/>
    <col min="5140" max="5140" width="0" style="1119" hidden="1" customWidth="1"/>
    <col min="5141" max="5375" width="9.140625" style="1119"/>
    <col min="5376" max="5376" width="13.42578125" style="1119" customWidth="1"/>
    <col min="5377" max="5377" width="20" style="1119" customWidth="1"/>
    <col min="5378" max="5391" width="14.140625" style="1119" customWidth="1"/>
    <col min="5392" max="5394" width="9.140625" style="1119"/>
    <col min="5395" max="5395" width="9.140625" style="1119" customWidth="1"/>
    <col min="5396" max="5396" width="0" style="1119" hidden="1" customWidth="1"/>
    <col min="5397" max="5631" width="9.140625" style="1119"/>
    <col min="5632" max="5632" width="13.42578125" style="1119" customWidth="1"/>
    <col min="5633" max="5633" width="20" style="1119" customWidth="1"/>
    <col min="5634" max="5647" width="14.140625" style="1119" customWidth="1"/>
    <col min="5648" max="5650" width="9.140625" style="1119"/>
    <col min="5651" max="5651" width="9.140625" style="1119" customWidth="1"/>
    <col min="5652" max="5652" width="0" style="1119" hidden="1" customWidth="1"/>
    <col min="5653" max="5887" width="9.140625" style="1119"/>
    <col min="5888" max="5888" width="13.42578125" style="1119" customWidth="1"/>
    <col min="5889" max="5889" width="20" style="1119" customWidth="1"/>
    <col min="5890" max="5903" width="14.140625" style="1119" customWidth="1"/>
    <col min="5904" max="5906" width="9.140625" style="1119"/>
    <col min="5907" max="5907" width="9.140625" style="1119" customWidth="1"/>
    <col min="5908" max="5908" width="0" style="1119" hidden="1" customWidth="1"/>
    <col min="5909" max="6143" width="9.140625" style="1119"/>
    <col min="6144" max="6144" width="13.42578125" style="1119" customWidth="1"/>
    <col min="6145" max="6145" width="20" style="1119" customWidth="1"/>
    <col min="6146" max="6159" width="14.140625" style="1119" customWidth="1"/>
    <col min="6160" max="6162" width="9.140625" style="1119"/>
    <col min="6163" max="6163" width="9.140625" style="1119" customWidth="1"/>
    <col min="6164" max="6164" width="0" style="1119" hidden="1" customWidth="1"/>
    <col min="6165" max="6399" width="9.140625" style="1119"/>
    <col min="6400" max="6400" width="13.42578125" style="1119" customWidth="1"/>
    <col min="6401" max="6401" width="20" style="1119" customWidth="1"/>
    <col min="6402" max="6415" width="14.140625" style="1119" customWidth="1"/>
    <col min="6416" max="6418" width="9.140625" style="1119"/>
    <col min="6419" max="6419" width="9.140625" style="1119" customWidth="1"/>
    <col min="6420" max="6420" width="0" style="1119" hidden="1" customWidth="1"/>
    <col min="6421" max="6655" width="9.140625" style="1119"/>
    <col min="6656" max="6656" width="13.42578125" style="1119" customWidth="1"/>
    <col min="6657" max="6657" width="20" style="1119" customWidth="1"/>
    <col min="6658" max="6671" width="14.140625" style="1119" customWidth="1"/>
    <col min="6672" max="6674" width="9.140625" style="1119"/>
    <col min="6675" max="6675" width="9.140625" style="1119" customWidth="1"/>
    <col min="6676" max="6676" width="0" style="1119" hidden="1" customWidth="1"/>
    <col min="6677" max="6911" width="9.140625" style="1119"/>
    <col min="6912" max="6912" width="13.42578125" style="1119" customWidth="1"/>
    <col min="6913" max="6913" width="20" style="1119" customWidth="1"/>
    <col min="6914" max="6927" width="14.140625" style="1119" customWidth="1"/>
    <col min="6928" max="6930" width="9.140625" style="1119"/>
    <col min="6931" max="6931" width="9.140625" style="1119" customWidth="1"/>
    <col min="6932" max="6932" width="0" style="1119" hidden="1" customWidth="1"/>
    <col min="6933" max="7167" width="9.140625" style="1119"/>
    <col min="7168" max="7168" width="13.42578125" style="1119" customWidth="1"/>
    <col min="7169" max="7169" width="20" style="1119" customWidth="1"/>
    <col min="7170" max="7183" width="14.140625" style="1119" customWidth="1"/>
    <col min="7184" max="7186" width="9.140625" style="1119"/>
    <col min="7187" max="7187" width="9.140625" style="1119" customWidth="1"/>
    <col min="7188" max="7188" width="0" style="1119" hidden="1" customWidth="1"/>
    <col min="7189" max="7423" width="9.140625" style="1119"/>
    <col min="7424" max="7424" width="13.42578125" style="1119" customWidth="1"/>
    <col min="7425" max="7425" width="20" style="1119" customWidth="1"/>
    <col min="7426" max="7439" width="14.140625" style="1119" customWidth="1"/>
    <col min="7440" max="7442" width="9.140625" style="1119"/>
    <col min="7443" max="7443" width="9.140625" style="1119" customWidth="1"/>
    <col min="7444" max="7444" width="0" style="1119" hidden="1" customWidth="1"/>
    <col min="7445" max="7679" width="9.140625" style="1119"/>
    <col min="7680" max="7680" width="13.42578125" style="1119" customWidth="1"/>
    <col min="7681" max="7681" width="20" style="1119" customWidth="1"/>
    <col min="7682" max="7695" width="14.140625" style="1119" customWidth="1"/>
    <col min="7696" max="7698" width="9.140625" style="1119"/>
    <col min="7699" max="7699" width="9.140625" style="1119" customWidth="1"/>
    <col min="7700" max="7700" width="0" style="1119" hidden="1" customWidth="1"/>
    <col min="7701" max="7935" width="9.140625" style="1119"/>
    <col min="7936" max="7936" width="13.42578125" style="1119" customWidth="1"/>
    <col min="7937" max="7937" width="20" style="1119" customWidth="1"/>
    <col min="7938" max="7951" width="14.140625" style="1119" customWidth="1"/>
    <col min="7952" max="7954" width="9.140625" style="1119"/>
    <col min="7955" max="7955" width="9.140625" style="1119" customWidth="1"/>
    <col min="7956" max="7956" width="0" style="1119" hidden="1" customWidth="1"/>
    <col min="7957" max="8191" width="9.140625" style="1119"/>
    <col min="8192" max="8192" width="13.42578125" style="1119" customWidth="1"/>
    <col min="8193" max="8193" width="20" style="1119" customWidth="1"/>
    <col min="8194" max="8207" width="14.140625" style="1119" customWidth="1"/>
    <col min="8208" max="8210" width="9.140625" style="1119"/>
    <col min="8211" max="8211" width="9.140625" style="1119" customWidth="1"/>
    <col min="8212" max="8212" width="0" style="1119" hidden="1" customWidth="1"/>
    <col min="8213" max="8447" width="9.140625" style="1119"/>
    <col min="8448" max="8448" width="13.42578125" style="1119" customWidth="1"/>
    <col min="8449" max="8449" width="20" style="1119" customWidth="1"/>
    <col min="8450" max="8463" width="14.140625" style="1119" customWidth="1"/>
    <col min="8464" max="8466" width="9.140625" style="1119"/>
    <col min="8467" max="8467" width="9.140625" style="1119" customWidth="1"/>
    <col min="8468" max="8468" width="0" style="1119" hidden="1" customWidth="1"/>
    <col min="8469" max="8703" width="9.140625" style="1119"/>
    <col min="8704" max="8704" width="13.42578125" style="1119" customWidth="1"/>
    <col min="8705" max="8705" width="20" style="1119" customWidth="1"/>
    <col min="8706" max="8719" width="14.140625" style="1119" customWidth="1"/>
    <col min="8720" max="8722" width="9.140625" style="1119"/>
    <col min="8723" max="8723" width="9.140625" style="1119" customWidth="1"/>
    <col min="8724" max="8724" width="0" style="1119" hidden="1" customWidth="1"/>
    <col min="8725" max="8959" width="9.140625" style="1119"/>
    <col min="8960" max="8960" width="13.42578125" style="1119" customWidth="1"/>
    <col min="8961" max="8961" width="20" style="1119" customWidth="1"/>
    <col min="8962" max="8975" width="14.140625" style="1119" customWidth="1"/>
    <col min="8976" max="8978" width="9.140625" style="1119"/>
    <col min="8979" max="8979" width="9.140625" style="1119" customWidth="1"/>
    <col min="8980" max="8980" width="0" style="1119" hidden="1" customWidth="1"/>
    <col min="8981" max="9215" width="9.140625" style="1119"/>
    <col min="9216" max="9216" width="13.42578125" style="1119" customWidth="1"/>
    <col min="9217" max="9217" width="20" style="1119" customWidth="1"/>
    <col min="9218" max="9231" width="14.140625" style="1119" customWidth="1"/>
    <col min="9232" max="9234" width="9.140625" style="1119"/>
    <col min="9235" max="9235" width="9.140625" style="1119" customWidth="1"/>
    <col min="9236" max="9236" width="0" style="1119" hidden="1" customWidth="1"/>
    <col min="9237" max="9471" width="9.140625" style="1119"/>
    <col min="9472" max="9472" width="13.42578125" style="1119" customWidth="1"/>
    <col min="9473" max="9473" width="20" style="1119" customWidth="1"/>
    <col min="9474" max="9487" width="14.140625" style="1119" customWidth="1"/>
    <col min="9488" max="9490" width="9.140625" style="1119"/>
    <col min="9491" max="9491" width="9.140625" style="1119" customWidth="1"/>
    <col min="9492" max="9492" width="0" style="1119" hidden="1" customWidth="1"/>
    <col min="9493" max="9727" width="9.140625" style="1119"/>
    <col min="9728" max="9728" width="13.42578125" style="1119" customWidth="1"/>
    <col min="9729" max="9729" width="20" style="1119" customWidth="1"/>
    <col min="9730" max="9743" width="14.140625" style="1119" customWidth="1"/>
    <col min="9744" max="9746" width="9.140625" style="1119"/>
    <col min="9747" max="9747" width="9.140625" style="1119" customWidth="1"/>
    <col min="9748" max="9748" width="0" style="1119" hidden="1" customWidth="1"/>
    <col min="9749" max="9983" width="9.140625" style="1119"/>
    <col min="9984" max="9984" width="13.42578125" style="1119" customWidth="1"/>
    <col min="9985" max="9985" width="20" style="1119" customWidth="1"/>
    <col min="9986" max="9999" width="14.140625" style="1119" customWidth="1"/>
    <col min="10000" max="10002" width="9.140625" style="1119"/>
    <col min="10003" max="10003" width="9.140625" style="1119" customWidth="1"/>
    <col min="10004" max="10004" width="0" style="1119" hidden="1" customWidth="1"/>
    <col min="10005" max="10239" width="9.140625" style="1119"/>
    <col min="10240" max="10240" width="13.42578125" style="1119" customWidth="1"/>
    <col min="10241" max="10241" width="20" style="1119" customWidth="1"/>
    <col min="10242" max="10255" width="14.140625" style="1119" customWidth="1"/>
    <col min="10256" max="10258" width="9.140625" style="1119"/>
    <col min="10259" max="10259" width="9.140625" style="1119" customWidth="1"/>
    <col min="10260" max="10260" width="0" style="1119" hidden="1" customWidth="1"/>
    <col min="10261" max="10495" width="9.140625" style="1119"/>
    <col min="10496" max="10496" width="13.42578125" style="1119" customWidth="1"/>
    <col min="10497" max="10497" width="20" style="1119" customWidth="1"/>
    <col min="10498" max="10511" width="14.140625" style="1119" customWidth="1"/>
    <col min="10512" max="10514" width="9.140625" style="1119"/>
    <col min="10515" max="10515" width="9.140625" style="1119" customWidth="1"/>
    <col min="10516" max="10516" width="0" style="1119" hidden="1" customWidth="1"/>
    <col min="10517" max="10751" width="9.140625" style="1119"/>
    <col min="10752" max="10752" width="13.42578125" style="1119" customWidth="1"/>
    <col min="10753" max="10753" width="20" style="1119" customWidth="1"/>
    <col min="10754" max="10767" width="14.140625" style="1119" customWidth="1"/>
    <col min="10768" max="10770" width="9.140625" style="1119"/>
    <col min="10771" max="10771" width="9.140625" style="1119" customWidth="1"/>
    <col min="10772" max="10772" width="0" style="1119" hidden="1" customWidth="1"/>
    <col min="10773" max="11007" width="9.140625" style="1119"/>
    <col min="11008" max="11008" width="13.42578125" style="1119" customWidth="1"/>
    <col min="11009" max="11009" width="20" style="1119" customWidth="1"/>
    <col min="11010" max="11023" width="14.140625" style="1119" customWidth="1"/>
    <col min="11024" max="11026" width="9.140625" style="1119"/>
    <col min="11027" max="11027" width="9.140625" style="1119" customWidth="1"/>
    <col min="11028" max="11028" width="0" style="1119" hidden="1" customWidth="1"/>
    <col min="11029" max="11263" width="9.140625" style="1119"/>
    <col min="11264" max="11264" width="13.42578125" style="1119" customWidth="1"/>
    <col min="11265" max="11265" width="20" style="1119" customWidth="1"/>
    <col min="11266" max="11279" width="14.140625" style="1119" customWidth="1"/>
    <col min="11280" max="11282" width="9.140625" style="1119"/>
    <col min="11283" max="11283" width="9.140625" style="1119" customWidth="1"/>
    <col min="11284" max="11284" width="0" style="1119" hidden="1" customWidth="1"/>
    <col min="11285" max="11519" width="9.140625" style="1119"/>
    <col min="11520" max="11520" width="13.42578125" style="1119" customWidth="1"/>
    <col min="11521" max="11521" width="20" style="1119" customWidth="1"/>
    <col min="11522" max="11535" width="14.140625" style="1119" customWidth="1"/>
    <col min="11536" max="11538" width="9.140625" style="1119"/>
    <col min="11539" max="11539" width="9.140625" style="1119" customWidth="1"/>
    <col min="11540" max="11540" width="0" style="1119" hidden="1" customWidth="1"/>
    <col min="11541" max="11775" width="9.140625" style="1119"/>
    <col min="11776" max="11776" width="13.42578125" style="1119" customWidth="1"/>
    <col min="11777" max="11777" width="20" style="1119" customWidth="1"/>
    <col min="11778" max="11791" width="14.140625" style="1119" customWidth="1"/>
    <col min="11792" max="11794" width="9.140625" style="1119"/>
    <col min="11795" max="11795" width="9.140625" style="1119" customWidth="1"/>
    <col min="11796" max="11796" width="0" style="1119" hidden="1" customWidth="1"/>
    <col min="11797" max="12031" width="9.140625" style="1119"/>
    <col min="12032" max="12032" width="13.42578125" style="1119" customWidth="1"/>
    <col min="12033" max="12033" width="20" style="1119" customWidth="1"/>
    <col min="12034" max="12047" width="14.140625" style="1119" customWidth="1"/>
    <col min="12048" max="12050" width="9.140625" style="1119"/>
    <col min="12051" max="12051" width="9.140625" style="1119" customWidth="1"/>
    <col min="12052" max="12052" width="0" style="1119" hidden="1" customWidth="1"/>
    <col min="12053" max="12287" width="9.140625" style="1119"/>
    <col min="12288" max="12288" width="13.42578125" style="1119" customWidth="1"/>
    <col min="12289" max="12289" width="20" style="1119" customWidth="1"/>
    <col min="12290" max="12303" width="14.140625" style="1119" customWidth="1"/>
    <col min="12304" max="12306" width="9.140625" style="1119"/>
    <col min="12307" max="12307" width="9.140625" style="1119" customWidth="1"/>
    <col min="12308" max="12308" width="0" style="1119" hidden="1" customWidth="1"/>
    <col min="12309" max="12543" width="9.140625" style="1119"/>
    <col min="12544" max="12544" width="13.42578125" style="1119" customWidth="1"/>
    <col min="12545" max="12545" width="20" style="1119" customWidth="1"/>
    <col min="12546" max="12559" width="14.140625" style="1119" customWidth="1"/>
    <col min="12560" max="12562" width="9.140625" style="1119"/>
    <col min="12563" max="12563" width="9.140625" style="1119" customWidth="1"/>
    <col min="12564" max="12564" width="0" style="1119" hidden="1" customWidth="1"/>
    <col min="12565" max="12799" width="9.140625" style="1119"/>
    <col min="12800" max="12800" width="13.42578125" style="1119" customWidth="1"/>
    <col min="12801" max="12801" width="20" style="1119" customWidth="1"/>
    <col min="12802" max="12815" width="14.140625" style="1119" customWidth="1"/>
    <col min="12816" max="12818" width="9.140625" style="1119"/>
    <col min="12819" max="12819" width="9.140625" style="1119" customWidth="1"/>
    <col min="12820" max="12820" width="0" style="1119" hidden="1" customWidth="1"/>
    <col min="12821" max="13055" width="9.140625" style="1119"/>
    <col min="13056" max="13056" width="13.42578125" style="1119" customWidth="1"/>
    <col min="13057" max="13057" width="20" style="1119" customWidth="1"/>
    <col min="13058" max="13071" width="14.140625" style="1119" customWidth="1"/>
    <col min="13072" max="13074" width="9.140625" style="1119"/>
    <col min="13075" max="13075" width="9.140625" style="1119" customWidth="1"/>
    <col min="13076" max="13076" width="0" style="1119" hidden="1" customWidth="1"/>
    <col min="13077" max="13311" width="9.140625" style="1119"/>
    <col min="13312" max="13312" width="13.42578125" style="1119" customWidth="1"/>
    <col min="13313" max="13313" width="20" style="1119" customWidth="1"/>
    <col min="13314" max="13327" width="14.140625" style="1119" customWidth="1"/>
    <col min="13328" max="13330" width="9.140625" style="1119"/>
    <col min="13331" max="13331" width="9.140625" style="1119" customWidth="1"/>
    <col min="13332" max="13332" width="0" style="1119" hidden="1" customWidth="1"/>
    <col min="13333" max="13567" width="9.140625" style="1119"/>
    <col min="13568" max="13568" width="13.42578125" style="1119" customWidth="1"/>
    <col min="13569" max="13569" width="20" style="1119" customWidth="1"/>
    <col min="13570" max="13583" width="14.140625" style="1119" customWidth="1"/>
    <col min="13584" max="13586" width="9.140625" style="1119"/>
    <col min="13587" max="13587" width="9.140625" style="1119" customWidth="1"/>
    <col min="13588" max="13588" width="0" style="1119" hidden="1" customWidth="1"/>
    <col min="13589" max="13823" width="9.140625" style="1119"/>
    <col min="13824" max="13824" width="13.42578125" style="1119" customWidth="1"/>
    <col min="13825" max="13825" width="20" style="1119" customWidth="1"/>
    <col min="13826" max="13839" width="14.140625" style="1119" customWidth="1"/>
    <col min="13840" max="13842" width="9.140625" style="1119"/>
    <col min="13843" max="13843" width="9.140625" style="1119" customWidth="1"/>
    <col min="13844" max="13844" width="0" style="1119" hidden="1" customWidth="1"/>
    <col min="13845" max="14079" width="9.140625" style="1119"/>
    <col min="14080" max="14080" width="13.42578125" style="1119" customWidth="1"/>
    <col min="14081" max="14081" width="20" style="1119" customWidth="1"/>
    <col min="14082" max="14095" width="14.140625" style="1119" customWidth="1"/>
    <col min="14096" max="14098" width="9.140625" style="1119"/>
    <col min="14099" max="14099" width="9.140625" style="1119" customWidth="1"/>
    <col min="14100" max="14100" width="0" style="1119" hidden="1" customWidth="1"/>
    <col min="14101" max="14335" width="9.140625" style="1119"/>
    <col min="14336" max="14336" width="13.42578125" style="1119" customWidth="1"/>
    <col min="14337" max="14337" width="20" style="1119" customWidth="1"/>
    <col min="14338" max="14351" width="14.140625" style="1119" customWidth="1"/>
    <col min="14352" max="14354" width="9.140625" style="1119"/>
    <col min="14355" max="14355" width="9.140625" style="1119" customWidth="1"/>
    <col min="14356" max="14356" width="0" style="1119" hidden="1" customWidth="1"/>
    <col min="14357" max="14591" width="9.140625" style="1119"/>
    <col min="14592" max="14592" width="13.42578125" style="1119" customWidth="1"/>
    <col min="14593" max="14593" width="20" style="1119" customWidth="1"/>
    <col min="14594" max="14607" width="14.140625" style="1119" customWidth="1"/>
    <col min="14608" max="14610" width="9.140625" style="1119"/>
    <col min="14611" max="14611" width="9.140625" style="1119" customWidth="1"/>
    <col min="14612" max="14612" width="0" style="1119" hidden="1" customWidth="1"/>
    <col min="14613" max="14847" width="9.140625" style="1119"/>
    <col min="14848" max="14848" width="13.42578125" style="1119" customWidth="1"/>
    <col min="14849" max="14849" width="20" style="1119" customWidth="1"/>
    <col min="14850" max="14863" width="14.140625" style="1119" customWidth="1"/>
    <col min="14864" max="14866" width="9.140625" style="1119"/>
    <col min="14867" max="14867" width="9.140625" style="1119" customWidth="1"/>
    <col min="14868" max="14868" width="0" style="1119" hidden="1" customWidth="1"/>
    <col min="14869" max="15103" width="9.140625" style="1119"/>
    <col min="15104" max="15104" width="13.42578125" style="1119" customWidth="1"/>
    <col min="15105" max="15105" width="20" style="1119" customWidth="1"/>
    <col min="15106" max="15119" width="14.140625" style="1119" customWidth="1"/>
    <col min="15120" max="15122" width="9.140625" style="1119"/>
    <col min="15123" max="15123" width="9.140625" style="1119" customWidth="1"/>
    <col min="15124" max="15124" width="0" style="1119" hidden="1" customWidth="1"/>
    <col min="15125" max="15359" width="9.140625" style="1119"/>
    <col min="15360" max="15360" width="13.42578125" style="1119" customWidth="1"/>
    <col min="15361" max="15361" width="20" style="1119" customWidth="1"/>
    <col min="15362" max="15375" width="14.140625" style="1119" customWidth="1"/>
    <col min="15376" max="15378" width="9.140625" style="1119"/>
    <col min="15379" max="15379" width="9.140625" style="1119" customWidth="1"/>
    <col min="15380" max="15380" width="0" style="1119" hidden="1" customWidth="1"/>
    <col min="15381" max="15615" width="9.140625" style="1119"/>
    <col min="15616" max="15616" width="13.42578125" style="1119" customWidth="1"/>
    <col min="15617" max="15617" width="20" style="1119" customWidth="1"/>
    <col min="15618" max="15631" width="14.140625" style="1119" customWidth="1"/>
    <col min="15632" max="15634" width="9.140625" style="1119"/>
    <col min="15635" max="15635" width="9.140625" style="1119" customWidth="1"/>
    <col min="15636" max="15636" width="0" style="1119" hidden="1" customWidth="1"/>
    <col min="15637" max="15871" width="9.140625" style="1119"/>
    <col min="15872" max="15872" width="13.42578125" style="1119" customWidth="1"/>
    <col min="15873" max="15873" width="20" style="1119" customWidth="1"/>
    <col min="15874" max="15887" width="14.140625" style="1119" customWidth="1"/>
    <col min="15888" max="15890" width="9.140625" style="1119"/>
    <col min="15891" max="15891" width="9.140625" style="1119" customWidth="1"/>
    <col min="15892" max="15892" width="0" style="1119" hidden="1" customWidth="1"/>
    <col min="15893" max="16127" width="9.140625" style="1119"/>
    <col min="16128" max="16128" width="13.42578125" style="1119" customWidth="1"/>
    <col min="16129" max="16129" width="20" style="1119" customWidth="1"/>
    <col min="16130" max="16143" width="14.140625" style="1119" customWidth="1"/>
    <col min="16144" max="16146" width="9.140625" style="1119"/>
    <col min="16147" max="16147" width="9.140625" style="1119" customWidth="1"/>
    <col min="16148" max="16148" width="0" style="1119" hidden="1" customWidth="1"/>
    <col min="16149" max="16384" width="9.140625" style="1119"/>
  </cols>
  <sheetData>
    <row r="1" spans="1:17" ht="18.75">
      <c r="A1" s="1881" t="s">
        <v>3609</v>
      </c>
      <c r="B1" s="1092" t="s">
        <v>4469</v>
      </c>
      <c r="C1" s="1216"/>
      <c r="D1" s="1216"/>
      <c r="E1" s="1360"/>
      <c r="F1" s="1216"/>
      <c r="G1" s="905"/>
      <c r="H1" s="905"/>
      <c r="I1" s="905"/>
      <c r="J1" s="905"/>
      <c r="K1" s="905"/>
      <c r="L1" s="1193" t="s">
        <v>2595</v>
      </c>
      <c r="M1" s="1193"/>
      <c r="N1" s="2472" t="s">
        <v>3610</v>
      </c>
      <c r="O1" s="2472"/>
    </row>
    <row r="2" spans="1:17">
      <c r="B2" s="1034" t="s">
        <v>3198</v>
      </c>
      <c r="C2" s="1035">
        <f>'Basic Info'!C29:D29</f>
        <v>0</v>
      </c>
      <c r="D2" s="923"/>
      <c r="E2" s="923"/>
      <c r="F2" s="923"/>
      <c r="G2" s="923"/>
      <c r="H2" s="923"/>
      <c r="I2" s="923"/>
      <c r="J2" s="923"/>
      <c r="K2" s="923"/>
      <c r="L2" s="1271"/>
      <c r="M2" s="1271"/>
      <c r="N2" s="2570"/>
      <c r="O2" s="2570"/>
    </row>
    <row r="3" spans="1:17">
      <c r="C3" s="923"/>
      <c r="D3" s="923"/>
      <c r="E3" s="923"/>
      <c r="F3" s="923"/>
      <c r="G3" s="923"/>
      <c r="H3" s="923"/>
      <c r="I3" s="923"/>
      <c r="J3" s="923"/>
      <c r="K3" s="923"/>
      <c r="L3" s="1271"/>
      <c r="M3" s="1271"/>
      <c r="N3" s="2570"/>
      <c r="O3" s="2570"/>
    </row>
    <row r="4" spans="1:17">
      <c r="L4" s="1271"/>
      <c r="M4" s="1271"/>
      <c r="N4" s="2570"/>
      <c r="O4" s="2570"/>
    </row>
    <row r="5" spans="1:17">
      <c r="A5" s="1333"/>
      <c r="B5" s="1239" t="s">
        <v>3981</v>
      </c>
      <c r="C5" s="1303"/>
      <c r="D5" s="1303"/>
      <c r="E5" s="1303"/>
      <c r="F5" s="1303"/>
      <c r="G5" s="1303"/>
      <c r="H5" s="1303"/>
      <c r="I5" s="1303"/>
      <c r="J5" s="1303"/>
      <c r="K5" s="1303"/>
      <c r="L5" s="923"/>
      <c r="M5" s="923"/>
      <c r="N5" s="923"/>
      <c r="O5" s="1227"/>
      <c r="P5" s="1357"/>
      <c r="Q5" s="1357"/>
    </row>
    <row r="6" spans="1:17" ht="12" customHeight="1">
      <c r="B6" s="2638" t="s">
        <v>3809</v>
      </c>
      <c r="C6" s="2638"/>
      <c r="D6" s="2638"/>
      <c r="E6" s="2638"/>
      <c r="F6" s="2638"/>
      <c r="G6" s="2638"/>
      <c r="H6" s="2638"/>
      <c r="I6" s="2638"/>
      <c r="J6" s="2638"/>
      <c r="K6" s="2638"/>
      <c r="L6" s="2638"/>
      <c r="M6" s="2638"/>
      <c r="N6" s="2638"/>
      <c r="O6" s="2638"/>
      <c r="P6" s="1357"/>
      <c r="Q6" s="1357"/>
    </row>
    <row r="7" spans="1:17" ht="12" customHeight="1">
      <c r="B7" s="2528" t="s">
        <v>3810</v>
      </c>
      <c r="C7" s="2528"/>
      <c r="D7" s="2528"/>
      <c r="E7" s="2528"/>
      <c r="F7" s="2528"/>
      <c r="G7" s="2528"/>
      <c r="H7" s="2528"/>
      <c r="I7" s="2528"/>
      <c r="J7" s="2528"/>
      <c r="K7" s="2528"/>
      <c r="L7" s="2528"/>
      <c r="M7" s="2528"/>
      <c r="N7" s="2528"/>
      <c r="O7" s="2528"/>
      <c r="P7" s="1357"/>
      <c r="Q7" s="1357"/>
    </row>
    <row r="8" spans="1:17" ht="12" customHeight="1">
      <c r="B8" s="2528" t="s">
        <v>3811</v>
      </c>
      <c r="C8" s="2528"/>
      <c r="D8" s="2528"/>
      <c r="E8" s="2528"/>
      <c r="F8" s="2528"/>
      <c r="G8" s="2528"/>
      <c r="H8" s="2528"/>
      <c r="I8" s="2528"/>
      <c r="J8" s="2528"/>
      <c r="K8" s="2528"/>
      <c r="L8" s="2528"/>
      <c r="M8" s="2528"/>
      <c r="N8" s="2528"/>
      <c r="O8" s="2528"/>
    </row>
    <row r="9" spans="1:17">
      <c r="B9" s="1237"/>
      <c r="C9" s="1237"/>
      <c r="D9" s="1237"/>
      <c r="E9" s="1237"/>
      <c r="F9" s="1237"/>
      <c r="G9" s="1237"/>
      <c r="H9" s="1237"/>
      <c r="I9" s="1237"/>
      <c r="J9" s="1237"/>
      <c r="K9" s="1237"/>
      <c r="L9" s="923"/>
      <c r="M9" s="923"/>
      <c r="N9" s="923"/>
      <c r="O9" s="923"/>
    </row>
    <row r="10" spans="1:17" ht="13.5" customHeight="1">
      <c r="B10" s="1239" t="s">
        <v>3927</v>
      </c>
      <c r="C10" s="923"/>
      <c r="D10" s="923"/>
      <c r="E10" s="923"/>
      <c r="F10" s="923"/>
      <c r="G10" s="923"/>
      <c r="H10" s="923"/>
      <c r="I10" s="923"/>
      <c r="J10" s="923"/>
      <c r="K10" s="923"/>
      <c r="L10" s="923"/>
      <c r="M10" s="923"/>
      <c r="N10" s="923"/>
      <c r="O10" s="923"/>
    </row>
    <row r="11" spans="1:17">
      <c r="B11" s="923" t="s">
        <v>3613</v>
      </c>
      <c r="C11" s="923"/>
      <c r="D11" s="923"/>
      <c r="E11" s="923"/>
      <c r="F11" s="923"/>
      <c r="G11" s="923"/>
      <c r="H11" s="923"/>
      <c r="I11" s="923"/>
      <c r="J11" s="923"/>
      <c r="K11" s="923"/>
      <c r="L11" s="923"/>
      <c r="M11" s="923"/>
      <c r="N11" s="923"/>
      <c r="O11" s="923"/>
    </row>
    <row r="12" spans="1:17">
      <c r="B12" s="923" t="s">
        <v>3661</v>
      </c>
      <c r="C12" s="923"/>
      <c r="D12" s="923"/>
      <c r="E12" s="923"/>
      <c r="F12" s="923"/>
      <c r="G12" s="923"/>
      <c r="H12" s="923"/>
      <c r="I12" s="923"/>
      <c r="J12" s="923"/>
      <c r="K12" s="923"/>
      <c r="L12" s="923"/>
      <c r="M12" s="923"/>
      <c r="N12" s="923"/>
      <c r="O12" s="923"/>
    </row>
    <row r="13" spans="1:17">
      <c r="B13" s="923" t="s">
        <v>3812</v>
      </c>
      <c r="C13" s="923"/>
      <c r="D13" s="923"/>
      <c r="E13" s="923"/>
      <c r="F13" s="923"/>
      <c r="G13" s="923"/>
      <c r="H13" s="923"/>
      <c r="I13" s="923"/>
      <c r="J13" s="923"/>
      <c r="K13" s="923"/>
      <c r="L13" s="923"/>
      <c r="M13" s="923"/>
      <c r="N13" s="923"/>
      <c r="O13" s="923"/>
    </row>
    <row r="14" spans="1:17">
      <c r="B14" s="923" t="s">
        <v>3813</v>
      </c>
      <c r="C14" s="923"/>
      <c r="D14" s="923"/>
      <c r="E14" s="923"/>
      <c r="F14" s="923"/>
      <c r="G14" s="923"/>
      <c r="H14" s="923"/>
      <c r="I14" s="923"/>
      <c r="J14" s="923"/>
      <c r="K14" s="923"/>
      <c r="L14" s="923"/>
      <c r="M14" s="923"/>
      <c r="N14" s="923"/>
      <c r="O14" s="923"/>
    </row>
    <row r="15" spans="1:17">
      <c r="B15" s="923" t="s">
        <v>3814</v>
      </c>
      <c r="C15" s="923"/>
      <c r="D15" s="923"/>
      <c r="E15" s="923"/>
      <c r="F15" s="923"/>
      <c r="G15" s="923"/>
      <c r="H15" s="923"/>
      <c r="I15" s="923"/>
      <c r="J15" s="923"/>
      <c r="K15" s="923"/>
      <c r="L15" s="923"/>
      <c r="M15" s="923"/>
      <c r="N15" s="923"/>
      <c r="O15" s="923"/>
    </row>
    <row r="16" spans="1:17">
      <c r="B16" s="923" t="s">
        <v>3815</v>
      </c>
      <c r="C16" s="923"/>
      <c r="D16" s="923"/>
      <c r="E16" s="923"/>
      <c r="F16" s="923"/>
      <c r="G16" s="923"/>
      <c r="H16" s="923"/>
      <c r="I16" s="923"/>
      <c r="J16" s="923"/>
      <c r="K16" s="923"/>
      <c r="L16" s="923"/>
      <c r="M16" s="923"/>
      <c r="N16" s="923"/>
      <c r="O16" s="923"/>
    </row>
    <row r="17" spans="1:35">
      <c r="B17" s="923" t="s">
        <v>3816</v>
      </c>
      <c r="C17" s="923"/>
      <c r="D17" s="923"/>
      <c r="E17" s="923"/>
      <c r="F17" s="923"/>
      <c r="G17" s="923"/>
      <c r="H17" s="923"/>
      <c r="I17" s="923"/>
      <c r="J17" s="923"/>
      <c r="K17" s="923"/>
      <c r="L17" s="896"/>
      <c r="M17" s="896"/>
      <c r="N17" s="896"/>
      <c r="O17" s="896"/>
    </row>
    <row r="18" spans="1:35">
      <c r="B18" s="923" t="s">
        <v>3817</v>
      </c>
      <c r="C18" s="923"/>
      <c r="D18" s="923"/>
      <c r="E18" s="923"/>
      <c r="F18" s="923"/>
      <c r="G18" s="923"/>
      <c r="H18" s="923"/>
      <c r="I18" s="923"/>
      <c r="J18" s="923"/>
      <c r="K18" s="923"/>
      <c r="L18" s="923"/>
      <c r="M18" s="923"/>
      <c r="N18" s="923"/>
      <c r="O18" s="923"/>
    </row>
    <row r="19" spans="1:35">
      <c r="A19" s="898"/>
      <c r="B19" s="923" t="s">
        <v>3818</v>
      </c>
      <c r="C19" s="923"/>
      <c r="D19" s="923"/>
      <c r="E19" s="923"/>
      <c r="F19" s="923"/>
      <c r="G19" s="923"/>
      <c r="H19" s="923"/>
      <c r="I19" s="923"/>
      <c r="J19" s="923"/>
      <c r="K19" s="923"/>
      <c r="L19" s="923"/>
      <c r="M19" s="923"/>
      <c r="N19" s="923"/>
      <c r="O19" s="923"/>
      <c r="P19" s="896"/>
      <c r="Q19" s="896"/>
      <c r="R19" s="896"/>
      <c r="S19" s="896"/>
      <c r="T19" s="896"/>
      <c r="U19" s="896"/>
      <c r="V19" s="896"/>
      <c r="W19" s="896"/>
      <c r="X19" s="896"/>
      <c r="Y19" s="896"/>
      <c r="Z19" s="896"/>
      <c r="AA19" s="896"/>
      <c r="AB19" s="896"/>
      <c r="AC19" s="896"/>
      <c r="AD19" s="896"/>
      <c r="AE19" s="896"/>
      <c r="AF19" s="896"/>
      <c r="AG19" s="896"/>
      <c r="AH19" s="896"/>
      <c r="AI19" s="896"/>
    </row>
    <row r="20" spans="1:35">
      <c r="B20" s="923" t="s">
        <v>3819</v>
      </c>
      <c r="C20" s="923"/>
      <c r="D20" s="923"/>
      <c r="E20" s="923"/>
      <c r="F20" s="923"/>
      <c r="G20" s="923"/>
      <c r="H20" s="923"/>
      <c r="I20" s="923"/>
      <c r="J20" s="923"/>
      <c r="K20" s="923"/>
      <c r="L20" s="896"/>
      <c r="M20" s="896"/>
      <c r="N20" s="896"/>
      <c r="O20" s="896"/>
    </row>
    <row r="21" spans="1:35">
      <c r="B21" s="923"/>
      <c r="C21" s="923"/>
      <c r="D21" s="923"/>
      <c r="E21" s="923"/>
      <c r="F21" s="923"/>
      <c r="G21" s="923"/>
      <c r="H21" s="923"/>
      <c r="I21" s="923"/>
      <c r="J21" s="923"/>
      <c r="K21" s="923"/>
      <c r="L21" s="923"/>
      <c r="M21" s="923"/>
      <c r="N21" s="923"/>
      <c r="O21" s="923"/>
    </row>
    <row r="22" spans="1:35">
      <c r="B22" s="1011" t="s">
        <v>3982</v>
      </c>
      <c r="C22" s="923"/>
      <c r="D22" s="923"/>
      <c r="E22" s="923"/>
      <c r="F22" s="923"/>
      <c r="G22" s="923"/>
      <c r="H22" s="923"/>
      <c r="I22" s="923"/>
      <c r="J22" s="923"/>
      <c r="K22" s="923"/>
      <c r="L22" s="923"/>
      <c r="M22" s="923"/>
      <c r="N22" s="923"/>
      <c r="O22" s="923"/>
    </row>
    <row r="23" spans="1:35">
      <c r="B23" s="2395" t="s">
        <v>3820</v>
      </c>
      <c r="C23" s="2395"/>
      <c r="D23" s="2395"/>
      <c r="E23" s="2395"/>
      <c r="F23" s="2395"/>
      <c r="G23" s="2395"/>
      <c r="H23" s="2395"/>
      <c r="I23" s="2395"/>
      <c r="J23" s="2395"/>
      <c r="K23" s="2395"/>
      <c r="L23" s="2395"/>
      <c r="M23" s="2395"/>
      <c r="N23" s="2395"/>
      <c r="O23" s="2395"/>
    </row>
    <row r="24" spans="1:35" ht="26.25" customHeight="1">
      <c r="B24" s="2395" t="s">
        <v>4185</v>
      </c>
      <c r="C24" s="2395"/>
      <c r="D24" s="2395"/>
      <c r="E24" s="2395"/>
      <c r="F24" s="2395"/>
      <c r="G24" s="2395"/>
      <c r="H24" s="2395"/>
      <c r="I24" s="2395"/>
      <c r="J24" s="2395"/>
      <c r="K24" s="2395"/>
      <c r="L24" s="2395"/>
      <c r="M24" s="2395"/>
      <c r="N24" s="2395"/>
      <c r="O24" s="2395"/>
    </row>
    <row r="25" spans="1:35">
      <c r="B25" s="2394" t="s">
        <v>4069</v>
      </c>
      <c r="C25" s="2394"/>
      <c r="D25" s="2394"/>
      <c r="E25" s="2394"/>
      <c r="F25" s="2394"/>
      <c r="G25" s="2394"/>
      <c r="H25" s="2394"/>
      <c r="I25" s="2394"/>
      <c r="J25" s="2394"/>
      <c r="K25" s="2394"/>
      <c r="L25" s="923"/>
      <c r="M25" s="923"/>
      <c r="N25" s="923"/>
      <c r="O25" s="923"/>
    </row>
    <row r="26" spans="1:35">
      <c r="B26" s="2529" t="s">
        <v>4203</v>
      </c>
      <c r="C26" s="2635"/>
      <c r="D26" s="2635"/>
      <c r="E26" s="2635"/>
      <c r="F26" s="2635"/>
      <c r="G26" s="2635"/>
      <c r="H26" s="2635"/>
      <c r="I26" s="2635"/>
      <c r="J26" s="2635"/>
      <c r="K26" s="2635"/>
      <c r="L26" s="923"/>
      <c r="M26" s="923"/>
      <c r="N26" s="923"/>
      <c r="O26" s="923"/>
    </row>
    <row r="27" spans="1:35">
      <c r="B27" s="2529" t="s">
        <v>4202</v>
      </c>
      <c r="C27" s="2529"/>
      <c r="D27" s="2529"/>
      <c r="E27" s="2529"/>
      <c r="F27" s="2529"/>
      <c r="G27" s="2529"/>
      <c r="H27" s="2529"/>
      <c r="I27" s="2529"/>
      <c r="J27" s="2529"/>
      <c r="K27" s="2529"/>
      <c r="L27" s="2529"/>
      <c r="M27" s="2529"/>
      <c r="N27" s="2529"/>
      <c r="O27" s="2529"/>
    </row>
    <row r="28" spans="1:35">
      <c r="B28" s="2637" t="s">
        <v>4204</v>
      </c>
      <c r="C28" s="2637"/>
      <c r="D28" s="2637"/>
      <c r="E28" s="2637"/>
      <c r="F28" s="2637"/>
      <c r="G28" s="2637"/>
      <c r="H28" s="2637"/>
      <c r="I28" s="2637"/>
      <c r="J28" s="2637"/>
      <c r="K28" s="2637"/>
      <c r="L28" s="2637"/>
      <c r="M28" s="2637"/>
      <c r="N28" s="2637"/>
      <c r="O28" s="2637"/>
    </row>
    <row r="29" spans="1:35" ht="13.5" customHeight="1">
      <c r="B29" s="923"/>
      <c r="C29" s="923"/>
      <c r="D29" s="923"/>
      <c r="E29" s="923"/>
      <c r="F29" s="923"/>
      <c r="G29" s="923"/>
      <c r="H29" s="923"/>
      <c r="I29" s="923"/>
      <c r="J29" s="923"/>
      <c r="K29" s="923"/>
      <c r="L29" s="1103"/>
      <c r="M29" s="1103"/>
      <c r="N29" s="1152"/>
      <c r="O29" s="1152"/>
    </row>
    <row r="30" spans="1:35">
      <c r="B30" s="1165" t="s">
        <v>3928</v>
      </c>
      <c r="C30" s="967"/>
      <c r="D30" s="967"/>
      <c r="E30" s="1038"/>
      <c r="F30" s="1038"/>
      <c r="G30" s="1038"/>
    </row>
    <row r="31" spans="1:35" ht="12.75">
      <c r="B31" s="2636" t="s">
        <v>4218</v>
      </c>
      <c r="C31" s="2582"/>
      <c r="D31" s="2582"/>
      <c r="E31" s="2582"/>
      <c r="F31" s="2582"/>
      <c r="G31" s="2582"/>
      <c r="H31" s="2582"/>
      <c r="I31" s="2582"/>
      <c r="J31" s="2582"/>
      <c r="K31" s="2582"/>
      <c r="L31" s="2582"/>
      <c r="M31" s="2582"/>
      <c r="N31" s="2582"/>
      <c r="O31" s="2582"/>
    </row>
    <row r="32" spans="1:35">
      <c r="B32" s="2583" t="s">
        <v>4205</v>
      </c>
      <c r="C32" s="2583"/>
      <c r="D32" s="2583"/>
      <c r="E32" s="2583"/>
      <c r="F32" s="2583"/>
      <c r="G32" s="2583"/>
      <c r="H32" s="2583"/>
      <c r="I32" s="2583"/>
      <c r="J32" s="2583"/>
      <c r="K32" s="2583"/>
      <c r="L32" s="2583"/>
      <c r="M32" s="2583"/>
      <c r="N32" s="2583"/>
      <c r="O32" s="2583"/>
    </row>
    <row r="33" spans="2:15">
      <c r="B33" s="2583" t="s">
        <v>4206</v>
      </c>
      <c r="C33" s="2583"/>
      <c r="D33" s="2583"/>
      <c r="E33" s="2583"/>
      <c r="F33" s="2583"/>
      <c r="G33" s="2583"/>
      <c r="H33" s="2583"/>
      <c r="I33" s="2583"/>
      <c r="J33" s="2583"/>
      <c r="K33" s="2583"/>
      <c r="L33" s="2583"/>
      <c r="M33" s="2583"/>
      <c r="N33" s="2583"/>
      <c r="O33" s="2583"/>
    </row>
    <row r="34" spans="2:15">
      <c r="B34" s="2583" t="s">
        <v>4207</v>
      </c>
      <c r="C34" s="2583"/>
      <c r="D34" s="2583"/>
      <c r="E34" s="2583"/>
      <c r="F34" s="2583"/>
      <c r="G34" s="2583"/>
      <c r="H34" s="2583"/>
      <c r="I34" s="2583"/>
      <c r="J34" s="2583"/>
      <c r="K34" s="2583"/>
      <c r="L34" s="2583"/>
      <c r="M34" s="2583"/>
      <c r="N34" s="2583"/>
      <c r="O34" s="2583"/>
    </row>
    <row r="35" spans="2:15">
      <c r="B35" s="2583" t="s">
        <v>4591</v>
      </c>
      <c r="C35" s="2583"/>
      <c r="D35" s="2583"/>
      <c r="E35" s="2583"/>
      <c r="F35" s="2583"/>
      <c r="G35" s="2583"/>
      <c r="H35" s="2583"/>
      <c r="I35" s="2583"/>
      <c r="J35" s="2583"/>
      <c r="K35" s="2583"/>
      <c r="L35" s="2583"/>
      <c r="M35" s="2583"/>
      <c r="N35" s="2583"/>
      <c r="O35" s="2583"/>
    </row>
    <row r="36" spans="2:15">
      <c r="B36" s="2583" t="s">
        <v>4208</v>
      </c>
      <c r="C36" s="2583"/>
      <c r="D36" s="2583"/>
      <c r="E36" s="2583"/>
      <c r="F36" s="2583"/>
      <c r="G36" s="2583"/>
      <c r="H36" s="2583"/>
      <c r="I36" s="2583"/>
      <c r="J36" s="2583"/>
      <c r="K36" s="2583"/>
      <c r="L36" s="2583"/>
      <c r="M36" s="2583"/>
      <c r="N36" s="2583"/>
      <c r="O36" s="2583"/>
    </row>
    <row r="37" spans="2:15" ht="12.75">
      <c r="B37" s="2582" t="s">
        <v>4209</v>
      </c>
      <c r="C37" s="2582"/>
      <c r="D37" s="2582"/>
      <c r="E37" s="2582"/>
      <c r="F37" s="2582"/>
      <c r="G37" s="2582"/>
      <c r="H37" s="2582"/>
      <c r="I37" s="2582"/>
      <c r="J37" s="2582"/>
      <c r="K37" s="2582"/>
      <c r="L37" s="2582"/>
      <c r="M37" s="2582"/>
      <c r="N37" s="2582"/>
      <c r="O37" s="2582"/>
    </row>
    <row r="38" spans="2:15">
      <c r="B38" s="2583" t="s">
        <v>4592</v>
      </c>
      <c r="C38" s="2583"/>
      <c r="D38" s="2583"/>
      <c r="E38" s="2583"/>
      <c r="F38" s="2583"/>
      <c r="G38" s="2583"/>
      <c r="H38" s="2583"/>
      <c r="I38" s="2583"/>
      <c r="J38" s="2583"/>
      <c r="K38" s="2583"/>
      <c r="L38" s="2583"/>
      <c r="M38" s="2583"/>
      <c r="N38" s="2583"/>
      <c r="O38" s="2583"/>
    </row>
    <row r="39" spans="2:15">
      <c r="B39" s="2583" t="s">
        <v>4210</v>
      </c>
      <c r="C39" s="2583"/>
      <c r="D39" s="2583"/>
      <c r="E39" s="2583"/>
      <c r="F39" s="2583"/>
      <c r="G39" s="2583"/>
      <c r="H39" s="2583"/>
      <c r="I39" s="2583"/>
      <c r="J39" s="2583"/>
      <c r="K39" s="2583"/>
      <c r="L39" s="2583"/>
      <c r="M39" s="2583"/>
      <c r="N39" s="2583"/>
      <c r="O39" s="2583"/>
    </row>
    <row r="40" spans="2:15">
      <c r="B40" s="2583" t="s">
        <v>4211</v>
      </c>
      <c r="C40" s="2583"/>
      <c r="D40" s="2583"/>
      <c r="E40" s="2583"/>
      <c r="F40" s="2583"/>
      <c r="G40" s="2583"/>
      <c r="H40" s="2583"/>
      <c r="I40" s="2583"/>
      <c r="J40" s="2583"/>
      <c r="K40" s="2583"/>
      <c r="L40" s="2583"/>
      <c r="M40" s="2583"/>
      <c r="N40" s="2583"/>
      <c r="O40" s="2583"/>
    </row>
    <row r="41" spans="2:15" ht="12.75">
      <c r="B41" s="2582" t="s">
        <v>4212</v>
      </c>
      <c r="C41" s="2582"/>
      <c r="D41" s="2582"/>
      <c r="E41" s="2582"/>
      <c r="F41" s="2582"/>
      <c r="G41" s="2582"/>
      <c r="H41" s="2582"/>
      <c r="I41" s="2582"/>
      <c r="J41" s="2582"/>
      <c r="K41" s="2582"/>
      <c r="L41" s="2582"/>
      <c r="M41" s="2582"/>
      <c r="N41" s="2582"/>
      <c r="O41" s="2582"/>
    </row>
    <row r="42" spans="2:15">
      <c r="B42" s="2583" t="s">
        <v>4213</v>
      </c>
      <c r="C42" s="2583"/>
      <c r="D42" s="2583"/>
      <c r="E42" s="2583"/>
      <c r="F42" s="2583"/>
      <c r="G42" s="2583"/>
      <c r="H42" s="2583"/>
      <c r="I42" s="2583"/>
      <c r="J42" s="2583"/>
      <c r="K42" s="2583"/>
      <c r="L42" s="2583"/>
      <c r="M42" s="2583"/>
      <c r="N42" s="2583"/>
      <c r="O42" s="2583"/>
    </row>
    <row r="43" spans="2:15">
      <c r="B43" s="2583" t="s">
        <v>4214</v>
      </c>
      <c r="C43" s="2583"/>
      <c r="D43" s="2583"/>
      <c r="E43" s="2583"/>
      <c r="F43" s="2583"/>
      <c r="G43" s="2583"/>
      <c r="H43" s="2583"/>
      <c r="I43" s="2583"/>
      <c r="J43" s="2583"/>
      <c r="K43" s="2583"/>
      <c r="L43" s="2583"/>
      <c r="M43" s="2583"/>
      <c r="N43" s="2583"/>
      <c r="O43" s="2583"/>
    </row>
    <row r="44" spans="2:15">
      <c r="B44" s="2583" t="s">
        <v>4215</v>
      </c>
      <c r="C44" s="2583"/>
      <c r="D44" s="2583"/>
      <c r="E44" s="2583"/>
      <c r="F44" s="2583"/>
      <c r="G44" s="2583"/>
      <c r="H44" s="2583"/>
      <c r="I44" s="2583"/>
      <c r="J44" s="2583"/>
      <c r="K44" s="2583"/>
      <c r="L44" s="2583"/>
      <c r="M44" s="2583"/>
      <c r="N44" s="2583"/>
      <c r="O44" s="2583"/>
    </row>
    <row r="45" spans="2:15">
      <c r="B45" s="2583" t="s">
        <v>4216</v>
      </c>
      <c r="C45" s="2583"/>
      <c r="D45" s="2583"/>
      <c r="E45" s="2583"/>
      <c r="F45" s="2583"/>
      <c r="G45" s="2583"/>
      <c r="H45" s="2583"/>
      <c r="I45" s="2583"/>
      <c r="J45" s="2583"/>
      <c r="K45" s="2583"/>
      <c r="L45" s="2583"/>
      <c r="M45" s="2583"/>
      <c r="N45" s="2583"/>
      <c r="O45" s="2583"/>
    </row>
    <row r="46" spans="2:15">
      <c r="B46" s="2583" t="s">
        <v>4217</v>
      </c>
      <c r="C46" s="2583"/>
      <c r="D46" s="2583"/>
      <c r="E46" s="2583"/>
      <c r="F46" s="2583"/>
      <c r="G46" s="2583"/>
      <c r="H46" s="2583"/>
      <c r="I46" s="2583"/>
      <c r="J46" s="2583"/>
      <c r="K46" s="2583"/>
      <c r="L46" s="2583"/>
      <c r="M46" s="2583"/>
      <c r="N46" s="2583"/>
      <c r="O46" s="2583"/>
    </row>
    <row r="47" spans="2:15">
      <c r="B47" s="2395"/>
      <c r="C47" s="2395"/>
      <c r="D47" s="2395"/>
      <c r="E47" s="2395"/>
      <c r="F47" s="2395"/>
      <c r="G47" s="2395"/>
      <c r="H47" s="2395"/>
      <c r="I47" s="2395"/>
      <c r="J47" s="2395"/>
      <c r="K47" s="2395"/>
      <c r="L47" s="2395"/>
      <c r="M47" s="2395"/>
      <c r="N47" s="2395"/>
      <c r="O47" s="2395"/>
    </row>
    <row r="48" spans="2:15" ht="51.75" customHeight="1">
      <c r="B48" s="1242" t="s">
        <v>2292</v>
      </c>
      <c r="C48" s="1242" t="s">
        <v>3648</v>
      </c>
      <c r="D48" s="1242" t="s">
        <v>3624</v>
      </c>
      <c r="E48" s="1242" t="s">
        <v>3623</v>
      </c>
      <c r="F48" s="1105" t="s">
        <v>3621</v>
      </c>
      <c r="G48" s="1105" t="s">
        <v>3622</v>
      </c>
      <c r="H48" s="1105" t="s">
        <v>3821</v>
      </c>
      <c r="I48" s="1105" t="s">
        <v>3822</v>
      </c>
      <c r="J48" s="1105" t="s">
        <v>3823</v>
      </c>
      <c r="K48" s="1105" t="s">
        <v>3740</v>
      </c>
      <c r="L48" s="1083" t="s">
        <v>3627</v>
      </c>
      <c r="M48" s="2388" t="s">
        <v>3833</v>
      </c>
      <c r="N48" s="2389"/>
      <c r="O48" s="2390"/>
    </row>
    <row r="49" spans="1:62">
      <c r="A49" s="931"/>
      <c r="B49" s="1071"/>
      <c r="C49" s="1071"/>
      <c r="D49" s="1071"/>
      <c r="E49" s="1071"/>
      <c r="F49" s="1071"/>
      <c r="G49" s="1071"/>
      <c r="H49" s="1369"/>
      <c r="I49" s="1369"/>
      <c r="J49" s="1370"/>
      <c r="K49" s="1071"/>
      <c r="L49" s="1171"/>
      <c r="M49" s="2451"/>
      <c r="N49" s="2600"/>
      <c r="O49" s="2452"/>
    </row>
    <row r="50" spans="1:62">
      <c r="B50" s="1071"/>
      <c r="C50" s="1071"/>
      <c r="D50" s="1071"/>
      <c r="E50" s="1071"/>
      <c r="F50" s="1071"/>
      <c r="G50" s="1071"/>
      <c r="H50" s="1369"/>
      <c r="I50" s="1369"/>
      <c r="J50" s="1293"/>
      <c r="K50" s="1071"/>
      <c r="L50" s="1171"/>
      <c r="M50" s="2451"/>
      <c r="N50" s="2600"/>
      <c r="O50" s="2452"/>
    </row>
    <row r="51" spans="1:62">
      <c r="B51" s="1071"/>
      <c r="C51" s="1071"/>
      <c r="D51" s="1071"/>
      <c r="E51" s="1071"/>
      <c r="F51" s="1071"/>
      <c r="G51" s="1071"/>
      <c r="H51" s="1369"/>
      <c r="I51" s="1369"/>
      <c r="J51" s="1293"/>
      <c r="K51" s="1071"/>
      <c r="L51" s="1171"/>
      <c r="M51" s="2451"/>
      <c r="N51" s="2600"/>
      <c r="O51" s="2452"/>
    </row>
    <row r="52" spans="1:62">
      <c r="B52" s="1071"/>
      <c r="C52" s="1071"/>
      <c r="D52" s="1071"/>
      <c r="E52" s="1071"/>
      <c r="F52" s="1071"/>
      <c r="G52" s="1071"/>
      <c r="H52" s="1369"/>
      <c r="I52" s="1369"/>
      <c r="J52" s="1293"/>
      <c r="K52" s="1071"/>
      <c r="L52" s="1171"/>
      <c r="M52" s="2451"/>
      <c r="N52" s="2600"/>
      <c r="O52" s="2452"/>
    </row>
    <row r="53" spans="1:62">
      <c r="B53" s="1071"/>
      <c r="C53" s="1071"/>
      <c r="D53" s="1071"/>
      <c r="E53" s="1071"/>
      <c r="F53" s="1071"/>
      <c r="G53" s="1071"/>
      <c r="H53" s="1369"/>
      <c r="I53" s="1369"/>
      <c r="J53" s="1293"/>
      <c r="K53" s="1071"/>
      <c r="L53" s="1171"/>
      <c r="M53" s="2451"/>
      <c r="N53" s="2600"/>
      <c r="O53" s="2452"/>
    </row>
    <row r="54" spans="1:62">
      <c r="B54" s="1071"/>
      <c r="C54" s="1071"/>
      <c r="D54" s="1071"/>
      <c r="E54" s="1071"/>
      <c r="F54" s="1071"/>
      <c r="G54" s="1071"/>
      <c r="H54" s="1369"/>
      <c r="I54" s="1369"/>
      <c r="J54" s="1293"/>
      <c r="K54" s="1071"/>
      <c r="L54" s="1171"/>
      <c r="M54" s="2451"/>
      <c r="N54" s="2600"/>
      <c r="O54" s="2452"/>
    </row>
    <row r="55" spans="1:62">
      <c r="B55" s="1071"/>
      <c r="C55" s="1071"/>
      <c r="D55" s="1071"/>
      <c r="E55" s="1071"/>
      <c r="F55" s="1071"/>
      <c r="G55" s="1071"/>
      <c r="H55" s="1369"/>
      <c r="I55" s="1369"/>
      <c r="J55" s="1293"/>
      <c r="K55" s="1071"/>
      <c r="L55" s="1171"/>
      <c r="M55" s="2451"/>
      <c r="N55" s="2600"/>
      <c r="O55" s="2452"/>
    </row>
    <row r="56" spans="1:62">
      <c r="B56" s="1071"/>
      <c r="C56" s="1071"/>
      <c r="D56" s="1071"/>
      <c r="E56" s="1071"/>
      <c r="F56" s="1071"/>
      <c r="G56" s="1071"/>
      <c r="H56" s="1369"/>
      <c r="I56" s="1369"/>
      <c r="J56" s="1293"/>
      <c r="K56" s="1071"/>
      <c r="L56" s="1171"/>
      <c r="M56" s="2451"/>
      <c r="N56" s="2600"/>
      <c r="O56" s="2452"/>
    </row>
    <row r="57" spans="1:62">
      <c r="B57" s="1071"/>
      <c r="C57" s="1071"/>
      <c r="D57" s="1071"/>
      <c r="E57" s="1071"/>
      <c r="F57" s="1071"/>
      <c r="G57" s="1071"/>
      <c r="H57" s="1369"/>
      <c r="I57" s="1369"/>
      <c r="J57" s="1293"/>
      <c r="K57" s="1071"/>
      <c r="L57" s="1171"/>
      <c r="M57" s="2451"/>
      <c r="N57" s="2600"/>
      <c r="O57" s="2452"/>
    </row>
    <row r="58" spans="1:62">
      <c r="B58" s="923"/>
      <c r="C58" s="923"/>
      <c r="D58" s="923"/>
      <c r="E58" s="923"/>
      <c r="F58" s="923"/>
      <c r="G58" s="923"/>
      <c r="H58" s="923"/>
      <c r="I58" s="923"/>
      <c r="J58" s="923"/>
      <c r="K58" s="923"/>
      <c r="L58" s="923"/>
      <c r="M58" s="923"/>
      <c r="N58" s="923"/>
      <c r="O58" s="923"/>
    </row>
    <row r="59" spans="1:62">
      <c r="B59" s="923"/>
      <c r="C59" s="923"/>
      <c r="D59" s="923"/>
      <c r="E59" s="923"/>
      <c r="F59" s="923"/>
      <c r="G59" s="923"/>
      <c r="H59" s="923"/>
      <c r="I59" s="923"/>
      <c r="J59" s="923"/>
      <c r="K59" s="923"/>
      <c r="L59" s="923"/>
      <c r="M59" s="923"/>
      <c r="N59" s="923"/>
      <c r="O59" s="923"/>
    </row>
    <row r="60" spans="1:62" ht="51.75" customHeight="1" thickBot="1">
      <c r="B60" s="2513"/>
      <c r="C60" s="2513"/>
      <c r="D60" s="2513"/>
      <c r="E60" s="2513"/>
      <c r="F60" s="2513"/>
      <c r="G60" s="2513" t="s">
        <v>3968</v>
      </c>
      <c r="H60" s="2513"/>
      <c r="I60" s="2513" t="s">
        <v>3693</v>
      </c>
      <c r="J60" s="2513"/>
      <c r="K60" s="1102" t="s">
        <v>3620</v>
      </c>
      <c r="L60" s="1089" t="s">
        <v>3627</v>
      </c>
      <c r="M60" s="2453" t="s">
        <v>3833</v>
      </c>
      <c r="N60" s="2633"/>
      <c r="O60" s="2454"/>
    </row>
    <row r="61" spans="1:62" ht="12.75" thickBot="1">
      <c r="B61" s="2551" t="s">
        <v>3824</v>
      </c>
      <c r="C61" s="2552"/>
      <c r="D61" s="2552"/>
      <c r="E61" s="2552"/>
      <c r="F61" s="2552"/>
      <c r="G61" s="2552"/>
      <c r="H61" s="2552"/>
      <c r="I61" s="2552"/>
      <c r="J61" s="2552"/>
      <c r="K61" s="2552"/>
      <c r="L61" s="2552"/>
      <c r="M61" s="2552"/>
      <c r="N61" s="2552"/>
      <c r="O61" s="2553"/>
    </row>
    <row r="62" spans="1:62" ht="82.5" customHeight="1">
      <c r="A62" s="931"/>
      <c r="B62" s="2427" t="s">
        <v>4186</v>
      </c>
      <c r="C62" s="2427"/>
      <c r="D62" s="2427"/>
      <c r="E62" s="2427"/>
      <c r="F62" s="2427"/>
      <c r="G62" s="2427" t="s">
        <v>215</v>
      </c>
      <c r="H62" s="2427"/>
      <c r="I62" s="2427" t="str">
        <f>ERMs!C74</f>
        <v xml:space="preserve"> non-apt ventilation fans,  CFM,  hp, 0%</v>
      </c>
      <c r="J62" s="2427"/>
      <c r="K62" s="1366" t="str">
        <f>ERMs!D74</f>
        <v>Baseline:  kW
Proposed:  kW</v>
      </c>
      <c r="L62" s="1107"/>
      <c r="M62" s="2444"/>
      <c r="N62" s="2634"/>
      <c r="O62" s="2445"/>
    </row>
    <row r="63" spans="1:62" s="1235" customFormat="1" ht="80.25" customHeight="1">
      <c r="A63" s="1234"/>
      <c r="B63" s="2398" t="s">
        <v>4187</v>
      </c>
      <c r="C63" s="2398"/>
      <c r="D63" s="2398"/>
      <c r="E63" s="2398"/>
      <c r="F63" s="2398"/>
      <c r="G63" s="2398" t="s">
        <v>215</v>
      </c>
      <c r="H63" s="2398"/>
      <c r="I63" s="2398" t="str">
        <f>ERMs!C72</f>
        <v xml:space="preserve">  hp fans, 0% ( CFM per fan)</v>
      </c>
      <c r="J63" s="2398"/>
      <c r="K63" s="1365" t="str">
        <f>ERMs!D72</f>
        <v>Baseline:  kW
Proposed:  kW</v>
      </c>
      <c r="L63" s="1101"/>
      <c r="M63" s="2446"/>
      <c r="N63" s="2447"/>
      <c r="O63" s="2471"/>
      <c r="P63" s="1234"/>
      <c r="Q63" s="1234"/>
      <c r="R63" s="1234"/>
      <c r="S63" s="1234"/>
      <c r="T63" s="1234"/>
      <c r="U63" s="1234"/>
      <c r="V63" s="1234"/>
      <c r="W63" s="1234"/>
      <c r="X63" s="1234"/>
      <c r="Y63" s="1234"/>
      <c r="Z63" s="1234"/>
      <c r="AA63" s="1234"/>
      <c r="AB63" s="1234"/>
      <c r="AC63" s="1234"/>
      <c r="AD63" s="1234"/>
      <c r="AE63" s="1234"/>
      <c r="AF63" s="1234"/>
      <c r="AG63" s="1234"/>
      <c r="AH63" s="1234"/>
      <c r="AI63" s="1234"/>
      <c r="AJ63" s="1234"/>
      <c r="AK63" s="1234"/>
      <c r="AL63" s="1234"/>
      <c r="AM63" s="1234"/>
      <c r="AN63" s="1234"/>
      <c r="AO63" s="1234"/>
      <c r="AP63" s="1234"/>
      <c r="AQ63" s="1234"/>
      <c r="AR63" s="1234"/>
      <c r="AS63" s="1234"/>
      <c r="AT63" s="1234"/>
      <c r="AU63" s="1234"/>
      <c r="AV63" s="1234"/>
      <c r="AW63" s="1234"/>
      <c r="AX63" s="1234"/>
      <c r="AY63" s="1234"/>
      <c r="AZ63" s="1234"/>
      <c r="BA63" s="1234"/>
      <c r="BB63" s="1234"/>
      <c r="BC63" s="1234"/>
      <c r="BD63" s="1234"/>
      <c r="BE63" s="1234"/>
      <c r="BF63" s="1234"/>
      <c r="BG63" s="1234"/>
      <c r="BH63" s="1234"/>
      <c r="BI63" s="1234"/>
      <c r="BJ63" s="1234"/>
    </row>
    <row r="64" spans="1:62" ht="42.75" customHeight="1">
      <c r="A64" s="934"/>
      <c r="B64" s="2398" t="s">
        <v>4188</v>
      </c>
      <c r="C64" s="2398"/>
      <c r="D64" s="2398"/>
      <c r="E64" s="2398"/>
      <c r="F64" s="2398"/>
      <c r="G64" s="2398" t="s">
        <v>3606</v>
      </c>
      <c r="H64" s="2398"/>
      <c r="I64" s="2398" t="str">
        <f>ERMs!C73</f>
        <v xml:space="preserve"> ,  CFM/W</v>
      </c>
      <c r="J64" s="2398"/>
      <c r="K64" s="1365" t="str">
        <f>ERMs!D73</f>
        <v>Baseline:  CFM/W
Proposed:  CFM/W</v>
      </c>
      <c r="L64" s="1101"/>
      <c r="M64" s="2446"/>
      <c r="N64" s="2447"/>
      <c r="O64" s="2471"/>
    </row>
    <row r="65" spans="1:62" ht="80.25" customHeight="1">
      <c r="A65" s="1361"/>
      <c r="B65" s="2407" t="s">
        <v>4593</v>
      </c>
      <c r="C65" s="2408"/>
      <c r="D65" s="2408"/>
      <c r="E65" s="2408"/>
      <c r="F65" s="2409"/>
      <c r="G65" s="2407" t="s">
        <v>4254</v>
      </c>
      <c r="H65" s="2409"/>
      <c r="I65" s="2398" t="str">
        <f>ERMs!C66</f>
        <v>Kitchen:  CFM ()
Bathroom:  CFM ()</v>
      </c>
      <c r="J65" s="2398"/>
      <c r="K65" s="1365" t="str">
        <f>ERMs!D66</f>
        <v>Baseline: 0 CFM
Proposed: 0 CFM</v>
      </c>
      <c r="L65" s="1101"/>
      <c r="M65" s="2446"/>
      <c r="N65" s="2447"/>
      <c r="O65" s="2471"/>
    </row>
    <row r="66" spans="1:62" ht="120" customHeight="1">
      <c r="A66" s="1361"/>
      <c r="B66" s="2463"/>
      <c r="C66" s="2464"/>
      <c r="D66" s="2464"/>
      <c r="E66" s="2464"/>
      <c r="F66" s="2601"/>
      <c r="G66" s="2463"/>
      <c r="H66" s="2601"/>
      <c r="I66" s="2391" t="str">
        <f>"Non-Corridor: "&amp;ERMs!C67</f>
        <v>Non-Corridor:  CFM</v>
      </c>
      <c r="J66" s="2417"/>
      <c r="K66" s="1365" t="str">
        <f>ERMs!D67</f>
        <v>Baseline:  CFM
Proposed:  CFM</v>
      </c>
      <c r="L66" s="1698"/>
      <c r="M66" s="1699"/>
      <c r="N66" s="1700"/>
      <c r="O66" s="1701"/>
    </row>
    <row r="67" spans="1:62" ht="195.75" customHeight="1">
      <c r="A67" s="1361"/>
      <c r="B67" s="2398" t="s">
        <v>4219</v>
      </c>
      <c r="C67" s="2398"/>
      <c r="D67" s="2398"/>
      <c r="E67" s="2398"/>
      <c r="F67" s="2398"/>
      <c r="G67" s="2398" t="s">
        <v>215</v>
      </c>
      <c r="H67" s="2398"/>
      <c r="I67" s="2398" t="str">
        <f>ERMs!C75</f>
        <v xml:space="preserve">Demand control ventilation: </v>
      </c>
      <c r="J67" s="2398"/>
      <c r="K67" s="1365" t="str">
        <f>ERMs!D75</f>
        <v>Baseline:  kW,  hr/day
Proposed:  kW,  hr/day</v>
      </c>
      <c r="L67" s="1101"/>
      <c r="M67" s="2446"/>
      <c r="N67" s="2447"/>
      <c r="O67" s="2471"/>
    </row>
    <row r="68" spans="1:62" ht="60" customHeight="1">
      <c r="A68" s="931"/>
      <c r="B68" s="2398" t="s">
        <v>4189</v>
      </c>
      <c r="C68" s="2398"/>
      <c r="D68" s="2398"/>
      <c r="E68" s="2398"/>
      <c r="F68" s="2398"/>
      <c r="G68" s="2398" t="s">
        <v>215</v>
      </c>
      <c r="H68" s="2398"/>
      <c r="I68" s="2398" t="str">
        <f>ERMs!C68</f>
        <v xml:space="preserve"> CFM</v>
      </c>
      <c r="J68" s="2398"/>
      <c r="K68" s="1365" t="str">
        <f>ERMs!D68</f>
        <v>Baseline:  CFM
Proposed:  CFM</v>
      </c>
      <c r="L68" s="1101"/>
      <c r="M68" s="2446"/>
      <c r="N68" s="2447"/>
      <c r="O68" s="2471"/>
    </row>
    <row r="69" spans="1:62" ht="129" customHeight="1">
      <c r="A69" s="931"/>
      <c r="B69" s="2398" t="s">
        <v>4515</v>
      </c>
      <c r="C69" s="2398"/>
      <c r="D69" s="2398"/>
      <c r="E69" s="2398"/>
      <c r="F69" s="2398"/>
      <c r="G69" s="2398" t="s">
        <v>4514</v>
      </c>
      <c r="H69" s="2398"/>
      <c r="I69" s="2398">
        <f>ERMs!C69</f>
        <v>0</v>
      </c>
      <c r="J69" s="2398"/>
      <c r="K69" s="1365" t="str">
        <f>ERMs!D69</f>
        <v xml:space="preserve">Baseline: 0
Proposed: </v>
      </c>
      <c r="L69" s="1766"/>
      <c r="M69" s="2446"/>
      <c r="N69" s="2447"/>
      <c r="O69" s="2471"/>
    </row>
    <row r="70" spans="1:62" ht="59.25" customHeight="1" thickBot="1">
      <c r="A70" s="931"/>
      <c r="B70" s="2613" t="s">
        <v>4190</v>
      </c>
      <c r="C70" s="2613"/>
      <c r="D70" s="2613"/>
      <c r="E70" s="2613"/>
      <c r="F70" s="2613"/>
      <c r="G70" s="2465" t="s">
        <v>215</v>
      </c>
      <c r="H70" s="2465"/>
      <c r="I70" s="2465" t="str">
        <f>ERMs!C70</f>
        <v>HRV/ERV: , 0%</v>
      </c>
      <c r="J70" s="2465"/>
      <c r="K70" s="1367" t="str">
        <f>ERMs!D70</f>
        <v>Baseline: N/A
Proposed: 0%</v>
      </c>
      <c r="L70" s="1097"/>
      <c r="M70" s="2614"/>
      <c r="N70" s="2615"/>
      <c r="O70" s="2616"/>
    </row>
    <row r="71" spans="1:62" ht="12.75" thickBot="1">
      <c r="A71" s="931"/>
      <c r="B71" s="2551" t="s">
        <v>3542</v>
      </c>
      <c r="C71" s="2552"/>
      <c r="D71" s="2552"/>
      <c r="E71" s="2552"/>
      <c r="F71" s="2552"/>
      <c r="G71" s="2552"/>
      <c r="H71" s="2552"/>
      <c r="I71" s="2552"/>
      <c r="J71" s="2552"/>
      <c r="K71" s="2552"/>
      <c r="L71" s="2552"/>
      <c r="M71" s="2552"/>
      <c r="N71" s="2552"/>
      <c r="O71" s="2553"/>
    </row>
    <row r="72" spans="1:62" ht="65.25" customHeight="1">
      <c r="A72" s="931"/>
      <c r="B72" s="2610" t="s">
        <v>4191</v>
      </c>
      <c r="C72" s="2611"/>
      <c r="D72" s="2611"/>
      <c r="E72" s="2611"/>
      <c r="F72" s="2612"/>
      <c r="G72" s="2608" t="s">
        <v>215</v>
      </c>
      <c r="H72" s="2609"/>
      <c r="I72" s="2617" t="str">
        <f>ERMs!C76</f>
        <v>N/A</v>
      </c>
      <c r="J72" s="2380"/>
      <c r="K72" s="1110" t="str">
        <f>ERMs!D76</f>
        <v>N/A</v>
      </c>
      <c r="L72" s="1107"/>
      <c r="M72" s="2605"/>
      <c r="N72" s="2606"/>
      <c r="O72" s="2607"/>
    </row>
    <row r="73" spans="1:62" s="1235" customFormat="1" ht="75.75" customHeight="1">
      <c r="A73" s="1234"/>
      <c r="B73" s="2391" t="s">
        <v>4192</v>
      </c>
      <c r="C73" s="2400"/>
      <c r="D73" s="2400"/>
      <c r="E73" s="2400"/>
      <c r="F73" s="2400"/>
      <c r="G73" s="2400"/>
      <c r="H73" s="2400"/>
      <c r="I73" s="2400"/>
      <c r="J73" s="2400"/>
      <c r="K73" s="2401"/>
      <c r="L73" s="1101"/>
      <c r="M73" s="2446"/>
      <c r="N73" s="2447"/>
      <c r="O73" s="2471"/>
      <c r="P73" s="1234"/>
      <c r="Q73" s="1234"/>
      <c r="R73" s="1234"/>
      <c r="S73" s="1234"/>
      <c r="T73" s="1234"/>
      <c r="U73" s="1234"/>
      <c r="V73" s="1234"/>
      <c r="W73" s="1234"/>
      <c r="X73" s="1234"/>
      <c r="Y73" s="1234"/>
      <c r="Z73" s="1234"/>
      <c r="AA73" s="1234"/>
      <c r="AB73" s="1234"/>
      <c r="AC73" s="1234"/>
      <c r="AD73" s="1234"/>
      <c r="AE73" s="1234"/>
      <c r="AF73" s="1234"/>
      <c r="AG73" s="1234"/>
      <c r="AH73" s="1234"/>
      <c r="AI73" s="1234"/>
      <c r="AJ73" s="1234"/>
      <c r="AK73" s="1234"/>
      <c r="AL73" s="1234"/>
      <c r="AM73" s="1234"/>
      <c r="AN73" s="1234"/>
      <c r="AO73" s="1234"/>
      <c r="AP73" s="1234"/>
      <c r="AQ73" s="1234"/>
      <c r="AR73" s="1234"/>
      <c r="AS73" s="1234"/>
      <c r="AT73" s="1234"/>
      <c r="AU73" s="1234"/>
      <c r="AV73" s="1234"/>
      <c r="AW73" s="1234"/>
      <c r="AX73" s="1234"/>
      <c r="AY73" s="1234"/>
      <c r="AZ73" s="1234"/>
      <c r="BA73" s="1234"/>
      <c r="BB73" s="1234"/>
      <c r="BC73" s="1234"/>
      <c r="BD73" s="1234"/>
      <c r="BE73" s="1234"/>
      <c r="BF73" s="1234"/>
      <c r="BG73" s="1234"/>
      <c r="BH73" s="1234"/>
      <c r="BI73" s="1234"/>
      <c r="BJ73" s="1234"/>
    </row>
    <row r="74" spans="1:62" ht="28.5" customHeight="1">
      <c r="A74" s="1361"/>
      <c r="B74" s="2391" t="s">
        <v>4193</v>
      </c>
      <c r="C74" s="2400"/>
      <c r="D74" s="2400"/>
      <c r="E74" s="2400"/>
      <c r="F74" s="2400"/>
      <c r="G74" s="2400"/>
      <c r="H74" s="2400"/>
      <c r="I74" s="2400"/>
      <c r="J74" s="2400"/>
      <c r="K74" s="2401"/>
      <c r="L74" s="1101"/>
      <c r="M74" s="2446"/>
      <c r="N74" s="2447"/>
      <c r="O74" s="2471"/>
    </row>
    <row r="75" spans="1:62" ht="32.25" customHeight="1" thickBot="1">
      <c r="A75" s="896"/>
      <c r="B75" s="2620" t="s">
        <v>4194</v>
      </c>
      <c r="C75" s="2621"/>
      <c r="D75" s="2621"/>
      <c r="E75" s="2621"/>
      <c r="F75" s="2621"/>
      <c r="G75" s="2621"/>
      <c r="H75" s="2621"/>
      <c r="I75" s="2621"/>
      <c r="J75" s="2621"/>
      <c r="K75" s="2622"/>
      <c r="L75" s="1097"/>
      <c r="M75" s="2602"/>
      <c r="N75" s="2603"/>
      <c r="O75" s="2604"/>
    </row>
    <row r="76" spans="1:62" ht="12.75" thickBot="1">
      <c r="A76" s="1362"/>
      <c r="B76" s="2551" t="s">
        <v>3551</v>
      </c>
      <c r="C76" s="2552"/>
      <c r="D76" s="2552"/>
      <c r="E76" s="2552"/>
      <c r="F76" s="2552"/>
      <c r="G76" s="2552"/>
      <c r="H76" s="2552"/>
      <c r="I76" s="2552"/>
      <c r="J76" s="2552"/>
      <c r="K76" s="2552"/>
      <c r="L76" s="2552"/>
      <c r="M76" s="2552"/>
      <c r="N76" s="2552"/>
      <c r="O76" s="2552"/>
    </row>
    <row r="77" spans="1:62" ht="89.25" customHeight="1">
      <c r="A77" s="896"/>
      <c r="B77" s="2617" t="s">
        <v>4594</v>
      </c>
      <c r="C77" s="2618"/>
      <c r="D77" s="2618"/>
      <c r="E77" s="2618"/>
      <c r="F77" s="2618"/>
      <c r="G77" s="2618"/>
      <c r="H77" s="2618"/>
      <c r="I77" s="2618"/>
      <c r="J77" s="2618"/>
      <c r="K77" s="2619"/>
      <c r="L77" s="1107"/>
      <c r="M77" s="2605"/>
      <c r="N77" s="2606"/>
      <c r="O77" s="2607"/>
    </row>
    <row r="78" spans="1:62" s="1235" customFormat="1" ht="30.75" customHeight="1">
      <c r="A78" s="1234"/>
      <c r="B78" s="2391" t="s">
        <v>4195</v>
      </c>
      <c r="C78" s="2400"/>
      <c r="D78" s="2400"/>
      <c r="E78" s="2400"/>
      <c r="F78" s="2400"/>
      <c r="G78" s="2400"/>
      <c r="H78" s="2400"/>
      <c r="I78" s="2400"/>
      <c r="J78" s="2400"/>
      <c r="K78" s="2401"/>
      <c r="L78" s="1101"/>
      <c r="M78" s="2446"/>
      <c r="N78" s="2447"/>
      <c r="O78" s="2471"/>
      <c r="P78" s="1234"/>
      <c r="Q78" s="1234"/>
      <c r="R78" s="1234"/>
      <c r="S78" s="1234"/>
      <c r="T78" s="1234"/>
      <c r="U78" s="1234"/>
      <c r="V78" s="1234"/>
      <c r="W78" s="1234"/>
      <c r="X78" s="1234"/>
      <c r="Y78" s="1234"/>
      <c r="Z78" s="1234"/>
      <c r="AA78" s="1234"/>
      <c r="AB78" s="1234"/>
      <c r="AC78" s="1234"/>
      <c r="AD78" s="1234"/>
      <c r="AE78" s="1234"/>
      <c r="AF78" s="1234"/>
      <c r="AG78" s="1234"/>
      <c r="AH78" s="1234"/>
      <c r="AI78" s="1234"/>
      <c r="AJ78" s="1234"/>
      <c r="AK78" s="1234"/>
      <c r="AL78" s="1234"/>
      <c r="AM78" s="1234"/>
      <c r="AN78" s="1234"/>
      <c r="AO78" s="1234"/>
      <c r="AP78" s="1234"/>
      <c r="AQ78" s="1234"/>
      <c r="AR78" s="1234"/>
      <c r="AS78" s="1234"/>
      <c r="AT78" s="1234"/>
      <c r="AU78" s="1234"/>
      <c r="AV78" s="1234"/>
      <c r="AW78" s="1234"/>
      <c r="AX78" s="1234"/>
      <c r="AY78" s="1234"/>
      <c r="AZ78" s="1234"/>
      <c r="BA78" s="1234"/>
      <c r="BB78" s="1234"/>
      <c r="BC78" s="1234"/>
      <c r="BD78" s="1234"/>
      <c r="BE78" s="1234"/>
      <c r="BF78" s="1234"/>
      <c r="BG78" s="1234"/>
      <c r="BH78" s="1234"/>
      <c r="BI78" s="1234"/>
      <c r="BJ78" s="1234"/>
    </row>
    <row r="79" spans="1:62" ht="31.5" customHeight="1">
      <c r="B79" s="2391" t="s">
        <v>4196</v>
      </c>
      <c r="C79" s="2400"/>
      <c r="D79" s="2400"/>
      <c r="E79" s="2400"/>
      <c r="F79" s="2400"/>
      <c r="G79" s="2400"/>
      <c r="H79" s="2400"/>
      <c r="I79" s="2400"/>
      <c r="J79" s="2400"/>
      <c r="K79" s="2401"/>
      <c r="L79" s="1101"/>
      <c r="M79" s="2446"/>
      <c r="N79" s="2447"/>
      <c r="O79" s="2471"/>
    </row>
    <row r="80" spans="1:62" ht="43.5" customHeight="1">
      <c r="B80" s="2391" t="s">
        <v>4197</v>
      </c>
      <c r="C80" s="2400"/>
      <c r="D80" s="2400"/>
      <c r="E80" s="2400"/>
      <c r="F80" s="2400"/>
      <c r="G80" s="2400"/>
      <c r="H80" s="2400"/>
      <c r="I80" s="2400"/>
      <c r="J80" s="2400"/>
      <c r="K80" s="2401"/>
      <c r="L80" s="1101"/>
      <c r="M80" s="2446"/>
      <c r="N80" s="2447"/>
      <c r="O80" s="2471"/>
    </row>
    <row r="81" spans="1:16" ht="40.5" customHeight="1">
      <c r="A81" s="931"/>
      <c r="B81" s="2391" t="s">
        <v>4198</v>
      </c>
      <c r="C81" s="2400"/>
      <c r="D81" s="2400"/>
      <c r="E81" s="2400"/>
      <c r="F81" s="2400"/>
      <c r="G81" s="2400"/>
      <c r="H81" s="2400"/>
      <c r="I81" s="2400"/>
      <c r="J81" s="2400"/>
      <c r="K81" s="2401"/>
      <c r="L81" s="1101"/>
      <c r="M81" s="2446"/>
      <c r="N81" s="2447"/>
      <c r="O81" s="2471"/>
    </row>
    <row r="82" spans="1:16" ht="57.75" customHeight="1">
      <c r="B82" s="2391" t="s">
        <v>4199</v>
      </c>
      <c r="C82" s="2400"/>
      <c r="D82" s="2400"/>
      <c r="E82" s="2400"/>
      <c r="F82" s="2400"/>
      <c r="G82" s="2400"/>
      <c r="H82" s="2400"/>
      <c r="I82" s="2400"/>
      <c r="J82" s="2400"/>
      <c r="K82" s="2401"/>
      <c r="L82" s="1345"/>
      <c r="M82" s="2446"/>
      <c r="N82" s="2447"/>
      <c r="O82" s="2471"/>
    </row>
    <row r="83" spans="1:16" ht="30" customHeight="1">
      <c r="A83" s="1361"/>
      <c r="B83" s="2391" t="s">
        <v>4200</v>
      </c>
      <c r="C83" s="2400"/>
      <c r="D83" s="2400"/>
      <c r="E83" s="2400"/>
      <c r="F83" s="2400"/>
      <c r="G83" s="2400"/>
      <c r="H83" s="2400"/>
      <c r="I83" s="2400"/>
      <c r="J83" s="2400"/>
      <c r="K83" s="2401"/>
      <c r="L83" s="1101"/>
      <c r="M83" s="2446"/>
      <c r="N83" s="2447"/>
      <c r="O83" s="2471"/>
    </row>
    <row r="84" spans="1:16" ht="43.5" customHeight="1">
      <c r="B84" s="2391" t="s">
        <v>4201</v>
      </c>
      <c r="C84" s="2400"/>
      <c r="D84" s="2400"/>
      <c r="E84" s="2400"/>
      <c r="F84" s="2400"/>
      <c r="G84" s="2400"/>
      <c r="H84" s="2400"/>
      <c r="I84" s="2400"/>
      <c r="J84" s="2400"/>
      <c r="K84" s="2401"/>
      <c r="L84" s="1101"/>
      <c r="M84" s="2446"/>
      <c r="N84" s="2447"/>
      <c r="O84" s="2471"/>
    </row>
    <row r="85" spans="1:16">
      <c r="A85" s="931"/>
      <c r="B85" s="923"/>
      <c r="C85" s="923"/>
      <c r="D85" s="923"/>
      <c r="E85" s="923"/>
      <c r="F85" s="923"/>
      <c r="G85" s="923"/>
      <c r="H85" s="923"/>
      <c r="I85" s="923"/>
      <c r="J85" s="923"/>
      <c r="K85" s="923"/>
      <c r="L85" s="923"/>
      <c r="M85" s="923"/>
      <c r="N85" s="923"/>
      <c r="O85" s="923"/>
    </row>
    <row r="86" spans="1:16">
      <c r="A86" s="931"/>
      <c r="B86" s="923"/>
      <c r="C86" s="923"/>
      <c r="D86" s="923"/>
      <c r="E86" s="923"/>
      <c r="F86" s="923"/>
      <c r="G86" s="923"/>
      <c r="H86" s="923"/>
      <c r="I86" s="923"/>
      <c r="J86" s="923"/>
      <c r="K86" s="923"/>
      <c r="L86" s="923"/>
      <c r="M86" s="923"/>
      <c r="N86" s="923"/>
      <c r="O86" s="923"/>
    </row>
    <row r="87" spans="1:16">
      <c r="B87" s="1358" t="s">
        <v>3825</v>
      </c>
      <c r="C87" s="2496"/>
      <c r="D87" s="2496"/>
      <c r="E87" s="2496"/>
      <c r="F87" s="2496"/>
      <c r="G87" s="2496"/>
      <c r="H87" s="2496"/>
      <c r="I87" s="2496"/>
      <c r="J87" s="2496"/>
      <c r="K87" s="2630"/>
      <c r="L87" s="2631"/>
      <c r="M87" s="2632"/>
      <c r="N87" s="2496"/>
      <c r="O87" s="2496"/>
      <c r="P87" s="896"/>
    </row>
    <row r="88" spans="1:16" ht="25.5" customHeight="1">
      <c r="B88" s="1359" t="s">
        <v>3826</v>
      </c>
      <c r="C88" s="2623"/>
      <c r="D88" s="2623"/>
      <c r="E88" s="2623"/>
      <c r="F88" s="2623"/>
      <c r="G88" s="2623"/>
      <c r="H88" s="2623"/>
      <c r="I88" s="2623"/>
      <c r="J88" s="2623"/>
      <c r="K88" s="2627"/>
      <c r="L88" s="2628"/>
      <c r="M88" s="2629"/>
      <c r="N88" s="2623"/>
      <c r="O88" s="2623"/>
    </row>
    <row r="89" spans="1:16" ht="25.5" customHeight="1">
      <c r="B89" s="1368" t="s">
        <v>3827</v>
      </c>
      <c r="C89" s="1114" t="s">
        <v>3800</v>
      </c>
      <c r="D89" s="1114" t="s">
        <v>2264</v>
      </c>
      <c r="E89" s="1114" t="s">
        <v>3800</v>
      </c>
      <c r="F89" s="1114" t="s">
        <v>2264</v>
      </c>
      <c r="G89" s="1114" t="s">
        <v>3800</v>
      </c>
      <c r="H89" s="1114" t="s">
        <v>2264</v>
      </c>
      <c r="I89" s="1114" t="s">
        <v>3800</v>
      </c>
      <c r="J89" s="1114" t="s">
        <v>2264</v>
      </c>
      <c r="K89" s="1114" t="s">
        <v>3800</v>
      </c>
      <c r="L89" s="2405" t="s">
        <v>2264</v>
      </c>
      <c r="M89" s="2406"/>
      <c r="N89" s="1114" t="s">
        <v>3800</v>
      </c>
      <c r="O89" s="1114" t="s">
        <v>2264</v>
      </c>
    </row>
    <row r="90" spans="1:16" ht="25.5" customHeight="1">
      <c r="B90" s="1212"/>
      <c r="C90" s="1212"/>
      <c r="D90" s="1364"/>
      <c r="E90" s="1212"/>
      <c r="F90" s="1364"/>
      <c r="G90" s="1212"/>
      <c r="H90" s="1364"/>
      <c r="I90" s="1212"/>
      <c r="J90" s="1364"/>
      <c r="K90" s="1212"/>
      <c r="L90" s="2624"/>
      <c r="M90" s="2625"/>
      <c r="N90" s="1212"/>
      <c r="O90" s="1364"/>
    </row>
    <row r="91" spans="1:16" ht="25.5" customHeight="1">
      <c r="B91" s="1212"/>
      <c r="C91" s="1212"/>
      <c r="D91" s="1364"/>
      <c r="E91" s="1212"/>
      <c r="F91" s="1364"/>
      <c r="G91" s="1212"/>
      <c r="H91" s="1364"/>
      <c r="I91" s="1212"/>
      <c r="J91" s="1364"/>
      <c r="K91" s="1212"/>
      <c r="L91" s="2624"/>
      <c r="M91" s="2625"/>
      <c r="N91" s="1212"/>
      <c r="O91" s="1364"/>
    </row>
    <row r="92" spans="1:16" ht="40.5" customHeight="1">
      <c r="B92" s="1212"/>
      <c r="C92" s="1212"/>
      <c r="D92" s="1364"/>
      <c r="E92" s="1212"/>
      <c r="F92" s="1364"/>
      <c r="G92" s="1212"/>
      <c r="H92" s="1364"/>
      <c r="I92" s="1212"/>
      <c r="J92" s="1364"/>
      <c r="K92" s="1212"/>
      <c r="L92" s="2624"/>
      <c r="M92" s="2625"/>
      <c r="N92" s="1212"/>
      <c r="O92" s="1364"/>
    </row>
    <row r="93" spans="1:16" ht="40.5" customHeight="1">
      <c r="B93" s="1212"/>
      <c r="C93" s="1212"/>
      <c r="D93" s="1364"/>
      <c r="E93" s="1212"/>
      <c r="F93" s="1364"/>
      <c r="G93" s="1212"/>
      <c r="H93" s="1364"/>
      <c r="I93" s="1212"/>
      <c r="J93" s="1364"/>
      <c r="K93" s="1212"/>
      <c r="L93" s="2624"/>
      <c r="M93" s="2625"/>
      <c r="N93" s="1212"/>
      <c r="O93" s="1364"/>
    </row>
    <row r="94" spans="1:16" ht="24" customHeight="1">
      <c r="B94" s="1212"/>
      <c r="C94" s="1212"/>
      <c r="D94" s="1364"/>
      <c r="E94" s="1212"/>
      <c r="F94" s="1364"/>
      <c r="G94" s="1212"/>
      <c r="H94" s="1364"/>
      <c r="I94" s="1212"/>
      <c r="J94" s="1364"/>
      <c r="K94" s="1212"/>
      <c r="L94" s="2624"/>
      <c r="M94" s="2625"/>
      <c r="N94" s="1212"/>
      <c r="O94" s="1364"/>
    </row>
    <row r="95" spans="1:16" ht="24" customHeight="1">
      <c r="B95" s="1212"/>
      <c r="C95" s="1212"/>
      <c r="D95" s="1364"/>
      <c r="E95" s="1212"/>
      <c r="F95" s="1364"/>
      <c r="G95" s="1212"/>
      <c r="H95" s="1364"/>
      <c r="I95" s="1212"/>
      <c r="J95" s="1364"/>
      <c r="K95" s="1212"/>
      <c r="L95" s="2624"/>
      <c r="M95" s="2625"/>
      <c r="N95" s="1212"/>
      <c r="O95" s="1364"/>
    </row>
    <row r="96" spans="1:16" ht="24" customHeight="1">
      <c r="B96" s="1359" t="s">
        <v>3828</v>
      </c>
      <c r="C96" s="2623"/>
      <c r="D96" s="2623"/>
      <c r="E96" s="2623"/>
      <c r="F96" s="2623"/>
      <c r="G96" s="2623"/>
      <c r="H96" s="2623"/>
      <c r="I96" s="2623"/>
      <c r="J96" s="2623"/>
      <c r="K96" s="2624"/>
      <c r="L96" s="2626"/>
      <c r="M96" s="2625"/>
      <c r="N96" s="2623"/>
      <c r="O96" s="2623"/>
    </row>
    <row r="97" spans="2:20" ht="24" customHeight="1">
      <c r="B97" s="1130"/>
    </row>
    <row r="98" spans="2:20" ht="29.25" customHeight="1">
      <c r="P98" s="923"/>
    </row>
    <row r="99" spans="2:20" ht="24" customHeight="1">
      <c r="P99" s="923"/>
    </row>
    <row r="100" spans="2:20" ht="67.5" customHeight="1"/>
    <row r="103" spans="2:20">
      <c r="T103" s="1119" t="s">
        <v>1493</v>
      </c>
    </row>
    <row r="104" spans="2:20">
      <c r="T104" s="1119" t="s">
        <v>1494</v>
      </c>
    </row>
    <row r="105" spans="2:20">
      <c r="T105" s="1119" t="s">
        <v>2677</v>
      </c>
    </row>
  </sheetData>
  <sheetProtection formatCells="0" formatColumns="0" formatRows="0" insertColumns="0" insertRows="0"/>
  <mergeCells count="131">
    <mergeCell ref="N1:O1"/>
    <mergeCell ref="N2:O2"/>
    <mergeCell ref="N3:O3"/>
    <mergeCell ref="N4:O4"/>
    <mergeCell ref="B6:O6"/>
    <mergeCell ref="B7:O7"/>
    <mergeCell ref="B8:O8"/>
    <mergeCell ref="B23:O23"/>
    <mergeCell ref="B24:O24"/>
    <mergeCell ref="M57:O57"/>
    <mergeCell ref="I60:J60"/>
    <mergeCell ref="G60:H60"/>
    <mergeCell ref="B60:F60"/>
    <mergeCell ref="M60:O60"/>
    <mergeCell ref="M62:O62"/>
    <mergeCell ref="M63:O63"/>
    <mergeCell ref="B25:K25"/>
    <mergeCell ref="B26:K26"/>
    <mergeCell ref="B31:O31"/>
    <mergeCell ref="B27:O27"/>
    <mergeCell ref="B28:O28"/>
    <mergeCell ref="B32:O32"/>
    <mergeCell ref="B33:O33"/>
    <mergeCell ref="B34:O34"/>
    <mergeCell ref="B35:O35"/>
    <mergeCell ref="B36:O36"/>
    <mergeCell ref="B37:O37"/>
    <mergeCell ref="B38:O38"/>
    <mergeCell ref="B39:O39"/>
    <mergeCell ref="B40:O40"/>
    <mergeCell ref="B41:O41"/>
    <mergeCell ref="B42:O42"/>
    <mergeCell ref="B43:O43"/>
    <mergeCell ref="C87:D87"/>
    <mergeCell ref="E87:F87"/>
    <mergeCell ref="G87:H87"/>
    <mergeCell ref="I87:J87"/>
    <mergeCell ref="N87:O87"/>
    <mergeCell ref="L89:M89"/>
    <mergeCell ref="L90:M90"/>
    <mergeCell ref="L91:M91"/>
    <mergeCell ref="B80:K80"/>
    <mergeCell ref="B81:K81"/>
    <mergeCell ref="B82:K82"/>
    <mergeCell ref="B83:K83"/>
    <mergeCell ref="B84:K84"/>
    <mergeCell ref="M80:O80"/>
    <mergeCell ref="M81:O81"/>
    <mergeCell ref="M82:O82"/>
    <mergeCell ref="M83:O83"/>
    <mergeCell ref="M84:O84"/>
    <mergeCell ref="K87:M87"/>
    <mergeCell ref="C96:D96"/>
    <mergeCell ref="E96:F96"/>
    <mergeCell ref="G96:H96"/>
    <mergeCell ref="I96:J96"/>
    <mergeCell ref="N96:O96"/>
    <mergeCell ref="C88:D88"/>
    <mergeCell ref="E88:F88"/>
    <mergeCell ref="G88:H88"/>
    <mergeCell ref="I88:J88"/>
    <mergeCell ref="N88:O88"/>
    <mergeCell ref="L92:M92"/>
    <mergeCell ref="L93:M93"/>
    <mergeCell ref="L94:M94"/>
    <mergeCell ref="L95:M95"/>
    <mergeCell ref="K96:M96"/>
    <mergeCell ref="K88:M88"/>
    <mergeCell ref="B44:O44"/>
    <mergeCell ref="B45:O45"/>
    <mergeCell ref="B46:O46"/>
    <mergeCell ref="B47:O47"/>
    <mergeCell ref="B77:K77"/>
    <mergeCell ref="B74:K74"/>
    <mergeCell ref="B75:K75"/>
    <mergeCell ref="B73:K73"/>
    <mergeCell ref="I62:J62"/>
    <mergeCell ref="I63:J63"/>
    <mergeCell ref="I64:J64"/>
    <mergeCell ref="I65:J65"/>
    <mergeCell ref="I67:J67"/>
    <mergeCell ref="I68:J68"/>
    <mergeCell ref="I70:J70"/>
    <mergeCell ref="I72:J72"/>
    <mergeCell ref="G62:H62"/>
    <mergeCell ref="G63:H63"/>
    <mergeCell ref="G68:H68"/>
    <mergeCell ref="G67:H67"/>
    <mergeCell ref="B76:O76"/>
    <mergeCell ref="M48:O48"/>
    <mergeCell ref="M49:O49"/>
    <mergeCell ref="M50:O50"/>
    <mergeCell ref="B78:K78"/>
    <mergeCell ref="B79:K79"/>
    <mergeCell ref="M75:O75"/>
    <mergeCell ref="M77:O77"/>
    <mergeCell ref="M78:O78"/>
    <mergeCell ref="M79:O79"/>
    <mergeCell ref="B71:O71"/>
    <mergeCell ref="G70:H70"/>
    <mergeCell ref="G72:H72"/>
    <mergeCell ref="B72:F72"/>
    <mergeCell ref="B70:F70"/>
    <mergeCell ref="M70:O70"/>
    <mergeCell ref="M72:O72"/>
    <mergeCell ref="M73:O73"/>
    <mergeCell ref="M74:O74"/>
    <mergeCell ref="B69:F69"/>
    <mergeCell ref="G69:H69"/>
    <mergeCell ref="I69:J69"/>
    <mergeCell ref="M69:O69"/>
    <mergeCell ref="M51:O51"/>
    <mergeCell ref="M52:O52"/>
    <mergeCell ref="M53:O53"/>
    <mergeCell ref="M54:O54"/>
    <mergeCell ref="M55:O55"/>
    <mergeCell ref="M56:O56"/>
    <mergeCell ref="B68:F68"/>
    <mergeCell ref="B67:F67"/>
    <mergeCell ref="B64:F64"/>
    <mergeCell ref="G64:H64"/>
    <mergeCell ref="M64:O64"/>
    <mergeCell ref="M65:O65"/>
    <mergeCell ref="M67:O67"/>
    <mergeCell ref="M68:O68"/>
    <mergeCell ref="B61:O61"/>
    <mergeCell ref="B63:F63"/>
    <mergeCell ref="B62:F62"/>
    <mergeCell ref="B65:F66"/>
    <mergeCell ref="G65:H66"/>
    <mergeCell ref="I66:J66"/>
  </mergeCells>
  <dataValidations count="1">
    <dataValidation type="list" allowBlank="1" showInputMessage="1" showErrorMessage="1" sqref="N65608:O65611 L77:L84 ACX79:ACY83 AMT79:AMU83 AWP79:AWQ83 BGL79:BGM83 BQH79:BQI83 CAD79:CAE83 CJZ79:CKA83 CTV79:CTW83 DDR79:DDS83 DNN79:DNO83 DXJ79:DXK83 EHF79:EHG83 ERB79:ERC83 FAX79:FAY83 FKT79:FKU83 FUP79:FUQ83 GEL79:GEM83 GOH79:GOI83 GYD79:GYE83 HHZ79:HIA83 HRV79:HRW83 IBR79:IBS83 ILN79:ILO83 IVJ79:IVK83 JFF79:JFG83 JPB79:JPC83 JYX79:JYY83 KIT79:KIU83 KSP79:KSQ83 LCL79:LCM83 LMH79:LMI83 LWD79:LWE83 MFZ79:MGA83 MPV79:MPW83 MZR79:MZS83 NJN79:NJO83 NTJ79:NTK83 ODF79:ODG83 ONB79:ONC83 OWX79:OWY83 PGT79:PGU83 PQP79:PQQ83 QAL79:QAM83 QKH79:QKI83 QUD79:QUE83 RDZ79:REA83 RNV79:RNW83 RXR79:RXS83 SHN79:SHO83 SRJ79:SRK83 TBF79:TBG83 TLB79:TLC83 TUX79:TUY83 UET79:UEU83 UOP79:UOQ83 UYL79:UYM83 VIH79:VII83 VSD79:VSE83 WBZ79:WCA83 WLV79:WLW83 WVR79:WVS83 L49:L57 WVS84 WLW84 WCA84 VSE84 VII84 UYM84 UOQ84 UEU84 TUY84 TLC84 TBG84 SRK84 SHO84 RXS84 RNW84 REA84 QUE84 QKI84 QAM84 PQQ84 PGU84 OWY84 ONC84 ODG84 NTK84 NJO84 MZS84 MPW84 MGA84 LWE84 LMI84 LCM84 KSQ84 KIU84 JYY84 JPC84 JFG84 IVK84 ILO84 IBS84 HRW84 HIA84 GYE84 GOI84 GEM84 FUQ84 FKU84 FAY84 ERC84 EHG84 DXK84 DNO84 DDS84 CTW84 CKA84 CAE84 BQI84 BGM84 AWQ84 AMU84 ACY84 TC84 JG84 JF49 L72:L75 JF77:JG77 JH76:JI76 JF74:JG75 TB77:TC77 TD76:TE76 TB74:TC75 ACX77:ACY77 ACZ76:ADA76 ACX74:ACY75 AMT77:AMU77 AMV76:AMW76 AMT74:AMU75 AWP77:AWQ77 AWR76:AWS76 AWP74:AWQ75 BGL77:BGM77 BGN76:BGO76 BGL74:BGM75 BQH77:BQI77 BQJ76:BQK76 BQH74:BQI75 CAD77:CAE77 CAF76:CAG76 CAD74:CAE75 CJZ77:CKA77 CKB76:CKC76 CJZ74:CKA75 CTV77:CTW77 CTX76:CTY76 CTV74:CTW75 DDR77:DDS77 DDT76:DDU76 DDR74:DDS75 DNN77:DNO77 DNP76:DNQ76 DNN74:DNO75 DXJ77:DXK77 DXL76:DXM76 DXJ74:DXK75 EHF77:EHG77 EHH76:EHI76 EHF74:EHG75 ERB77:ERC77 ERD76:ERE76 ERB74:ERC75 FAX77:FAY77 FAZ76:FBA76 FAX74:FAY75 FKT77:FKU77 FKV76:FKW76 FKT74:FKU75 FUP77:FUQ77 FUR76:FUS76 FUP74:FUQ75 GEL77:GEM77 GEN76:GEO76 GEL74:GEM75 GOH77:GOI77 GOJ76:GOK76 GOH74:GOI75 GYD77:GYE77 GYF76:GYG76 GYD74:GYE75 HHZ77:HIA77 HIB76:HIC76 HHZ74:HIA75 HRV77:HRW77 HRX76:HRY76 HRV74:HRW75 IBR77:IBS77 IBT76:IBU76 IBR74:IBS75 ILN77:ILO77 ILP76:ILQ76 ILN74:ILO75 IVJ77:IVK77 IVL76:IVM76 IVJ74:IVK75 JFF77:JFG77 JFH76:JFI76 JFF74:JFG75 JPB77:JPC77 JPD76:JPE76 JPB74:JPC75 JYX77:JYY77 JYZ76:JZA76 JYX74:JYY75 KIT77:KIU77 KIV76:KIW76 KIT74:KIU75 KSP77:KSQ77 KSR76:KSS76 KSP74:KSQ75 LCL77:LCM77 LCN76:LCO76 LCL74:LCM75 LMH77:LMI77 LMJ76:LMK76 LMH74:LMI75 LWD77:LWE77 LWF76:LWG76 LWD74:LWE75 MFZ77:MGA77 MGB76:MGC76 MFZ74:MGA75 MPV77:MPW77 MPX76:MPY76 MPV74:MPW75 MZR77:MZS77 MZT76:MZU76 MZR74:MZS75 NJN77:NJO77 NJP76:NJQ76 NJN74:NJO75 NTJ77:NTK77 NTL76:NTM76 NTJ74:NTK75 ODF77:ODG77 ODH76:ODI76 ODF74:ODG75 ONB77:ONC77 OND76:ONE76 ONB74:ONC75 OWX77:OWY77 OWZ76:OXA76 OWX74:OWY75 PGT77:PGU77 PGV76:PGW76 PGT74:PGU75 PQP77:PQQ77 PQR76:PQS76 PQP74:PQQ75 QAL77:QAM77 QAN76:QAO76 QAL74:QAM75 QKH77:QKI77 QKJ76:QKK76 QKH74:QKI75 QUD77:QUE77 QUF76:QUG76 QUD74:QUE75 RDZ77:REA77 REB76:REC76 RDZ74:REA75 RNV77:RNW77 RNX76:RNY76 RNV74:RNW75 RXR77:RXS77 RXT76:RXU76 RXR74:RXS75 SHN77:SHO77 SHP76:SHQ76 SHN74:SHO75 SRJ77:SRK77 SRL76:SRM76 SRJ74:SRK75 TBF77:TBG77 TBH76:TBI76 TBF74:TBG75 TLB77:TLC77 TLD76:TLE76 TLB74:TLC75 TUX77:TUY77 TUZ76:TVA76 TUX74:TUY75 UET77:UEU77 UEV76:UEW76 UET74:UEU75 UOP77:UOQ77 UOR76:UOS76 UOP74:UOQ75 UYL77:UYM77 UYN76:UYO76 UYL74:UYM75 VIH77:VII77 VIJ76:VIK76 VIH74:VII75 VSD77:VSE77 VSF76:VSG76 VSD74:VSE75 WBZ77:WCA77 WCB76:WCC76 WBZ74:WCA75 WLV77:WLW77 WLX76:WLY76 WLV74:WLW75 WVR77:WVS77 WVT76:WVU76 WVR74:WVS75 JH65610:JI65613 TD65610:TE65613 ACZ65610:ADA65613 AMV65610:AMW65613 AWR65610:AWS65613 BGN65610:BGO65613 BQJ65610:BQK65613 CAF65610:CAG65613 CKB65610:CKC65613 CTX65610:CTY65613 DDT65610:DDU65613 DNP65610:DNQ65613 DXL65610:DXM65613 EHH65610:EHI65613 ERD65610:ERE65613 FAZ65610:FBA65613 FKV65610:FKW65613 FUR65610:FUS65613 GEN65610:GEO65613 GOJ65610:GOK65613 GYF65610:GYG65613 HIB65610:HIC65613 HRX65610:HRY65613 IBT65610:IBU65613 ILP65610:ILQ65613 IVL65610:IVM65613 JFH65610:JFI65613 JPD65610:JPE65613 JYZ65610:JZA65613 KIV65610:KIW65613 KSR65610:KSS65613 LCN65610:LCO65613 LMJ65610:LMK65613 LWF65610:LWG65613 MGB65610:MGC65613 MPX65610:MPY65613 MZT65610:MZU65613 NJP65610:NJQ65613 NTL65610:NTM65613 ODH65610:ODI65613 OND65610:ONE65613 OWZ65610:OXA65613 PGV65610:PGW65613 PQR65610:PQS65613 QAN65610:QAO65613 QKJ65610:QKK65613 QUF65610:QUG65613 REB65610:REC65613 RNX65610:RNY65613 RXT65610:RXU65613 SHP65610:SHQ65613 SRL65610:SRM65613 TBH65610:TBI65613 TLD65610:TLE65613 TUZ65610:TVA65613 UEV65610:UEW65613 UOR65610:UOS65613 UYN65610:UYO65613 VIJ65610:VIK65613 VSF65610:VSG65613 WCB65610:WCC65613 WLX65610:WLY65613 WVT65610:WVU65613 JH131146:JI131149 TD131146:TE131149 ACZ131146:ADA131149 AMV131146:AMW131149 AWR131146:AWS131149 BGN131146:BGO131149 BQJ131146:BQK131149 CAF131146:CAG131149 CKB131146:CKC131149 CTX131146:CTY131149 DDT131146:DDU131149 DNP131146:DNQ131149 DXL131146:DXM131149 EHH131146:EHI131149 ERD131146:ERE131149 FAZ131146:FBA131149 FKV131146:FKW131149 FUR131146:FUS131149 GEN131146:GEO131149 GOJ131146:GOK131149 GYF131146:GYG131149 HIB131146:HIC131149 HRX131146:HRY131149 IBT131146:IBU131149 ILP131146:ILQ131149 IVL131146:IVM131149 JFH131146:JFI131149 JPD131146:JPE131149 JYZ131146:JZA131149 KIV131146:KIW131149 KSR131146:KSS131149 LCN131146:LCO131149 LMJ131146:LMK131149 LWF131146:LWG131149 MGB131146:MGC131149 MPX131146:MPY131149 MZT131146:MZU131149 NJP131146:NJQ131149 NTL131146:NTM131149 ODH131146:ODI131149 OND131146:ONE131149 OWZ131146:OXA131149 PGV131146:PGW131149 PQR131146:PQS131149 QAN131146:QAO131149 QKJ131146:QKK131149 QUF131146:QUG131149 REB131146:REC131149 RNX131146:RNY131149 RXT131146:RXU131149 SHP131146:SHQ131149 SRL131146:SRM131149 TBH131146:TBI131149 TLD131146:TLE131149 TUZ131146:TVA131149 UEV131146:UEW131149 UOR131146:UOS131149 UYN131146:UYO131149 VIJ131146:VIK131149 VSF131146:VSG131149 WCB131146:WCC131149 WLX131146:WLY131149 WVT131146:WVU131149 JH196682:JI196685 TD196682:TE196685 ACZ196682:ADA196685 AMV196682:AMW196685 AWR196682:AWS196685 BGN196682:BGO196685 BQJ196682:BQK196685 CAF196682:CAG196685 CKB196682:CKC196685 CTX196682:CTY196685 DDT196682:DDU196685 DNP196682:DNQ196685 DXL196682:DXM196685 EHH196682:EHI196685 ERD196682:ERE196685 FAZ196682:FBA196685 FKV196682:FKW196685 FUR196682:FUS196685 GEN196682:GEO196685 GOJ196682:GOK196685 GYF196682:GYG196685 HIB196682:HIC196685 HRX196682:HRY196685 IBT196682:IBU196685 ILP196682:ILQ196685 IVL196682:IVM196685 JFH196682:JFI196685 JPD196682:JPE196685 JYZ196682:JZA196685 KIV196682:KIW196685 KSR196682:KSS196685 LCN196682:LCO196685 LMJ196682:LMK196685 LWF196682:LWG196685 MGB196682:MGC196685 MPX196682:MPY196685 MZT196682:MZU196685 NJP196682:NJQ196685 NTL196682:NTM196685 ODH196682:ODI196685 OND196682:ONE196685 OWZ196682:OXA196685 PGV196682:PGW196685 PQR196682:PQS196685 QAN196682:QAO196685 QKJ196682:QKK196685 QUF196682:QUG196685 REB196682:REC196685 RNX196682:RNY196685 RXT196682:RXU196685 SHP196682:SHQ196685 SRL196682:SRM196685 TBH196682:TBI196685 TLD196682:TLE196685 TUZ196682:TVA196685 UEV196682:UEW196685 UOR196682:UOS196685 UYN196682:UYO196685 VIJ196682:VIK196685 VSF196682:VSG196685 WCB196682:WCC196685 WLX196682:WLY196685 WVT196682:WVU196685 JH262218:JI262221 TD262218:TE262221 ACZ262218:ADA262221 AMV262218:AMW262221 AWR262218:AWS262221 BGN262218:BGO262221 BQJ262218:BQK262221 CAF262218:CAG262221 CKB262218:CKC262221 CTX262218:CTY262221 DDT262218:DDU262221 DNP262218:DNQ262221 DXL262218:DXM262221 EHH262218:EHI262221 ERD262218:ERE262221 FAZ262218:FBA262221 FKV262218:FKW262221 FUR262218:FUS262221 GEN262218:GEO262221 GOJ262218:GOK262221 GYF262218:GYG262221 HIB262218:HIC262221 HRX262218:HRY262221 IBT262218:IBU262221 ILP262218:ILQ262221 IVL262218:IVM262221 JFH262218:JFI262221 JPD262218:JPE262221 JYZ262218:JZA262221 KIV262218:KIW262221 KSR262218:KSS262221 LCN262218:LCO262221 LMJ262218:LMK262221 LWF262218:LWG262221 MGB262218:MGC262221 MPX262218:MPY262221 MZT262218:MZU262221 NJP262218:NJQ262221 NTL262218:NTM262221 ODH262218:ODI262221 OND262218:ONE262221 OWZ262218:OXA262221 PGV262218:PGW262221 PQR262218:PQS262221 QAN262218:QAO262221 QKJ262218:QKK262221 QUF262218:QUG262221 REB262218:REC262221 RNX262218:RNY262221 RXT262218:RXU262221 SHP262218:SHQ262221 SRL262218:SRM262221 TBH262218:TBI262221 TLD262218:TLE262221 TUZ262218:TVA262221 UEV262218:UEW262221 UOR262218:UOS262221 UYN262218:UYO262221 VIJ262218:VIK262221 VSF262218:VSG262221 WCB262218:WCC262221 WLX262218:WLY262221 WVT262218:WVU262221 JH327754:JI327757 TD327754:TE327757 ACZ327754:ADA327757 AMV327754:AMW327757 AWR327754:AWS327757 BGN327754:BGO327757 BQJ327754:BQK327757 CAF327754:CAG327757 CKB327754:CKC327757 CTX327754:CTY327757 DDT327754:DDU327757 DNP327754:DNQ327757 DXL327754:DXM327757 EHH327754:EHI327757 ERD327754:ERE327757 FAZ327754:FBA327757 FKV327754:FKW327757 FUR327754:FUS327757 GEN327754:GEO327757 GOJ327754:GOK327757 GYF327754:GYG327757 HIB327754:HIC327757 HRX327754:HRY327757 IBT327754:IBU327757 ILP327754:ILQ327757 IVL327754:IVM327757 JFH327754:JFI327757 JPD327754:JPE327757 JYZ327754:JZA327757 KIV327754:KIW327757 KSR327754:KSS327757 LCN327754:LCO327757 LMJ327754:LMK327757 LWF327754:LWG327757 MGB327754:MGC327757 MPX327754:MPY327757 MZT327754:MZU327757 NJP327754:NJQ327757 NTL327754:NTM327757 ODH327754:ODI327757 OND327754:ONE327757 OWZ327754:OXA327757 PGV327754:PGW327757 PQR327754:PQS327757 QAN327754:QAO327757 QKJ327754:QKK327757 QUF327754:QUG327757 REB327754:REC327757 RNX327754:RNY327757 RXT327754:RXU327757 SHP327754:SHQ327757 SRL327754:SRM327757 TBH327754:TBI327757 TLD327754:TLE327757 TUZ327754:TVA327757 UEV327754:UEW327757 UOR327754:UOS327757 UYN327754:UYO327757 VIJ327754:VIK327757 VSF327754:VSG327757 WCB327754:WCC327757 WLX327754:WLY327757 WVT327754:WVU327757 JH393290:JI393293 TD393290:TE393293 ACZ393290:ADA393293 AMV393290:AMW393293 AWR393290:AWS393293 BGN393290:BGO393293 BQJ393290:BQK393293 CAF393290:CAG393293 CKB393290:CKC393293 CTX393290:CTY393293 DDT393290:DDU393293 DNP393290:DNQ393293 DXL393290:DXM393293 EHH393290:EHI393293 ERD393290:ERE393293 FAZ393290:FBA393293 FKV393290:FKW393293 FUR393290:FUS393293 GEN393290:GEO393293 GOJ393290:GOK393293 GYF393290:GYG393293 HIB393290:HIC393293 HRX393290:HRY393293 IBT393290:IBU393293 ILP393290:ILQ393293 IVL393290:IVM393293 JFH393290:JFI393293 JPD393290:JPE393293 JYZ393290:JZA393293 KIV393290:KIW393293 KSR393290:KSS393293 LCN393290:LCO393293 LMJ393290:LMK393293 LWF393290:LWG393293 MGB393290:MGC393293 MPX393290:MPY393293 MZT393290:MZU393293 NJP393290:NJQ393293 NTL393290:NTM393293 ODH393290:ODI393293 OND393290:ONE393293 OWZ393290:OXA393293 PGV393290:PGW393293 PQR393290:PQS393293 QAN393290:QAO393293 QKJ393290:QKK393293 QUF393290:QUG393293 REB393290:REC393293 RNX393290:RNY393293 RXT393290:RXU393293 SHP393290:SHQ393293 SRL393290:SRM393293 TBH393290:TBI393293 TLD393290:TLE393293 TUZ393290:TVA393293 UEV393290:UEW393293 UOR393290:UOS393293 UYN393290:UYO393293 VIJ393290:VIK393293 VSF393290:VSG393293 WCB393290:WCC393293 WLX393290:WLY393293 WVT393290:WVU393293 JH458826:JI458829 TD458826:TE458829 ACZ458826:ADA458829 AMV458826:AMW458829 AWR458826:AWS458829 BGN458826:BGO458829 BQJ458826:BQK458829 CAF458826:CAG458829 CKB458826:CKC458829 CTX458826:CTY458829 DDT458826:DDU458829 DNP458826:DNQ458829 DXL458826:DXM458829 EHH458826:EHI458829 ERD458826:ERE458829 FAZ458826:FBA458829 FKV458826:FKW458829 FUR458826:FUS458829 GEN458826:GEO458829 GOJ458826:GOK458829 GYF458826:GYG458829 HIB458826:HIC458829 HRX458826:HRY458829 IBT458826:IBU458829 ILP458826:ILQ458829 IVL458826:IVM458829 JFH458826:JFI458829 JPD458826:JPE458829 JYZ458826:JZA458829 KIV458826:KIW458829 KSR458826:KSS458829 LCN458826:LCO458829 LMJ458826:LMK458829 LWF458826:LWG458829 MGB458826:MGC458829 MPX458826:MPY458829 MZT458826:MZU458829 NJP458826:NJQ458829 NTL458826:NTM458829 ODH458826:ODI458829 OND458826:ONE458829 OWZ458826:OXA458829 PGV458826:PGW458829 PQR458826:PQS458829 QAN458826:QAO458829 QKJ458826:QKK458829 QUF458826:QUG458829 REB458826:REC458829 RNX458826:RNY458829 RXT458826:RXU458829 SHP458826:SHQ458829 SRL458826:SRM458829 TBH458826:TBI458829 TLD458826:TLE458829 TUZ458826:TVA458829 UEV458826:UEW458829 UOR458826:UOS458829 UYN458826:UYO458829 VIJ458826:VIK458829 VSF458826:VSG458829 WCB458826:WCC458829 WLX458826:WLY458829 WVT458826:WVU458829 JH524362:JI524365 TD524362:TE524365 ACZ524362:ADA524365 AMV524362:AMW524365 AWR524362:AWS524365 BGN524362:BGO524365 BQJ524362:BQK524365 CAF524362:CAG524365 CKB524362:CKC524365 CTX524362:CTY524365 DDT524362:DDU524365 DNP524362:DNQ524365 DXL524362:DXM524365 EHH524362:EHI524365 ERD524362:ERE524365 FAZ524362:FBA524365 FKV524362:FKW524365 FUR524362:FUS524365 GEN524362:GEO524365 GOJ524362:GOK524365 GYF524362:GYG524365 HIB524362:HIC524365 HRX524362:HRY524365 IBT524362:IBU524365 ILP524362:ILQ524365 IVL524362:IVM524365 JFH524362:JFI524365 JPD524362:JPE524365 JYZ524362:JZA524365 KIV524362:KIW524365 KSR524362:KSS524365 LCN524362:LCO524365 LMJ524362:LMK524365 LWF524362:LWG524365 MGB524362:MGC524365 MPX524362:MPY524365 MZT524362:MZU524365 NJP524362:NJQ524365 NTL524362:NTM524365 ODH524362:ODI524365 OND524362:ONE524365 OWZ524362:OXA524365 PGV524362:PGW524365 PQR524362:PQS524365 QAN524362:QAO524365 QKJ524362:QKK524365 QUF524362:QUG524365 REB524362:REC524365 RNX524362:RNY524365 RXT524362:RXU524365 SHP524362:SHQ524365 SRL524362:SRM524365 TBH524362:TBI524365 TLD524362:TLE524365 TUZ524362:TVA524365 UEV524362:UEW524365 UOR524362:UOS524365 UYN524362:UYO524365 VIJ524362:VIK524365 VSF524362:VSG524365 WCB524362:WCC524365 WLX524362:WLY524365 WVT524362:WVU524365 JH589898:JI589901 TD589898:TE589901 ACZ589898:ADA589901 AMV589898:AMW589901 AWR589898:AWS589901 BGN589898:BGO589901 BQJ589898:BQK589901 CAF589898:CAG589901 CKB589898:CKC589901 CTX589898:CTY589901 DDT589898:DDU589901 DNP589898:DNQ589901 DXL589898:DXM589901 EHH589898:EHI589901 ERD589898:ERE589901 FAZ589898:FBA589901 FKV589898:FKW589901 FUR589898:FUS589901 GEN589898:GEO589901 GOJ589898:GOK589901 GYF589898:GYG589901 HIB589898:HIC589901 HRX589898:HRY589901 IBT589898:IBU589901 ILP589898:ILQ589901 IVL589898:IVM589901 JFH589898:JFI589901 JPD589898:JPE589901 JYZ589898:JZA589901 KIV589898:KIW589901 KSR589898:KSS589901 LCN589898:LCO589901 LMJ589898:LMK589901 LWF589898:LWG589901 MGB589898:MGC589901 MPX589898:MPY589901 MZT589898:MZU589901 NJP589898:NJQ589901 NTL589898:NTM589901 ODH589898:ODI589901 OND589898:ONE589901 OWZ589898:OXA589901 PGV589898:PGW589901 PQR589898:PQS589901 QAN589898:QAO589901 QKJ589898:QKK589901 QUF589898:QUG589901 REB589898:REC589901 RNX589898:RNY589901 RXT589898:RXU589901 SHP589898:SHQ589901 SRL589898:SRM589901 TBH589898:TBI589901 TLD589898:TLE589901 TUZ589898:TVA589901 UEV589898:UEW589901 UOR589898:UOS589901 UYN589898:UYO589901 VIJ589898:VIK589901 VSF589898:VSG589901 WCB589898:WCC589901 WLX589898:WLY589901 WVT589898:WVU589901 JH655434:JI655437 TD655434:TE655437 ACZ655434:ADA655437 AMV655434:AMW655437 AWR655434:AWS655437 BGN655434:BGO655437 BQJ655434:BQK655437 CAF655434:CAG655437 CKB655434:CKC655437 CTX655434:CTY655437 DDT655434:DDU655437 DNP655434:DNQ655437 DXL655434:DXM655437 EHH655434:EHI655437 ERD655434:ERE655437 FAZ655434:FBA655437 FKV655434:FKW655437 FUR655434:FUS655437 GEN655434:GEO655437 GOJ655434:GOK655437 GYF655434:GYG655437 HIB655434:HIC655437 HRX655434:HRY655437 IBT655434:IBU655437 ILP655434:ILQ655437 IVL655434:IVM655437 JFH655434:JFI655437 JPD655434:JPE655437 JYZ655434:JZA655437 KIV655434:KIW655437 KSR655434:KSS655437 LCN655434:LCO655437 LMJ655434:LMK655437 LWF655434:LWG655437 MGB655434:MGC655437 MPX655434:MPY655437 MZT655434:MZU655437 NJP655434:NJQ655437 NTL655434:NTM655437 ODH655434:ODI655437 OND655434:ONE655437 OWZ655434:OXA655437 PGV655434:PGW655437 PQR655434:PQS655437 QAN655434:QAO655437 QKJ655434:QKK655437 QUF655434:QUG655437 REB655434:REC655437 RNX655434:RNY655437 RXT655434:RXU655437 SHP655434:SHQ655437 SRL655434:SRM655437 TBH655434:TBI655437 TLD655434:TLE655437 TUZ655434:TVA655437 UEV655434:UEW655437 UOR655434:UOS655437 UYN655434:UYO655437 VIJ655434:VIK655437 VSF655434:VSG655437 WCB655434:WCC655437 WLX655434:WLY655437 WVT655434:WVU655437 JH720970:JI720973 TD720970:TE720973 ACZ720970:ADA720973 AMV720970:AMW720973 AWR720970:AWS720973 BGN720970:BGO720973 BQJ720970:BQK720973 CAF720970:CAG720973 CKB720970:CKC720973 CTX720970:CTY720973 DDT720970:DDU720973 DNP720970:DNQ720973 DXL720970:DXM720973 EHH720970:EHI720973 ERD720970:ERE720973 FAZ720970:FBA720973 FKV720970:FKW720973 FUR720970:FUS720973 GEN720970:GEO720973 GOJ720970:GOK720973 GYF720970:GYG720973 HIB720970:HIC720973 HRX720970:HRY720973 IBT720970:IBU720973 ILP720970:ILQ720973 IVL720970:IVM720973 JFH720970:JFI720973 JPD720970:JPE720973 JYZ720970:JZA720973 KIV720970:KIW720973 KSR720970:KSS720973 LCN720970:LCO720973 LMJ720970:LMK720973 LWF720970:LWG720973 MGB720970:MGC720973 MPX720970:MPY720973 MZT720970:MZU720973 NJP720970:NJQ720973 NTL720970:NTM720973 ODH720970:ODI720973 OND720970:ONE720973 OWZ720970:OXA720973 PGV720970:PGW720973 PQR720970:PQS720973 QAN720970:QAO720973 QKJ720970:QKK720973 QUF720970:QUG720973 REB720970:REC720973 RNX720970:RNY720973 RXT720970:RXU720973 SHP720970:SHQ720973 SRL720970:SRM720973 TBH720970:TBI720973 TLD720970:TLE720973 TUZ720970:TVA720973 UEV720970:UEW720973 UOR720970:UOS720973 UYN720970:UYO720973 VIJ720970:VIK720973 VSF720970:VSG720973 WCB720970:WCC720973 WLX720970:WLY720973 WVT720970:WVU720973 JH786506:JI786509 TD786506:TE786509 ACZ786506:ADA786509 AMV786506:AMW786509 AWR786506:AWS786509 BGN786506:BGO786509 BQJ786506:BQK786509 CAF786506:CAG786509 CKB786506:CKC786509 CTX786506:CTY786509 DDT786506:DDU786509 DNP786506:DNQ786509 DXL786506:DXM786509 EHH786506:EHI786509 ERD786506:ERE786509 FAZ786506:FBA786509 FKV786506:FKW786509 FUR786506:FUS786509 GEN786506:GEO786509 GOJ786506:GOK786509 GYF786506:GYG786509 HIB786506:HIC786509 HRX786506:HRY786509 IBT786506:IBU786509 ILP786506:ILQ786509 IVL786506:IVM786509 JFH786506:JFI786509 JPD786506:JPE786509 JYZ786506:JZA786509 KIV786506:KIW786509 KSR786506:KSS786509 LCN786506:LCO786509 LMJ786506:LMK786509 LWF786506:LWG786509 MGB786506:MGC786509 MPX786506:MPY786509 MZT786506:MZU786509 NJP786506:NJQ786509 NTL786506:NTM786509 ODH786506:ODI786509 OND786506:ONE786509 OWZ786506:OXA786509 PGV786506:PGW786509 PQR786506:PQS786509 QAN786506:QAO786509 QKJ786506:QKK786509 QUF786506:QUG786509 REB786506:REC786509 RNX786506:RNY786509 RXT786506:RXU786509 SHP786506:SHQ786509 SRL786506:SRM786509 TBH786506:TBI786509 TLD786506:TLE786509 TUZ786506:TVA786509 UEV786506:UEW786509 UOR786506:UOS786509 UYN786506:UYO786509 VIJ786506:VIK786509 VSF786506:VSG786509 WCB786506:WCC786509 WLX786506:WLY786509 WVT786506:WVU786509 JH852042:JI852045 TD852042:TE852045 ACZ852042:ADA852045 AMV852042:AMW852045 AWR852042:AWS852045 BGN852042:BGO852045 BQJ852042:BQK852045 CAF852042:CAG852045 CKB852042:CKC852045 CTX852042:CTY852045 DDT852042:DDU852045 DNP852042:DNQ852045 DXL852042:DXM852045 EHH852042:EHI852045 ERD852042:ERE852045 FAZ852042:FBA852045 FKV852042:FKW852045 FUR852042:FUS852045 GEN852042:GEO852045 GOJ852042:GOK852045 GYF852042:GYG852045 HIB852042:HIC852045 HRX852042:HRY852045 IBT852042:IBU852045 ILP852042:ILQ852045 IVL852042:IVM852045 JFH852042:JFI852045 JPD852042:JPE852045 JYZ852042:JZA852045 KIV852042:KIW852045 KSR852042:KSS852045 LCN852042:LCO852045 LMJ852042:LMK852045 LWF852042:LWG852045 MGB852042:MGC852045 MPX852042:MPY852045 MZT852042:MZU852045 NJP852042:NJQ852045 NTL852042:NTM852045 ODH852042:ODI852045 OND852042:ONE852045 OWZ852042:OXA852045 PGV852042:PGW852045 PQR852042:PQS852045 QAN852042:QAO852045 QKJ852042:QKK852045 QUF852042:QUG852045 REB852042:REC852045 RNX852042:RNY852045 RXT852042:RXU852045 SHP852042:SHQ852045 SRL852042:SRM852045 TBH852042:TBI852045 TLD852042:TLE852045 TUZ852042:TVA852045 UEV852042:UEW852045 UOR852042:UOS852045 UYN852042:UYO852045 VIJ852042:VIK852045 VSF852042:VSG852045 WCB852042:WCC852045 WLX852042:WLY852045 WVT852042:WVU852045 JH917578:JI917581 TD917578:TE917581 ACZ917578:ADA917581 AMV917578:AMW917581 AWR917578:AWS917581 BGN917578:BGO917581 BQJ917578:BQK917581 CAF917578:CAG917581 CKB917578:CKC917581 CTX917578:CTY917581 DDT917578:DDU917581 DNP917578:DNQ917581 DXL917578:DXM917581 EHH917578:EHI917581 ERD917578:ERE917581 FAZ917578:FBA917581 FKV917578:FKW917581 FUR917578:FUS917581 GEN917578:GEO917581 GOJ917578:GOK917581 GYF917578:GYG917581 HIB917578:HIC917581 HRX917578:HRY917581 IBT917578:IBU917581 ILP917578:ILQ917581 IVL917578:IVM917581 JFH917578:JFI917581 JPD917578:JPE917581 JYZ917578:JZA917581 KIV917578:KIW917581 KSR917578:KSS917581 LCN917578:LCO917581 LMJ917578:LMK917581 LWF917578:LWG917581 MGB917578:MGC917581 MPX917578:MPY917581 MZT917578:MZU917581 NJP917578:NJQ917581 NTL917578:NTM917581 ODH917578:ODI917581 OND917578:ONE917581 OWZ917578:OXA917581 PGV917578:PGW917581 PQR917578:PQS917581 QAN917578:QAO917581 QKJ917578:QKK917581 QUF917578:QUG917581 REB917578:REC917581 RNX917578:RNY917581 RXT917578:RXU917581 SHP917578:SHQ917581 SRL917578:SRM917581 TBH917578:TBI917581 TLD917578:TLE917581 TUZ917578:TVA917581 UEV917578:UEW917581 UOR917578:UOS917581 UYN917578:UYO917581 VIJ917578:VIK917581 VSF917578:VSG917581 WCB917578:WCC917581 WLX917578:WLY917581 WVT917578:WVU917581 JH983114:JI983117 TD983114:TE983117 ACZ983114:ADA983117 AMV983114:AMW983117 AWR983114:AWS983117 BGN983114:BGO983117 BQJ983114:BQK983117 CAF983114:CAG983117 CKB983114:CKC983117 CTX983114:CTY983117 DDT983114:DDU983117 DNP983114:DNQ983117 DXL983114:DXM983117 EHH983114:EHI983117 ERD983114:ERE983117 FAZ983114:FBA983117 FKV983114:FKW983117 FUR983114:FUS983117 GEN983114:GEO983117 GOJ983114:GOK983117 GYF983114:GYG983117 HIB983114:HIC983117 HRX983114:HRY983117 IBT983114:IBU983117 ILP983114:ILQ983117 IVL983114:IVM983117 JFH983114:JFI983117 JPD983114:JPE983117 JYZ983114:JZA983117 KIV983114:KIW983117 KSR983114:KSS983117 LCN983114:LCO983117 LMJ983114:LMK983117 LWF983114:LWG983117 MGB983114:MGC983117 MPX983114:MPY983117 MZT983114:MZU983117 NJP983114:NJQ983117 NTL983114:NTM983117 ODH983114:ODI983117 OND983114:ONE983117 OWZ983114:OXA983117 PGV983114:PGW983117 PQR983114:PQS983117 QAN983114:QAO983117 QKJ983114:QKK983117 QUF983114:QUG983117 REB983114:REC983117 RNX983114:RNY983117 RXT983114:RXU983117 SHP983114:SHQ983117 SRL983114:SRM983117 TBH983114:TBI983117 TLD983114:TLE983117 TUZ983114:TVA983117 UEV983114:UEW983117 UOR983114:UOS983117 UYN983114:UYO983117 VIJ983114:VIK983117 VSF983114:VSG983117 WCB983114:WCC983117 WLX983114:WLY983117 WVT983114:WVU983117 JI85:JI86 TE85:TE86 ADA85:ADA86 AMW85:AMW86 AWS85:AWS86 BGO85:BGO86 BQK85:BQK86 CAG85:CAG86 CKC85:CKC86 CTY85:CTY86 DDU85:DDU86 DNQ85:DNQ86 DXM85:DXM86 EHI85:EHI86 ERE85:ERE86 FBA85:FBA86 FKW85:FKW86 FUS85:FUS86 GEO85:GEO86 GOK85:GOK86 GYG85:GYG86 HIC85:HIC86 HRY85:HRY86 IBU85:IBU86 ILQ85:ILQ86 IVM85:IVM86 JFI85:JFI86 JPE85:JPE86 JZA85:JZA86 KIW85:KIW86 KSS85:KSS86 LCO85:LCO86 LMK85:LMK86 LWG85:LWG86 MGC85:MGC86 MPY85:MPY86 MZU85:MZU86 NJQ85:NJQ86 NTM85:NTM86 ODI85:ODI86 ONE85:ONE86 OXA85:OXA86 PGW85:PGW86 PQS85:PQS86 QAO85:QAO86 QKK85:QKK86 QUG85:QUG86 REC85:REC86 RNY85:RNY86 RXU85:RXU86 SHQ85:SHQ86 SRM85:SRM86 TBI85:TBI86 TLE85:TLE86 TVA85:TVA86 UEW85:UEW86 UOS85:UOS86 UYO85:UYO86 VIK85:VIK86 VSG85:VSG86 WCC85:WCC86 WLY85:WLY86 WVU85:WVU86 JI65620:JI65622 TE65620:TE65622 ADA65620:ADA65622 AMW65620:AMW65622 AWS65620:AWS65622 BGO65620:BGO65622 BQK65620:BQK65622 CAG65620:CAG65622 CKC65620:CKC65622 CTY65620:CTY65622 DDU65620:DDU65622 DNQ65620:DNQ65622 DXM65620:DXM65622 EHI65620:EHI65622 ERE65620:ERE65622 FBA65620:FBA65622 FKW65620:FKW65622 FUS65620:FUS65622 GEO65620:GEO65622 GOK65620:GOK65622 GYG65620:GYG65622 HIC65620:HIC65622 HRY65620:HRY65622 IBU65620:IBU65622 ILQ65620:ILQ65622 IVM65620:IVM65622 JFI65620:JFI65622 JPE65620:JPE65622 JZA65620:JZA65622 KIW65620:KIW65622 KSS65620:KSS65622 LCO65620:LCO65622 LMK65620:LMK65622 LWG65620:LWG65622 MGC65620:MGC65622 MPY65620:MPY65622 MZU65620:MZU65622 NJQ65620:NJQ65622 NTM65620:NTM65622 ODI65620:ODI65622 ONE65620:ONE65622 OXA65620:OXA65622 PGW65620:PGW65622 PQS65620:PQS65622 QAO65620:QAO65622 QKK65620:QKK65622 QUG65620:QUG65622 REC65620:REC65622 RNY65620:RNY65622 RXU65620:RXU65622 SHQ65620:SHQ65622 SRM65620:SRM65622 TBI65620:TBI65622 TLE65620:TLE65622 TVA65620:TVA65622 UEW65620:UEW65622 UOS65620:UOS65622 UYO65620:UYO65622 VIK65620:VIK65622 VSG65620:VSG65622 WCC65620:WCC65622 WLY65620:WLY65622 WVU65620:WVU65622 JI131156:JI131158 TE131156:TE131158 ADA131156:ADA131158 AMW131156:AMW131158 AWS131156:AWS131158 BGO131156:BGO131158 BQK131156:BQK131158 CAG131156:CAG131158 CKC131156:CKC131158 CTY131156:CTY131158 DDU131156:DDU131158 DNQ131156:DNQ131158 DXM131156:DXM131158 EHI131156:EHI131158 ERE131156:ERE131158 FBA131156:FBA131158 FKW131156:FKW131158 FUS131156:FUS131158 GEO131156:GEO131158 GOK131156:GOK131158 GYG131156:GYG131158 HIC131156:HIC131158 HRY131156:HRY131158 IBU131156:IBU131158 ILQ131156:ILQ131158 IVM131156:IVM131158 JFI131156:JFI131158 JPE131156:JPE131158 JZA131156:JZA131158 KIW131156:KIW131158 KSS131156:KSS131158 LCO131156:LCO131158 LMK131156:LMK131158 LWG131156:LWG131158 MGC131156:MGC131158 MPY131156:MPY131158 MZU131156:MZU131158 NJQ131156:NJQ131158 NTM131156:NTM131158 ODI131156:ODI131158 ONE131156:ONE131158 OXA131156:OXA131158 PGW131156:PGW131158 PQS131156:PQS131158 QAO131156:QAO131158 QKK131156:QKK131158 QUG131156:QUG131158 REC131156:REC131158 RNY131156:RNY131158 RXU131156:RXU131158 SHQ131156:SHQ131158 SRM131156:SRM131158 TBI131156:TBI131158 TLE131156:TLE131158 TVA131156:TVA131158 UEW131156:UEW131158 UOS131156:UOS131158 UYO131156:UYO131158 VIK131156:VIK131158 VSG131156:VSG131158 WCC131156:WCC131158 WLY131156:WLY131158 WVU131156:WVU131158 JI196692:JI196694 TE196692:TE196694 ADA196692:ADA196694 AMW196692:AMW196694 AWS196692:AWS196694 BGO196692:BGO196694 BQK196692:BQK196694 CAG196692:CAG196694 CKC196692:CKC196694 CTY196692:CTY196694 DDU196692:DDU196694 DNQ196692:DNQ196694 DXM196692:DXM196694 EHI196692:EHI196694 ERE196692:ERE196694 FBA196692:FBA196694 FKW196692:FKW196694 FUS196692:FUS196694 GEO196692:GEO196694 GOK196692:GOK196694 GYG196692:GYG196694 HIC196692:HIC196694 HRY196692:HRY196694 IBU196692:IBU196694 ILQ196692:ILQ196694 IVM196692:IVM196694 JFI196692:JFI196694 JPE196692:JPE196694 JZA196692:JZA196694 KIW196692:KIW196694 KSS196692:KSS196694 LCO196692:LCO196694 LMK196692:LMK196694 LWG196692:LWG196694 MGC196692:MGC196694 MPY196692:MPY196694 MZU196692:MZU196694 NJQ196692:NJQ196694 NTM196692:NTM196694 ODI196692:ODI196694 ONE196692:ONE196694 OXA196692:OXA196694 PGW196692:PGW196694 PQS196692:PQS196694 QAO196692:QAO196694 QKK196692:QKK196694 QUG196692:QUG196694 REC196692:REC196694 RNY196692:RNY196694 RXU196692:RXU196694 SHQ196692:SHQ196694 SRM196692:SRM196694 TBI196692:TBI196694 TLE196692:TLE196694 TVA196692:TVA196694 UEW196692:UEW196694 UOS196692:UOS196694 UYO196692:UYO196694 VIK196692:VIK196694 VSG196692:VSG196694 WCC196692:WCC196694 WLY196692:WLY196694 WVU196692:WVU196694 JI262228:JI262230 TE262228:TE262230 ADA262228:ADA262230 AMW262228:AMW262230 AWS262228:AWS262230 BGO262228:BGO262230 BQK262228:BQK262230 CAG262228:CAG262230 CKC262228:CKC262230 CTY262228:CTY262230 DDU262228:DDU262230 DNQ262228:DNQ262230 DXM262228:DXM262230 EHI262228:EHI262230 ERE262228:ERE262230 FBA262228:FBA262230 FKW262228:FKW262230 FUS262228:FUS262230 GEO262228:GEO262230 GOK262228:GOK262230 GYG262228:GYG262230 HIC262228:HIC262230 HRY262228:HRY262230 IBU262228:IBU262230 ILQ262228:ILQ262230 IVM262228:IVM262230 JFI262228:JFI262230 JPE262228:JPE262230 JZA262228:JZA262230 KIW262228:KIW262230 KSS262228:KSS262230 LCO262228:LCO262230 LMK262228:LMK262230 LWG262228:LWG262230 MGC262228:MGC262230 MPY262228:MPY262230 MZU262228:MZU262230 NJQ262228:NJQ262230 NTM262228:NTM262230 ODI262228:ODI262230 ONE262228:ONE262230 OXA262228:OXA262230 PGW262228:PGW262230 PQS262228:PQS262230 QAO262228:QAO262230 QKK262228:QKK262230 QUG262228:QUG262230 REC262228:REC262230 RNY262228:RNY262230 RXU262228:RXU262230 SHQ262228:SHQ262230 SRM262228:SRM262230 TBI262228:TBI262230 TLE262228:TLE262230 TVA262228:TVA262230 UEW262228:UEW262230 UOS262228:UOS262230 UYO262228:UYO262230 VIK262228:VIK262230 VSG262228:VSG262230 WCC262228:WCC262230 WLY262228:WLY262230 WVU262228:WVU262230 JI327764:JI327766 TE327764:TE327766 ADA327764:ADA327766 AMW327764:AMW327766 AWS327764:AWS327766 BGO327764:BGO327766 BQK327764:BQK327766 CAG327764:CAG327766 CKC327764:CKC327766 CTY327764:CTY327766 DDU327764:DDU327766 DNQ327764:DNQ327766 DXM327764:DXM327766 EHI327764:EHI327766 ERE327764:ERE327766 FBA327764:FBA327766 FKW327764:FKW327766 FUS327764:FUS327766 GEO327764:GEO327766 GOK327764:GOK327766 GYG327764:GYG327766 HIC327764:HIC327766 HRY327764:HRY327766 IBU327764:IBU327766 ILQ327764:ILQ327766 IVM327764:IVM327766 JFI327764:JFI327766 JPE327764:JPE327766 JZA327764:JZA327766 KIW327764:KIW327766 KSS327764:KSS327766 LCO327764:LCO327766 LMK327764:LMK327766 LWG327764:LWG327766 MGC327764:MGC327766 MPY327764:MPY327766 MZU327764:MZU327766 NJQ327764:NJQ327766 NTM327764:NTM327766 ODI327764:ODI327766 ONE327764:ONE327766 OXA327764:OXA327766 PGW327764:PGW327766 PQS327764:PQS327766 QAO327764:QAO327766 QKK327764:QKK327766 QUG327764:QUG327766 REC327764:REC327766 RNY327764:RNY327766 RXU327764:RXU327766 SHQ327764:SHQ327766 SRM327764:SRM327766 TBI327764:TBI327766 TLE327764:TLE327766 TVA327764:TVA327766 UEW327764:UEW327766 UOS327764:UOS327766 UYO327764:UYO327766 VIK327764:VIK327766 VSG327764:VSG327766 WCC327764:WCC327766 WLY327764:WLY327766 WVU327764:WVU327766 JI393300:JI393302 TE393300:TE393302 ADA393300:ADA393302 AMW393300:AMW393302 AWS393300:AWS393302 BGO393300:BGO393302 BQK393300:BQK393302 CAG393300:CAG393302 CKC393300:CKC393302 CTY393300:CTY393302 DDU393300:DDU393302 DNQ393300:DNQ393302 DXM393300:DXM393302 EHI393300:EHI393302 ERE393300:ERE393302 FBA393300:FBA393302 FKW393300:FKW393302 FUS393300:FUS393302 GEO393300:GEO393302 GOK393300:GOK393302 GYG393300:GYG393302 HIC393300:HIC393302 HRY393300:HRY393302 IBU393300:IBU393302 ILQ393300:ILQ393302 IVM393300:IVM393302 JFI393300:JFI393302 JPE393300:JPE393302 JZA393300:JZA393302 KIW393300:KIW393302 KSS393300:KSS393302 LCO393300:LCO393302 LMK393300:LMK393302 LWG393300:LWG393302 MGC393300:MGC393302 MPY393300:MPY393302 MZU393300:MZU393302 NJQ393300:NJQ393302 NTM393300:NTM393302 ODI393300:ODI393302 ONE393300:ONE393302 OXA393300:OXA393302 PGW393300:PGW393302 PQS393300:PQS393302 QAO393300:QAO393302 QKK393300:QKK393302 QUG393300:QUG393302 REC393300:REC393302 RNY393300:RNY393302 RXU393300:RXU393302 SHQ393300:SHQ393302 SRM393300:SRM393302 TBI393300:TBI393302 TLE393300:TLE393302 TVA393300:TVA393302 UEW393300:UEW393302 UOS393300:UOS393302 UYO393300:UYO393302 VIK393300:VIK393302 VSG393300:VSG393302 WCC393300:WCC393302 WLY393300:WLY393302 WVU393300:WVU393302 JI458836:JI458838 TE458836:TE458838 ADA458836:ADA458838 AMW458836:AMW458838 AWS458836:AWS458838 BGO458836:BGO458838 BQK458836:BQK458838 CAG458836:CAG458838 CKC458836:CKC458838 CTY458836:CTY458838 DDU458836:DDU458838 DNQ458836:DNQ458838 DXM458836:DXM458838 EHI458836:EHI458838 ERE458836:ERE458838 FBA458836:FBA458838 FKW458836:FKW458838 FUS458836:FUS458838 GEO458836:GEO458838 GOK458836:GOK458838 GYG458836:GYG458838 HIC458836:HIC458838 HRY458836:HRY458838 IBU458836:IBU458838 ILQ458836:ILQ458838 IVM458836:IVM458838 JFI458836:JFI458838 JPE458836:JPE458838 JZA458836:JZA458838 KIW458836:KIW458838 KSS458836:KSS458838 LCO458836:LCO458838 LMK458836:LMK458838 LWG458836:LWG458838 MGC458836:MGC458838 MPY458836:MPY458838 MZU458836:MZU458838 NJQ458836:NJQ458838 NTM458836:NTM458838 ODI458836:ODI458838 ONE458836:ONE458838 OXA458836:OXA458838 PGW458836:PGW458838 PQS458836:PQS458838 QAO458836:QAO458838 QKK458836:QKK458838 QUG458836:QUG458838 REC458836:REC458838 RNY458836:RNY458838 RXU458836:RXU458838 SHQ458836:SHQ458838 SRM458836:SRM458838 TBI458836:TBI458838 TLE458836:TLE458838 TVA458836:TVA458838 UEW458836:UEW458838 UOS458836:UOS458838 UYO458836:UYO458838 VIK458836:VIK458838 VSG458836:VSG458838 WCC458836:WCC458838 WLY458836:WLY458838 WVU458836:WVU458838 JI524372:JI524374 TE524372:TE524374 ADA524372:ADA524374 AMW524372:AMW524374 AWS524372:AWS524374 BGO524372:BGO524374 BQK524372:BQK524374 CAG524372:CAG524374 CKC524372:CKC524374 CTY524372:CTY524374 DDU524372:DDU524374 DNQ524372:DNQ524374 DXM524372:DXM524374 EHI524372:EHI524374 ERE524372:ERE524374 FBA524372:FBA524374 FKW524372:FKW524374 FUS524372:FUS524374 GEO524372:GEO524374 GOK524372:GOK524374 GYG524372:GYG524374 HIC524372:HIC524374 HRY524372:HRY524374 IBU524372:IBU524374 ILQ524372:ILQ524374 IVM524372:IVM524374 JFI524372:JFI524374 JPE524372:JPE524374 JZA524372:JZA524374 KIW524372:KIW524374 KSS524372:KSS524374 LCO524372:LCO524374 LMK524372:LMK524374 LWG524372:LWG524374 MGC524372:MGC524374 MPY524372:MPY524374 MZU524372:MZU524374 NJQ524372:NJQ524374 NTM524372:NTM524374 ODI524372:ODI524374 ONE524372:ONE524374 OXA524372:OXA524374 PGW524372:PGW524374 PQS524372:PQS524374 QAO524372:QAO524374 QKK524372:QKK524374 QUG524372:QUG524374 REC524372:REC524374 RNY524372:RNY524374 RXU524372:RXU524374 SHQ524372:SHQ524374 SRM524372:SRM524374 TBI524372:TBI524374 TLE524372:TLE524374 TVA524372:TVA524374 UEW524372:UEW524374 UOS524372:UOS524374 UYO524372:UYO524374 VIK524372:VIK524374 VSG524372:VSG524374 WCC524372:WCC524374 WLY524372:WLY524374 WVU524372:WVU524374 JI589908:JI589910 TE589908:TE589910 ADA589908:ADA589910 AMW589908:AMW589910 AWS589908:AWS589910 BGO589908:BGO589910 BQK589908:BQK589910 CAG589908:CAG589910 CKC589908:CKC589910 CTY589908:CTY589910 DDU589908:DDU589910 DNQ589908:DNQ589910 DXM589908:DXM589910 EHI589908:EHI589910 ERE589908:ERE589910 FBA589908:FBA589910 FKW589908:FKW589910 FUS589908:FUS589910 GEO589908:GEO589910 GOK589908:GOK589910 GYG589908:GYG589910 HIC589908:HIC589910 HRY589908:HRY589910 IBU589908:IBU589910 ILQ589908:ILQ589910 IVM589908:IVM589910 JFI589908:JFI589910 JPE589908:JPE589910 JZA589908:JZA589910 KIW589908:KIW589910 KSS589908:KSS589910 LCO589908:LCO589910 LMK589908:LMK589910 LWG589908:LWG589910 MGC589908:MGC589910 MPY589908:MPY589910 MZU589908:MZU589910 NJQ589908:NJQ589910 NTM589908:NTM589910 ODI589908:ODI589910 ONE589908:ONE589910 OXA589908:OXA589910 PGW589908:PGW589910 PQS589908:PQS589910 QAO589908:QAO589910 QKK589908:QKK589910 QUG589908:QUG589910 REC589908:REC589910 RNY589908:RNY589910 RXU589908:RXU589910 SHQ589908:SHQ589910 SRM589908:SRM589910 TBI589908:TBI589910 TLE589908:TLE589910 TVA589908:TVA589910 UEW589908:UEW589910 UOS589908:UOS589910 UYO589908:UYO589910 VIK589908:VIK589910 VSG589908:VSG589910 WCC589908:WCC589910 WLY589908:WLY589910 WVU589908:WVU589910 JI655444:JI655446 TE655444:TE655446 ADA655444:ADA655446 AMW655444:AMW655446 AWS655444:AWS655446 BGO655444:BGO655446 BQK655444:BQK655446 CAG655444:CAG655446 CKC655444:CKC655446 CTY655444:CTY655446 DDU655444:DDU655446 DNQ655444:DNQ655446 DXM655444:DXM655446 EHI655444:EHI655446 ERE655444:ERE655446 FBA655444:FBA655446 FKW655444:FKW655446 FUS655444:FUS655446 GEO655444:GEO655446 GOK655444:GOK655446 GYG655444:GYG655446 HIC655444:HIC655446 HRY655444:HRY655446 IBU655444:IBU655446 ILQ655444:ILQ655446 IVM655444:IVM655446 JFI655444:JFI655446 JPE655444:JPE655446 JZA655444:JZA655446 KIW655444:KIW655446 KSS655444:KSS655446 LCO655444:LCO655446 LMK655444:LMK655446 LWG655444:LWG655446 MGC655444:MGC655446 MPY655444:MPY655446 MZU655444:MZU655446 NJQ655444:NJQ655446 NTM655444:NTM655446 ODI655444:ODI655446 ONE655444:ONE655446 OXA655444:OXA655446 PGW655444:PGW655446 PQS655444:PQS655446 QAO655444:QAO655446 QKK655444:QKK655446 QUG655444:QUG655446 REC655444:REC655446 RNY655444:RNY655446 RXU655444:RXU655446 SHQ655444:SHQ655446 SRM655444:SRM655446 TBI655444:TBI655446 TLE655444:TLE655446 TVA655444:TVA655446 UEW655444:UEW655446 UOS655444:UOS655446 UYO655444:UYO655446 VIK655444:VIK655446 VSG655444:VSG655446 WCC655444:WCC655446 WLY655444:WLY655446 WVU655444:WVU655446 JI720980:JI720982 TE720980:TE720982 ADA720980:ADA720982 AMW720980:AMW720982 AWS720980:AWS720982 BGO720980:BGO720982 BQK720980:BQK720982 CAG720980:CAG720982 CKC720980:CKC720982 CTY720980:CTY720982 DDU720980:DDU720982 DNQ720980:DNQ720982 DXM720980:DXM720982 EHI720980:EHI720982 ERE720980:ERE720982 FBA720980:FBA720982 FKW720980:FKW720982 FUS720980:FUS720982 GEO720980:GEO720982 GOK720980:GOK720982 GYG720980:GYG720982 HIC720980:HIC720982 HRY720980:HRY720982 IBU720980:IBU720982 ILQ720980:ILQ720982 IVM720980:IVM720982 JFI720980:JFI720982 JPE720980:JPE720982 JZA720980:JZA720982 KIW720980:KIW720982 KSS720980:KSS720982 LCO720980:LCO720982 LMK720980:LMK720982 LWG720980:LWG720982 MGC720980:MGC720982 MPY720980:MPY720982 MZU720980:MZU720982 NJQ720980:NJQ720982 NTM720980:NTM720982 ODI720980:ODI720982 ONE720980:ONE720982 OXA720980:OXA720982 PGW720980:PGW720982 PQS720980:PQS720982 QAO720980:QAO720982 QKK720980:QKK720982 QUG720980:QUG720982 REC720980:REC720982 RNY720980:RNY720982 RXU720980:RXU720982 SHQ720980:SHQ720982 SRM720980:SRM720982 TBI720980:TBI720982 TLE720980:TLE720982 TVA720980:TVA720982 UEW720980:UEW720982 UOS720980:UOS720982 UYO720980:UYO720982 VIK720980:VIK720982 VSG720980:VSG720982 WCC720980:WCC720982 WLY720980:WLY720982 WVU720980:WVU720982 JI786516:JI786518 TE786516:TE786518 ADA786516:ADA786518 AMW786516:AMW786518 AWS786516:AWS786518 BGO786516:BGO786518 BQK786516:BQK786518 CAG786516:CAG786518 CKC786516:CKC786518 CTY786516:CTY786518 DDU786516:DDU786518 DNQ786516:DNQ786518 DXM786516:DXM786518 EHI786516:EHI786518 ERE786516:ERE786518 FBA786516:FBA786518 FKW786516:FKW786518 FUS786516:FUS786518 GEO786516:GEO786518 GOK786516:GOK786518 GYG786516:GYG786518 HIC786516:HIC786518 HRY786516:HRY786518 IBU786516:IBU786518 ILQ786516:ILQ786518 IVM786516:IVM786518 JFI786516:JFI786518 JPE786516:JPE786518 JZA786516:JZA786518 KIW786516:KIW786518 KSS786516:KSS786518 LCO786516:LCO786518 LMK786516:LMK786518 LWG786516:LWG786518 MGC786516:MGC786518 MPY786516:MPY786518 MZU786516:MZU786518 NJQ786516:NJQ786518 NTM786516:NTM786518 ODI786516:ODI786518 ONE786516:ONE786518 OXA786516:OXA786518 PGW786516:PGW786518 PQS786516:PQS786518 QAO786516:QAO786518 QKK786516:QKK786518 QUG786516:QUG786518 REC786516:REC786518 RNY786516:RNY786518 RXU786516:RXU786518 SHQ786516:SHQ786518 SRM786516:SRM786518 TBI786516:TBI786518 TLE786516:TLE786518 TVA786516:TVA786518 UEW786516:UEW786518 UOS786516:UOS786518 UYO786516:UYO786518 VIK786516:VIK786518 VSG786516:VSG786518 WCC786516:WCC786518 WLY786516:WLY786518 WVU786516:WVU786518 JI852052:JI852054 TE852052:TE852054 ADA852052:ADA852054 AMW852052:AMW852054 AWS852052:AWS852054 BGO852052:BGO852054 BQK852052:BQK852054 CAG852052:CAG852054 CKC852052:CKC852054 CTY852052:CTY852054 DDU852052:DDU852054 DNQ852052:DNQ852054 DXM852052:DXM852054 EHI852052:EHI852054 ERE852052:ERE852054 FBA852052:FBA852054 FKW852052:FKW852054 FUS852052:FUS852054 GEO852052:GEO852054 GOK852052:GOK852054 GYG852052:GYG852054 HIC852052:HIC852054 HRY852052:HRY852054 IBU852052:IBU852054 ILQ852052:ILQ852054 IVM852052:IVM852054 JFI852052:JFI852054 JPE852052:JPE852054 JZA852052:JZA852054 KIW852052:KIW852054 KSS852052:KSS852054 LCO852052:LCO852054 LMK852052:LMK852054 LWG852052:LWG852054 MGC852052:MGC852054 MPY852052:MPY852054 MZU852052:MZU852054 NJQ852052:NJQ852054 NTM852052:NTM852054 ODI852052:ODI852054 ONE852052:ONE852054 OXA852052:OXA852054 PGW852052:PGW852054 PQS852052:PQS852054 QAO852052:QAO852054 QKK852052:QKK852054 QUG852052:QUG852054 REC852052:REC852054 RNY852052:RNY852054 RXU852052:RXU852054 SHQ852052:SHQ852054 SRM852052:SRM852054 TBI852052:TBI852054 TLE852052:TLE852054 TVA852052:TVA852054 UEW852052:UEW852054 UOS852052:UOS852054 UYO852052:UYO852054 VIK852052:VIK852054 VSG852052:VSG852054 WCC852052:WCC852054 WLY852052:WLY852054 WVU852052:WVU852054 JI917588:JI917590 TE917588:TE917590 ADA917588:ADA917590 AMW917588:AMW917590 AWS917588:AWS917590 BGO917588:BGO917590 BQK917588:BQK917590 CAG917588:CAG917590 CKC917588:CKC917590 CTY917588:CTY917590 DDU917588:DDU917590 DNQ917588:DNQ917590 DXM917588:DXM917590 EHI917588:EHI917590 ERE917588:ERE917590 FBA917588:FBA917590 FKW917588:FKW917590 FUS917588:FUS917590 GEO917588:GEO917590 GOK917588:GOK917590 GYG917588:GYG917590 HIC917588:HIC917590 HRY917588:HRY917590 IBU917588:IBU917590 ILQ917588:ILQ917590 IVM917588:IVM917590 JFI917588:JFI917590 JPE917588:JPE917590 JZA917588:JZA917590 KIW917588:KIW917590 KSS917588:KSS917590 LCO917588:LCO917590 LMK917588:LMK917590 LWG917588:LWG917590 MGC917588:MGC917590 MPY917588:MPY917590 MZU917588:MZU917590 NJQ917588:NJQ917590 NTM917588:NTM917590 ODI917588:ODI917590 ONE917588:ONE917590 OXA917588:OXA917590 PGW917588:PGW917590 PQS917588:PQS917590 QAO917588:QAO917590 QKK917588:QKK917590 QUG917588:QUG917590 REC917588:REC917590 RNY917588:RNY917590 RXU917588:RXU917590 SHQ917588:SHQ917590 SRM917588:SRM917590 TBI917588:TBI917590 TLE917588:TLE917590 TVA917588:TVA917590 UEW917588:UEW917590 UOS917588:UOS917590 UYO917588:UYO917590 VIK917588:VIK917590 VSG917588:VSG917590 WCC917588:WCC917590 WLY917588:WLY917590 WVU917588:WVU917590 JI983124:JI983126 TE983124:TE983126 ADA983124:ADA983126 AMW983124:AMW983126 AWS983124:AWS983126 BGO983124:BGO983126 BQK983124:BQK983126 CAG983124:CAG983126 CKC983124:CKC983126 CTY983124:CTY983126 DDU983124:DDU983126 DNQ983124:DNQ983126 DXM983124:DXM983126 EHI983124:EHI983126 ERE983124:ERE983126 FBA983124:FBA983126 FKW983124:FKW983126 FUS983124:FUS983126 GEO983124:GEO983126 GOK983124:GOK983126 GYG983124:GYG983126 HIC983124:HIC983126 HRY983124:HRY983126 IBU983124:IBU983126 ILQ983124:ILQ983126 IVM983124:IVM983126 JFI983124:JFI983126 JPE983124:JPE983126 JZA983124:JZA983126 KIW983124:KIW983126 KSS983124:KSS983126 LCO983124:LCO983126 LMK983124:LMK983126 LWG983124:LWG983126 MGC983124:MGC983126 MPY983124:MPY983126 MZU983124:MZU983126 NJQ983124:NJQ983126 NTM983124:NTM983126 ODI983124:ODI983126 ONE983124:ONE983126 OXA983124:OXA983126 PGW983124:PGW983126 PQS983124:PQS983126 QAO983124:QAO983126 QKK983124:QKK983126 QUG983124:QUG983126 REC983124:REC983126 RNY983124:RNY983126 RXU983124:RXU983126 SHQ983124:SHQ983126 SRM983124:SRM983126 TBI983124:TBI983126 TLE983124:TLE983126 TVA983124:TVA983126 UEW983124:UEW983126 UOS983124:UOS983126 UYO983124:UYO983126 VIK983124:VIK983126 VSG983124:VSG983126 WCC983124:WCC983126 WLY983124:WLY983126 WVU983124:WVU983126 JH65587 TD65587 ACZ65587 AMV65587 AWR65587 BGN65587 BQJ65587 CAF65587 CKB65587 CTX65587 DDT65587 DNP65587 DXL65587 EHH65587 ERD65587 FAZ65587 FKV65587 FUR65587 GEN65587 GOJ65587 GYF65587 HIB65587 HRX65587 IBT65587 ILP65587 IVL65587 JFH65587 JPD65587 JYZ65587 KIV65587 KSR65587 LCN65587 LMJ65587 LWF65587 MGB65587 MPX65587 MZT65587 NJP65587 NTL65587 ODH65587 OND65587 OWZ65587 PGV65587 PQR65587 QAN65587 QKJ65587 QUF65587 REB65587 RNX65587 RXT65587 SHP65587 SRL65587 TBH65587 TLD65587 TUZ65587 UEV65587 UOR65587 UYN65587 VIJ65587 VSF65587 WCB65587 WLX65587 WVT65587 JH131123 TD131123 ACZ131123 AMV131123 AWR131123 BGN131123 BQJ131123 CAF131123 CKB131123 CTX131123 DDT131123 DNP131123 DXL131123 EHH131123 ERD131123 FAZ131123 FKV131123 FUR131123 GEN131123 GOJ131123 GYF131123 HIB131123 HRX131123 IBT131123 ILP131123 IVL131123 JFH131123 JPD131123 JYZ131123 KIV131123 KSR131123 LCN131123 LMJ131123 LWF131123 MGB131123 MPX131123 MZT131123 NJP131123 NTL131123 ODH131123 OND131123 OWZ131123 PGV131123 PQR131123 QAN131123 QKJ131123 QUF131123 REB131123 RNX131123 RXT131123 SHP131123 SRL131123 TBH131123 TLD131123 TUZ131123 UEV131123 UOR131123 UYN131123 VIJ131123 VSF131123 WCB131123 WLX131123 WVT131123 JH196659 TD196659 ACZ196659 AMV196659 AWR196659 BGN196659 BQJ196659 CAF196659 CKB196659 CTX196659 DDT196659 DNP196659 DXL196659 EHH196659 ERD196659 FAZ196659 FKV196659 FUR196659 GEN196659 GOJ196659 GYF196659 HIB196659 HRX196659 IBT196659 ILP196659 IVL196659 JFH196659 JPD196659 JYZ196659 KIV196659 KSR196659 LCN196659 LMJ196659 LWF196659 MGB196659 MPX196659 MZT196659 NJP196659 NTL196659 ODH196659 OND196659 OWZ196659 PGV196659 PQR196659 QAN196659 QKJ196659 QUF196659 REB196659 RNX196659 RXT196659 SHP196659 SRL196659 TBH196659 TLD196659 TUZ196659 UEV196659 UOR196659 UYN196659 VIJ196659 VSF196659 WCB196659 WLX196659 WVT196659 JH262195 TD262195 ACZ262195 AMV262195 AWR262195 BGN262195 BQJ262195 CAF262195 CKB262195 CTX262195 DDT262195 DNP262195 DXL262195 EHH262195 ERD262195 FAZ262195 FKV262195 FUR262195 GEN262195 GOJ262195 GYF262195 HIB262195 HRX262195 IBT262195 ILP262195 IVL262195 JFH262195 JPD262195 JYZ262195 KIV262195 KSR262195 LCN262195 LMJ262195 LWF262195 MGB262195 MPX262195 MZT262195 NJP262195 NTL262195 ODH262195 OND262195 OWZ262195 PGV262195 PQR262195 QAN262195 QKJ262195 QUF262195 REB262195 RNX262195 RXT262195 SHP262195 SRL262195 TBH262195 TLD262195 TUZ262195 UEV262195 UOR262195 UYN262195 VIJ262195 VSF262195 WCB262195 WLX262195 WVT262195 JH327731 TD327731 ACZ327731 AMV327731 AWR327731 BGN327731 BQJ327731 CAF327731 CKB327731 CTX327731 DDT327731 DNP327731 DXL327731 EHH327731 ERD327731 FAZ327731 FKV327731 FUR327731 GEN327731 GOJ327731 GYF327731 HIB327731 HRX327731 IBT327731 ILP327731 IVL327731 JFH327731 JPD327731 JYZ327731 KIV327731 KSR327731 LCN327731 LMJ327731 LWF327731 MGB327731 MPX327731 MZT327731 NJP327731 NTL327731 ODH327731 OND327731 OWZ327731 PGV327731 PQR327731 QAN327731 QKJ327731 QUF327731 REB327731 RNX327731 RXT327731 SHP327731 SRL327731 TBH327731 TLD327731 TUZ327731 UEV327731 UOR327731 UYN327731 VIJ327731 VSF327731 WCB327731 WLX327731 WVT327731 JH393267 TD393267 ACZ393267 AMV393267 AWR393267 BGN393267 BQJ393267 CAF393267 CKB393267 CTX393267 DDT393267 DNP393267 DXL393267 EHH393267 ERD393267 FAZ393267 FKV393267 FUR393267 GEN393267 GOJ393267 GYF393267 HIB393267 HRX393267 IBT393267 ILP393267 IVL393267 JFH393267 JPD393267 JYZ393267 KIV393267 KSR393267 LCN393267 LMJ393267 LWF393267 MGB393267 MPX393267 MZT393267 NJP393267 NTL393267 ODH393267 OND393267 OWZ393267 PGV393267 PQR393267 QAN393267 QKJ393267 QUF393267 REB393267 RNX393267 RXT393267 SHP393267 SRL393267 TBH393267 TLD393267 TUZ393267 UEV393267 UOR393267 UYN393267 VIJ393267 VSF393267 WCB393267 WLX393267 WVT393267 JH458803 TD458803 ACZ458803 AMV458803 AWR458803 BGN458803 BQJ458803 CAF458803 CKB458803 CTX458803 DDT458803 DNP458803 DXL458803 EHH458803 ERD458803 FAZ458803 FKV458803 FUR458803 GEN458803 GOJ458803 GYF458803 HIB458803 HRX458803 IBT458803 ILP458803 IVL458803 JFH458803 JPD458803 JYZ458803 KIV458803 KSR458803 LCN458803 LMJ458803 LWF458803 MGB458803 MPX458803 MZT458803 NJP458803 NTL458803 ODH458803 OND458803 OWZ458803 PGV458803 PQR458803 QAN458803 QKJ458803 QUF458803 REB458803 RNX458803 RXT458803 SHP458803 SRL458803 TBH458803 TLD458803 TUZ458803 UEV458803 UOR458803 UYN458803 VIJ458803 VSF458803 WCB458803 WLX458803 WVT458803 JH524339 TD524339 ACZ524339 AMV524339 AWR524339 BGN524339 BQJ524339 CAF524339 CKB524339 CTX524339 DDT524339 DNP524339 DXL524339 EHH524339 ERD524339 FAZ524339 FKV524339 FUR524339 GEN524339 GOJ524339 GYF524339 HIB524339 HRX524339 IBT524339 ILP524339 IVL524339 JFH524339 JPD524339 JYZ524339 KIV524339 KSR524339 LCN524339 LMJ524339 LWF524339 MGB524339 MPX524339 MZT524339 NJP524339 NTL524339 ODH524339 OND524339 OWZ524339 PGV524339 PQR524339 QAN524339 QKJ524339 QUF524339 REB524339 RNX524339 RXT524339 SHP524339 SRL524339 TBH524339 TLD524339 TUZ524339 UEV524339 UOR524339 UYN524339 VIJ524339 VSF524339 WCB524339 WLX524339 WVT524339 JH589875 TD589875 ACZ589875 AMV589875 AWR589875 BGN589875 BQJ589875 CAF589875 CKB589875 CTX589875 DDT589875 DNP589875 DXL589875 EHH589875 ERD589875 FAZ589875 FKV589875 FUR589875 GEN589875 GOJ589875 GYF589875 HIB589875 HRX589875 IBT589875 ILP589875 IVL589875 JFH589875 JPD589875 JYZ589875 KIV589875 KSR589875 LCN589875 LMJ589875 LWF589875 MGB589875 MPX589875 MZT589875 NJP589875 NTL589875 ODH589875 OND589875 OWZ589875 PGV589875 PQR589875 QAN589875 QKJ589875 QUF589875 REB589875 RNX589875 RXT589875 SHP589875 SRL589875 TBH589875 TLD589875 TUZ589875 UEV589875 UOR589875 UYN589875 VIJ589875 VSF589875 WCB589875 WLX589875 WVT589875 JH655411 TD655411 ACZ655411 AMV655411 AWR655411 BGN655411 BQJ655411 CAF655411 CKB655411 CTX655411 DDT655411 DNP655411 DXL655411 EHH655411 ERD655411 FAZ655411 FKV655411 FUR655411 GEN655411 GOJ655411 GYF655411 HIB655411 HRX655411 IBT655411 ILP655411 IVL655411 JFH655411 JPD655411 JYZ655411 KIV655411 KSR655411 LCN655411 LMJ655411 LWF655411 MGB655411 MPX655411 MZT655411 NJP655411 NTL655411 ODH655411 OND655411 OWZ655411 PGV655411 PQR655411 QAN655411 QKJ655411 QUF655411 REB655411 RNX655411 RXT655411 SHP655411 SRL655411 TBH655411 TLD655411 TUZ655411 UEV655411 UOR655411 UYN655411 VIJ655411 VSF655411 WCB655411 WLX655411 WVT655411 JH720947 TD720947 ACZ720947 AMV720947 AWR720947 BGN720947 BQJ720947 CAF720947 CKB720947 CTX720947 DDT720947 DNP720947 DXL720947 EHH720947 ERD720947 FAZ720947 FKV720947 FUR720947 GEN720947 GOJ720947 GYF720947 HIB720947 HRX720947 IBT720947 ILP720947 IVL720947 JFH720947 JPD720947 JYZ720947 KIV720947 KSR720947 LCN720947 LMJ720947 LWF720947 MGB720947 MPX720947 MZT720947 NJP720947 NTL720947 ODH720947 OND720947 OWZ720947 PGV720947 PQR720947 QAN720947 QKJ720947 QUF720947 REB720947 RNX720947 RXT720947 SHP720947 SRL720947 TBH720947 TLD720947 TUZ720947 UEV720947 UOR720947 UYN720947 VIJ720947 VSF720947 WCB720947 WLX720947 WVT720947 JH786483 TD786483 ACZ786483 AMV786483 AWR786483 BGN786483 BQJ786483 CAF786483 CKB786483 CTX786483 DDT786483 DNP786483 DXL786483 EHH786483 ERD786483 FAZ786483 FKV786483 FUR786483 GEN786483 GOJ786483 GYF786483 HIB786483 HRX786483 IBT786483 ILP786483 IVL786483 JFH786483 JPD786483 JYZ786483 KIV786483 KSR786483 LCN786483 LMJ786483 LWF786483 MGB786483 MPX786483 MZT786483 NJP786483 NTL786483 ODH786483 OND786483 OWZ786483 PGV786483 PQR786483 QAN786483 QKJ786483 QUF786483 REB786483 RNX786483 RXT786483 SHP786483 SRL786483 TBH786483 TLD786483 TUZ786483 UEV786483 UOR786483 UYN786483 VIJ786483 VSF786483 WCB786483 WLX786483 WVT786483 JH852019 TD852019 ACZ852019 AMV852019 AWR852019 BGN852019 BQJ852019 CAF852019 CKB852019 CTX852019 DDT852019 DNP852019 DXL852019 EHH852019 ERD852019 FAZ852019 FKV852019 FUR852019 GEN852019 GOJ852019 GYF852019 HIB852019 HRX852019 IBT852019 ILP852019 IVL852019 JFH852019 JPD852019 JYZ852019 KIV852019 KSR852019 LCN852019 LMJ852019 LWF852019 MGB852019 MPX852019 MZT852019 NJP852019 NTL852019 ODH852019 OND852019 OWZ852019 PGV852019 PQR852019 QAN852019 QKJ852019 QUF852019 REB852019 RNX852019 RXT852019 SHP852019 SRL852019 TBH852019 TLD852019 TUZ852019 UEV852019 UOR852019 UYN852019 VIJ852019 VSF852019 WCB852019 WLX852019 WVT852019 JH917555 TD917555 ACZ917555 AMV917555 AWR917555 BGN917555 BQJ917555 CAF917555 CKB917555 CTX917555 DDT917555 DNP917555 DXL917555 EHH917555 ERD917555 FAZ917555 FKV917555 FUR917555 GEN917555 GOJ917555 GYF917555 HIB917555 HRX917555 IBT917555 ILP917555 IVL917555 JFH917555 JPD917555 JYZ917555 KIV917555 KSR917555 LCN917555 LMJ917555 LWF917555 MGB917555 MPX917555 MZT917555 NJP917555 NTL917555 ODH917555 OND917555 OWZ917555 PGV917555 PQR917555 QAN917555 QKJ917555 QUF917555 REB917555 RNX917555 RXT917555 SHP917555 SRL917555 TBH917555 TLD917555 TUZ917555 UEV917555 UOR917555 UYN917555 VIJ917555 VSF917555 WCB917555 WLX917555 WVT917555 JH983091 TD983091 ACZ983091 AMV983091 AWR983091 BGN983091 BQJ983091 CAF983091 CKB983091 CTX983091 DDT983091 DNP983091 DXL983091 EHH983091 ERD983091 FAZ983091 FKV983091 FUR983091 GEN983091 GOJ983091 GYF983091 HIB983091 HRX983091 IBT983091 ILP983091 IVL983091 JFH983091 JPD983091 JYZ983091 KIV983091 KSR983091 LCN983091 LMJ983091 LWF983091 MGB983091 MPX983091 MZT983091 NJP983091 NTL983091 ODH983091 OND983091 OWZ983091 PGV983091 PQR983091 QAN983091 QKJ983091 QUF983091 REB983091 RNX983091 RXT983091 SHP983091 SRL983091 TBH983091 TLD983091 TUZ983091 UEV983091 UOR983091 UYN983091 VIJ983091 VSF983091 WCB983091 WLX983091 WVT983091 JH71:JI71 JF72:JG72 JF64:JG70 TD71:TE71 TB72:TC72 TB64:TC70 ACZ71:ADA71 ACX72:ACY72 ACX64:ACY70 AMV71:AMW71 AMT72:AMU72 AMT64:AMU70 AWR71:AWS71 AWP72:AWQ72 AWP64:AWQ70 BGN71:BGO71 BGL72:BGM72 BGL64:BGM70 BQJ71:BQK71 BQH72:BQI72 BQH64:BQI70 CAF71:CAG71 CAD72:CAE72 CAD64:CAE70 CKB71:CKC71 CJZ72:CKA72 CJZ64:CKA70 CTX71:CTY71 CTV72:CTW72 CTV64:CTW70 DDT71:DDU71 DDR72:DDS72 DDR64:DDS70 DNP71:DNQ71 DNN72:DNO72 DNN64:DNO70 DXL71:DXM71 DXJ72:DXK72 DXJ64:DXK70 EHH71:EHI71 EHF72:EHG72 EHF64:EHG70 ERD71:ERE71 ERB72:ERC72 ERB64:ERC70 FAZ71:FBA71 FAX72:FAY72 FAX64:FAY70 FKV71:FKW71 FKT72:FKU72 FKT64:FKU70 FUR71:FUS71 FUP72:FUQ72 FUP64:FUQ70 GEN71:GEO71 GEL72:GEM72 GEL64:GEM70 GOJ71:GOK71 GOH72:GOI72 GOH64:GOI70 GYF71:GYG71 GYD72:GYE72 GYD64:GYE70 HIB71:HIC71 HHZ72:HIA72 HHZ64:HIA70 HRX71:HRY71 HRV72:HRW72 HRV64:HRW70 IBT71:IBU71 IBR72:IBS72 IBR64:IBS70 ILP71:ILQ71 ILN72:ILO72 ILN64:ILO70 IVL71:IVM71 IVJ72:IVK72 IVJ64:IVK70 JFH71:JFI71 JFF72:JFG72 JFF64:JFG70 JPD71:JPE71 JPB72:JPC72 JPB64:JPC70 JYZ71:JZA71 JYX72:JYY72 JYX64:JYY70 KIV71:KIW71 KIT72:KIU72 KIT64:KIU70 KSR71:KSS71 KSP72:KSQ72 KSP64:KSQ70 LCN71:LCO71 LCL72:LCM72 LCL64:LCM70 LMJ71:LMK71 LMH72:LMI72 LMH64:LMI70 LWF71:LWG71 LWD72:LWE72 LWD64:LWE70 MGB71:MGC71 MFZ72:MGA72 MFZ64:MGA70 MPX71:MPY71 MPV72:MPW72 MPV64:MPW70 MZT71:MZU71 MZR72:MZS72 MZR64:MZS70 NJP71:NJQ71 NJN72:NJO72 NJN64:NJO70 NTL71:NTM71 NTJ72:NTK72 NTJ64:NTK70 ODH71:ODI71 ODF72:ODG72 ODF64:ODG70 OND71:ONE71 ONB72:ONC72 ONB64:ONC70 OWZ71:OXA71 OWX72:OWY72 OWX64:OWY70 PGV71:PGW71 PGT72:PGU72 PGT64:PGU70 PQR71:PQS71 PQP72:PQQ72 PQP64:PQQ70 QAN71:QAO71 QAL72:QAM72 QAL64:QAM70 QKJ71:QKK71 QKH72:QKI72 QKH64:QKI70 QUF71:QUG71 QUD72:QUE72 QUD64:QUE70 REB71:REC71 RDZ72:REA72 RDZ64:REA70 RNX71:RNY71 RNV72:RNW72 RNV64:RNW70 RXT71:RXU71 RXR72:RXS72 RXR64:RXS70 SHP71:SHQ71 SHN72:SHO72 SHN64:SHO70 SRL71:SRM71 SRJ72:SRK72 SRJ64:SRK70 TBH71:TBI71 TBF72:TBG72 TBF64:TBG70 TLD71:TLE71 TLB72:TLC72 TLB64:TLC70 TUZ71:TVA71 TUX72:TUY72 TUX64:TUY70 UEV71:UEW71 UET72:UEU72 UET64:UEU70 UOR71:UOS71 UOP72:UOQ72 UOP64:UOQ70 UYN71:UYO71 UYL72:UYM72 UYL64:UYM70 VIJ71:VIK71 VIH72:VII72 VIH64:VII70 VSF71:VSG71 VSD72:VSE72 VSD64:VSE70 WCB71:WCC71 WBZ72:WCA72 WBZ64:WCA70 WLX71:WLY71 WLV72:WLW72 WLV64:WLW70 WVT71:WVU71 WVR72:WVS72 WVR64:WVS70 JH65602:JI65608 TD65602:TE65608 ACZ65602:ADA65608 AMV65602:AMW65608 AWR65602:AWS65608 BGN65602:BGO65608 BQJ65602:BQK65608 CAF65602:CAG65608 CKB65602:CKC65608 CTX65602:CTY65608 DDT65602:DDU65608 DNP65602:DNQ65608 DXL65602:DXM65608 EHH65602:EHI65608 ERD65602:ERE65608 FAZ65602:FBA65608 FKV65602:FKW65608 FUR65602:FUS65608 GEN65602:GEO65608 GOJ65602:GOK65608 GYF65602:GYG65608 HIB65602:HIC65608 HRX65602:HRY65608 IBT65602:IBU65608 ILP65602:ILQ65608 IVL65602:IVM65608 JFH65602:JFI65608 JPD65602:JPE65608 JYZ65602:JZA65608 KIV65602:KIW65608 KSR65602:KSS65608 LCN65602:LCO65608 LMJ65602:LMK65608 LWF65602:LWG65608 MGB65602:MGC65608 MPX65602:MPY65608 MZT65602:MZU65608 NJP65602:NJQ65608 NTL65602:NTM65608 ODH65602:ODI65608 OND65602:ONE65608 OWZ65602:OXA65608 PGV65602:PGW65608 PQR65602:PQS65608 QAN65602:QAO65608 QKJ65602:QKK65608 QUF65602:QUG65608 REB65602:REC65608 RNX65602:RNY65608 RXT65602:RXU65608 SHP65602:SHQ65608 SRL65602:SRM65608 TBH65602:TBI65608 TLD65602:TLE65608 TUZ65602:TVA65608 UEV65602:UEW65608 UOR65602:UOS65608 UYN65602:UYO65608 VIJ65602:VIK65608 VSF65602:VSG65608 WCB65602:WCC65608 WLX65602:WLY65608 WVT65602:WVU65608 JH131138:JI131144 TD131138:TE131144 ACZ131138:ADA131144 AMV131138:AMW131144 AWR131138:AWS131144 BGN131138:BGO131144 BQJ131138:BQK131144 CAF131138:CAG131144 CKB131138:CKC131144 CTX131138:CTY131144 DDT131138:DDU131144 DNP131138:DNQ131144 DXL131138:DXM131144 EHH131138:EHI131144 ERD131138:ERE131144 FAZ131138:FBA131144 FKV131138:FKW131144 FUR131138:FUS131144 GEN131138:GEO131144 GOJ131138:GOK131144 GYF131138:GYG131144 HIB131138:HIC131144 HRX131138:HRY131144 IBT131138:IBU131144 ILP131138:ILQ131144 IVL131138:IVM131144 JFH131138:JFI131144 JPD131138:JPE131144 JYZ131138:JZA131144 KIV131138:KIW131144 KSR131138:KSS131144 LCN131138:LCO131144 LMJ131138:LMK131144 LWF131138:LWG131144 MGB131138:MGC131144 MPX131138:MPY131144 MZT131138:MZU131144 NJP131138:NJQ131144 NTL131138:NTM131144 ODH131138:ODI131144 OND131138:ONE131144 OWZ131138:OXA131144 PGV131138:PGW131144 PQR131138:PQS131144 QAN131138:QAO131144 QKJ131138:QKK131144 QUF131138:QUG131144 REB131138:REC131144 RNX131138:RNY131144 RXT131138:RXU131144 SHP131138:SHQ131144 SRL131138:SRM131144 TBH131138:TBI131144 TLD131138:TLE131144 TUZ131138:TVA131144 UEV131138:UEW131144 UOR131138:UOS131144 UYN131138:UYO131144 VIJ131138:VIK131144 VSF131138:VSG131144 WCB131138:WCC131144 WLX131138:WLY131144 WVT131138:WVU131144 JH196674:JI196680 TD196674:TE196680 ACZ196674:ADA196680 AMV196674:AMW196680 AWR196674:AWS196680 BGN196674:BGO196680 BQJ196674:BQK196680 CAF196674:CAG196680 CKB196674:CKC196680 CTX196674:CTY196680 DDT196674:DDU196680 DNP196674:DNQ196680 DXL196674:DXM196680 EHH196674:EHI196680 ERD196674:ERE196680 FAZ196674:FBA196680 FKV196674:FKW196680 FUR196674:FUS196680 GEN196674:GEO196680 GOJ196674:GOK196680 GYF196674:GYG196680 HIB196674:HIC196680 HRX196674:HRY196680 IBT196674:IBU196680 ILP196674:ILQ196680 IVL196674:IVM196680 JFH196674:JFI196680 JPD196674:JPE196680 JYZ196674:JZA196680 KIV196674:KIW196680 KSR196674:KSS196680 LCN196674:LCO196680 LMJ196674:LMK196680 LWF196674:LWG196680 MGB196674:MGC196680 MPX196674:MPY196680 MZT196674:MZU196680 NJP196674:NJQ196680 NTL196674:NTM196680 ODH196674:ODI196680 OND196674:ONE196680 OWZ196674:OXA196680 PGV196674:PGW196680 PQR196674:PQS196680 QAN196674:QAO196680 QKJ196674:QKK196680 QUF196674:QUG196680 REB196674:REC196680 RNX196674:RNY196680 RXT196674:RXU196680 SHP196674:SHQ196680 SRL196674:SRM196680 TBH196674:TBI196680 TLD196674:TLE196680 TUZ196674:TVA196680 UEV196674:UEW196680 UOR196674:UOS196680 UYN196674:UYO196680 VIJ196674:VIK196680 VSF196674:VSG196680 WCB196674:WCC196680 WLX196674:WLY196680 WVT196674:WVU196680 JH262210:JI262216 TD262210:TE262216 ACZ262210:ADA262216 AMV262210:AMW262216 AWR262210:AWS262216 BGN262210:BGO262216 BQJ262210:BQK262216 CAF262210:CAG262216 CKB262210:CKC262216 CTX262210:CTY262216 DDT262210:DDU262216 DNP262210:DNQ262216 DXL262210:DXM262216 EHH262210:EHI262216 ERD262210:ERE262216 FAZ262210:FBA262216 FKV262210:FKW262216 FUR262210:FUS262216 GEN262210:GEO262216 GOJ262210:GOK262216 GYF262210:GYG262216 HIB262210:HIC262216 HRX262210:HRY262216 IBT262210:IBU262216 ILP262210:ILQ262216 IVL262210:IVM262216 JFH262210:JFI262216 JPD262210:JPE262216 JYZ262210:JZA262216 KIV262210:KIW262216 KSR262210:KSS262216 LCN262210:LCO262216 LMJ262210:LMK262216 LWF262210:LWG262216 MGB262210:MGC262216 MPX262210:MPY262216 MZT262210:MZU262216 NJP262210:NJQ262216 NTL262210:NTM262216 ODH262210:ODI262216 OND262210:ONE262216 OWZ262210:OXA262216 PGV262210:PGW262216 PQR262210:PQS262216 QAN262210:QAO262216 QKJ262210:QKK262216 QUF262210:QUG262216 REB262210:REC262216 RNX262210:RNY262216 RXT262210:RXU262216 SHP262210:SHQ262216 SRL262210:SRM262216 TBH262210:TBI262216 TLD262210:TLE262216 TUZ262210:TVA262216 UEV262210:UEW262216 UOR262210:UOS262216 UYN262210:UYO262216 VIJ262210:VIK262216 VSF262210:VSG262216 WCB262210:WCC262216 WLX262210:WLY262216 WVT262210:WVU262216 JH327746:JI327752 TD327746:TE327752 ACZ327746:ADA327752 AMV327746:AMW327752 AWR327746:AWS327752 BGN327746:BGO327752 BQJ327746:BQK327752 CAF327746:CAG327752 CKB327746:CKC327752 CTX327746:CTY327752 DDT327746:DDU327752 DNP327746:DNQ327752 DXL327746:DXM327752 EHH327746:EHI327752 ERD327746:ERE327752 FAZ327746:FBA327752 FKV327746:FKW327752 FUR327746:FUS327752 GEN327746:GEO327752 GOJ327746:GOK327752 GYF327746:GYG327752 HIB327746:HIC327752 HRX327746:HRY327752 IBT327746:IBU327752 ILP327746:ILQ327752 IVL327746:IVM327752 JFH327746:JFI327752 JPD327746:JPE327752 JYZ327746:JZA327752 KIV327746:KIW327752 KSR327746:KSS327752 LCN327746:LCO327752 LMJ327746:LMK327752 LWF327746:LWG327752 MGB327746:MGC327752 MPX327746:MPY327752 MZT327746:MZU327752 NJP327746:NJQ327752 NTL327746:NTM327752 ODH327746:ODI327752 OND327746:ONE327752 OWZ327746:OXA327752 PGV327746:PGW327752 PQR327746:PQS327752 QAN327746:QAO327752 QKJ327746:QKK327752 QUF327746:QUG327752 REB327746:REC327752 RNX327746:RNY327752 RXT327746:RXU327752 SHP327746:SHQ327752 SRL327746:SRM327752 TBH327746:TBI327752 TLD327746:TLE327752 TUZ327746:TVA327752 UEV327746:UEW327752 UOR327746:UOS327752 UYN327746:UYO327752 VIJ327746:VIK327752 VSF327746:VSG327752 WCB327746:WCC327752 WLX327746:WLY327752 WVT327746:WVU327752 JH393282:JI393288 TD393282:TE393288 ACZ393282:ADA393288 AMV393282:AMW393288 AWR393282:AWS393288 BGN393282:BGO393288 BQJ393282:BQK393288 CAF393282:CAG393288 CKB393282:CKC393288 CTX393282:CTY393288 DDT393282:DDU393288 DNP393282:DNQ393288 DXL393282:DXM393288 EHH393282:EHI393288 ERD393282:ERE393288 FAZ393282:FBA393288 FKV393282:FKW393288 FUR393282:FUS393288 GEN393282:GEO393288 GOJ393282:GOK393288 GYF393282:GYG393288 HIB393282:HIC393288 HRX393282:HRY393288 IBT393282:IBU393288 ILP393282:ILQ393288 IVL393282:IVM393288 JFH393282:JFI393288 JPD393282:JPE393288 JYZ393282:JZA393288 KIV393282:KIW393288 KSR393282:KSS393288 LCN393282:LCO393288 LMJ393282:LMK393288 LWF393282:LWG393288 MGB393282:MGC393288 MPX393282:MPY393288 MZT393282:MZU393288 NJP393282:NJQ393288 NTL393282:NTM393288 ODH393282:ODI393288 OND393282:ONE393288 OWZ393282:OXA393288 PGV393282:PGW393288 PQR393282:PQS393288 QAN393282:QAO393288 QKJ393282:QKK393288 QUF393282:QUG393288 REB393282:REC393288 RNX393282:RNY393288 RXT393282:RXU393288 SHP393282:SHQ393288 SRL393282:SRM393288 TBH393282:TBI393288 TLD393282:TLE393288 TUZ393282:TVA393288 UEV393282:UEW393288 UOR393282:UOS393288 UYN393282:UYO393288 VIJ393282:VIK393288 VSF393282:VSG393288 WCB393282:WCC393288 WLX393282:WLY393288 WVT393282:WVU393288 JH458818:JI458824 TD458818:TE458824 ACZ458818:ADA458824 AMV458818:AMW458824 AWR458818:AWS458824 BGN458818:BGO458824 BQJ458818:BQK458824 CAF458818:CAG458824 CKB458818:CKC458824 CTX458818:CTY458824 DDT458818:DDU458824 DNP458818:DNQ458824 DXL458818:DXM458824 EHH458818:EHI458824 ERD458818:ERE458824 FAZ458818:FBA458824 FKV458818:FKW458824 FUR458818:FUS458824 GEN458818:GEO458824 GOJ458818:GOK458824 GYF458818:GYG458824 HIB458818:HIC458824 HRX458818:HRY458824 IBT458818:IBU458824 ILP458818:ILQ458824 IVL458818:IVM458824 JFH458818:JFI458824 JPD458818:JPE458824 JYZ458818:JZA458824 KIV458818:KIW458824 KSR458818:KSS458824 LCN458818:LCO458824 LMJ458818:LMK458824 LWF458818:LWG458824 MGB458818:MGC458824 MPX458818:MPY458824 MZT458818:MZU458824 NJP458818:NJQ458824 NTL458818:NTM458824 ODH458818:ODI458824 OND458818:ONE458824 OWZ458818:OXA458824 PGV458818:PGW458824 PQR458818:PQS458824 QAN458818:QAO458824 QKJ458818:QKK458824 QUF458818:QUG458824 REB458818:REC458824 RNX458818:RNY458824 RXT458818:RXU458824 SHP458818:SHQ458824 SRL458818:SRM458824 TBH458818:TBI458824 TLD458818:TLE458824 TUZ458818:TVA458824 UEV458818:UEW458824 UOR458818:UOS458824 UYN458818:UYO458824 VIJ458818:VIK458824 VSF458818:VSG458824 WCB458818:WCC458824 WLX458818:WLY458824 WVT458818:WVU458824 JH524354:JI524360 TD524354:TE524360 ACZ524354:ADA524360 AMV524354:AMW524360 AWR524354:AWS524360 BGN524354:BGO524360 BQJ524354:BQK524360 CAF524354:CAG524360 CKB524354:CKC524360 CTX524354:CTY524360 DDT524354:DDU524360 DNP524354:DNQ524360 DXL524354:DXM524360 EHH524354:EHI524360 ERD524354:ERE524360 FAZ524354:FBA524360 FKV524354:FKW524360 FUR524354:FUS524360 GEN524354:GEO524360 GOJ524354:GOK524360 GYF524354:GYG524360 HIB524354:HIC524360 HRX524354:HRY524360 IBT524354:IBU524360 ILP524354:ILQ524360 IVL524354:IVM524360 JFH524354:JFI524360 JPD524354:JPE524360 JYZ524354:JZA524360 KIV524354:KIW524360 KSR524354:KSS524360 LCN524354:LCO524360 LMJ524354:LMK524360 LWF524354:LWG524360 MGB524354:MGC524360 MPX524354:MPY524360 MZT524354:MZU524360 NJP524354:NJQ524360 NTL524354:NTM524360 ODH524354:ODI524360 OND524354:ONE524360 OWZ524354:OXA524360 PGV524354:PGW524360 PQR524354:PQS524360 QAN524354:QAO524360 QKJ524354:QKK524360 QUF524354:QUG524360 REB524354:REC524360 RNX524354:RNY524360 RXT524354:RXU524360 SHP524354:SHQ524360 SRL524354:SRM524360 TBH524354:TBI524360 TLD524354:TLE524360 TUZ524354:TVA524360 UEV524354:UEW524360 UOR524354:UOS524360 UYN524354:UYO524360 VIJ524354:VIK524360 VSF524354:VSG524360 WCB524354:WCC524360 WLX524354:WLY524360 WVT524354:WVU524360 JH589890:JI589896 TD589890:TE589896 ACZ589890:ADA589896 AMV589890:AMW589896 AWR589890:AWS589896 BGN589890:BGO589896 BQJ589890:BQK589896 CAF589890:CAG589896 CKB589890:CKC589896 CTX589890:CTY589896 DDT589890:DDU589896 DNP589890:DNQ589896 DXL589890:DXM589896 EHH589890:EHI589896 ERD589890:ERE589896 FAZ589890:FBA589896 FKV589890:FKW589896 FUR589890:FUS589896 GEN589890:GEO589896 GOJ589890:GOK589896 GYF589890:GYG589896 HIB589890:HIC589896 HRX589890:HRY589896 IBT589890:IBU589896 ILP589890:ILQ589896 IVL589890:IVM589896 JFH589890:JFI589896 JPD589890:JPE589896 JYZ589890:JZA589896 KIV589890:KIW589896 KSR589890:KSS589896 LCN589890:LCO589896 LMJ589890:LMK589896 LWF589890:LWG589896 MGB589890:MGC589896 MPX589890:MPY589896 MZT589890:MZU589896 NJP589890:NJQ589896 NTL589890:NTM589896 ODH589890:ODI589896 OND589890:ONE589896 OWZ589890:OXA589896 PGV589890:PGW589896 PQR589890:PQS589896 QAN589890:QAO589896 QKJ589890:QKK589896 QUF589890:QUG589896 REB589890:REC589896 RNX589890:RNY589896 RXT589890:RXU589896 SHP589890:SHQ589896 SRL589890:SRM589896 TBH589890:TBI589896 TLD589890:TLE589896 TUZ589890:TVA589896 UEV589890:UEW589896 UOR589890:UOS589896 UYN589890:UYO589896 VIJ589890:VIK589896 VSF589890:VSG589896 WCB589890:WCC589896 WLX589890:WLY589896 WVT589890:WVU589896 JH655426:JI655432 TD655426:TE655432 ACZ655426:ADA655432 AMV655426:AMW655432 AWR655426:AWS655432 BGN655426:BGO655432 BQJ655426:BQK655432 CAF655426:CAG655432 CKB655426:CKC655432 CTX655426:CTY655432 DDT655426:DDU655432 DNP655426:DNQ655432 DXL655426:DXM655432 EHH655426:EHI655432 ERD655426:ERE655432 FAZ655426:FBA655432 FKV655426:FKW655432 FUR655426:FUS655432 GEN655426:GEO655432 GOJ655426:GOK655432 GYF655426:GYG655432 HIB655426:HIC655432 HRX655426:HRY655432 IBT655426:IBU655432 ILP655426:ILQ655432 IVL655426:IVM655432 JFH655426:JFI655432 JPD655426:JPE655432 JYZ655426:JZA655432 KIV655426:KIW655432 KSR655426:KSS655432 LCN655426:LCO655432 LMJ655426:LMK655432 LWF655426:LWG655432 MGB655426:MGC655432 MPX655426:MPY655432 MZT655426:MZU655432 NJP655426:NJQ655432 NTL655426:NTM655432 ODH655426:ODI655432 OND655426:ONE655432 OWZ655426:OXA655432 PGV655426:PGW655432 PQR655426:PQS655432 QAN655426:QAO655432 QKJ655426:QKK655432 QUF655426:QUG655432 REB655426:REC655432 RNX655426:RNY655432 RXT655426:RXU655432 SHP655426:SHQ655432 SRL655426:SRM655432 TBH655426:TBI655432 TLD655426:TLE655432 TUZ655426:TVA655432 UEV655426:UEW655432 UOR655426:UOS655432 UYN655426:UYO655432 VIJ655426:VIK655432 VSF655426:VSG655432 WCB655426:WCC655432 WLX655426:WLY655432 WVT655426:WVU655432 JH720962:JI720968 TD720962:TE720968 ACZ720962:ADA720968 AMV720962:AMW720968 AWR720962:AWS720968 BGN720962:BGO720968 BQJ720962:BQK720968 CAF720962:CAG720968 CKB720962:CKC720968 CTX720962:CTY720968 DDT720962:DDU720968 DNP720962:DNQ720968 DXL720962:DXM720968 EHH720962:EHI720968 ERD720962:ERE720968 FAZ720962:FBA720968 FKV720962:FKW720968 FUR720962:FUS720968 GEN720962:GEO720968 GOJ720962:GOK720968 GYF720962:GYG720968 HIB720962:HIC720968 HRX720962:HRY720968 IBT720962:IBU720968 ILP720962:ILQ720968 IVL720962:IVM720968 JFH720962:JFI720968 JPD720962:JPE720968 JYZ720962:JZA720968 KIV720962:KIW720968 KSR720962:KSS720968 LCN720962:LCO720968 LMJ720962:LMK720968 LWF720962:LWG720968 MGB720962:MGC720968 MPX720962:MPY720968 MZT720962:MZU720968 NJP720962:NJQ720968 NTL720962:NTM720968 ODH720962:ODI720968 OND720962:ONE720968 OWZ720962:OXA720968 PGV720962:PGW720968 PQR720962:PQS720968 QAN720962:QAO720968 QKJ720962:QKK720968 QUF720962:QUG720968 REB720962:REC720968 RNX720962:RNY720968 RXT720962:RXU720968 SHP720962:SHQ720968 SRL720962:SRM720968 TBH720962:TBI720968 TLD720962:TLE720968 TUZ720962:TVA720968 UEV720962:UEW720968 UOR720962:UOS720968 UYN720962:UYO720968 VIJ720962:VIK720968 VSF720962:VSG720968 WCB720962:WCC720968 WLX720962:WLY720968 WVT720962:WVU720968 JH786498:JI786504 TD786498:TE786504 ACZ786498:ADA786504 AMV786498:AMW786504 AWR786498:AWS786504 BGN786498:BGO786504 BQJ786498:BQK786504 CAF786498:CAG786504 CKB786498:CKC786504 CTX786498:CTY786504 DDT786498:DDU786504 DNP786498:DNQ786504 DXL786498:DXM786504 EHH786498:EHI786504 ERD786498:ERE786504 FAZ786498:FBA786504 FKV786498:FKW786504 FUR786498:FUS786504 GEN786498:GEO786504 GOJ786498:GOK786504 GYF786498:GYG786504 HIB786498:HIC786504 HRX786498:HRY786504 IBT786498:IBU786504 ILP786498:ILQ786504 IVL786498:IVM786504 JFH786498:JFI786504 JPD786498:JPE786504 JYZ786498:JZA786504 KIV786498:KIW786504 KSR786498:KSS786504 LCN786498:LCO786504 LMJ786498:LMK786504 LWF786498:LWG786504 MGB786498:MGC786504 MPX786498:MPY786504 MZT786498:MZU786504 NJP786498:NJQ786504 NTL786498:NTM786504 ODH786498:ODI786504 OND786498:ONE786504 OWZ786498:OXA786504 PGV786498:PGW786504 PQR786498:PQS786504 QAN786498:QAO786504 QKJ786498:QKK786504 QUF786498:QUG786504 REB786498:REC786504 RNX786498:RNY786504 RXT786498:RXU786504 SHP786498:SHQ786504 SRL786498:SRM786504 TBH786498:TBI786504 TLD786498:TLE786504 TUZ786498:TVA786504 UEV786498:UEW786504 UOR786498:UOS786504 UYN786498:UYO786504 VIJ786498:VIK786504 VSF786498:VSG786504 WCB786498:WCC786504 WLX786498:WLY786504 WVT786498:WVU786504 JH852034:JI852040 TD852034:TE852040 ACZ852034:ADA852040 AMV852034:AMW852040 AWR852034:AWS852040 BGN852034:BGO852040 BQJ852034:BQK852040 CAF852034:CAG852040 CKB852034:CKC852040 CTX852034:CTY852040 DDT852034:DDU852040 DNP852034:DNQ852040 DXL852034:DXM852040 EHH852034:EHI852040 ERD852034:ERE852040 FAZ852034:FBA852040 FKV852034:FKW852040 FUR852034:FUS852040 GEN852034:GEO852040 GOJ852034:GOK852040 GYF852034:GYG852040 HIB852034:HIC852040 HRX852034:HRY852040 IBT852034:IBU852040 ILP852034:ILQ852040 IVL852034:IVM852040 JFH852034:JFI852040 JPD852034:JPE852040 JYZ852034:JZA852040 KIV852034:KIW852040 KSR852034:KSS852040 LCN852034:LCO852040 LMJ852034:LMK852040 LWF852034:LWG852040 MGB852034:MGC852040 MPX852034:MPY852040 MZT852034:MZU852040 NJP852034:NJQ852040 NTL852034:NTM852040 ODH852034:ODI852040 OND852034:ONE852040 OWZ852034:OXA852040 PGV852034:PGW852040 PQR852034:PQS852040 QAN852034:QAO852040 QKJ852034:QKK852040 QUF852034:QUG852040 REB852034:REC852040 RNX852034:RNY852040 RXT852034:RXU852040 SHP852034:SHQ852040 SRL852034:SRM852040 TBH852034:TBI852040 TLD852034:TLE852040 TUZ852034:TVA852040 UEV852034:UEW852040 UOR852034:UOS852040 UYN852034:UYO852040 VIJ852034:VIK852040 VSF852034:VSG852040 WCB852034:WCC852040 WLX852034:WLY852040 WVT852034:WVU852040 JH917570:JI917576 TD917570:TE917576 ACZ917570:ADA917576 AMV917570:AMW917576 AWR917570:AWS917576 BGN917570:BGO917576 BQJ917570:BQK917576 CAF917570:CAG917576 CKB917570:CKC917576 CTX917570:CTY917576 DDT917570:DDU917576 DNP917570:DNQ917576 DXL917570:DXM917576 EHH917570:EHI917576 ERD917570:ERE917576 FAZ917570:FBA917576 FKV917570:FKW917576 FUR917570:FUS917576 GEN917570:GEO917576 GOJ917570:GOK917576 GYF917570:GYG917576 HIB917570:HIC917576 HRX917570:HRY917576 IBT917570:IBU917576 ILP917570:ILQ917576 IVL917570:IVM917576 JFH917570:JFI917576 JPD917570:JPE917576 JYZ917570:JZA917576 KIV917570:KIW917576 KSR917570:KSS917576 LCN917570:LCO917576 LMJ917570:LMK917576 LWF917570:LWG917576 MGB917570:MGC917576 MPX917570:MPY917576 MZT917570:MZU917576 NJP917570:NJQ917576 NTL917570:NTM917576 ODH917570:ODI917576 OND917570:ONE917576 OWZ917570:OXA917576 PGV917570:PGW917576 PQR917570:PQS917576 QAN917570:QAO917576 QKJ917570:QKK917576 QUF917570:QUG917576 REB917570:REC917576 RNX917570:RNY917576 RXT917570:RXU917576 SHP917570:SHQ917576 SRL917570:SRM917576 TBH917570:TBI917576 TLD917570:TLE917576 TUZ917570:TVA917576 UEV917570:UEW917576 UOR917570:UOS917576 UYN917570:UYO917576 VIJ917570:VIK917576 VSF917570:VSG917576 WCB917570:WCC917576 WLX917570:WLY917576 WVT917570:WVU917576 JH983106:JI983112 TD983106:TE983112 ACZ983106:ADA983112 AMV983106:AMW983112 AWR983106:AWS983112 BGN983106:BGO983112 BQJ983106:BQK983112 CAF983106:CAG983112 CKB983106:CKC983112 CTX983106:CTY983112 DDT983106:DDU983112 DNP983106:DNQ983112 DXL983106:DXM983112 EHH983106:EHI983112 ERD983106:ERE983112 FAZ983106:FBA983112 FKV983106:FKW983112 FUR983106:FUS983112 GEN983106:GEO983112 GOJ983106:GOK983112 GYF983106:GYG983112 HIB983106:HIC983112 HRX983106:HRY983112 IBT983106:IBU983112 ILP983106:ILQ983112 IVL983106:IVM983112 JFH983106:JFI983112 JPD983106:JPE983112 JYZ983106:JZA983112 KIV983106:KIW983112 KSR983106:KSS983112 LCN983106:LCO983112 LMJ983106:LMK983112 LWF983106:LWG983112 MGB983106:MGC983112 MPX983106:MPY983112 MZT983106:MZU983112 NJP983106:NJQ983112 NTL983106:NTM983112 ODH983106:ODI983112 OND983106:ONE983112 OWZ983106:OXA983112 PGV983106:PGW983112 PQR983106:PQS983112 QAN983106:QAO983112 QKJ983106:QKK983112 QUF983106:QUG983112 REB983106:REC983112 RNX983106:RNY983112 RXT983106:RXU983112 SHP983106:SHQ983112 SRL983106:SRM983112 TBH983106:TBI983112 TLD983106:TLE983112 TUZ983106:TVA983112 UEV983106:UEW983112 UOR983106:UOS983112 UYN983106:UYO983112 VIJ983106:VIK983112 VSF983106:VSG983112 WCB983106:WCC983112 WLX983106:WLY983112 WVT983106:WVU983112 JF79:JG83 JH65615:JI65619 TD65615:TE65619 ACZ65615:ADA65619 AMV65615:AMW65619 AWR65615:AWS65619 BGN65615:BGO65619 BQJ65615:BQK65619 CAF65615:CAG65619 CKB65615:CKC65619 CTX65615:CTY65619 DDT65615:DDU65619 DNP65615:DNQ65619 DXL65615:DXM65619 EHH65615:EHI65619 ERD65615:ERE65619 FAZ65615:FBA65619 FKV65615:FKW65619 FUR65615:FUS65619 GEN65615:GEO65619 GOJ65615:GOK65619 GYF65615:GYG65619 HIB65615:HIC65619 HRX65615:HRY65619 IBT65615:IBU65619 ILP65615:ILQ65619 IVL65615:IVM65619 JFH65615:JFI65619 JPD65615:JPE65619 JYZ65615:JZA65619 KIV65615:KIW65619 KSR65615:KSS65619 LCN65615:LCO65619 LMJ65615:LMK65619 LWF65615:LWG65619 MGB65615:MGC65619 MPX65615:MPY65619 MZT65615:MZU65619 NJP65615:NJQ65619 NTL65615:NTM65619 ODH65615:ODI65619 OND65615:ONE65619 OWZ65615:OXA65619 PGV65615:PGW65619 PQR65615:PQS65619 QAN65615:QAO65619 QKJ65615:QKK65619 QUF65615:QUG65619 REB65615:REC65619 RNX65615:RNY65619 RXT65615:RXU65619 SHP65615:SHQ65619 SRL65615:SRM65619 TBH65615:TBI65619 TLD65615:TLE65619 TUZ65615:TVA65619 UEV65615:UEW65619 UOR65615:UOS65619 UYN65615:UYO65619 VIJ65615:VIK65619 VSF65615:VSG65619 WCB65615:WCC65619 WLX65615:WLY65619 WVT65615:WVU65619 JH131151:JI131155 TD131151:TE131155 ACZ131151:ADA131155 AMV131151:AMW131155 AWR131151:AWS131155 BGN131151:BGO131155 BQJ131151:BQK131155 CAF131151:CAG131155 CKB131151:CKC131155 CTX131151:CTY131155 DDT131151:DDU131155 DNP131151:DNQ131155 DXL131151:DXM131155 EHH131151:EHI131155 ERD131151:ERE131155 FAZ131151:FBA131155 FKV131151:FKW131155 FUR131151:FUS131155 GEN131151:GEO131155 GOJ131151:GOK131155 GYF131151:GYG131155 HIB131151:HIC131155 HRX131151:HRY131155 IBT131151:IBU131155 ILP131151:ILQ131155 IVL131151:IVM131155 JFH131151:JFI131155 JPD131151:JPE131155 JYZ131151:JZA131155 KIV131151:KIW131155 KSR131151:KSS131155 LCN131151:LCO131155 LMJ131151:LMK131155 LWF131151:LWG131155 MGB131151:MGC131155 MPX131151:MPY131155 MZT131151:MZU131155 NJP131151:NJQ131155 NTL131151:NTM131155 ODH131151:ODI131155 OND131151:ONE131155 OWZ131151:OXA131155 PGV131151:PGW131155 PQR131151:PQS131155 QAN131151:QAO131155 QKJ131151:QKK131155 QUF131151:QUG131155 REB131151:REC131155 RNX131151:RNY131155 RXT131151:RXU131155 SHP131151:SHQ131155 SRL131151:SRM131155 TBH131151:TBI131155 TLD131151:TLE131155 TUZ131151:TVA131155 UEV131151:UEW131155 UOR131151:UOS131155 UYN131151:UYO131155 VIJ131151:VIK131155 VSF131151:VSG131155 WCB131151:WCC131155 WLX131151:WLY131155 WVT131151:WVU131155 JH196687:JI196691 TD196687:TE196691 ACZ196687:ADA196691 AMV196687:AMW196691 AWR196687:AWS196691 BGN196687:BGO196691 BQJ196687:BQK196691 CAF196687:CAG196691 CKB196687:CKC196691 CTX196687:CTY196691 DDT196687:DDU196691 DNP196687:DNQ196691 DXL196687:DXM196691 EHH196687:EHI196691 ERD196687:ERE196691 FAZ196687:FBA196691 FKV196687:FKW196691 FUR196687:FUS196691 GEN196687:GEO196691 GOJ196687:GOK196691 GYF196687:GYG196691 HIB196687:HIC196691 HRX196687:HRY196691 IBT196687:IBU196691 ILP196687:ILQ196691 IVL196687:IVM196691 JFH196687:JFI196691 JPD196687:JPE196691 JYZ196687:JZA196691 KIV196687:KIW196691 KSR196687:KSS196691 LCN196687:LCO196691 LMJ196687:LMK196691 LWF196687:LWG196691 MGB196687:MGC196691 MPX196687:MPY196691 MZT196687:MZU196691 NJP196687:NJQ196691 NTL196687:NTM196691 ODH196687:ODI196691 OND196687:ONE196691 OWZ196687:OXA196691 PGV196687:PGW196691 PQR196687:PQS196691 QAN196687:QAO196691 QKJ196687:QKK196691 QUF196687:QUG196691 REB196687:REC196691 RNX196687:RNY196691 RXT196687:RXU196691 SHP196687:SHQ196691 SRL196687:SRM196691 TBH196687:TBI196691 TLD196687:TLE196691 TUZ196687:TVA196691 UEV196687:UEW196691 UOR196687:UOS196691 UYN196687:UYO196691 VIJ196687:VIK196691 VSF196687:VSG196691 WCB196687:WCC196691 WLX196687:WLY196691 WVT196687:WVU196691 JH262223:JI262227 TD262223:TE262227 ACZ262223:ADA262227 AMV262223:AMW262227 AWR262223:AWS262227 BGN262223:BGO262227 BQJ262223:BQK262227 CAF262223:CAG262227 CKB262223:CKC262227 CTX262223:CTY262227 DDT262223:DDU262227 DNP262223:DNQ262227 DXL262223:DXM262227 EHH262223:EHI262227 ERD262223:ERE262227 FAZ262223:FBA262227 FKV262223:FKW262227 FUR262223:FUS262227 GEN262223:GEO262227 GOJ262223:GOK262227 GYF262223:GYG262227 HIB262223:HIC262227 HRX262223:HRY262227 IBT262223:IBU262227 ILP262223:ILQ262227 IVL262223:IVM262227 JFH262223:JFI262227 JPD262223:JPE262227 JYZ262223:JZA262227 KIV262223:KIW262227 KSR262223:KSS262227 LCN262223:LCO262227 LMJ262223:LMK262227 LWF262223:LWG262227 MGB262223:MGC262227 MPX262223:MPY262227 MZT262223:MZU262227 NJP262223:NJQ262227 NTL262223:NTM262227 ODH262223:ODI262227 OND262223:ONE262227 OWZ262223:OXA262227 PGV262223:PGW262227 PQR262223:PQS262227 QAN262223:QAO262227 QKJ262223:QKK262227 QUF262223:QUG262227 REB262223:REC262227 RNX262223:RNY262227 RXT262223:RXU262227 SHP262223:SHQ262227 SRL262223:SRM262227 TBH262223:TBI262227 TLD262223:TLE262227 TUZ262223:TVA262227 UEV262223:UEW262227 UOR262223:UOS262227 UYN262223:UYO262227 VIJ262223:VIK262227 VSF262223:VSG262227 WCB262223:WCC262227 WLX262223:WLY262227 WVT262223:WVU262227 JH327759:JI327763 TD327759:TE327763 ACZ327759:ADA327763 AMV327759:AMW327763 AWR327759:AWS327763 BGN327759:BGO327763 BQJ327759:BQK327763 CAF327759:CAG327763 CKB327759:CKC327763 CTX327759:CTY327763 DDT327759:DDU327763 DNP327759:DNQ327763 DXL327759:DXM327763 EHH327759:EHI327763 ERD327759:ERE327763 FAZ327759:FBA327763 FKV327759:FKW327763 FUR327759:FUS327763 GEN327759:GEO327763 GOJ327759:GOK327763 GYF327759:GYG327763 HIB327759:HIC327763 HRX327759:HRY327763 IBT327759:IBU327763 ILP327759:ILQ327763 IVL327759:IVM327763 JFH327759:JFI327763 JPD327759:JPE327763 JYZ327759:JZA327763 KIV327759:KIW327763 KSR327759:KSS327763 LCN327759:LCO327763 LMJ327759:LMK327763 LWF327759:LWG327763 MGB327759:MGC327763 MPX327759:MPY327763 MZT327759:MZU327763 NJP327759:NJQ327763 NTL327759:NTM327763 ODH327759:ODI327763 OND327759:ONE327763 OWZ327759:OXA327763 PGV327759:PGW327763 PQR327759:PQS327763 QAN327759:QAO327763 QKJ327759:QKK327763 QUF327759:QUG327763 REB327759:REC327763 RNX327759:RNY327763 RXT327759:RXU327763 SHP327759:SHQ327763 SRL327759:SRM327763 TBH327759:TBI327763 TLD327759:TLE327763 TUZ327759:TVA327763 UEV327759:UEW327763 UOR327759:UOS327763 UYN327759:UYO327763 VIJ327759:VIK327763 VSF327759:VSG327763 WCB327759:WCC327763 WLX327759:WLY327763 WVT327759:WVU327763 JH393295:JI393299 TD393295:TE393299 ACZ393295:ADA393299 AMV393295:AMW393299 AWR393295:AWS393299 BGN393295:BGO393299 BQJ393295:BQK393299 CAF393295:CAG393299 CKB393295:CKC393299 CTX393295:CTY393299 DDT393295:DDU393299 DNP393295:DNQ393299 DXL393295:DXM393299 EHH393295:EHI393299 ERD393295:ERE393299 FAZ393295:FBA393299 FKV393295:FKW393299 FUR393295:FUS393299 GEN393295:GEO393299 GOJ393295:GOK393299 GYF393295:GYG393299 HIB393295:HIC393299 HRX393295:HRY393299 IBT393295:IBU393299 ILP393295:ILQ393299 IVL393295:IVM393299 JFH393295:JFI393299 JPD393295:JPE393299 JYZ393295:JZA393299 KIV393295:KIW393299 KSR393295:KSS393299 LCN393295:LCO393299 LMJ393295:LMK393299 LWF393295:LWG393299 MGB393295:MGC393299 MPX393295:MPY393299 MZT393295:MZU393299 NJP393295:NJQ393299 NTL393295:NTM393299 ODH393295:ODI393299 OND393295:ONE393299 OWZ393295:OXA393299 PGV393295:PGW393299 PQR393295:PQS393299 QAN393295:QAO393299 QKJ393295:QKK393299 QUF393295:QUG393299 REB393295:REC393299 RNX393295:RNY393299 RXT393295:RXU393299 SHP393295:SHQ393299 SRL393295:SRM393299 TBH393295:TBI393299 TLD393295:TLE393299 TUZ393295:TVA393299 UEV393295:UEW393299 UOR393295:UOS393299 UYN393295:UYO393299 VIJ393295:VIK393299 VSF393295:VSG393299 WCB393295:WCC393299 WLX393295:WLY393299 WVT393295:WVU393299 JH458831:JI458835 TD458831:TE458835 ACZ458831:ADA458835 AMV458831:AMW458835 AWR458831:AWS458835 BGN458831:BGO458835 BQJ458831:BQK458835 CAF458831:CAG458835 CKB458831:CKC458835 CTX458831:CTY458835 DDT458831:DDU458835 DNP458831:DNQ458835 DXL458831:DXM458835 EHH458831:EHI458835 ERD458831:ERE458835 FAZ458831:FBA458835 FKV458831:FKW458835 FUR458831:FUS458835 GEN458831:GEO458835 GOJ458831:GOK458835 GYF458831:GYG458835 HIB458831:HIC458835 HRX458831:HRY458835 IBT458831:IBU458835 ILP458831:ILQ458835 IVL458831:IVM458835 JFH458831:JFI458835 JPD458831:JPE458835 JYZ458831:JZA458835 KIV458831:KIW458835 KSR458831:KSS458835 LCN458831:LCO458835 LMJ458831:LMK458835 LWF458831:LWG458835 MGB458831:MGC458835 MPX458831:MPY458835 MZT458831:MZU458835 NJP458831:NJQ458835 NTL458831:NTM458835 ODH458831:ODI458835 OND458831:ONE458835 OWZ458831:OXA458835 PGV458831:PGW458835 PQR458831:PQS458835 QAN458831:QAO458835 QKJ458831:QKK458835 QUF458831:QUG458835 REB458831:REC458835 RNX458831:RNY458835 RXT458831:RXU458835 SHP458831:SHQ458835 SRL458831:SRM458835 TBH458831:TBI458835 TLD458831:TLE458835 TUZ458831:TVA458835 UEV458831:UEW458835 UOR458831:UOS458835 UYN458831:UYO458835 VIJ458831:VIK458835 VSF458831:VSG458835 WCB458831:WCC458835 WLX458831:WLY458835 WVT458831:WVU458835 JH524367:JI524371 TD524367:TE524371 ACZ524367:ADA524371 AMV524367:AMW524371 AWR524367:AWS524371 BGN524367:BGO524371 BQJ524367:BQK524371 CAF524367:CAG524371 CKB524367:CKC524371 CTX524367:CTY524371 DDT524367:DDU524371 DNP524367:DNQ524371 DXL524367:DXM524371 EHH524367:EHI524371 ERD524367:ERE524371 FAZ524367:FBA524371 FKV524367:FKW524371 FUR524367:FUS524371 GEN524367:GEO524371 GOJ524367:GOK524371 GYF524367:GYG524371 HIB524367:HIC524371 HRX524367:HRY524371 IBT524367:IBU524371 ILP524367:ILQ524371 IVL524367:IVM524371 JFH524367:JFI524371 JPD524367:JPE524371 JYZ524367:JZA524371 KIV524367:KIW524371 KSR524367:KSS524371 LCN524367:LCO524371 LMJ524367:LMK524371 LWF524367:LWG524371 MGB524367:MGC524371 MPX524367:MPY524371 MZT524367:MZU524371 NJP524367:NJQ524371 NTL524367:NTM524371 ODH524367:ODI524371 OND524367:ONE524371 OWZ524367:OXA524371 PGV524367:PGW524371 PQR524367:PQS524371 QAN524367:QAO524371 QKJ524367:QKK524371 QUF524367:QUG524371 REB524367:REC524371 RNX524367:RNY524371 RXT524367:RXU524371 SHP524367:SHQ524371 SRL524367:SRM524371 TBH524367:TBI524371 TLD524367:TLE524371 TUZ524367:TVA524371 UEV524367:UEW524371 UOR524367:UOS524371 UYN524367:UYO524371 VIJ524367:VIK524371 VSF524367:VSG524371 WCB524367:WCC524371 WLX524367:WLY524371 WVT524367:WVU524371 JH589903:JI589907 TD589903:TE589907 ACZ589903:ADA589907 AMV589903:AMW589907 AWR589903:AWS589907 BGN589903:BGO589907 BQJ589903:BQK589907 CAF589903:CAG589907 CKB589903:CKC589907 CTX589903:CTY589907 DDT589903:DDU589907 DNP589903:DNQ589907 DXL589903:DXM589907 EHH589903:EHI589907 ERD589903:ERE589907 FAZ589903:FBA589907 FKV589903:FKW589907 FUR589903:FUS589907 GEN589903:GEO589907 GOJ589903:GOK589907 GYF589903:GYG589907 HIB589903:HIC589907 HRX589903:HRY589907 IBT589903:IBU589907 ILP589903:ILQ589907 IVL589903:IVM589907 JFH589903:JFI589907 JPD589903:JPE589907 JYZ589903:JZA589907 KIV589903:KIW589907 KSR589903:KSS589907 LCN589903:LCO589907 LMJ589903:LMK589907 LWF589903:LWG589907 MGB589903:MGC589907 MPX589903:MPY589907 MZT589903:MZU589907 NJP589903:NJQ589907 NTL589903:NTM589907 ODH589903:ODI589907 OND589903:ONE589907 OWZ589903:OXA589907 PGV589903:PGW589907 PQR589903:PQS589907 QAN589903:QAO589907 QKJ589903:QKK589907 QUF589903:QUG589907 REB589903:REC589907 RNX589903:RNY589907 RXT589903:RXU589907 SHP589903:SHQ589907 SRL589903:SRM589907 TBH589903:TBI589907 TLD589903:TLE589907 TUZ589903:TVA589907 UEV589903:UEW589907 UOR589903:UOS589907 UYN589903:UYO589907 VIJ589903:VIK589907 VSF589903:VSG589907 WCB589903:WCC589907 WLX589903:WLY589907 WVT589903:WVU589907 JH655439:JI655443 TD655439:TE655443 ACZ655439:ADA655443 AMV655439:AMW655443 AWR655439:AWS655443 BGN655439:BGO655443 BQJ655439:BQK655443 CAF655439:CAG655443 CKB655439:CKC655443 CTX655439:CTY655443 DDT655439:DDU655443 DNP655439:DNQ655443 DXL655439:DXM655443 EHH655439:EHI655443 ERD655439:ERE655443 FAZ655439:FBA655443 FKV655439:FKW655443 FUR655439:FUS655443 GEN655439:GEO655443 GOJ655439:GOK655443 GYF655439:GYG655443 HIB655439:HIC655443 HRX655439:HRY655443 IBT655439:IBU655443 ILP655439:ILQ655443 IVL655439:IVM655443 JFH655439:JFI655443 JPD655439:JPE655443 JYZ655439:JZA655443 KIV655439:KIW655443 KSR655439:KSS655443 LCN655439:LCO655443 LMJ655439:LMK655443 LWF655439:LWG655443 MGB655439:MGC655443 MPX655439:MPY655443 MZT655439:MZU655443 NJP655439:NJQ655443 NTL655439:NTM655443 ODH655439:ODI655443 OND655439:ONE655443 OWZ655439:OXA655443 PGV655439:PGW655443 PQR655439:PQS655443 QAN655439:QAO655443 QKJ655439:QKK655443 QUF655439:QUG655443 REB655439:REC655443 RNX655439:RNY655443 RXT655439:RXU655443 SHP655439:SHQ655443 SRL655439:SRM655443 TBH655439:TBI655443 TLD655439:TLE655443 TUZ655439:TVA655443 UEV655439:UEW655443 UOR655439:UOS655443 UYN655439:UYO655443 VIJ655439:VIK655443 VSF655439:VSG655443 WCB655439:WCC655443 WLX655439:WLY655443 WVT655439:WVU655443 JH720975:JI720979 TD720975:TE720979 ACZ720975:ADA720979 AMV720975:AMW720979 AWR720975:AWS720979 BGN720975:BGO720979 BQJ720975:BQK720979 CAF720975:CAG720979 CKB720975:CKC720979 CTX720975:CTY720979 DDT720975:DDU720979 DNP720975:DNQ720979 DXL720975:DXM720979 EHH720975:EHI720979 ERD720975:ERE720979 FAZ720975:FBA720979 FKV720975:FKW720979 FUR720975:FUS720979 GEN720975:GEO720979 GOJ720975:GOK720979 GYF720975:GYG720979 HIB720975:HIC720979 HRX720975:HRY720979 IBT720975:IBU720979 ILP720975:ILQ720979 IVL720975:IVM720979 JFH720975:JFI720979 JPD720975:JPE720979 JYZ720975:JZA720979 KIV720975:KIW720979 KSR720975:KSS720979 LCN720975:LCO720979 LMJ720975:LMK720979 LWF720975:LWG720979 MGB720975:MGC720979 MPX720975:MPY720979 MZT720975:MZU720979 NJP720975:NJQ720979 NTL720975:NTM720979 ODH720975:ODI720979 OND720975:ONE720979 OWZ720975:OXA720979 PGV720975:PGW720979 PQR720975:PQS720979 QAN720975:QAO720979 QKJ720975:QKK720979 QUF720975:QUG720979 REB720975:REC720979 RNX720975:RNY720979 RXT720975:RXU720979 SHP720975:SHQ720979 SRL720975:SRM720979 TBH720975:TBI720979 TLD720975:TLE720979 TUZ720975:TVA720979 UEV720975:UEW720979 UOR720975:UOS720979 UYN720975:UYO720979 VIJ720975:VIK720979 VSF720975:VSG720979 WCB720975:WCC720979 WLX720975:WLY720979 WVT720975:WVU720979 JH786511:JI786515 TD786511:TE786515 ACZ786511:ADA786515 AMV786511:AMW786515 AWR786511:AWS786515 BGN786511:BGO786515 BQJ786511:BQK786515 CAF786511:CAG786515 CKB786511:CKC786515 CTX786511:CTY786515 DDT786511:DDU786515 DNP786511:DNQ786515 DXL786511:DXM786515 EHH786511:EHI786515 ERD786511:ERE786515 FAZ786511:FBA786515 FKV786511:FKW786515 FUR786511:FUS786515 GEN786511:GEO786515 GOJ786511:GOK786515 GYF786511:GYG786515 HIB786511:HIC786515 HRX786511:HRY786515 IBT786511:IBU786515 ILP786511:ILQ786515 IVL786511:IVM786515 JFH786511:JFI786515 JPD786511:JPE786515 JYZ786511:JZA786515 KIV786511:KIW786515 KSR786511:KSS786515 LCN786511:LCO786515 LMJ786511:LMK786515 LWF786511:LWG786515 MGB786511:MGC786515 MPX786511:MPY786515 MZT786511:MZU786515 NJP786511:NJQ786515 NTL786511:NTM786515 ODH786511:ODI786515 OND786511:ONE786515 OWZ786511:OXA786515 PGV786511:PGW786515 PQR786511:PQS786515 QAN786511:QAO786515 QKJ786511:QKK786515 QUF786511:QUG786515 REB786511:REC786515 RNX786511:RNY786515 RXT786511:RXU786515 SHP786511:SHQ786515 SRL786511:SRM786515 TBH786511:TBI786515 TLD786511:TLE786515 TUZ786511:TVA786515 UEV786511:UEW786515 UOR786511:UOS786515 UYN786511:UYO786515 VIJ786511:VIK786515 VSF786511:VSG786515 WCB786511:WCC786515 WLX786511:WLY786515 WVT786511:WVU786515 JH852047:JI852051 TD852047:TE852051 ACZ852047:ADA852051 AMV852047:AMW852051 AWR852047:AWS852051 BGN852047:BGO852051 BQJ852047:BQK852051 CAF852047:CAG852051 CKB852047:CKC852051 CTX852047:CTY852051 DDT852047:DDU852051 DNP852047:DNQ852051 DXL852047:DXM852051 EHH852047:EHI852051 ERD852047:ERE852051 FAZ852047:FBA852051 FKV852047:FKW852051 FUR852047:FUS852051 GEN852047:GEO852051 GOJ852047:GOK852051 GYF852047:GYG852051 HIB852047:HIC852051 HRX852047:HRY852051 IBT852047:IBU852051 ILP852047:ILQ852051 IVL852047:IVM852051 JFH852047:JFI852051 JPD852047:JPE852051 JYZ852047:JZA852051 KIV852047:KIW852051 KSR852047:KSS852051 LCN852047:LCO852051 LMJ852047:LMK852051 LWF852047:LWG852051 MGB852047:MGC852051 MPX852047:MPY852051 MZT852047:MZU852051 NJP852047:NJQ852051 NTL852047:NTM852051 ODH852047:ODI852051 OND852047:ONE852051 OWZ852047:OXA852051 PGV852047:PGW852051 PQR852047:PQS852051 QAN852047:QAO852051 QKJ852047:QKK852051 QUF852047:QUG852051 REB852047:REC852051 RNX852047:RNY852051 RXT852047:RXU852051 SHP852047:SHQ852051 SRL852047:SRM852051 TBH852047:TBI852051 TLD852047:TLE852051 TUZ852047:TVA852051 UEV852047:UEW852051 UOR852047:UOS852051 UYN852047:UYO852051 VIJ852047:VIK852051 VSF852047:VSG852051 WCB852047:WCC852051 WLX852047:WLY852051 WVT852047:WVU852051 JH917583:JI917587 TD917583:TE917587 ACZ917583:ADA917587 AMV917583:AMW917587 AWR917583:AWS917587 BGN917583:BGO917587 BQJ917583:BQK917587 CAF917583:CAG917587 CKB917583:CKC917587 CTX917583:CTY917587 DDT917583:DDU917587 DNP917583:DNQ917587 DXL917583:DXM917587 EHH917583:EHI917587 ERD917583:ERE917587 FAZ917583:FBA917587 FKV917583:FKW917587 FUR917583:FUS917587 GEN917583:GEO917587 GOJ917583:GOK917587 GYF917583:GYG917587 HIB917583:HIC917587 HRX917583:HRY917587 IBT917583:IBU917587 ILP917583:ILQ917587 IVL917583:IVM917587 JFH917583:JFI917587 JPD917583:JPE917587 JYZ917583:JZA917587 KIV917583:KIW917587 KSR917583:KSS917587 LCN917583:LCO917587 LMJ917583:LMK917587 LWF917583:LWG917587 MGB917583:MGC917587 MPX917583:MPY917587 MZT917583:MZU917587 NJP917583:NJQ917587 NTL917583:NTM917587 ODH917583:ODI917587 OND917583:ONE917587 OWZ917583:OXA917587 PGV917583:PGW917587 PQR917583:PQS917587 QAN917583:QAO917587 QKJ917583:QKK917587 QUF917583:QUG917587 REB917583:REC917587 RNX917583:RNY917587 RXT917583:RXU917587 SHP917583:SHQ917587 SRL917583:SRM917587 TBH917583:TBI917587 TLD917583:TLE917587 TUZ917583:TVA917587 UEV917583:UEW917587 UOR917583:UOS917587 UYN917583:UYO917587 VIJ917583:VIK917587 VSF917583:VSG917587 WCB917583:WCC917587 WLX917583:WLY917587 WVT917583:WVU917587 JH983119:JI983123 TD983119:TE983123 ACZ983119:ADA983123 AMV983119:AMW983123 AWR983119:AWS983123 BGN983119:BGO983123 BQJ983119:BQK983123 CAF983119:CAG983123 CKB983119:CKC983123 CTX983119:CTY983123 DDT983119:DDU983123 DNP983119:DNQ983123 DXL983119:DXM983123 EHH983119:EHI983123 ERD983119:ERE983123 FAZ983119:FBA983123 FKV983119:FKW983123 FUR983119:FUS983123 GEN983119:GEO983123 GOJ983119:GOK983123 GYF983119:GYG983123 HIB983119:HIC983123 HRX983119:HRY983123 IBT983119:IBU983123 ILP983119:ILQ983123 IVL983119:IVM983123 JFH983119:JFI983123 JPD983119:JPE983123 JYZ983119:JZA983123 KIV983119:KIW983123 KSR983119:KSS983123 LCN983119:LCO983123 LMJ983119:LMK983123 LWF983119:LWG983123 MGB983119:MGC983123 MPX983119:MPY983123 MZT983119:MZU983123 NJP983119:NJQ983123 NTL983119:NTM983123 ODH983119:ODI983123 OND983119:ONE983123 OWZ983119:OXA983123 PGV983119:PGW983123 PQR983119:PQS983123 QAN983119:QAO983123 QKJ983119:QKK983123 QUF983119:QUG983123 REB983119:REC983123 RNX983119:RNY983123 RXT983119:RXU983123 SHP983119:SHQ983123 SRL983119:SRM983123 TBH983119:TBI983123 TLD983119:TLE983123 TUZ983119:TVA983123 UEV983119:UEW983123 UOR983119:UOS983123 UYN983119:UYO983123 VIJ983119:VIK983123 VSF983119:VSG983123 WCB983119:WCC983123 WLX983119:WLY983123 WVT983119:WVU983123 JH58:JI59 JF51:JG57 TD58:TE59 TB51:TC57 ACZ58:ADA59 ACX51:ACY57 AMV58:AMW59 AMT51:AMU57 AWR58:AWS59 AWP51:AWQ57 BGN58:BGO59 BGL51:BGM57 BQJ58:BQK59 BQH51:BQI57 CAF58:CAG59 CAD51:CAE57 CKB58:CKC59 CJZ51:CKA57 CTX58:CTY59 CTV51:CTW57 DDT58:DDU59 DDR51:DDS57 DNP58:DNQ59 DNN51:DNO57 DXL58:DXM59 DXJ51:DXK57 EHH58:EHI59 EHF51:EHG57 ERD58:ERE59 ERB51:ERC57 FAZ58:FBA59 FAX51:FAY57 FKV58:FKW59 FKT51:FKU57 FUR58:FUS59 FUP51:FUQ57 GEN58:GEO59 GEL51:GEM57 GOJ58:GOK59 GOH51:GOI57 GYF58:GYG59 GYD51:GYE57 HIB58:HIC59 HHZ51:HIA57 HRX58:HRY59 HRV51:HRW57 IBT58:IBU59 IBR51:IBS57 ILP58:ILQ59 ILN51:ILO57 IVL58:IVM59 IVJ51:IVK57 JFH58:JFI59 JFF51:JFG57 JPD58:JPE59 JPB51:JPC57 JYZ58:JZA59 JYX51:JYY57 KIV58:KIW59 KIT51:KIU57 KSR58:KSS59 KSP51:KSQ57 LCN58:LCO59 LCL51:LCM57 LMJ58:LMK59 LMH51:LMI57 LWF58:LWG59 LWD51:LWE57 MGB58:MGC59 MFZ51:MGA57 MPX58:MPY59 MPV51:MPW57 MZT58:MZU59 MZR51:MZS57 NJP58:NJQ59 NJN51:NJO57 NTL58:NTM59 NTJ51:NTK57 ODH58:ODI59 ODF51:ODG57 OND58:ONE59 ONB51:ONC57 OWZ58:OXA59 OWX51:OWY57 PGV58:PGW59 PGT51:PGU57 PQR58:PQS59 PQP51:PQQ57 QAN58:QAO59 QAL51:QAM57 QKJ58:QKK59 QKH51:QKI57 QUF58:QUG59 QUD51:QUE57 REB58:REC59 RDZ51:REA57 RNX58:RNY59 RNV51:RNW57 RXT58:RXU59 RXR51:RXS57 SHP58:SHQ59 SHN51:SHO57 SRL58:SRM59 SRJ51:SRK57 TBH58:TBI59 TBF51:TBG57 TLD58:TLE59 TLB51:TLC57 TUZ58:TVA59 TUX51:TUY57 UEV58:UEW59 UET51:UEU57 UOR58:UOS59 UOP51:UOQ57 UYN58:UYO59 UYL51:UYM57 VIJ58:VIK59 VIH51:VII57 VSF58:VSG59 VSD51:VSE57 WCB58:WCC59 WBZ51:WCA57 WLX58:WLY59 WLV51:WLW57 WVT58:WVU59 WVR51:WVS57 JH65589:JI65597 TD65589:TE65597 ACZ65589:ADA65597 AMV65589:AMW65597 AWR65589:AWS65597 BGN65589:BGO65597 BQJ65589:BQK65597 CAF65589:CAG65597 CKB65589:CKC65597 CTX65589:CTY65597 DDT65589:DDU65597 DNP65589:DNQ65597 DXL65589:DXM65597 EHH65589:EHI65597 ERD65589:ERE65597 FAZ65589:FBA65597 FKV65589:FKW65597 FUR65589:FUS65597 GEN65589:GEO65597 GOJ65589:GOK65597 GYF65589:GYG65597 HIB65589:HIC65597 HRX65589:HRY65597 IBT65589:IBU65597 ILP65589:ILQ65597 IVL65589:IVM65597 JFH65589:JFI65597 JPD65589:JPE65597 JYZ65589:JZA65597 KIV65589:KIW65597 KSR65589:KSS65597 LCN65589:LCO65597 LMJ65589:LMK65597 LWF65589:LWG65597 MGB65589:MGC65597 MPX65589:MPY65597 MZT65589:MZU65597 NJP65589:NJQ65597 NTL65589:NTM65597 ODH65589:ODI65597 OND65589:ONE65597 OWZ65589:OXA65597 PGV65589:PGW65597 PQR65589:PQS65597 QAN65589:QAO65597 QKJ65589:QKK65597 QUF65589:QUG65597 REB65589:REC65597 RNX65589:RNY65597 RXT65589:RXU65597 SHP65589:SHQ65597 SRL65589:SRM65597 TBH65589:TBI65597 TLD65589:TLE65597 TUZ65589:TVA65597 UEV65589:UEW65597 UOR65589:UOS65597 UYN65589:UYO65597 VIJ65589:VIK65597 VSF65589:VSG65597 WCB65589:WCC65597 WLX65589:WLY65597 WVT65589:WVU65597 JH131125:JI131133 TD131125:TE131133 ACZ131125:ADA131133 AMV131125:AMW131133 AWR131125:AWS131133 BGN131125:BGO131133 BQJ131125:BQK131133 CAF131125:CAG131133 CKB131125:CKC131133 CTX131125:CTY131133 DDT131125:DDU131133 DNP131125:DNQ131133 DXL131125:DXM131133 EHH131125:EHI131133 ERD131125:ERE131133 FAZ131125:FBA131133 FKV131125:FKW131133 FUR131125:FUS131133 GEN131125:GEO131133 GOJ131125:GOK131133 GYF131125:GYG131133 HIB131125:HIC131133 HRX131125:HRY131133 IBT131125:IBU131133 ILP131125:ILQ131133 IVL131125:IVM131133 JFH131125:JFI131133 JPD131125:JPE131133 JYZ131125:JZA131133 KIV131125:KIW131133 KSR131125:KSS131133 LCN131125:LCO131133 LMJ131125:LMK131133 LWF131125:LWG131133 MGB131125:MGC131133 MPX131125:MPY131133 MZT131125:MZU131133 NJP131125:NJQ131133 NTL131125:NTM131133 ODH131125:ODI131133 OND131125:ONE131133 OWZ131125:OXA131133 PGV131125:PGW131133 PQR131125:PQS131133 QAN131125:QAO131133 QKJ131125:QKK131133 QUF131125:QUG131133 REB131125:REC131133 RNX131125:RNY131133 RXT131125:RXU131133 SHP131125:SHQ131133 SRL131125:SRM131133 TBH131125:TBI131133 TLD131125:TLE131133 TUZ131125:TVA131133 UEV131125:UEW131133 UOR131125:UOS131133 UYN131125:UYO131133 VIJ131125:VIK131133 VSF131125:VSG131133 WCB131125:WCC131133 WLX131125:WLY131133 WVT131125:WVU131133 JH196661:JI196669 TD196661:TE196669 ACZ196661:ADA196669 AMV196661:AMW196669 AWR196661:AWS196669 BGN196661:BGO196669 BQJ196661:BQK196669 CAF196661:CAG196669 CKB196661:CKC196669 CTX196661:CTY196669 DDT196661:DDU196669 DNP196661:DNQ196669 DXL196661:DXM196669 EHH196661:EHI196669 ERD196661:ERE196669 FAZ196661:FBA196669 FKV196661:FKW196669 FUR196661:FUS196669 GEN196661:GEO196669 GOJ196661:GOK196669 GYF196661:GYG196669 HIB196661:HIC196669 HRX196661:HRY196669 IBT196661:IBU196669 ILP196661:ILQ196669 IVL196661:IVM196669 JFH196661:JFI196669 JPD196661:JPE196669 JYZ196661:JZA196669 KIV196661:KIW196669 KSR196661:KSS196669 LCN196661:LCO196669 LMJ196661:LMK196669 LWF196661:LWG196669 MGB196661:MGC196669 MPX196661:MPY196669 MZT196661:MZU196669 NJP196661:NJQ196669 NTL196661:NTM196669 ODH196661:ODI196669 OND196661:ONE196669 OWZ196661:OXA196669 PGV196661:PGW196669 PQR196661:PQS196669 QAN196661:QAO196669 QKJ196661:QKK196669 QUF196661:QUG196669 REB196661:REC196669 RNX196661:RNY196669 RXT196661:RXU196669 SHP196661:SHQ196669 SRL196661:SRM196669 TBH196661:TBI196669 TLD196661:TLE196669 TUZ196661:TVA196669 UEV196661:UEW196669 UOR196661:UOS196669 UYN196661:UYO196669 VIJ196661:VIK196669 VSF196661:VSG196669 WCB196661:WCC196669 WLX196661:WLY196669 WVT196661:WVU196669 JH262197:JI262205 TD262197:TE262205 ACZ262197:ADA262205 AMV262197:AMW262205 AWR262197:AWS262205 BGN262197:BGO262205 BQJ262197:BQK262205 CAF262197:CAG262205 CKB262197:CKC262205 CTX262197:CTY262205 DDT262197:DDU262205 DNP262197:DNQ262205 DXL262197:DXM262205 EHH262197:EHI262205 ERD262197:ERE262205 FAZ262197:FBA262205 FKV262197:FKW262205 FUR262197:FUS262205 GEN262197:GEO262205 GOJ262197:GOK262205 GYF262197:GYG262205 HIB262197:HIC262205 HRX262197:HRY262205 IBT262197:IBU262205 ILP262197:ILQ262205 IVL262197:IVM262205 JFH262197:JFI262205 JPD262197:JPE262205 JYZ262197:JZA262205 KIV262197:KIW262205 KSR262197:KSS262205 LCN262197:LCO262205 LMJ262197:LMK262205 LWF262197:LWG262205 MGB262197:MGC262205 MPX262197:MPY262205 MZT262197:MZU262205 NJP262197:NJQ262205 NTL262197:NTM262205 ODH262197:ODI262205 OND262197:ONE262205 OWZ262197:OXA262205 PGV262197:PGW262205 PQR262197:PQS262205 QAN262197:QAO262205 QKJ262197:QKK262205 QUF262197:QUG262205 REB262197:REC262205 RNX262197:RNY262205 RXT262197:RXU262205 SHP262197:SHQ262205 SRL262197:SRM262205 TBH262197:TBI262205 TLD262197:TLE262205 TUZ262197:TVA262205 UEV262197:UEW262205 UOR262197:UOS262205 UYN262197:UYO262205 VIJ262197:VIK262205 VSF262197:VSG262205 WCB262197:WCC262205 WLX262197:WLY262205 WVT262197:WVU262205 JH327733:JI327741 TD327733:TE327741 ACZ327733:ADA327741 AMV327733:AMW327741 AWR327733:AWS327741 BGN327733:BGO327741 BQJ327733:BQK327741 CAF327733:CAG327741 CKB327733:CKC327741 CTX327733:CTY327741 DDT327733:DDU327741 DNP327733:DNQ327741 DXL327733:DXM327741 EHH327733:EHI327741 ERD327733:ERE327741 FAZ327733:FBA327741 FKV327733:FKW327741 FUR327733:FUS327741 GEN327733:GEO327741 GOJ327733:GOK327741 GYF327733:GYG327741 HIB327733:HIC327741 HRX327733:HRY327741 IBT327733:IBU327741 ILP327733:ILQ327741 IVL327733:IVM327741 JFH327733:JFI327741 JPD327733:JPE327741 JYZ327733:JZA327741 KIV327733:KIW327741 KSR327733:KSS327741 LCN327733:LCO327741 LMJ327733:LMK327741 LWF327733:LWG327741 MGB327733:MGC327741 MPX327733:MPY327741 MZT327733:MZU327741 NJP327733:NJQ327741 NTL327733:NTM327741 ODH327733:ODI327741 OND327733:ONE327741 OWZ327733:OXA327741 PGV327733:PGW327741 PQR327733:PQS327741 QAN327733:QAO327741 QKJ327733:QKK327741 QUF327733:QUG327741 REB327733:REC327741 RNX327733:RNY327741 RXT327733:RXU327741 SHP327733:SHQ327741 SRL327733:SRM327741 TBH327733:TBI327741 TLD327733:TLE327741 TUZ327733:TVA327741 UEV327733:UEW327741 UOR327733:UOS327741 UYN327733:UYO327741 VIJ327733:VIK327741 VSF327733:VSG327741 WCB327733:WCC327741 WLX327733:WLY327741 WVT327733:WVU327741 JH393269:JI393277 TD393269:TE393277 ACZ393269:ADA393277 AMV393269:AMW393277 AWR393269:AWS393277 BGN393269:BGO393277 BQJ393269:BQK393277 CAF393269:CAG393277 CKB393269:CKC393277 CTX393269:CTY393277 DDT393269:DDU393277 DNP393269:DNQ393277 DXL393269:DXM393277 EHH393269:EHI393277 ERD393269:ERE393277 FAZ393269:FBA393277 FKV393269:FKW393277 FUR393269:FUS393277 GEN393269:GEO393277 GOJ393269:GOK393277 GYF393269:GYG393277 HIB393269:HIC393277 HRX393269:HRY393277 IBT393269:IBU393277 ILP393269:ILQ393277 IVL393269:IVM393277 JFH393269:JFI393277 JPD393269:JPE393277 JYZ393269:JZA393277 KIV393269:KIW393277 KSR393269:KSS393277 LCN393269:LCO393277 LMJ393269:LMK393277 LWF393269:LWG393277 MGB393269:MGC393277 MPX393269:MPY393277 MZT393269:MZU393277 NJP393269:NJQ393277 NTL393269:NTM393277 ODH393269:ODI393277 OND393269:ONE393277 OWZ393269:OXA393277 PGV393269:PGW393277 PQR393269:PQS393277 QAN393269:QAO393277 QKJ393269:QKK393277 QUF393269:QUG393277 REB393269:REC393277 RNX393269:RNY393277 RXT393269:RXU393277 SHP393269:SHQ393277 SRL393269:SRM393277 TBH393269:TBI393277 TLD393269:TLE393277 TUZ393269:TVA393277 UEV393269:UEW393277 UOR393269:UOS393277 UYN393269:UYO393277 VIJ393269:VIK393277 VSF393269:VSG393277 WCB393269:WCC393277 WLX393269:WLY393277 WVT393269:WVU393277 JH458805:JI458813 TD458805:TE458813 ACZ458805:ADA458813 AMV458805:AMW458813 AWR458805:AWS458813 BGN458805:BGO458813 BQJ458805:BQK458813 CAF458805:CAG458813 CKB458805:CKC458813 CTX458805:CTY458813 DDT458805:DDU458813 DNP458805:DNQ458813 DXL458805:DXM458813 EHH458805:EHI458813 ERD458805:ERE458813 FAZ458805:FBA458813 FKV458805:FKW458813 FUR458805:FUS458813 GEN458805:GEO458813 GOJ458805:GOK458813 GYF458805:GYG458813 HIB458805:HIC458813 HRX458805:HRY458813 IBT458805:IBU458813 ILP458805:ILQ458813 IVL458805:IVM458813 JFH458805:JFI458813 JPD458805:JPE458813 JYZ458805:JZA458813 KIV458805:KIW458813 KSR458805:KSS458813 LCN458805:LCO458813 LMJ458805:LMK458813 LWF458805:LWG458813 MGB458805:MGC458813 MPX458805:MPY458813 MZT458805:MZU458813 NJP458805:NJQ458813 NTL458805:NTM458813 ODH458805:ODI458813 OND458805:ONE458813 OWZ458805:OXA458813 PGV458805:PGW458813 PQR458805:PQS458813 QAN458805:QAO458813 QKJ458805:QKK458813 QUF458805:QUG458813 REB458805:REC458813 RNX458805:RNY458813 RXT458805:RXU458813 SHP458805:SHQ458813 SRL458805:SRM458813 TBH458805:TBI458813 TLD458805:TLE458813 TUZ458805:TVA458813 UEV458805:UEW458813 UOR458805:UOS458813 UYN458805:UYO458813 VIJ458805:VIK458813 VSF458805:VSG458813 WCB458805:WCC458813 WLX458805:WLY458813 WVT458805:WVU458813 JH524341:JI524349 TD524341:TE524349 ACZ524341:ADA524349 AMV524341:AMW524349 AWR524341:AWS524349 BGN524341:BGO524349 BQJ524341:BQK524349 CAF524341:CAG524349 CKB524341:CKC524349 CTX524341:CTY524349 DDT524341:DDU524349 DNP524341:DNQ524349 DXL524341:DXM524349 EHH524341:EHI524349 ERD524341:ERE524349 FAZ524341:FBA524349 FKV524341:FKW524349 FUR524341:FUS524349 GEN524341:GEO524349 GOJ524341:GOK524349 GYF524341:GYG524349 HIB524341:HIC524349 HRX524341:HRY524349 IBT524341:IBU524349 ILP524341:ILQ524349 IVL524341:IVM524349 JFH524341:JFI524349 JPD524341:JPE524349 JYZ524341:JZA524349 KIV524341:KIW524349 KSR524341:KSS524349 LCN524341:LCO524349 LMJ524341:LMK524349 LWF524341:LWG524349 MGB524341:MGC524349 MPX524341:MPY524349 MZT524341:MZU524349 NJP524341:NJQ524349 NTL524341:NTM524349 ODH524341:ODI524349 OND524341:ONE524349 OWZ524341:OXA524349 PGV524341:PGW524349 PQR524341:PQS524349 QAN524341:QAO524349 QKJ524341:QKK524349 QUF524341:QUG524349 REB524341:REC524349 RNX524341:RNY524349 RXT524341:RXU524349 SHP524341:SHQ524349 SRL524341:SRM524349 TBH524341:TBI524349 TLD524341:TLE524349 TUZ524341:TVA524349 UEV524341:UEW524349 UOR524341:UOS524349 UYN524341:UYO524349 VIJ524341:VIK524349 VSF524341:VSG524349 WCB524341:WCC524349 WLX524341:WLY524349 WVT524341:WVU524349 JH589877:JI589885 TD589877:TE589885 ACZ589877:ADA589885 AMV589877:AMW589885 AWR589877:AWS589885 BGN589877:BGO589885 BQJ589877:BQK589885 CAF589877:CAG589885 CKB589877:CKC589885 CTX589877:CTY589885 DDT589877:DDU589885 DNP589877:DNQ589885 DXL589877:DXM589885 EHH589877:EHI589885 ERD589877:ERE589885 FAZ589877:FBA589885 FKV589877:FKW589885 FUR589877:FUS589885 GEN589877:GEO589885 GOJ589877:GOK589885 GYF589877:GYG589885 HIB589877:HIC589885 HRX589877:HRY589885 IBT589877:IBU589885 ILP589877:ILQ589885 IVL589877:IVM589885 JFH589877:JFI589885 JPD589877:JPE589885 JYZ589877:JZA589885 KIV589877:KIW589885 KSR589877:KSS589885 LCN589877:LCO589885 LMJ589877:LMK589885 LWF589877:LWG589885 MGB589877:MGC589885 MPX589877:MPY589885 MZT589877:MZU589885 NJP589877:NJQ589885 NTL589877:NTM589885 ODH589877:ODI589885 OND589877:ONE589885 OWZ589877:OXA589885 PGV589877:PGW589885 PQR589877:PQS589885 QAN589877:QAO589885 QKJ589877:QKK589885 QUF589877:QUG589885 REB589877:REC589885 RNX589877:RNY589885 RXT589877:RXU589885 SHP589877:SHQ589885 SRL589877:SRM589885 TBH589877:TBI589885 TLD589877:TLE589885 TUZ589877:TVA589885 UEV589877:UEW589885 UOR589877:UOS589885 UYN589877:UYO589885 VIJ589877:VIK589885 VSF589877:VSG589885 WCB589877:WCC589885 WLX589877:WLY589885 WVT589877:WVU589885 JH655413:JI655421 TD655413:TE655421 ACZ655413:ADA655421 AMV655413:AMW655421 AWR655413:AWS655421 BGN655413:BGO655421 BQJ655413:BQK655421 CAF655413:CAG655421 CKB655413:CKC655421 CTX655413:CTY655421 DDT655413:DDU655421 DNP655413:DNQ655421 DXL655413:DXM655421 EHH655413:EHI655421 ERD655413:ERE655421 FAZ655413:FBA655421 FKV655413:FKW655421 FUR655413:FUS655421 GEN655413:GEO655421 GOJ655413:GOK655421 GYF655413:GYG655421 HIB655413:HIC655421 HRX655413:HRY655421 IBT655413:IBU655421 ILP655413:ILQ655421 IVL655413:IVM655421 JFH655413:JFI655421 JPD655413:JPE655421 JYZ655413:JZA655421 KIV655413:KIW655421 KSR655413:KSS655421 LCN655413:LCO655421 LMJ655413:LMK655421 LWF655413:LWG655421 MGB655413:MGC655421 MPX655413:MPY655421 MZT655413:MZU655421 NJP655413:NJQ655421 NTL655413:NTM655421 ODH655413:ODI655421 OND655413:ONE655421 OWZ655413:OXA655421 PGV655413:PGW655421 PQR655413:PQS655421 QAN655413:QAO655421 QKJ655413:QKK655421 QUF655413:QUG655421 REB655413:REC655421 RNX655413:RNY655421 RXT655413:RXU655421 SHP655413:SHQ655421 SRL655413:SRM655421 TBH655413:TBI655421 TLD655413:TLE655421 TUZ655413:TVA655421 UEV655413:UEW655421 UOR655413:UOS655421 UYN655413:UYO655421 VIJ655413:VIK655421 VSF655413:VSG655421 WCB655413:WCC655421 WLX655413:WLY655421 WVT655413:WVU655421 JH720949:JI720957 TD720949:TE720957 ACZ720949:ADA720957 AMV720949:AMW720957 AWR720949:AWS720957 BGN720949:BGO720957 BQJ720949:BQK720957 CAF720949:CAG720957 CKB720949:CKC720957 CTX720949:CTY720957 DDT720949:DDU720957 DNP720949:DNQ720957 DXL720949:DXM720957 EHH720949:EHI720957 ERD720949:ERE720957 FAZ720949:FBA720957 FKV720949:FKW720957 FUR720949:FUS720957 GEN720949:GEO720957 GOJ720949:GOK720957 GYF720949:GYG720957 HIB720949:HIC720957 HRX720949:HRY720957 IBT720949:IBU720957 ILP720949:ILQ720957 IVL720949:IVM720957 JFH720949:JFI720957 JPD720949:JPE720957 JYZ720949:JZA720957 KIV720949:KIW720957 KSR720949:KSS720957 LCN720949:LCO720957 LMJ720949:LMK720957 LWF720949:LWG720957 MGB720949:MGC720957 MPX720949:MPY720957 MZT720949:MZU720957 NJP720949:NJQ720957 NTL720949:NTM720957 ODH720949:ODI720957 OND720949:ONE720957 OWZ720949:OXA720957 PGV720949:PGW720957 PQR720949:PQS720957 QAN720949:QAO720957 QKJ720949:QKK720957 QUF720949:QUG720957 REB720949:REC720957 RNX720949:RNY720957 RXT720949:RXU720957 SHP720949:SHQ720957 SRL720949:SRM720957 TBH720949:TBI720957 TLD720949:TLE720957 TUZ720949:TVA720957 UEV720949:UEW720957 UOR720949:UOS720957 UYN720949:UYO720957 VIJ720949:VIK720957 VSF720949:VSG720957 WCB720949:WCC720957 WLX720949:WLY720957 WVT720949:WVU720957 JH786485:JI786493 TD786485:TE786493 ACZ786485:ADA786493 AMV786485:AMW786493 AWR786485:AWS786493 BGN786485:BGO786493 BQJ786485:BQK786493 CAF786485:CAG786493 CKB786485:CKC786493 CTX786485:CTY786493 DDT786485:DDU786493 DNP786485:DNQ786493 DXL786485:DXM786493 EHH786485:EHI786493 ERD786485:ERE786493 FAZ786485:FBA786493 FKV786485:FKW786493 FUR786485:FUS786493 GEN786485:GEO786493 GOJ786485:GOK786493 GYF786485:GYG786493 HIB786485:HIC786493 HRX786485:HRY786493 IBT786485:IBU786493 ILP786485:ILQ786493 IVL786485:IVM786493 JFH786485:JFI786493 JPD786485:JPE786493 JYZ786485:JZA786493 KIV786485:KIW786493 KSR786485:KSS786493 LCN786485:LCO786493 LMJ786485:LMK786493 LWF786485:LWG786493 MGB786485:MGC786493 MPX786485:MPY786493 MZT786485:MZU786493 NJP786485:NJQ786493 NTL786485:NTM786493 ODH786485:ODI786493 OND786485:ONE786493 OWZ786485:OXA786493 PGV786485:PGW786493 PQR786485:PQS786493 QAN786485:QAO786493 QKJ786485:QKK786493 QUF786485:QUG786493 REB786485:REC786493 RNX786485:RNY786493 RXT786485:RXU786493 SHP786485:SHQ786493 SRL786485:SRM786493 TBH786485:TBI786493 TLD786485:TLE786493 TUZ786485:TVA786493 UEV786485:UEW786493 UOR786485:UOS786493 UYN786485:UYO786493 VIJ786485:VIK786493 VSF786485:VSG786493 WCB786485:WCC786493 WLX786485:WLY786493 WVT786485:WVU786493 JH852021:JI852029 TD852021:TE852029 ACZ852021:ADA852029 AMV852021:AMW852029 AWR852021:AWS852029 BGN852021:BGO852029 BQJ852021:BQK852029 CAF852021:CAG852029 CKB852021:CKC852029 CTX852021:CTY852029 DDT852021:DDU852029 DNP852021:DNQ852029 DXL852021:DXM852029 EHH852021:EHI852029 ERD852021:ERE852029 FAZ852021:FBA852029 FKV852021:FKW852029 FUR852021:FUS852029 GEN852021:GEO852029 GOJ852021:GOK852029 GYF852021:GYG852029 HIB852021:HIC852029 HRX852021:HRY852029 IBT852021:IBU852029 ILP852021:ILQ852029 IVL852021:IVM852029 JFH852021:JFI852029 JPD852021:JPE852029 JYZ852021:JZA852029 KIV852021:KIW852029 KSR852021:KSS852029 LCN852021:LCO852029 LMJ852021:LMK852029 LWF852021:LWG852029 MGB852021:MGC852029 MPX852021:MPY852029 MZT852021:MZU852029 NJP852021:NJQ852029 NTL852021:NTM852029 ODH852021:ODI852029 OND852021:ONE852029 OWZ852021:OXA852029 PGV852021:PGW852029 PQR852021:PQS852029 QAN852021:QAO852029 QKJ852021:QKK852029 QUF852021:QUG852029 REB852021:REC852029 RNX852021:RNY852029 RXT852021:RXU852029 SHP852021:SHQ852029 SRL852021:SRM852029 TBH852021:TBI852029 TLD852021:TLE852029 TUZ852021:TVA852029 UEV852021:UEW852029 UOR852021:UOS852029 UYN852021:UYO852029 VIJ852021:VIK852029 VSF852021:VSG852029 WCB852021:WCC852029 WLX852021:WLY852029 WVT852021:WVU852029 JH917557:JI917565 TD917557:TE917565 ACZ917557:ADA917565 AMV917557:AMW917565 AWR917557:AWS917565 BGN917557:BGO917565 BQJ917557:BQK917565 CAF917557:CAG917565 CKB917557:CKC917565 CTX917557:CTY917565 DDT917557:DDU917565 DNP917557:DNQ917565 DXL917557:DXM917565 EHH917557:EHI917565 ERD917557:ERE917565 FAZ917557:FBA917565 FKV917557:FKW917565 FUR917557:FUS917565 GEN917557:GEO917565 GOJ917557:GOK917565 GYF917557:GYG917565 HIB917557:HIC917565 HRX917557:HRY917565 IBT917557:IBU917565 ILP917557:ILQ917565 IVL917557:IVM917565 JFH917557:JFI917565 JPD917557:JPE917565 JYZ917557:JZA917565 KIV917557:KIW917565 KSR917557:KSS917565 LCN917557:LCO917565 LMJ917557:LMK917565 LWF917557:LWG917565 MGB917557:MGC917565 MPX917557:MPY917565 MZT917557:MZU917565 NJP917557:NJQ917565 NTL917557:NTM917565 ODH917557:ODI917565 OND917557:ONE917565 OWZ917557:OXA917565 PGV917557:PGW917565 PQR917557:PQS917565 QAN917557:QAO917565 QKJ917557:QKK917565 QUF917557:QUG917565 REB917557:REC917565 RNX917557:RNY917565 RXT917557:RXU917565 SHP917557:SHQ917565 SRL917557:SRM917565 TBH917557:TBI917565 TLD917557:TLE917565 TUZ917557:TVA917565 UEV917557:UEW917565 UOR917557:UOS917565 UYN917557:UYO917565 VIJ917557:VIK917565 VSF917557:VSG917565 WCB917557:WCC917565 WLX917557:WLY917565 WVT917557:WVU917565 JH983093:JI983101 TD983093:TE983101 ACZ983093:ADA983101 AMV983093:AMW983101 AWR983093:AWS983101 BGN983093:BGO983101 BQJ983093:BQK983101 CAF983093:CAG983101 CKB983093:CKC983101 CTX983093:CTY983101 DDT983093:DDU983101 DNP983093:DNQ983101 DXL983093:DXM983101 EHH983093:EHI983101 ERD983093:ERE983101 FAZ983093:FBA983101 FKV983093:FKW983101 FUR983093:FUS983101 GEN983093:GEO983101 GOJ983093:GOK983101 GYF983093:GYG983101 HIB983093:HIC983101 HRX983093:HRY983101 IBT983093:IBU983101 ILP983093:ILQ983101 IVL983093:IVM983101 JFH983093:JFI983101 JPD983093:JPE983101 JYZ983093:JZA983101 KIV983093:KIW983101 KSR983093:KSS983101 LCN983093:LCO983101 LMJ983093:LMK983101 LWF983093:LWG983101 MGB983093:MGC983101 MPX983093:MPY983101 MZT983093:MZU983101 NJP983093:NJQ983101 NTL983093:NTM983101 ODH983093:ODI983101 OND983093:ONE983101 OWZ983093:OXA983101 PGV983093:PGW983101 PQR983093:PQS983101 QAN983093:QAO983101 QKJ983093:QKK983101 QUF983093:QUG983101 REB983093:REC983101 RNX983093:RNY983101 RXT983093:RXU983101 SHP983093:SHQ983101 SRL983093:SRM983101 TBH983093:TBI983101 TLD983093:TLE983101 TUZ983093:TVA983101 UEV983093:UEW983101 UOR983093:UOS983101 UYN983093:UYO983101 VIJ983093:VIK983101 VSF983093:VSG983101 WCB983093:WCC983101 WLX983093:WLY983101 WVT983093:WVU983101 N983091:O983099 N917555:O917563 N852019:O852027 N786483:O786491 N720947:O720955 N655411:O655419 N589875:O589883 N524339:O524347 N458803:O458811 N393267:O393275 N327731:O327739 N262195:O262203 N196659:O196667 N131123:O131131 N65587:O65595 TB79:TC83 N983117:O983121 N917581:O917585 N852045:O852049 N786509:O786513 N720973:O720977 N655437:O655441 N589901:O589905 N524365:O524369 N458829:O458833 N393293:O393297 N327757:O327761 N262221:O262225 N196685:O196689 N131149:O131153 N65613:O65617 N983104:O983110 N917568:O917574 N852032:O852038 N786496:O786502 N720960:O720966 N655424:O655430 N589888:O589894 N524352:O524358 N458816:O458822 N393280:O393286 N327744:O327750 N262208:O262214 N196672:O196678 N131136:O131142 N65600:O65606 L62:L70 N983089 N917553 N852017 N786481 N720945 N655409 N589873 N524337 N458801 N393265 N327729 N262193 N196657 N131121 N65585 O983122:O983124 O917586:O917588 O852050:O852052 O786514:O786516 O720978:O720980 O655442:O655444 O589906:O589908 O524370:O524372 O458834:O458836 O393298:O393300 O327762:O327764 O262226:O262228 O196690:O196692 O131154:O131156 O65618:O65620 N983112:O983115 N917576:O917579 N852040:O852043 N786504:O786507 N720968:O720971 N655432:O655435 N589896:O589899 N524360:O524363 N458824:O458827 N393288:O393291 N327752:O327755 N262216:O262219 N196680:O196683 N131144:O131147 WVR49 WLV49 WBZ49 VSD49 VIH49 UYL49 UOP49 UET49 TUX49 TLB49 TBF49 SRJ49 SHN49 RXR49 RNV49 RDZ49 QUD49 QKH49 QAL49 PQP49 PGT49 OWX49 ONB49 ODF49 NTJ49 NJN49 MZR49 MPV49 MFZ49 LWD49 LMH49 LCL49 KSP49 KIT49 JYX49 JPB49 JFF49 IVJ49 ILN49 IBR49 HRV49 HHZ49 GYD49 GOH49 GEL49 FUP49 FKT49 FAX49 ERB49 EHF49 DXJ49 DNN49 DDR49 CTV49 CJZ49 CAD49 BQH49 BGL49 AWP49 AMT49 ACX49 TB49">
      <formula1>$T$102:$T$105</formula1>
    </dataValidation>
  </dataValidations>
  <hyperlinks>
    <hyperlink ref="A1" location="'T&amp;V TOC'!A1" display="TOC"/>
  </hyperlinks>
  <pageMargins left="0.25" right="0.25" top="0.75" bottom="0.75" header="0.3" footer="0.3"/>
  <pageSetup scale="47" orientation="portrait" r:id="rId1"/>
  <headerFooter alignWithMargins="0"/>
  <legacyDrawingHF r:id="rId2"/>
</worksheet>
</file>

<file path=xl/worksheets/sheet36.xml><?xml version="1.0" encoding="utf-8"?>
<worksheet xmlns="http://schemas.openxmlformats.org/spreadsheetml/2006/main" xmlns:r="http://schemas.openxmlformats.org/officeDocument/2006/relationships">
  <sheetPr>
    <tabColor theme="3" tint="0.79998168889431442"/>
  </sheetPr>
  <dimension ref="A1:BU117"/>
  <sheetViews>
    <sheetView showGridLines="0" view="pageBreakPreview" zoomScaleNormal="100" zoomScaleSheetLayoutView="100" workbookViewId="0"/>
  </sheetViews>
  <sheetFormatPr defaultRowHeight="12"/>
  <cols>
    <col min="1" max="1" width="9.140625" style="1121"/>
    <col min="2" max="2" width="20" style="1119" customWidth="1"/>
    <col min="3" max="3" width="17.28515625" style="1119" customWidth="1"/>
    <col min="4" max="4" width="16.5703125" style="1119" customWidth="1"/>
    <col min="5" max="5" width="15.5703125" style="1119" customWidth="1"/>
    <col min="6" max="6" width="25.28515625" style="1119" customWidth="1"/>
    <col min="7" max="7" width="14.85546875" style="1119" customWidth="1"/>
    <col min="8" max="8" width="14" style="1119" customWidth="1"/>
    <col min="9" max="9" width="5" style="1119" customWidth="1"/>
    <col min="10" max="10" width="32.42578125" style="1119" customWidth="1"/>
    <col min="11" max="12" width="9.140625" style="1121"/>
    <col min="13" max="13" width="15.7109375" style="1121" customWidth="1"/>
    <col min="14" max="14" width="7.42578125" style="1121" hidden="1" customWidth="1"/>
    <col min="15" max="16" width="0" style="1121" hidden="1" customWidth="1"/>
    <col min="17" max="257" width="9.140625" style="1121"/>
    <col min="258" max="258" width="20" style="1121" customWidth="1"/>
    <col min="259" max="259" width="17.28515625" style="1121" customWidth="1"/>
    <col min="260" max="260" width="16.5703125" style="1121" customWidth="1"/>
    <col min="261" max="261" width="15.5703125" style="1121" customWidth="1"/>
    <col min="262" max="262" width="25.28515625" style="1121" customWidth="1"/>
    <col min="263" max="263" width="10.5703125" style="1121" customWidth="1"/>
    <col min="264" max="265" width="7.42578125" style="1121" customWidth="1"/>
    <col min="266" max="266" width="32.42578125" style="1121" customWidth="1"/>
    <col min="267" max="268" width="9.140625" style="1121"/>
    <col min="269" max="269" width="15.7109375" style="1121" customWidth="1"/>
    <col min="270" max="272" width="0" style="1121" hidden="1" customWidth="1"/>
    <col min="273" max="513" width="9.140625" style="1121"/>
    <col min="514" max="514" width="20" style="1121" customWidth="1"/>
    <col min="515" max="515" width="17.28515625" style="1121" customWidth="1"/>
    <col min="516" max="516" width="16.5703125" style="1121" customWidth="1"/>
    <col min="517" max="517" width="15.5703125" style="1121" customWidth="1"/>
    <col min="518" max="518" width="25.28515625" style="1121" customWidth="1"/>
    <col min="519" max="519" width="10.5703125" style="1121" customWidth="1"/>
    <col min="520" max="521" width="7.42578125" style="1121" customWidth="1"/>
    <col min="522" max="522" width="32.42578125" style="1121" customWidth="1"/>
    <col min="523" max="524" width="9.140625" style="1121"/>
    <col min="525" max="525" width="15.7109375" style="1121" customWidth="1"/>
    <col min="526" max="528" width="0" style="1121" hidden="1" customWidth="1"/>
    <col min="529" max="769" width="9.140625" style="1121"/>
    <col min="770" max="770" width="20" style="1121" customWidth="1"/>
    <col min="771" max="771" width="17.28515625" style="1121" customWidth="1"/>
    <col min="772" max="772" width="16.5703125" style="1121" customWidth="1"/>
    <col min="773" max="773" width="15.5703125" style="1121" customWidth="1"/>
    <col min="774" max="774" width="25.28515625" style="1121" customWidth="1"/>
    <col min="775" max="775" width="10.5703125" style="1121" customWidth="1"/>
    <col min="776" max="777" width="7.42578125" style="1121" customWidth="1"/>
    <col min="778" max="778" width="32.42578125" style="1121" customWidth="1"/>
    <col min="779" max="780" width="9.140625" style="1121"/>
    <col min="781" max="781" width="15.7109375" style="1121" customWidth="1"/>
    <col min="782" max="784" width="0" style="1121" hidden="1" customWidth="1"/>
    <col min="785" max="1025" width="9.140625" style="1121"/>
    <col min="1026" max="1026" width="20" style="1121" customWidth="1"/>
    <col min="1027" max="1027" width="17.28515625" style="1121" customWidth="1"/>
    <col min="1028" max="1028" width="16.5703125" style="1121" customWidth="1"/>
    <col min="1029" max="1029" width="15.5703125" style="1121" customWidth="1"/>
    <col min="1030" max="1030" width="25.28515625" style="1121" customWidth="1"/>
    <col min="1031" max="1031" width="10.5703125" style="1121" customWidth="1"/>
    <col min="1032" max="1033" width="7.42578125" style="1121" customWidth="1"/>
    <col min="1034" max="1034" width="32.42578125" style="1121" customWidth="1"/>
    <col min="1035" max="1036" width="9.140625" style="1121"/>
    <col min="1037" max="1037" width="15.7109375" style="1121" customWidth="1"/>
    <col min="1038" max="1040" width="0" style="1121" hidden="1" customWidth="1"/>
    <col min="1041" max="1281" width="9.140625" style="1121"/>
    <col min="1282" max="1282" width="20" style="1121" customWidth="1"/>
    <col min="1283" max="1283" width="17.28515625" style="1121" customWidth="1"/>
    <col min="1284" max="1284" width="16.5703125" style="1121" customWidth="1"/>
    <col min="1285" max="1285" width="15.5703125" style="1121" customWidth="1"/>
    <col min="1286" max="1286" width="25.28515625" style="1121" customWidth="1"/>
    <col min="1287" max="1287" width="10.5703125" style="1121" customWidth="1"/>
    <col min="1288" max="1289" width="7.42578125" style="1121" customWidth="1"/>
    <col min="1290" max="1290" width="32.42578125" style="1121" customWidth="1"/>
    <col min="1291" max="1292" width="9.140625" style="1121"/>
    <col min="1293" max="1293" width="15.7109375" style="1121" customWidth="1"/>
    <col min="1294" max="1296" width="0" style="1121" hidden="1" customWidth="1"/>
    <col min="1297" max="1537" width="9.140625" style="1121"/>
    <col min="1538" max="1538" width="20" style="1121" customWidth="1"/>
    <col min="1539" max="1539" width="17.28515625" style="1121" customWidth="1"/>
    <col min="1540" max="1540" width="16.5703125" style="1121" customWidth="1"/>
    <col min="1541" max="1541" width="15.5703125" style="1121" customWidth="1"/>
    <col min="1542" max="1542" width="25.28515625" style="1121" customWidth="1"/>
    <col min="1543" max="1543" width="10.5703125" style="1121" customWidth="1"/>
    <col min="1544" max="1545" width="7.42578125" style="1121" customWidth="1"/>
    <col min="1546" max="1546" width="32.42578125" style="1121" customWidth="1"/>
    <col min="1547" max="1548" width="9.140625" style="1121"/>
    <col min="1549" max="1549" width="15.7109375" style="1121" customWidth="1"/>
    <col min="1550" max="1552" width="0" style="1121" hidden="1" customWidth="1"/>
    <col min="1553" max="1793" width="9.140625" style="1121"/>
    <col min="1794" max="1794" width="20" style="1121" customWidth="1"/>
    <col min="1795" max="1795" width="17.28515625" style="1121" customWidth="1"/>
    <col min="1796" max="1796" width="16.5703125" style="1121" customWidth="1"/>
    <col min="1797" max="1797" width="15.5703125" style="1121" customWidth="1"/>
    <col min="1798" max="1798" width="25.28515625" style="1121" customWidth="1"/>
    <col min="1799" max="1799" width="10.5703125" style="1121" customWidth="1"/>
    <col min="1800" max="1801" width="7.42578125" style="1121" customWidth="1"/>
    <col min="1802" max="1802" width="32.42578125" style="1121" customWidth="1"/>
    <col min="1803" max="1804" width="9.140625" style="1121"/>
    <col min="1805" max="1805" width="15.7109375" style="1121" customWidth="1"/>
    <col min="1806" max="1808" width="0" style="1121" hidden="1" customWidth="1"/>
    <col min="1809" max="2049" width="9.140625" style="1121"/>
    <col min="2050" max="2050" width="20" style="1121" customWidth="1"/>
    <col min="2051" max="2051" width="17.28515625" style="1121" customWidth="1"/>
    <col min="2052" max="2052" width="16.5703125" style="1121" customWidth="1"/>
    <col min="2053" max="2053" width="15.5703125" style="1121" customWidth="1"/>
    <col min="2054" max="2054" width="25.28515625" style="1121" customWidth="1"/>
    <col min="2055" max="2055" width="10.5703125" style="1121" customWidth="1"/>
    <col min="2056" max="2057" width="7.42578125" style="1121" customWidth="1"/>
    <col min="2058" max="2058" width="32.42578125" style="1121" customWidth="1"/>
    <col min="2059" max="2060" width="9.140625" style="1121"/>
    <col min="2061" max="2061" width="15.7109375" style="1121" customWidth="1"/>
    <col min="2062" max="2064" width="0" style="1121" hidden="1" customWidth="1"/>
    <col min="2065" max="2305" width="9.140625" style="1121"/>
    <col min="2306" max="2306" width="20" style="1121" customWidth="1"/>
    <col min="2307" max="2307" width="17.28515625" style="1121" customWidth="1"/>
    <col min="2308" max="2308" width="16.5703125" style="1121" customWidth="1"/>
    <col min="2309" max="2309" width="15.5703125" style="1121" customWidth="1"/>
    <col min="2310" max="2310" width="25.28515625" style="1121" customWidth="1"/>
    <col min="2311" max="2311" width="10.5703125" style="1121" customWidth="1"/>
    <col min="2312" max="2313" width="7.42578125" style="1121" customWidth="1"/>
    <col min="2314" max="2314" width="32.42578125" style="1121" customWidth="1"/>
    <col min="2315" max="2316" width="9.140625" style="1121"/>
    <col min="2317" max="2317" width="15.7109375" style="1121" customWidth="1"/>
    <col min="2318" max="2320" width="0" style="1121" hidden="1" customWidth="1"/>
    <col min="2321" max="2561" width="9.140625" style="1121"/>
    <col min="2562" max="2562" width="20" style="1121" customWidth="1"/>
    <col min="2563" max="2563" width="17.28515625" style="1121" customWidth="1"/>
    <col min="2564" max="2564" width="16.5703125" style="1121" customWidth="1"/>
    <col min="2565" max="2565" width="15.5703125" style="1121" customWidth="1"/>
    <col min="2566" max="2566" width="25.28515625" style="1121" customWidth="1"/>
    <col min="2567" max="2567" width="10.5703125" style="1121" customWidth="1"/>
    <col min="2568" max="2569" width="7.42578125" style="1121" customWidth="1"/>
    <col min="2570" max="2570" width="32.42578125" style="1121" customWidth="1"/>
    <col min="2571" max="2572" width="9.140625" style="1121"/>
    <col min="2573" max="2573" width="15.7109375" style="1121" customWidth="1"/>
    <col min="2574" max="2576" width="0" style="1121" hidden="1" customWidth="1"/>
    <col min="2577" max="2817" width="9.140625" style="1121"/>
    <col min="2818" max="2818" width="20" style="1121" customWidth="1"/>
    <col min="2819" max="2819" width="17.28515625" style="1121" customWidth="1"/>
    <col min="2820" max="2820" width="16.5703125" style="1121" customWidth="1"/>
    <col min="2821" max="2821" width="15.5703125" style="1121" customWidth="1"/>
    <col min="2822" max="2822" width="25.28515625" style="1121" customWidth="1"/>
    <col min="2823" max="2823" width="10.5703125" style="1121" customWidth="1"/>
    <col min="2824" max="2825" width="7.42578125" style="1121" customWidth="1"/>
    <col min="2826" max="2826" width="32.42578125" style="1121" customWidth="1"/>
    <col min="2827" max="2828" width="9.140625" style="1121"/>
    <col min="2829" max="2829" width="15.7109375" style="1121" customWidth="1"/>
    <col min="2830" max="2832" width="0" style="1121" hidden="1" customWidth="1"/>
    <col min="2833" max="3073" width="9.140625" style="1121"/>
    <col min="3074" max="3074" width="20" style="1121" customWidth="1"/>
    <col min="3075" max="3075" width="17.28515625" style="1121" customWidth="1"/>
    <col min="3076" max="3076" width="16.5703125" style="1121" customWidth="1"/>
    <col min="3077" max="3077" width="15.5703125" style="1121" customWidth="1"/>
    <col min="3078" max="3078" width="25.28515625" style="1121" customWidth="1"/>
    <col min="3079" max="3079" width="10.5703125" style="1121" customWidth="1"/>
    <col min="3080" max="3081" width="7.42578125" style="1121" customWidth="1"/>
    <col min="3082" max="3082" width="32.42578125" style="1121" customWidth="1"/>
    <col min="3083" max="3084" width="9.140625" style="1121"/>
    <col min="3085" max="3085" width="15.7109375" style="1121" customWidth="1"/>
    <col min="3086" max="3088" width="0" style="1121" hidden="1" customWidth="1"/>
    <col min="3089" max="3329" width="9.140625" style="1121"/>
    <col min="3330" max="3330" width="20" style="1121" customWidth="1"/>
    <col min="3331" max="3331" width="17.28515625" style="1121" customWidth="1"/>
    <col min="3332" max="3332" width="16.5703125" style="1121" customWidth="1"/>
    <col min="3333" max="3333" width="15.5703125" style="1121" customWidth="1"/>
    <col min="3334" max="3334" width="25.28515625" style="1121" customWidth="1"/>
    <col min="3335" max="3335" width="10.5703125" style="1121" customWidth="1"/>
    <col min="3336" max="3337" width="7.42578125" style="1121" customWidth="1"/>
    <col min="3338" max="3338" width="32.42578125" style="1121" customWidth="1"/>
    <col min="3339" max="3340" width="9.140625" style="1121"/>
    <col min="3341" max="3341" width="15.7109375" style="1121" customWidth="1"/>
    <col min="3342" max="3344" width="0" style="1121" hidden="1" customWidth="1"/>
    <col min="3345" max="3585" width="9.140625" style="1121"/>
    <col min="3586" max="3586" width="20" style="1121" customWidth="1"/>
    <col min="3587" max="3587" width="17.28515625" style="1121" customWidth="1"/>
    <col min="3588" max="3588" width="16.5703125" style="1121" customWidth="1"/>
    <col min="3589" max="3589" width="15.5703125" style="1121" customWidth="1"/>
    <col min="3590" max="3590" width="25.28515625" style="1121" customWidth="1"/>
    <col min="3591" max="3591" width="10.5703125" style="1121" customWidth="1"/>
    <col min="3592" max="3593" width="7.42578125" style="1121" customWidth="1"/>
    <col min="3594" max="3594" width="32.42578125" style="1121" customWidth="1"/>
    <col min="3595" max="3596" width="9.140625" style="1121"/>
    <col min="3597" max="3597" width="15.7109375" style="1121" customWidth="1"/>
    <col min="3598" max="3600" width="0" style="1121" hidden="1" customWidth="1"/>
    <col min="3601" max="3841" width="9.140625" style="1121"/>
    <col min="3842" max="3842" width="20" style="1121" customWidth="1"/>
    <col min="3843" max="3843" width="17.28515625" style="1121" customWidth="1"/>
    <col min="3844" max="3844" width="16.5703125" style="1121" customWidth="1"/>
    <col min="3845" max="3845" width="15.5703125" style="1121" customWidth="1"/>
    <col min="3846" max="3846" width="25.28515625" style="1121" customWidth="1"/>
    <col min="3847" max="3847" width="10.5703125" style="1121" customWidth="1"/>
    <col min="3848" max="3849" width="7.42578125" style="1121" customWidth="1"/>
    <col min="3850" max="3850" width="32.42578125" style="1121" customWidth="1"/>
    <col min="3851" max="3852" width="9.140625" style="1121"/>
    <col min="3853" max="3853" width="15.7109375" style="1121" customWidth="1"/>
    <col min="3854" max="3856" width="0" style="1121" hidden="1" customWidth="1"/>
    <col min="3857" max="4097" width="9.140625" style="1121"/>
    <col min="4098" max="4098" width="20" style="1121" customWidth="1"/>
    <col min="4099" max="4099" width="17.28515625" style="1121" customWidth="1"/>
    <col min="4100" max="4100" width="16.5703125" style="1121" customWidth="1"/>
    <col min="4101" max="4101" width="15.5703125" style="1121" customWidth="1"/>
    <col min="4102" max="4102" width="25.28515625" style="1121" customWidth="1"/>
    <col min="4103" max="4103" width="10.5703125" style="1121" customWidth="1"/>
    <col min="4104" max="4105" width="7.42578125" style="1121" customWidth="1"/>
    <col min="4106" max="4106" width="32.42578125" style="1121" customWidth="1"/>
    <col min="4107" max="4108" width="9.140625" style="1121"/>
    <col min="4109" max="4109" width="15.7109375" style="1121" customWidth="1"/>
    <col min="4110" max="4112" width="0" style="1121" hidden="1" customWidth="1"/>
    <col min="4113" max="4353" width="9.140625" style="1121"/>
    <col min="4354" max="4354" width="20" style="1121" customWidth="1"/>
    <col min="4355" max="4355" width="17.28515625" style="1121" customWidth="1"/>
    <col min="4356" max="4356" width="16.5703125" style="1121" customWidth="1"/>
    <col min="4357" max="4357" width="15.5703125" style="1121" customWidth="1"/>
    <col min="4358" max="4358" width="25.28515625" style="1121" customWidth="1"/>
    <col min="4359" max="4359" width="10.5703125" style="1121" customWidth="1"/>
    <col min="4360" max="4361" width="7.42578125" style="1121" customWidth="1"/>
    <col min="4362" max="4362" width="32.42578125" style="1121" customWidth="1"/>
    <col min="4363" max="4364" width="9.140625" style="1121"/>
    <col min="4365" max="4365" width="15.7109375" style="1121" customWidth="1"/>
    <col min="4366" max="4368" width="0" style="1121" hidden="1" customWidth="1"/>
    <col min="4369" max="4609" width="9.140625" style="1121"/>
    <col min="4610" max="4610" width="20" style="1121" customWidth="1"/>
    <col min="4611" max="4611" width="17.28515625" style="1121" customWidth="1"/>
    <col min="4612" max="4612" width="16.5703125" style="1121" customWidth="1"/>
    <col min="4613" max="4613" width="15.5703125" style="1121" customWidth="1"/>
    <col min="4614" max="4614" width="25.28515625" style="1121" customWidth="1"/>
    <col min="4615" max="4615" width="10.5703125" style="1121" customWidth="1"/>
    <col min="4616" max="4617" width="7.42578125" style="1121" customWidth="1"/>
    <col min="4618" max="4618" width="32.42578125" style="1121" customWidth="1"/>
    <col min="4619" max="4620" width="9.140625" style="1121"/>
    <col min="4621" max="4621" width="15.7109375" style="1121" customWidth="1"/>
    <col min="4622" max="4624" width="0" style="1121" hidden="1" customWidth="1"/>
    <col min="4625" max="4865" width="9.140625" style="1121"/>
    <col min="4866" max="4866" width="20" style="1121" customWidth="1"/>
    <col min="4867" max="4867" width="17.28515625" style="1121" customWidth="1"/>
    <col min="4868" max="4868" width="16.5703125" style="1121" customWidth="1"/>
    <col min="4869" max="4869" width="15.5703125" style="1121" customWidth="1"/>
    <col min="4870" max="4870" width="25.28515625" style="1121" customWidth="1"/>
    <col min="4871" max="4871" width="10.5703125" style="1121" customWidth="1"/>
    <col min="4872" max="4873" width="7.42578125" style="1121" customWidth="1"/>
    <col min="4874" max="4874" width="32.42578125" style="1121" customWidth="1"/>
    <col min="4875" max="4876" width="9.140625" style="1121"/>
    <col min="4877" max="4877" width="15.7109375" style="1121" customWidth="1"/>
    <col min="4878" max="4880" width="0" style="1121" hidden="1" customWidth="1"/>
    <col min="4881" max="5121" width="9.140625" style="1121"/>
    <col min="5122" max="5122" width="20" style="1121" customWidth="1"/>
    <col min="5123" max="5123" width="17.28515625" style="1121" customWidth="1"/>
    <col min="5124" max="5124" width="16.5703125" style="1121" customWidth="1"/>
    <col min="5125" max="5125" width="15.5703125" style="1121" customWidth="1"/>
    <col min="5126" max="5126" width="25.28515625" style="1121" customWidth="1"/>
    <col min="5127" max="5127" width="10.5703125" style="1121" customWidth="1"/>
    <col min="5128" max="5129" width="7.42578125" style="1121" customWidth="1"/>
    <col min="5130" max="5130" width="32.42578125" style="1121" customWidth="1"/>
    <col min="5131" max="5132" width="9.140625" style="1121"/>
    <col min="5133" max="5133" width="15.7109375" style="1121" customWidth="1"/>
    <col min="5134" max="5136" width="0" style="1121" hidden="1" customWidth="1"/>
    <col min="5137" max="5377" width="9.140625" style="1121"/>
    <col min="5378" max="5378" width="20" style="1121" customWidth="1"/>
    <col min="5379" max="5379" width="17.28515625" style="1121" customWidth="1"/>
    <col min="5380" max="5380" width="16.5703125" style="1121" customWidth="1"/>
    <col min="5381" max="5381" width="15.5703125" style="1121" customWidth="1"/>
    <col min="5382" max="5382" width="25.28515625" style="1121" customWidth="1"/>
    <col min="5383" max="5383" width="10.5703125" style="1121" customWidth="1"/>
    <col min="5384" max="5385" width="7.42578125" style="1121" customWidth="1"/>
    <col min="5386" max="5386" width="32.42578125" style="1121" customWidth="1"/>
    <col min="5387" max="5388" width="9.140625" style="1121"/>
    <col min="5389" max="5389" width="15.7109375" style="1121" customWidth="1"/>
    <col min="5390" max="5392" width="0" style="1121" hidden="1" customWidth="1"/>
    <col min="5393" max="5633" width="9.140625" style="1121"/>
    <col min="5634" max="5634" width="20" style="1121" customWidth="1"/>
    <col min="5635" max="5635" width="17.28515625" style="1121" customWidth="1"/>
    <col min="5636" max="5636" width="16.5703125" style="1121" customWidth="1"/>
    <col min="5637" max="5637" width="15.5703125" style="1121" customWidth="1"/>
    <col min="5638" max="5638" width="25.28515625" style="1121" customWidth="1"/>
    <col min="5639" max="5639" width="10.5703125" style="1121" customWidth="1"/>
    <col min="5640" max="5641" width="7.42578125" style="1121" customWidth="1"/>
    <col min="5642" max="5642" width="32.42578125" style="1121" customWidth="1"/>
    <col min="5643" max="5644" width="9.140625" style="1121"/>
    <col min="5645" max="5645" width="15.7109375" style="1121" customWidth="1"/>
    <col min="5646" max="5648" width="0" style="1121" hidden="1" customWidth="1"/>
    <col min="5649" max="5889" width="9.140625" style="1121"/>
    <col min="5890" max="5890" width="20" style="1121" customWidth="1"/>
    <col min="5891" max="5891" width="17.28515625" style="1121" customWidth="1"/>
    <col min="5892" max="5892" width="16.5703125" style="1121" customWidth="1"/>
    <col min="5893" max="5893" width="15.5703125" style="1121" customWidth="1"/>
    <col min="5894" max="5894" width="25.28515625" style="1121" customWidth="1"/>
    <col min="5895" max="5895" width="10.5703125" style="1121" customWidth="1"/>
    <col min="5896" max="5897" width="7.42578125" style="1121" customWidth="1"/>
    <col min="5898" max="5898" width="32.42578125" style="1121" customWidth="1"/>
    <col min="5899" max="5900" width="9.140625" style="1121"/>
    <col min="5901" max="5901" width="15.7109375" style="1121" customWidth="1"/>
    <col min="5902" max="5904" width="0" style="1121" hidden="1" customWidth="1"/>
    <col min="5905" max="6145" width="9.140625" style="1121"/>
    <col min="6146" max="6146" width="20" style="1121" customWidth="1"/>
    <col min="6147" max="6147" width="17.28515625" style="1121" customWidth="1"/>
    <col min="6148" max="6148" width="16.5703125" style="1121" customWidth="1"/>
    <col min="6149" max="6149" width="15.5703125" style="1121" customWidth="1"/>
    <col min="6150" max="6150" width="25.28515625" style="1121" customWidth="1"/>
    <col min="6151" max="6151" width="10.5703125" style="1121" customWidth="1"/>
    <col min="6152" max="6153" width="7.42578125" style="1121" customWidth="1"/>
    <col min="6154" max="6154" width="32.42578125" style="1121" customWidth="1"/>
    <col min="6155" max="6156" width="9.140625" style="1121"/>
    <col min="6157" max="6157" width="15.7109375" style="1121" customWidth="1"/>
    <col min="6158" max="6160" width="0" style="1121" hidden="1" customWidth="1"/>
    <col min="6161" max="6401" width="9.140625" style="1121"/>
    <col min="6402" max="6402" width="20" style="1121" customWidth="1"/>
    <col min="6403" max="6403" width="17.28515625" style="1121" customWidth="1"/>
    <col min="6404" max="6404" width="16.5703125" style="1121" customWidth="1"/>
    <col min="6405" max="6405" width="15.5703125" style="1121" customWidth="1"/>
    <col min="6406" max="6406" width="25.28515625" style="1121" customWidth="1"/>
    <col min="6407" max="6407" width="10.5703125" style="1121" customWidth="1"/>
    <col min="6408" max="6409" width="7.42578125" style="1121" customWidth="1"/>
    <col min="6410" max="6410" width="32.42578125" style="1121" customWidth="1"/>
    <col min="6411" max="6412" width="9.140625" style="1121"/>
    <col min="6413" max="6413" width="15.7109375" style="1121" customWidth="1"/>
    <col min="6414" max="6416" width="0" style="1121" hidden="1" customWidth="1"/>
    <col min="6417" max="6657" width="9.140625" style="1121"/>
    <col min="6658" max="6658" width="20" style="1121" customWidth="1"/>
    <col min="6659" max="6659" width="17.28515625" style="1121" customWidth="1"/>
    <col min="6660" max="6660" width="16.5703125" style="1121" customWidth="1"/>
    <col min="6661" max="6661" width="15.5703125" style="1121" customWidth="1"/>
    <col min="6662" max="6662" width="25.28515625" style="1121" customWidth="1"/>
    <col min="6663" max="6663" width="10.5703125" style="1121" customWidth="1"/>
    <col min="6664" max="6665" width="7.42578125" style="1121" customWidth="1"/>
    <col min="6666" max="6666" width="32.42578125" style="1121" customWidth="1"/>
    <col min="6667" max="6668" width="9.140625" style="1121"/>
    <col min="6669" max="6669" width="15.7109375" style="1121" customWidth="1"/>
    <col min="6670" max="6672" width="0" style="1121" hidden="1" customWidth="1"/>
    <col min="6673" max="6913" width="9.140625" style="1121"/>
    <col min="6914" max="6914" width="20" style="1121" customWidth="1"/>
    <col min="6915" max="6915" width="17.28515625" style="1121" customWidth="1"/>
    <col min="6916" max="6916" width="16.5703125" style="1121" customWidth="1"/>
    <col min="6917" max="6917" width="15.5703125" style="1121" customWidth="1"/>
    <col min="6918" max="6918" width="25.28515625" style="1121" customWidth="1"/>
    <col min="6919" max="6919" width="10.5703125" style="1121" customWidth="1"/>
    <col min="6920" max="6921" width="7.42578125" style="1121" customWidth="1"/>
    <col min="6922" max="6922" width="32.42578125" style="1121" customWidth="1"/>
    <col min="6923" max="6924" width="9.140625" style="1121"/>
    <col min="6925" max="6925" width="15.7109375" style="1121" customWidth="1"/>
    <col min="6926" max="6928" width="0" style="1121" hidden="1" customWidth="1"/>
    <col min="6929" max="7169" width="9.140625" style="1121"/>
    <col min="7170" max="7170" width="20" style="1121" customWidth="1"/>
    <col min="7171" max="7171" width="17.28515625" style="1121" customWidth="1"/>
    <col min="7172" max="7172" width="16.5703125" style="1121" customWidth="1"/>
    <col min="7173" max="7173" width="15.5703125" style="1121" customWidth="1"/>
    <col min="7174" max="7174" width="25.28515625" style="1121" customWidth="1"/>
    <col min="7175" max="7175" width="10.5703125" style="1121" customWidth="1"/>
    <col min="7176" max="7177" width="7.42578125" style="1121" customWidth="1"/>
    <col min="7178" max="7178" width="32.42578125" style="1121" customWidth="1"/>
    <col min="7179" max="7180" width="9.140625" style="1121"/>
    <col min="7181" max="7181" width="15.7109375" style="1121" customWidth="1"/>
    <col min="7182" max="7184" width="0" style="1121" hidden="1" customWidth="1"/>
    <col min="7185" max="7425" width="9.140625" style="1121"/>
    <col min="7426" max="7426" width="20" style="1121" customWidth="1"/>
    <col min="7427" max="7427" width="17.28515625" style="1121" customWidth="1"/>
    <col min="7428" max="7428" width="16.5703125" style="1121" customWidth="1"/>
    <col min="7429" max="7429" width="15.5703125" style="1121" customWidth="1"/>
    <col min="7430" max="7430" width="25.28515625" style="1121" customWidth="1"/>
    <col min="7431" max="7431" width="10.5703125" style="1121" customWidth="1"/>
    <col min="7432" max="7433" width="7.42578125" style="1121" customWidth="1"/>
    <col min="7434" max="7434" width="32.42578125" style="1121" customWidth="1"/>
    <col min="7435" max="7436" width="9.140625" style="1121"/>
    <col min="7437" max="7437" width="15.7109375" style="1121" customWidth="1"/>
    <col min="7438" max="7440" width="0" style="1121" hidden="1" customWidth="1"/>
    <col min="7441" max="7681" width="9.140625" style="1121"/>
    <col min="7682" max="7682" width="20" style="1121" customWidth="1"/>
    <col min="7683" max="7683" width="17.28515625" style="1121" customWidth="1"/>
    <col min="7684" max="7684" width="16.5703125" style="1121" customWidth="1"/>
    <col min="7685" max="7685" width="15.5703125" style="1121" customWidth="1"/>
    <col min="7686" max="7686" width="25.28515625" style="1121" customWidth="1"/>
    <col min="7687" max="7687" width="10.5703125" style="1121" customWidth="1"/>
    <col min="7688" max="7689" width="7.42578125" style="1121" customWidth="1"/>
    <col min="7690" max="7690" width="32.42578125" style="1121" customWidth="1"/>
    <col min="7691" max="7692" width="9.140625" style="1121"/>
    <col min="7693" max="7693" width="15.7109375" style="1121" customWidth="1"/>
    <col min="7694" max="7696" width="0" style="1121" hidden="1" customWidth="1"/>
    <col min="7697" max="7937" width="9.140625" style="1121"/>
    <col min="7938" max="7938" width="20" style="1121" customWidth="1"/>
    <col min="7939" max="7939" width="17.28515625" style="1121" customWidth="1"/>
    <col min="7940" max="7940" width="16.5703125" style="1121" customWidth="1"/>
    <col min="7941" max="7941" width="15.5703125" style="1121" customWidth="1"/>
    <col min="7942" max="7942" width="25.28515625" style="1121" customWidth="1"/>
    <col min="7943" max="7943" width="10.5703125" style="1121" customWidth="1"/>
    <col min="7944" max="7945" width="7.42578125" style="1121" customWidth="1"/>
    <col min="7946" max="7946" width="32.42578125" style="1121" customWidth="1"/>
    <col min="7947" max="7948" width="9.140625" style="1121"/>
    <col min="7949" max="7949" width="15.7109375" style="1121" customWidth="1"/>
    <col min="7950" max="7952" width="0" style="1121" hidden="1" customWidth="1"/>
    <col min="7953" max="8193" width="9.140625" style="1121"/>
    <col min="8194" max="8194" width="20" style="1121" customWidth="1"/>
    <col min="8195" max="8195" width="17.28515625" style="1121" customWidth="1"/>
    <col min="8196" max="8196" width="16.5703125" style="1121" customWidth="1"/>
    <col min="8197" max="8197" width="15.5703125" style="1121" customWidth="1"/>
    <col min="8198" max="8198" width="25.28515625" style="1121" customWidth="1"/>
    <col min="8199" max="8199" width="10.5703125" style="1121" customWidth="1"/>
    <col min="8200" max="8201" width="7.42578125" style="1121" customWidth="1"/>
    <col min="8202" max="8202" width="32.42578125" style="1121" customWidth="1"/>
    <col min="8203" max="8204" width="9.140625" style="1121"/>
    <col min="8205" max="8205" width="15.7109375" style="1121" customWidth="1"/>
    <col min="8206" max="8208" width="0" style="1121" hidden="1" customWidth="1"/>
    <col min="8209" max="8449" width="9.140625" style="1121"/>
    <col min="8450" max="8450" width="20" style="1121" customWidth="1"/>
    <col min="8451" max="8451" width="17.28515625" style="1121" customWidth="1"/>
    <col min="8452" max="8452" width="16.5703125" style="1121" customWidth="1"/>
    <col min="8453" max="8453" width="15.5703125" style="1121" customWidth="1"/>
    <col min="8454" max="8454" width="25.28515625" style="1121" customWidth="1"/>
    <col min="8455" max="8455" width="10.5703125" style="1121" customWidth="1"/>
    <col min="8456" max="8457" width="7.42578125" style="1121" customWidth="1"/>
    <col min="8458" max="8458" width="32.42578125" style="1121" customWidth="1"/>
    <col min="8459" max="8460" width="9.140625" style="1121"/>
    <col min="8461" max="8461" width="15.7109375" style="1121" customWidth="1"/>
    <col min="8462" max="8464" width="0" style="1121" hidden="1" customWidth="1"/>
    <col min="8465" max="8705" width="9.140625" style="1121"/>
    <col min="8706" max="8706" width="20" style="1121" customWidth="1"/>
    <col min="8707" max="8707" width="17.28515625" style="1121" customWidth="1"/>
    <col min="8708" max="8708" width="16.5703125" style="1121" customWidth="1"/>
    <col min="8709" max="8709" width="15.5703125" style="1121" customWidth="1"/>
    <col min="8710" max="8710" width="25.28515625" style="1121" customWidth="1"/>
    <col min="8711" max="8711" width="10.5703125" style="1121" customWidth="1"/>
    <col min="8712" max="8713" width="7.42578125" style="1121" customWidth="1"/>
    <col min="8714" max="8714" width="32.42578125" style="1121" customWidth="1"/>
    <col min="8715" max="8716" width="9.140625" style="1121"/>
    <col min="8717" max="8717" width="15.7109375" style="1121" customWidth="1"/>
    <col min="8718" max="8720" width="0" style="1121" hidden="1" customWidth="1"/>
    <col min="8721" max="8961" width="9.140625" style="1121"/>
    <col min="8962" max="8962" width="20" style="1121" customWidth="1"/>
    <col min="8963" max="8963" width="17.28515625" style="1121" customWidth="1"/>
    <col min="8964" max="8964" width="16.5703125" style="1121" customWidth="1"/>
    <col min="8965" max="8965" width="15.5703125" style="1121" customWidth="1"/>
    <col min="8966" max="8966" width="25.28515625" style="1121" customWidth="1"/>
    <col min="8967" max="8967" width="10.5703125" style="1121" customWidth="1"/>
    <col min="8968" max="8969" width="7.42578125" style="1121" customWidth="1"/>
    <col min="8970" max="8970" width="32.42578125" style="1121" customWidth="1"/>
    <col min="8971" max="8972" width="9.140625" style="1121"/>
    <col min="8973" max="8973" width="15.7109375" style="1121" customWidth="1"/>
    <col min="8974" max="8976" width="0" style="1121" hidden="1" customWidth="1"/>
    <col min="8977" max="9217" width="9.140625" style="1121"/>
    <col min="9218" max="9218" width="20" style="1121" customWidth="1"/>
    <col min="9219" max="9219" width="17.28515625" style="1121" customWidth="1"/>
    <col min="9220" max="9220" width="16.5703125" style="1121" customWidth="1"/>
    <col min="9221" max="9221" width="15.5703125" style="1121" customWidth="1"/>
    <col min="9222" max="9222" width="25.28515625" style="1121" customWidth="1"/>
    <col min="9223" max="9223" width="10.5703125" style="1121" customWidth="1"/>
    <col min="9224" max="9225" width="7.42578125" style="1121" customWidth="1"/>
    <col min="9226" max="9226" width="32.42578125" style="1121" customWidth="1"/>
    <col min="9227" max="9228" width="9.140625" style="1121"/>
    <col min="9229" max="9229" width="15.7109375" style="1121" customWidth="1"/>
    <col min="9230" max="9232" width="0" style="1121" hidden="1" customWidth="1"/>
    <col min="9233" max="9473" width="9.140625" style="1121"/>
    <col min="9474" max="9474" width="20" style="1121" customWidth="1"/>
    <col min="9475" max="9475" width="17.28515625" style="1121" customWidth="1"/>
    <col min="9476" max="9476" width="16.5703125" style="1121" customWidth="1"/>
    <col min="9477" max="9477" width="15.5703125" style="1121" customWidth="1"/>
    <col min="9478" max="9478" width="25.28515625" style="1121" customWidth="1"/>
    <col min="9479" max="9479" width="10.5703125" style="1121" customWidth="1"/>
    <col min="9480" max="9481" width="7.42578125" style="1121" customWidth="1"/>
    <col min="9482" max="9482" width="32.42578125" style="1121" customWidth="1"/>
    <col min="9483" max="9484" width="9.140625" style="1121"/>
    <col min="9485" max="9485" width="15.7109375" style="1121" customWidth="1"/>
    <col min="9486" max="9488" width="0" style="1121" hidden="1" customWidth="1"/>
    <col min="9489" max="9729" width="9.140625" style="1121"/>
    <col min="9730" max="9730" width="20" style="1121" customWidth="1"/>
    <col min="9731" max="9731" width="17.28515625" style="1121" customWidth="1"/>
    <col min="9732" max="9732" width="16.5703125" style="1121" customWidth="1"/>
    <col min="9733" max="9733" width="15.5703125" style="1121" customWidth="1"/>
    <col min="9734" max="9734" width="25.28515625" style="1121" customWidth="1"/>
    <col min="9735" max="9735" width="10.5703125" style="1121" customWidth="1"/>
    <col min="9736" max="9737" width="7.42578125" style="1121" customWidth="1"/>
    <col min="9738" max="9738" width="32.42578125" style="1121" customWidth="1"/>
    <col min="9739" max="9740" width="9.140625" style="1121"/>
    <col min="9741" max="9741" width="15.7109375" style="1121" customWidth="1"/>
    <col min="9742" max="9744" width="0" style="1121" hidden="1" customWidth="1"/>
    <col min="9745" max="9985" width="9.140625" style="1121"/>
    <col min="9986" max="9986" width="20" style="1121" customWidth="1"/>
    <col min="9987" max="9987" width="17.28515625" style="1121" customWidth="1"/>
    <col min="9988" max="9988" width="16.5703125" style="1121" customWidth="1"/>
    <col min="9989" max="9989" width="15.5703125" style="1121" customWidth="1"/>
    <col min="9990" max="9990" width="25.28515625" style="1121" customWidth="1"/>
    <col min="9991" max="9991" width="10.5703125" style="1121" customWidth="1"/>
    <col min="9992" max="9993" width="7.42578125" style="1121" customWidth="1"/>
    <col min="9994" max="9994" width="32.42578125" style="1121" customWidth="1"/>
    <col min="9995" max="9996" width="9.140625" style="1121"/>
    <col min="9997" max="9997" width="15.7109375" style="1121" customWidth="1"/>
    <col min="9998" max="10000" width="0" style="1121" hidden="1" customWidth="1"/>
    <col min="10001" max="10241" width="9.140625" style="1121"/>
    <col min="10242" max="10242" width="20" style="1121" customWidth="1"/>
    <col min="10243" max="10243" width="17.28515625" style="1121" customWidth="1"/>
    <col min="10244" max="10244" width="16.5703125" style="1121" customWidth="1"/>
    <col min="10245" max="10245" width="15.5703125" style="1121" customWidth="1"/>
    <col min="10246" max="10246" width="25.28515625" style="1121" customWidth="1"/>
    <col min="10247" max="10247" width="10.5703125" style="1121" customWidth="1"/>
    <col min="10248" max="10249" width="7.42578125" style="1121" customWidth="1"/>
    <col min="10250" max="10250" width="32.42578125" style="1121" customWidth="1"/>
    <col min="10251" max="10252" width="9.140625" style="1121"/>
    <col min="10253" max="10253" width="15.7109375" style="1121" customWidth="1"/>
    <col min="10254" max="10256" width="0" style="1121" hidden="1" customWidth="1"/>
    <col min="10257" max="10497" width="9.140625" style="1121"/>
    <col min="10498" max="10498" width="20" style="1121" customWidth="1"/>
    <col min="10499" max="10499" width="17.28515625" style="1121" customWidth="1"/>
    <col min="10500" max="10500" width="16.5703125" style="1121" customWidth="1"/>
    <col min="10501" max="10501" width="15.5703125" style="1121" customWidth="1"/>
    <col min="10502" max="10502" width="25.28515625" style="1121" customWidth="1"/>
    <col min="10503" max="10503" width="10.5703125" style="1121" customWidth="1"/>
    <col min="10504" max="10505" width="7.42578125" style="1121" customWidth="1"/>
    <col min="10506" max="10506" width="32.42578125" style="1121" customWidth="1"/>
    <col min="10507" max="10508" width="9.140625" style="1121"/>
    <col min="10509" max="10509" width="15.7109375" style="1121" customWidth="1"/>
    <col min="10510" max="10512" width="0" style="1121" hidden="1" customWidth="1"/>
    <col min="10513" max="10753" width="9.140625" style="1121"/>
    <col min="10754" max="10754" width="20" style="1121" customWidth="1"/>
    <col min="10755" max="10755" width="17.28515625" style="1121" customWidth="1"/>
    <col min="10756" max="10756" width="16.5703125" style="1121" customWidth="1"/>
    <col min="10757" max="10757" width="15.5703125" style="1121" customWidth="1"/>
    <col min="10758" max="10758" width="25.28515625" style="1121" customWidth="1"/>
    <col min="10759" max="10759" width="10.5703125" style="1121" customWidth="1"/>
    <col min="10760" max="10761" width="7.42578125" style="1121" customWidth="1"/>
    <col min="10762" max="10762" width="32.42578125" style="1121" customWidth="1"/>
    <col min="10763" max="10764" width="9.140625" style="1121"/>
    <col min="10765" max="10765" width="15.7109375" style="1121" customWidth="1"/>
    <col min="10766" max="10768" width="0" style="1121" hidden="1" customWidth="1"/>
    <col min="10769" max="11009" width="9.140625" style="1121"/>
    <col min="11010" max="11010" width="20" style="1121" customWidth="1"/>
    <col min="11011" max="11011" width="17.28515625" style="1121" customWidth="1"/>
    <col min="11012" max="11012" width="16.5703125" style="1121" customWidth="1"/>
    <col min="11013" max="11013" width="15.5703125" style="1121" customWidth="1"/>
    <col min="11014" max="11014" width="25.28515625" style="1121" customWidth="1"/>
    <col min="11015" max="11015" width="10.5703125" style="1121" customWidth="1"/>
    <col min="11016" max="11017" width="7.42578125" style="1121" customWidth="1"/>
    <col min="11018" max="11018" width="32.42578125" style="1121" customWidth="1"/>
    <col min="11019" max="11020" width="9.140625" style="1121"/>
    <col min="11021" max="11021" width="15.7109375" style="1121" customWidth="1"/>
    <col min="11022" max="11024" width="0" style="1121" hidden="1" customWidth="1"/>
    <col min="11025" max="11265" width="9.140625" style="1121"/>
    <col min="11266" max="11266" width="20" style="1121" customWidth="1"/>
    <col min="11267" max="11267" width="17.28515625" style="1121" customWidth="1"/>
    <col min="11268" max="11268" width="16.5703125" style="1121" customWidth="1"/>
    <col min="11269" max="11269" width="15.5703125" style="1121" customWidth="1"/>
    <col min="11270" max="11270" width="25.28515625" style="1121" customWidth="1"/>
    <col min="11271" max="11271" width="10.5703125" style="1121" customWidth="1"/>
    <col min="11272" max="11273" width="7.42578125" style="1121" customWidth="1"/>
    <col min="11274" max="11274" width="32.42578125" style="1121" customWidth="1"/>
    <col min="11275" max="11276" width="9.140625" style="1121"/>
    <col min="11277" max="11277" width="15.7109375" style="1121" customWidth="1"/>
    <col min="11278" max="11280" width="0" style="1121" hidden="1" customWidth="1"/>
    <col min="11281" max="11521" width="9.140625" style="1121"/>
    <col min="11522" max="11522" width="20" style="1121" customWidth="1"/>
    <col min="11523" max="11523" width="17.28515625" style="1121" customWidth="1"/>
    <col min="11524" max="11524" width="16.5703125" style="1121" customWidth="1"/>
    <col min="11525" max="11525" width="15.5703125" style="1121" customWidth="1"/>
    <col min="11526" max="11526" width="25.28515625" style="1121" customWidth="1"/>
    <col min="11527" max="11527" width="10.5703125" style="1121" customWidth="1"/>
    <col min="11528" max="11529" width="7.42578125" style="1121" customWidth="1"/>
    <col min="11530" max="11530" width="32.42578125" style="1121" customWidth="1"/>
    <col min="11531" max="11532" width="9.140625" style="1121"/>
    <col min="11533" max="11533" width="15.7109375" style="1121" customWidth="1"/>
    <col min="11534" max="11536" width="0" style="1121" hidden="1" customWidth="1"/>
    <col min="11537" max="11777" width="9.140625" style="1121"/>
    <col min="11778" max="11778" width="20" style="1121" customWidth="1"/>
    <col min="11779" max="11779" width="17.28515625" style="1121" customWidth="1"/>
    <col min="11780" max="11780" width="16.5703125" style="1121" customWidth="1"/>
    <col min="11781" max="11781" width="15.5703125" style="1121" customWidth="1"/>
    <col min="11782" max="11782" width="25.28515625" style="1121" customWidth="1"/>
    <col min="11783" max="11783" width="10.5703125" style="1121" customWidth="1"/>
    <col min="11784" max="11785" width="7.42578125" style="1121" customWidth="1"/>
    <col min="11786" max="11786" width="32.42578125" style="1121" customWidth="1"/>
    <col min="11787" max="11788" width="9.140625" style="1121"/>
    <col min="11789" max="11789" width="15.7109375" style="1121" customWidth="1"/>
    <col min="11790" max="11792" width="0" style="1121" hidden="1" customWidth="1"/>
    <col min="11793" max="12033" width="9.140625" style="1121"/>
    <col min="12034" max="12034" width="20" style="1121" customWidth="1"/>
    <col min="12035" max="12035" width="17.28515625" style="1121" customWidth="1"/>
    <col min="12036" max="12036" width="16.5703125" style="1121" customWidth="1"/>
    <col min="12037" max="12037" width="15.5703125" style="1121" customWidth="1"/>
    <col min="12038" max="12038" width="25.28515625" style="1121" customWidth="1"/>
    <col min="12039" max="12039" width="10.5703125" style="1121" customWidth="1"/>
    <col min="12040" max="12041" width="7.42578125" style="1121" customWidth="1"/>
    <col min="12042" max="12042" width="32.42578125" style="1121" customWidth="1"/>
    <col min="12043" max="12044" width="9.140625" style="1121"/>
    <col min="12045" max="12045" width="15.7109375" style="1121" customWidth="1"/>
    <col min="12046" max="12048" width="0" style="1121" hidden="1" customWidth="1"/>
    <col min="12049" max="12289" width="9.140625" style="1121"/>
    <col min="12290" max="12290" width="20" style="1121" customWidth="1"/>
    <col min="12291" max="12291" width="17.28515625" style="1121" customWidth="1"/>
    <col min="12292" max="12292" width="16.5703125" style="1121" customWidth="1"/>
    <col min="12293" max="12293" width="15.5703125" style="1121" customWidth="1"/>
    <col min="12294" max="12294" width="25.28515625" style="1121" customWidth="1"/>
    <col min="12295" max="12295" width="10.5703125" style="1121" customWidth="1"/>
    <col min="12296" max="12297" width="7.42578125" style="1121" customWidth="1"/>
    <col min="12298" max="12298" width="32.42578125" style="1121" customWidth="1"/>
    <col min="12299" max="12300" width="9.140625" style="1121"/>
    <col min="12301" max="12301" width="15.7109375" style="1121" customWidth="1"/>
    <col min="12302" max="12304" width="0" style="1121" hidden="1" customWidth="1"/>
    <col min="12305" max="12545" width="9.140625" style="1121"/>
    <col min="12546" max="12546" width="20" style="1121" customWidth="1"/>
    <col min="12547" max="12547" width="17.28515625" style="1121" customWidth="1"/>
    <col min="12548" max="12548" width="16.5703125" style="1121" customWidth="1"/>
    <col min="12549" max="12549" width="15.5703125" style="1121" customWidth="1"/>
    <col min="12550" max="12550" width="25.28515625" style="1121" customWidth="1"/>
    <col min="12551" max="12551" width="10.5703125" style="1121" customWidth="1"/>
    <col min="12552" max="12553" width="7.42578125" style="1121" customWidth="1"/>
    <col min="12554" max="12554" width="32.42578125" style="1121" customWidth="1"/>
    <col min="12555" max="12556" width="9.140625" style="1121"/>
    <col min="12557" max="12557" width="15.7109375" style="1121" customWidth="1"/>
    <col min="12558" max="12560" width="0" style="1121" hidden="1" customWidth="1"/>
    <col min="12561" max="12801" width="9.140625" style="1121"/>
    <col min="12802" max="12802" width="20" style="1121" customWidth="1"/>
    <col min="12803" max="12803" width="17.28515625" style="1121" customWidth="1"/>
    <col min="12804" max="12804" width="16.5703125" style="1121" customWidth="1"/>
    <col min="12805" max="12805" width="15.5703125" style="1121" customWidth="1"/>
    <col min="12806" max="12806" width="25.28515625" style="1121" customWidth="1"/>
    <col min="12807" max="12807" width="10.5703125" style="1121" customWidth="1"/>
    <col min="12808" max="12809" width="7.42578125" style="1121" customWidth="1"/>
    <col min="12810" max="12810" width="32.42578125" style="1121" customWidth="1"/>
    <col min="12811" max="12812" width="9.140625" style="1121"/>
    <col min="12813" max="12813" width="15.7109375" style="1121" customWidth="1"/>
    <col min="12814" max="12816" width="0" style="1121" hidden="1" customWidth="1"/>
    <col min="12817" max="13057" width="9.140625" style="1121"/>
    <col min="13058" max="13058" width="20" style="1121" customWidth="1"/>
    <col min="13059" max="13059" width="17.28515625" style="1121" customWidth="1"/>
    <col min="13060" max="13060" width="16.5703125" style="1121" customWidth="1"/>
    <col min="13061" max="13061" width="15.5703125" style="1121" customWidth="1"/>
    <col min="13062" max="13062" width="25.28515625" style="1121" customWidth="1"/>
    <col min="13063" max="13063" width="10.5703125" style="1121" customWidth="1"/>
    <col min="13064" max="13065" width="7.42578125" style="1121" customWidth="1"/>
    <col min="13066" max="13066" width="32.42578125" style="1121" customWidth="1"/>
    <col min="13067" max="13068" width="9.140625" style="1121"/>
    <col min="13069" max="13069" width="15.7109375" style="1121" customWidth="1"/>
    <col min="13070" max="13072" width="0" style="1121" hidden="1" customWidth="1"/>
    <col min="13073" max="13313" width="9.140625" style="1121"/>
    <col min="13314" max="13314" width="20" style="1121" customWidth="1"/>
    <col min="13315" max="13315" width="17.28515625" style="1121" customWidth="1"/>
    <col min="13316" max="13316" width="16.5703125" style="1121" customWidth="1"/>
    <col min="13317" max="13317" width="15.5703125" style="1121" customWidth="1"/>
    <col min="13318" max="13318" width="25.28515625" style="1121" customWidth="1"/>
    <col min="13319" max="13319" width="10.5703125" style="1121" customWidth="1"/>
    <col min="13320" max="13321" width="7.42578125" style="1121" customWidth="1"/>
    <col min="13322" max="13322" width="32.42578125" style="1121" customWidth="1"/>
    <col min="13323" max="13324" width="9.140625" style="1121"/>
    <col min="13325" max="13325" width="15.7109375" style="1121" customWidth="1"/>
    <col min="13326" max="13328" width="0" style="1121" hidden="1" customWidth="1"/>
    <col min="13329" max="13569" width="9.140625" style="1121"/>
    <col min="13570" max="13570" width="20" style="1121" customWidth="1"/>
    <col min="13571" max="13571" width="17.28515625" style="1121" customWidth="1"/>
    <col min="13572" max="13572" width="16.5703125" style="1121" customWidth="1"/>
    <col min="13573" max="13573" width="15.5703125" style="1121" customWidth="1"/>
    <col min="13574" max="13574" width="25.28515625" style="1121" customWidth="1"/>
    <col min="13575" max="13575" width="10.5703125" style="1121" customWidth="1"/>
    <col min="13576" max="13577" width="7.42578125" style="1121" customWidth="1"/>
    <col min="13578" max="13578" width="32.42578125" style="1121" customWidth="1"/>
    <col min="13579" max="13580" width="9.140625" style="1121"/>
    <col min="13581" max="13581" width="15.7109375" style="1121" customWidth="1"/>
    <col min="13582" max="13584" width="0" style="1121" hidden="1" customWidth="1"/>
    <col min="13585" max="13825" width="9.140625" style="1121"/>
    <col min="13826" max="13826" width="20" style="1121" customWidth="1"/>
    <col min="13827" max="13827" width="17.28515625" style="1121" customWidth="1"/>
    <col min="13828" max="13828" width="16.5703125" style="1121" customWidth="1"/>
    <col min="13829" max="13829" width="15.5703125" style="1121" customWidth="1"/>
    <col min="13830" max="13830" width="25.28515625" style="1121" customWidth="1"/>
    <col min="13831" max="13831" width="10.5703125" style="1121" customWidth="1"/>
    <col min="13832" max="13833" width="7.42578125" style="1121" customWidth="1"/>
    <col min="13834" max="13834" width="32.42578125" style="1121" customWidth="1"/>
    <col min="13835" max="13836" width="9.140625" style="1121"/>
    <col min="13837" max="13837" width="15.7109375" style="1121" customWidth="1"/>
    <col min="13838" max="13840" width="0" style="1121" hidden="1" customWidth="1"/>
    <col min="13841" max="14081" width="9.140625" style="1121"/>
    <col min="14082" max="14082" width="20" style="1121" customWidth="1"/>
    <col min="14083" max="14083" width="17.28515625" style="1121" customWidth="1"/>
    <col min="14084" max="14084" width="16.5703125" style="1121" customWidth="1"/>
    <col min="14085" max="14085" width="15.5703125" style="1121" customWidth="1"/>
    <col min="14086" max="14086" width="25.28515625" style="1121" customWidth="1"/>
    <col min="14087" max="14087" width="10.5703125" style="1121" customWidth="1"/>
    <col min="14088" max="14089" width="7.42578125" style="1121" customWidth="1"/>
    <col min="14090" max="14090" width="32.42578125" style="1121" customWidth="1"/>
    <col min="14091" max="14092" width="9.140625" style="1121"/>
    <col min="14093" max="14093" width="15.7109375" style="1121" customWidth="1"/>
    <col min="14094" max="14096" width="0" style="1121" hidden="1" customWidth="1"/>
    <col min="14097" max="14337" width="9.140625" style="1121"/>
    <col min="14338" max="14338" width="20" style="1121" customWidth="1"/>
    <col min="14339" max="14339" width="17.28515625" style="1121" customWidth="1"/>
    <col min="14340" max="14340" width="16.5703125" style="1121" customWidth="1"/>
    <col min="14341" max="14341" width="15.5703125" style="1121" customWidth="1"/>
    <col min="14342" max="14342" width="25.28515625" style="1121" customWidth="1"/>
    <col min="14343" max="14343" width="10.5703125" style="1121" customWidth="1"/>
    <col min="14344" max="14345" width="7.42578125" style="1121" customWidth="1"/>
    <col min="14346" max="14346" width="32.42578125" style="1121" customWidth="1"/>
    <col min="14347" max="14348" width="9.140625" style="1121"/>
    <col min="14349" max="14349" width="15.7109375" style="1121" customWidth="1"/>
    <col min="14350" max="14352" width="0" style="1121" hidden="1" customWidth="1"/>
    <col min="14353" max="14593" width="9.140625" style="1121"/>
    <col min="14594" max="14594" width="20" style="1121" customWidth="1"/>
    <col min="14595" max="14595" width="17.28515625" style="1121" customWidth="1"/>
    <col min="14596" max="14596" width="16.5703125" style="1121" customWidth="1"/>
    <col min="14597" max="14597" width="15.5703125" style="1121" customWidth="1"/>
    <col min="14598" max="14598" width="25.28515625" style="1121" customWidth="1"/>
    <col min="14599" max="14599" width="10.5703125" style="1121" customWidth="1"/>
    <col min="14600" max="14601" width="7.42578125" style="1121" customWidth="1"/>
    <col min="14602" max="14602" width="32.42578125" style="1121" customWidth="1"/>
    <col min="14603" max="14604" width="9.140625" style="1121"/>
    <col min="14605" max="14605" width="15.7109375" style="1121" customWidth="1"/>
    <col min="14606" max="14608" width="0" style="1121" hidden="1" customWidth="1"/>
    <col min="14609" max="14849" width="9.140625" style="1121"/>
    <col min="14850" max="14850" width="20" style="1121" customWidth="1"/>
    <col min="14851" max="14851" width="17.28515625" style="1121" customWidth="1"/>
    <col min="14852" max="14852" width="16.5703125" style="1121" customWidth="1"/>
    <col min="14853" max="14853" width="15.5703125" style="1121" customWidth="1"/>
    <col min="14854" max="14854" width="25.28515625" style="1121" customWidth="1"/>
    <col min="14855" max="14855" width="10.5703125" style="1121" customWidth="1"/>
    <col min="14856" max="14857" width="7.42578125" style="1121" customWidth="1"/>
    <col min="14858" max="14858" width="32.42578125" style="1121" customWidth="1"/>
    <col min="14859" max="14860" width="9.140625" style="1121"/>
    <col min="14861" max="14861" width="15.7109375" style="1121" customWidth="1"/>
    <col min="14862" max="14864" width="0" style="1121" hidden="1" customWidth="1"/>
    <col min="14865" max="15105" width="9.140625" style="1121"/>
    <col min="15106" max="15106" width="20" style="1121" customWidth="1"/>
    <col min="15107" max="15107" width="17.28515625" style="1121" customWidth="1"/>
    <col min="15108" max="15108" width="16.5703125" style="1121" customWidth="1"/>
    <col min="15109" max="15109" width="15.5703125" style="1121" customWidth="1"/>
    <col min="15110" max="15110" width="25.28515625" style="1121" customWidth="1"/>
    <col min="15111" max="15111" width="10.5703125" style="1121" customWidth="1"/>
    <col min="15112" max="15113" width="7.42578125" style="1121" customWidth="1"/>
    <col min="15114" max="15114" width="32.42578125" style="1121" customWidth="1"/>
    <col min="15115" max="15116" width="9.140625" style="1121"/>
    <col min="15117" max="15117" width="15.7109375" style="1121" customWidth="1"/>
    <col min="15118" max="15120" width="0" style="1121" hidden="1" customWidth="1"/>
    <col min="15121" max="15361" width="9.140625" style="1121"/>
    <col min="15362" max="15362" width="20" style="1121" customWidth="1"/>
    <col min="15363" max="15363" width="17.28515625" style="1121" customWidth="1"/>
    <col min="15364" max="15364" width="16.5703125" style="1121" customWidth="1"/>
    <col min="15365" max="15365" width="15.5703125" style="1121" customWidth="1"/>
    <col min="15366" max="15366" width="25.28515625" style="1121" customWidth="1"/>
    <col min="15367" max="15367" width="10.5703125" style="1121" customWidth="1"/>
    <col min="15368" max="15369" width="7.42578125" style="1121" customWidth="1"/>
    <col min="15370" max="15370" width="32.42578125" style="1121" customWidth="1"/>
    <col min="15371" max="15372" width="9.140625" style="1121"/>
    <col min="15373" max="15373" width="15.7109375" style="1121" customWidth="1"/>
    <col min="15374" max="15376" width="0" style="1121" hidden="1" customWidth="1"/>
    <col min="15377" max="15617" width="9.140625" style="1121"/>
    <col min="15618" max="15618" width="20" style="1121" customWidth="1"/>
    <col min="15619" max="15619" width="17.28515625" style="1121" customWidth="1"/>
    <col min="15620" max="15620" width="16.5703125" style="1121" customWidth="1"/>
    <col min="15621" max="15621" width="15.5703125" style="1121" customWidth="1"/>
    <col min="15622" max="15622" width="25.28515625" style="1121" customWidth="1"/>
    <col min="15623" max="15623" width="10.5703125" style="1121" customWidth="1"/>
    <col min="15624" max="15625" width="7.42578125" style="1121" customWidth="1"/>
    <col min="15626" max="15626" width="32.42578125" style="1121" customWidth="1"/>
    <col min="15627" max="15628" width="9.140625" style="1121"/>
    <col min="15629" max="15629" width="15.7109375" style="1121" customWidth="1"/>
    <col min="15630" max="15632" width="0" style="1121" hidden="1" customWidth="1"/>
    <col min="15633" max="15873" width="9.140625" style="1121"/>
    <col min="15874" max="15874" width="20" style="1121" customWidth="1"/>
    <col min="15875" max="15875" width="17.28515625" style="1121" customWidth="1"/>
    <col min="15876" max="15876" width="16.5703125" style="1121" customWidth="1"/>
    <col min="15877" max="15877" width="15.5703125" style="1121" customWidth="1"/>
    <col min="15878" max="15878" width="25.28515625" style="1121" customWidth="1"/>
    <col min="15879" max="15879" width="10.5703125" style="1121" customWidth="1"/>
    <col min="15880" max="15881" width="7.42578125" style="1121" customWidth="1"/>
    <col min="15882" max="15882" width="32.42578125" style="1121" customWidth="1"/>
    <col min="15883" max="15884" width="9.140625" style="1121"/>
    <col min="15885" max="15885" width="15.7109375" style="1121" customWidth="1"/>
    <col min="15886" max="15888" width="0" style="1121" hidden="1" customWidth="1"/>
    <col min="15889" max="16129" width="9.140625" style="1121"/>
    <col min="16130" max="16130" width="20" style="1121" customWidth="1"/>
    <col min="16131" max="16131" width="17.28515625" style="1121" customWidth="1"/>
    <col min="16132" max="16132" width="16.5703125" style="1121" customWidth="1"/>
    <col min="16133" max="16133" width="15.5703125" style="1121" customWidth="1"/>
    <col min="16134" max="16134" width="25.28515625" style="1121" customWidth="1"/>
    <col min="16135" max="16135" width="10.5703125" style="1121" customWidth="1"/>
    <col min="16136" max="16137" width="7.42578125" style="1121" customWidth="1"/>
    <col min="16138" max="16138" width="32.42578125" style="1121" customWidth="1"/>
    <col min="16139" max="16140" width="9.140625" style="1121"/>
    <col min="16141" max="16141" width="15.7109375" style="1121" customWidth="1"/>
    <col min="16142" max="16144" width="0" style="1121" hidden="1" customWidth="1"/>
    <col min="16145" max="16384" width="9.140625" style="1121"/>
  </cols>
  <sheetData>
    <row r="1" spans="1:19" s="1119" customFormat="1" ht="18.75">
      <c r="A1" s="1881" t="s">
        <v>3609</v>
      </c>
      <c r="B1" s="1092" t="s">
        <v>4229</v>
      </c>
      <c r="C1" s="1216"/>
      <c r="D1" s="1216"/>
      <c r="E1" s="1360"/>
      <c r="F1" s="905"/>
      <c r="G1" s="1328"/>
      <c r="H1" s="2530" t="s">
        <v>2595</v>
      </c>
      <c r="I1" s="2437"/>
      <c r="J1" s="1193" t="s">
        <v>3610</v>
      </c>
    </row>
    <row r="2" spans="1:19" s="1119" customFormat="1">
      <c r="B2" s="1034" t="s">
        <v>3198</v>
      </c>
      <c r="C2" s="1035">
        <f>'Basic Info'!C29:D29</f>
        <v>0</v>
      </c>
      <c r="D2" s="923"/>
      <c r="E2" s="923"/>
      <c r="F2" s="923"/>
      <c r="G2" s="923"/>
      <c r="H2" s="2502"/>
      <c r="I2" s="2502"/>
      <c r="J2" s="1006"/>
    </row>
    <row r="3" spans="1:19" s="1119" customFormat="1">
      <c r="C3" s="923"/>
      <c r="D3" s="923"/>
      <c r="E3" s="923"/>
      <c r="F3" s="923"/>
      <c r="G3" s="923"/>
      <c r="H3" s="2502"/>
      <c r="I3" s="2502"/>
      <c r="J3" s="1305"/>
    </row>
    <row r="4" spans="1:19">
      <c r="A4" s="1120"/>
      <c r="B4" s="1121"/>
      <c r="C4" s="1121"/>
      <c r="D4" s="1121"/>
      <c r="E4" s="1121"/>
      <c r="F4" s="1121"/>
      <c r="G4" s="923"/>
      <c r="H4" s="2502"/>
      <c r="I4" s="2502"/>
      <c r="J4" s="1006"/>
      <c r="K4" s="1120"/>
      <c r="L4" s="1120"/>
      <c r="M4" s="1120"/>
      <c r="N4" s="1120"/>
      <c r="O4" s="1120"/>
      <c r="P4" s="1120"/>
      <c r="Q4" s="1120"/>
      <c r="R4" s="1120"/>
      <c r="S4" s="1120"/>
    </row>
    <row r="5" spans="1:19" s="1275" customFormat="1">
      <c r="A5" s="1196"/>
      <c r="B5" s="1239" t="s">
        <v>3981</v>
      </c>
      <c r="C5" s="1103"/>
      <c r="D5" s="1103"/>
      <c r="E5" s="1103"/>
      <c r="F5" s="1103"/>
      <c r="G5" s="923"/>
      <c r="H5" s="1225"/>
      <c r="I5" s="1225"/>
      <c r="J5" s="1226"/>
      <c r="K5" s="1196"/>
      <c r="L5" s="1196"/>
      <c r="M5" s="1196"/>
      <c r="N5" s="1196"/>
      <c r="O5" s="1196"/>
      <c r="P5" s="1196"/>
      <c r="Q5" s="1196"/>
      <c r="R5" s="1196"/>
      <c r="S5" s="1196"/>
    </row>
    <row r="6" spans="1:19" ht="12" customHeight="1">
      <c r="A6" s="1120"/>
      <c r="B6" s="2394" t="s">
        <v>3829</v>
      </c>
      <c r="C6" s="2394"/>
      <c r="D6" s="2394"/>
      <c r="E6" s="2394"/>
      <c r="F6" s="2394"/>
      <c r="G6" s="2394"/>
      <c r="H6" s="2394"/>
      <c r="I6" s="2394"/>
      <c r="J6" s="2394"/>
      <c r="K6" s="1120"/>
      <c r="L6" s="1120"/>
      <c r="M6" s="1120"/>
      <c r="N6" s="1120"/>
      <c r="O6" s="1120"/>
      <c r="P6" s="1120"/>
      <c r="Q6" s="1120"/>
      <c r="R6" s="1120"/>
      <c r="S6" s="1120"/>
    </row>
    <row r="7" spans="1:19" ht="12" customHeight="1">
      <c r="A7" s="1120"/>
      <c r="B7" s="2394" t="s">
        <v>3830</v>
      </c>
      <c r="C7" s="2394"/>
      <c r="D7" s="2394"/>
      <c r="E7" s="2394"/>
      <c r="F7" s="2394"/>
      <c r="G7" s="2394"/>
      <c r="H7" s="2394"/>
      <c r="I7" s="2394"/>
      <c r="J7" s="2394"/>
      <c r="K7" s="1120"/>
      <c r="L7" s="1120"/>
      <c r="M7" s="1120"/>
      <c r="N7" s="1120"/>
      <c r="O7" s="1120"/>
      <c r="P7" s="1120"/>
      <c r="Q7" s="1120"/>
      <c r="R7" s="1120"/>
      <c r="S7" s="1120"/>
    </row>
    <row r="8" spans="1:19">
      <c r="A8" s="1120"/>
      <c r="B8" s="923"/>
      <c r="C8" s="923"/>
      <c r="D8" s="923"/>
      <c r="E8" s="923"/>
      <c r="F8" s="923"/>
      <c r="G8" s="923"/>
      <c r="H8" s="923"/>
      <c r="I8" s="923"/>
      <c r="J8" s="1122"/>
      <c r="K8" s="1123"/>
      <c r="L8" s="1120"/>
      <c r="M8" s="1120"/>
      <c r="N8" s="1120"/>
      <c r="O8" s="1120"/>
      <c r="P8" s="1120"/>
      <c r="Q8" s="1120"/>
      <c r="R8" s="1120"/>
      <c r="S8" s="1120"/>
    </row>
    <row r="9" spans="1:19">
      <c r="A9" s="1120"/>
      <c r="B9" s="1239" t="s">
        <v>4230</v>
      </c>
      <c r="C9" s="923"/>
      <c r="D9" s="923"/>
      <c r="E9" s="923"/>
      <c r="F9" s="923"/>
      <c r="G9" s="923"/>
      <c r="H9" s="923"/>
      <c r="I9" s="923"/>
      <c r="J9" s="1122"/>
      <c r="K9" s="1120"/>
      <c r="L9" s="1120"/>
      <c r="M9" s="1120"/>
      <c r="N9" s="1120"/>
      <c r="O9" s="1120"/>
      <c r="P9" s="1120"/>
      <c r="Q9" s="1120"/>
      <c r="R9" s="1120"/>
      <c r="S9" s="1120"/>
    </row>
    <row r="10" spans="1:19">
      <c r="A10" s="1120"/>
      <c r="B10" s="923" t="s">
        <v>3613</v>
      </c>
      <c r="C10" s="923"/>
      <c r="D10" s="923"/>
      <c r="E10" s="923"/>
      <c r="F10" s="923"/>
      <c r="G10" s="923"/>
      <c r="H10" s="923"/>
      <c r="I10" s="923"/>
      <c r="J10" s="1122"/>
      <c r="K10" s="1120"/>
      <c r="L10" s="1120"/>
      <c r="M10" s="1120"/>
      <c r="N10" s="1120"/>
      <c r="O10" s="1120"/>
      <c r="P10" s="1120"/>
      <c r="Q10" s="1120"/>
      <c r="R10" s="1120"/>
      <c r="S10" s="1120"/>
    </row>
    <row r="11" spans="1:19">
      <c r="A11" s="1120"/>
      <c r="B11" s="923" t="s">
        <v>3661</v>
      </c>
      <c r="C11" s="923"/>
      <c r="D11" s="923"/>
      <c r="E11" s="923"/>
      <c r="F11" s="923"/>
      <c r="G11" s="923"/>
      <c r="H11" s="923"/>
      <c r="I11" s="923"/>
      <c r="J11" s="1122"/>
      <c r="K11" s="1120"/>
      <c r="L11" s="1120"/>
      <c r="M11" s="1120"/>
      <c r="N11" s="1120"/>
      <c r="O11" s="1120"/>
      <c r="P11" s="1120"/>
      <c r="Q11" s="1120"/>
      <c r="R11" s="1120"/>
      <c r="S11" s="1120"/>
    </row>
    <row r="12" spans="1:19">
      <c r="A12" s="1120"/>
      <c r="B12" s="923" t="s">
        <v>3789</v>
      </c>
      <c r="C12" s="923"/>
      <c r="D12" s="923"/>
      <c r="E12" s="923"/>
      <c r="F12" s="923"/>
      <c r="G12" s="923"/>
      <c r="H12" s="923"/>
      <c r="I12" s="923"/>
      <c r="J12" s="1122"/>
      <c r="K12" s="1120"/>
      <c r="L12" s="1120"/>
      <c r="M12" s="1120"/>
      <c r="N12" s="1120"/>
      <c r="O12" s="1120"/>
      <c r="P12" s="1120"/>
      <c r="Q12" s="1120"/>
      <c r="R12" s="1120"/>
      <c r="S12" s="1120"/>
    </row>
    <row r="13" spans="1:19">
      <c r="A13" s="1120"/>
      <c r="B13" s="923" t="s">
        <v>3790</v>
      </c>
      <c r="C13" s="923"/>
      <c r="D13" s="923"/>
      <c r="E13" s="923"/>
      <c r="F13" s="923"/>
      <c r="G13" s="923"/>
      <c r="H13" s="923"/>
      <c r="I13" s="923"/>
      <c r="J13" s="1122"/>
      <c r="K13" s="1120"/>
      <c r="L13" s="1120"/>
      <c r="M13" s="1120"/>
      <c r="N13" s="1120"/>
      <c r="O13" s="1120"/>
      <c r="P13" s="1120"/>
      <c r="Q13" s="1120"/>
      <c r="R13" s="1120"/>
      <c r="S13" s="1120"/>
    </row>
    <row r="14" spans="1:19">
      <c r="A14" s="1120"/>
      <c r="B14" s="923" t="s">
        <v>3791</v>
      </c>
      <c r="C14" s="923"/>
      <c r="D14" s="923"/>
      <c r="E14" s="923"/>
      <c r="F14" s="923"/>
      <c r="G14" s="923"/>
      <c r="H14" s="923"/>
      <c r="I14" s="923"/>
      <c r="J14" s="923"/>
      <c r="K14" s="1120"/>
      <c r="L14" s="1120"/>
      <c r="M14" s="1120"/>
      <c r="N14" s="1120"/>
      <c r="O14" s="1120"/>
      <c r="P14" s="1120"/>
      <c r="Q14" s="1120"/>
      <c r="R14" s="1120"/>
      <c r="S14" s="1120"/>
    </row>
    <row r="15" spans="1:19">
      <c r="A15" s="1120"/>
      <c r="B15" s="923" t="s">
        <v>3831</v>
      </c>
      <c r="C15" s="923"/>
      <c r="D15" s="923"/>
      <c r="E15" s="923"/>
      <c r="F15" s="923"/>
      <c r="G15" s="923"/>
      <c r="H15" s="923"/>
      <c r="I15" s="923"/>
      <c r="J15" s="923"/>
      <c r="K15" s="1120"/>
      <c r="L15" s="1120"/>
      <c r="M15" s="1120"/>
      <c r="N15" s="1120"/>
      <c r="O15" s="1120"/>
      <c r="P15" s="1120"/>
      <c r="Q15" s="1120"/>
      <c r="R15" s="1120"/>
      <c r="S15" s="1120"/>
    </row>
    <row r="16" spans="1:19">
      <c r="A16" s="1120"/>
      <c r="B16" s="923" t="s">
        <v>3793</v>
      </c>
      <c r="C16" s="923"/>
      <c r="D16" s="923"/>
      <c r="E16" s="923"/>
      <c r="F16" s="923"/>
      <c r="G16" s="923"/>
      <c r="H16" s="923"/>
      <c r="I16" s="923"/>
      <c r="J16" s="923"/>
      <c r="K16" s="1120"/>
      <c r="L16" s="1120"/>
      <c r="M16" s="1120"/>
      <c r="N16" s="1120"/>
      <c r="O16" s="1120"/>
      <c r="P16" s="1120"/>
      <c r="Q16" s="1120"/>
      <c r="R16" s="1120"/>
      <c r="S16" s="1120"/>
    </row>
    <row r="17" spans="1:19">
      <c r="A17" s="1120"/>
      <c r="B17" s="923" t="s">
        <v>3832</v>
      </c>
      <c r="C17" s="923"/>
      <c r="D17" s="923"/>
      <c r="E17" s="923"/>
      <c r="F17" s="923"/>
      <c r="G17" s="923"/>
      <c r="H17" s="923"/>
      <c r="I17" s="923"/>
      <c r="J17" s="923"/>
      <c r="K17" s="1120"/>
      <c r="L17" s="1120"/>
      <c r="M17" s="1120"/>
      <c r="N17" s="1120"/>
      <c r="O17" s="1120"/>
      <c r="P17" s="1120"/>
      <c r="Q17" s="1120"/>
      <c r="R17" s="1120"/>
      <c r="S17" s="1120"/>
    </row>
    <row r="18" spans="1:19">
      <c r="A18" s="1120"/>
      <c r="B18" s="923" t="s">
        <v>3795</v>
      </c>
      <c r="C18" s="923"/>
      <c r="D18" s="923"/>
      <c r="E18" s="923"/>
      <c r="F18" s="923"/>
      <c r="G18" s="923"/>
      <c r="H18" s="923"/>
      <c r="I18" s="923"/>
      <c r="J18" s="923"/>
      <c r="K18" s="1120"/>
      <c r="L18" s="1120"/>
      <c r="M18" s="1120"/>
      <c r="N18" s="1120"/>
      <c r="O18" s="1120"/>
      <c r="P18" s="1120"/>
      <c r="Q18" s="1120"/>
      <c r="R18" s="1120"/>
      <c r="S18" s="1120"/>
    </row>
    <row r="19" spans="1:19">
      <c r="A19" s="1120"/>
      <c r="B19" s="923" t="s">
        <v>3796</v>
      </c>
      <c r="C19" s="923"/>
      <c r="D19" s="923"/>
      <c r="E19" s="923"/>
      <c r="F19" s="923"/>
      <c r="G19" s="923"/>
      <c r="H19" s="923"/>
      <c r="I19" s="923"/>
      <c r="J19" s="923"/>
      <c r="K19" s="1120"/>
      <c r="L19" s="1120"/>
      <c r="M19" s="1120"/>
      <c r="N19" s="1120"/>
      <c r="O19" s="1120"/>
      <c r="P19" s="1120"/>
      <c r="Q19" s="1120"/>
      <c r="R19" s="1120"/>
      <c r="S19" s="1120"/>
    </row>
    <row r="20" spans="1:19">
      <c r="A20" s="1120"/>
      <c r="B20" s="923" t="s">
        <v>3797</v>
      </c>
      <c r="C20" s="923"/>
      <c r="D20" s="923"/>
      <c r="E20" s="923"/>
      <c r="F20" s="923"/>
      <c r="G20" s="923"/>
      <c r="H20" s="923"/>
      <c r="I20" s="923"/>
      <c r="J20" s="923"/>
      <c r="K20" s="1120"/>
      <c r="L20" s="1120"/>
      <c r="M20" s="1120"/>
      <c r="N20" s="1120"/>
      <c r="O20" s="1120"/>
      <c r="P20" s="1120"/>
      <c r="Q20" s="1120"/>
      <c r="R20" s="1120"/>
      <c r="S20" s="1120"/>
    </row>
    <row r="21" spans="1:19">
      <c r="A21" s="1120"/>
      <c r="B21" s="923"/>
      <c r="C21" s="923"/>
      <c r="D21" s="923"/>
      <c r="E21" s="923"/>
      <c r="F21" s="923"/>
      <c r="G21" s="923"/>
      <c r="H21" s="923"/>
      <c r="I21" s="923"/>
      <c r="J21" s="923"/>
      <c r="K21" s="1120"/>
      <c r="L21" s="1120"/>
      <c r="M21" s="1120"/>
      <c r="N21" s="1120"/>
      <c r="O21" s="1120"/>
      <c r="P21" s="1120"/>
      <c r="Q21" s="1120"/>
      <c r="R21" s="1120"/>
      <c r="S21" s="1120"/>
    </row>
    <row r="22" spans="1:19">
      <c r="A22" s="1120"/>
      <c r="B22" s="1011" t="s">
        <v>3982</v>
      </c>
      <c r="C22" s="923"/>
      <c r="D22" s="923"/>
      <c r="E22" s="923"/>
      <c r="F22" s="923"/>
      <c r="G22" s="923"/>
      <c r="H22" s="923"/>
      <c r="I22" s="923"/>
      <c r="J22" s="923"/>
      <c r="K22" s="1120"/>
      <c r="L22" s="1120"/>
      <c r="M22" s="1120"/>
      <c r="N22" s="1120"/>
      <c r="O22" s="1120"/>
      <c r="P22" s="1120"/>
      <c r="Q22" s="1120"/>
      <c r="R22" s="1120"/>
      <c r="S22" s="1120"/>
    </row>
    <row r="23" spans="1:19" ht="38.25" customHeight="1">
      <c r="A23" s="1120"/>
      <c r="B23" s="2395" t="s">
        <v>4220</v>
      </c>
      <c r="C23" s="2395"/>
      <c r="D23" s="2395"/>
      <c r="E23" s="2395"/>
      <c r="F23" s="2395"/>
      <c r="G23" s="2395"/>
      <c r="H23" s="2395"/>
      <c r="I23" s="2395"/>
      <c r="J23" s="2395"/>
      <c r="K23" s="1120"/>
      <c r="L23" s="1120"/>
      <c r="M23" s="1120"/>
      <c r="N23" s="1120"/>
      <c r="O23" s="1120"/>
      <c r="P23" s="1120"/>
      <c r="Q23" s="1120"/>
      <c r="R23" s="1120"/>
      <c r="S23" s="1120"/>
    </row>
    <row r="24" spans="1:19">
      <c r="A24" s="1120"/>
      <c r="B24" s="2394" t="s">
        <v>4231</v>
      </c>
      <c r="C24" s="2394"/>
      <c r="D24" s="2394"/>
      <c r="E24" s="2394"/>
      <c r="F24" s="2394"/>
      <c r="G24" s="923"/>
      <c r="H24" s="923"/>
      <c r="I24" s="923"/>
      <c r="J24" s="923"/>
      <c r="K24" s="1120"/>
      <c r="L24" s="1120"/>
      <c r="M24" s="1120"/>
      <c r="N24" s="1120"/>
      <c r="O24" s="1120"/>
      <c r="P24" s="1120"/>
      <c r="Q24" s="1120"/>
      <c r="R24" s="1120"/>
      <c r="S24" s="1120"/>
    </row>
    <row r="25" spans="1:19">
      <c r="A25" s="1120"/>
      <c r="B25" s="2647" t="s">
        <v>4232</v>
      </c>
      <c r="C25" s="2648"/>
      <c r="D25" s="2648"/>
      <c r="E25" s="2648"/>
      <c r="F25" s="2648"/>
      <c r="G25" s="923"/>
      <c r="H25" s="923"/>
      <c r="I25" s="923"/>
      <c r="J25" s="923"/>
      <c r="K25" s="1120"/>
      <c r="L25" s="1120"/>
      <c r="M25" s="1120"/>
      <c r="N25" s="1120"/>
      <c r="O25" s="1120"/>
      <c r="P25" s="1120"/>
      <c r="Q25" s="1120"/>
      <c r="R25" s="1120"/>
      <c r="S25" s="1120"/>
    </row>
    <row r="26" spans="1:19">
      <c r="A26" s="1120"/>
      <c r="B26" s="1392"/>
      <c r="C26" s="1393"/>
      <c r="D26" s="1393"/>
      <c r="E26" s="1393"/>
      <c r="F26" s="1393"/>
      <c r="G26" s="923"/>
      <c r="H26" s="923"/>
      <c r="I26" s="923"/>
      <c r="J26" s="923"/>
      <c r="K26" s="1120"/>
      <c r="L26" s="1120"/>
      <c r="M26" s="1120"/>
      <c r="N26" s="1120"/>
      <c r="O26" s="1120"/>
      <c r="P26" s="1120"/>
      <c r="Q26" s="1120"/>
      <c r="R26" s="1120"/>
      <c r="S26" s="1120"/>
    </row>
    <row r="27" spans="1:19" ht="13.5" customHeight="1">
      <c r="A27" s="1120"/>
      <c r="B27" s="1165" t="s">
        <v>3928</v>
      </c>
      <c r="C27" s="1103"/>
      <c r="D27" s="1103"/>
      <c r="E27" s="1103"/>
      <c r="F27" s="1342"/>
      <c r="G27" s="1342"/>
      <c r="H27" s="1120"/>
      <c r="I27" s="1120"/>
      <c r="J27" s="1120"/>
      <c r="K27" s="1120"/>
      <c r="L27" s="1120"/>
      <c r="M27" s="1120"/>
      <c r="N27" s="1120"/>
      <c r="O27" s="1120"/>
      <c r="P27" s="1120"/>
    </row>
    <row r="28" spans="1:19">
      <c r="A28" s="1120"/>
      <c r="B28" s="2414" t="s">
        <v>4243</v>
      </c>
      <c r="C28" s="2395"/>
      <c r="D28" s="2395"/>
      <c r="E28" s="2395"/>
      <c r="F28" s="2395"/>
      <c r="G28" s="2395"/>
      <c r="H28" s="2395"/>
      <c r="I28" s="2395"/>
      <c r="J28" s="2395"/>
      <c r="K28" s="1120"/>
      <c r="L28" s="1120"/>
      <c r="M28" s="1120"/>
      <c r="N28" s="1120"/>
      <c r="O28" s="1120"/>
      <c r="P28" s="1120"/>
    </row>
    <row r="29" spans="1:19" ht="12.75">
      <c r="A29" s="1120"/>
      <c r="B29" s="2582" t="s">
        <v>4233</v>
      </c>
      <c r="C29" s="2582"/>
      <c r="D29" s="2582"/>
      <c r="E29" s="2582"/>
      <c r="F29" s="2582"/>
      <c r="G29" s="2582"/>
      <c r="H29" s="2582"/>
      <c r="I29" s="2582"/>
      <c r="J29" s="2582"/>
      <c r="K29" s="1120"/>
      <c r="L29" s="1120"/>
      <c r="M29" s="1120"/>
      <c r="N29" s="1120"/>
      <c r="O29" s="1120"/>
      <c r="P29" s="1120"/>
    </row>
    <row r="30" spans="1:19">
      <c r="A30" s="1120"/>
      <c r="B30" s="2395" t="s">
        <v>4234</v>
      </c>
      <c r="C30" s="2395"/>
      <c r="D30" s="2395"/>
      <c r="E30" s="2395"/>
      <c r="F30" s="2395"/>
      <c r="G30" s="2395"/>
      <c r="H30" s="2395"/>
      <c r="I30" s="2395"/>
      <c r="J30" s="2395"/>
      <c r="K30" s="1120"/>
      <c r="L30" s="1120"/>
      <c r="M30" s="1120"/>
      <c r="N30" s="1120"/>
      <c r="O30" s="1120"/>
      <c r="P30" s="1120"/>
    </row>
    <row r="31" spans="1:19">
      <c r="A31" s="1120"/>
      <c r="B31" s="2395" t="s">
        <v>4235</v>
      </c>
      <c r="C31" s="2395"/>
      <c r="D31" s="2395"/>
      <c r="E31" s="2395"/>
      <c r="F31" s="2395"/>
      <c r="G31" s="2395"/>
      <c r="H31" s="2395"/>
      <c r="I31" s="2395"/>
      <c r="J31" s="2395"/>
      <c r="K31" s="1120"/>
      <c r="L31" s="1120"/>
      <c r="M31" s="1120"/>
      <c r="N31" s="1120"/>
      <c r="O31" s="1120"/>
      <c r="P31" s="1120"/>
    </row>
    <row r="32" spans="1:19">
      <c r="A32" s="1120"/>
      <c r="B32" s="2395" t="s">
        <v>4236</v>
      </c>
      <c r="C32" s="2395"/>
      <c r="D32" s="2395"/>
      <c r="E32" s="2395"/>
      <c r="F32" s="2395"/>
      <c r="G32" s="2395"/>
      <c r="H32" s="2395"/>
      <c r="I32" s="2395"/>
      <c r="J32" s="2395"/>
      <c r="K32" s="1120"/>
      <c r="L32" s="1120"/>
      <c r="M32" s="1120"/>
      <c r="N32" s="1120"/>
      <c r="O32" s="1120"/>
      <c r="P32" s="1120"/>
    </row>
    <row r="33" spans="1:19">
      <c r="A33" s="1120"/>
      <c r="B33" s="2395" t="s">
        <v>4237</v>
      </c>
      <c r="C33" s="2395"/>
      <c r="D33" s="2395"/>
      <c r="E33" s="2395"/>
      <c r="F33" s="2395"/>
      <c r="G33" s="2395"/>
      <c r="H33" s="2395"/>
      <c r="I33" s="2395"/>
      <c r="J33" s="2395"/>
      <c r="K33" s="1120"/>
      <c r="L33" s="1120"/>
      <c r="M33" s="1120"/>
      <c r="N33" s="1120"/>
      <c r="O33" s="1120"/>
      <c r="P33" s="1120"/>
    </row>
    <row r="34" spans="1:19" ht="12.75">
      <c r="A34" s="1120"/>
      <c r="B34" s="2582" t="s">
        <v>4238</v>
      </c>
      <c r="C34" s="2582"/>
      <c r="D34" s="2582"/>
      <c r="E34" s="2582"/>
      <c r="F34" s="2582"/>
      <c r="G34" s="2582"/>
      <c r="H34" s="2582"/>
      <c r="I34" s="2582"/>
      <c r="J34" s="2582"/>
      <c r="K34" s="1120"/>
      <c r="L34" s="1120"/>
      <c r="M34" s="1120"/>
      <c r="N34" s="1120"/>
      <c r="O34" s="1120"/>
      <c r="P34" s="1120"/>
    </row>
    <row r="35" spans="1:19">
      <c r="A35" s="1120"/>
      <c r="B35" s="2395" t="s">
        <v>4239</v>
      </c>
      <c r="C35" s="2395"/>
      <c r="D35" s="2395"/>
      <c r="E35" s="2395"/>
      <c r="F35" s="2395"/>
      <c r="G35" s="2395"/>
      <c r="H35" s="2395"/>
      <c r="I35" s="2395"/>
      <c r="J35" s="2395"/>
      <c r="K35" s="1120"/>
      <c r="L35" s="1120"/>
      <c r="M35" s="1120"/>
      <c r="N35" s="1120"/>
      <c r="O35" s="1120"/>
      <c r="P35" s="1120"/>
    </row>
    <row r="36" spans="1:19">
      <c r="A36" s="1120"/>
      <c r="B36" s="2395" t="s">
        <v>4236</v>
      </c>
      <c r="C36" s="2395"/>
      <c r="D36" s="2395"/>
      <c r="E36" s="2395"/>
      <c r="F36" s="2395"/>
      <c r="G36" s="2395"/>
      <c r="H36" s="2395"/>
      <c r="I36" s="2395"/>
      <c r="J36" s="2395"/>
      <c r="K36" s="1120"/>
      <c r="L36" s="1120"/>
      <c r="M36" s="1120"/>
      <c r="N36" s="1120"/>
      <c r="O36" s="1120"/>
      <c r="P36" s="1120"/>
    </row>
    <row r="37" spans="1:19" ht="13.5" customHeight="1">
      <c r="A37" s="1120"/>
      <c r="B37" s="2395" t="s">
        <v>4240</v>
      </c>
      <c r="C37" s="2395"/>
      <c r="D37" s="2395"/>
      <c r="E37" s="2395"/>
      <c r="F37" s="2395"/>
      <c r="G37" s="2395"/>
      <c r="H37" s="2395"/>
      <c r="I37" s="2395"/>
      <c r="J37" s="2395"/>
      <c r="K37" s="1120"/>
      <c r="L37" s="1120"/>
      <c r="M37" s="1120"/>
      <c r="N37" s="1120"/>
      <c r="O37" s="1120"/>
      <c r="P37" s="1120"/>
    </row>
    <row r="38" spans="1:19">
      <c r="A38" s="1120"/>
      <c r="B38" s="2395" t="s">
        <v>4241</v>
      </c>
      <c r="C38" s="2395"/>
      <c r="D38" s="2395"/>
      <c r="E38" s="2395"/>
      <c r="F38" s="2395"/>
      <c r="G38" s="2395"/>
      <c r="H38" s="2395"/>
      <c r="I38" s="2395"/>
      <c r="J38" s="2395"/>
      <c r="K38" s="1120"/>
      <c r="L38" s="1120"/>
      <c r="M38" s="1120"/>
      <c r="N38" s="1120"/>
      <c r="O38" s="1120"/>
      <c r="P38" s="1120"/>
    </row>
    <row r="39" spans="1:19">
      <c r="A39" s="1120"/>
      <c r="B39" s="2395" t="s">
        <v>4242</v>
      </c>
      <c r="C39" s="2395"/>
      <c r="D39" s="2395"/>
      <c r="E39" s="2395"/>
      <c r="F39" s="2395"/>
      <c r="G39" s="2395"/>
      <c r="H39" s="2395"/>
      <c r="I39" s="2395"/>
      <c r="J39" s="2395"/>
      <c r="K39" s="1120"/>
      <c r="L39" s="1120"/>
      <c r="M39" s="1120"/>
      <c r="N39" s="1120"/>
      <c r="O39" s="1120"/>
      <c r="P39" s="1120"/>
    </row>
    <row r="40" spans="1:19">
      <c r="A40" s="1120"/>
      <c r="B40" s="1104"/>
      <c r="C40" s="1104"/>
      <c r="D40" s="1104"/>
      <c r="E40" s="1104"/>
      <c r="F40" s="1104"/>
      <c r="G40" s="1104"/>
      <c r="H40" s="1104"/>
      <c r="I40" s="1104"/>
      <c r="J40" s="1104"/>
      <c r="K40" s="1120"/>
      <c r="L40" s="1120"/>
      <c r="M40" s="1120"/>
      <c r="N40" s="1120"/>
      <c r="O40" s="1120"/>
      <c r="P40" s="1120"/>
    </row>
    <row r="41" spans="1:19" s="1139" customFormat="1" ht="78" customHeight="1">
      <c r="A41" s="1134"/>
      <c r="B41" s="2388"/>
      <c r="C41" s="2390"/>
      <c r="D41" s="2388" t="s">
        <v>3968</v>
      </c>
      <c r="E41" s="2389"/>
      <c r="F41" s="2390"/>
      <c r="G41" s="1162" t="s">
        <v>3693</v>
      </c>
      <c r="H41" s="1162" t="s">
        <v>3620</v>
      </c>
      <c r="I41" s="1089" t="s">
        <v>3627</v>
      </c>
      <c r="J41" s="1284" t="s">
        <v>3833</v>
      </c>
      <c r="K41" s="1136"/>
      <c r="L41" s="1136"/>
      <c r="M41" s="1136"/>
      <c r="N41" s="1136"/>
      <c r="O41" s="1136"/>
      <c r="P41" s="1136"/>
      <c r="Q41" s="1136"/>
    </row>
    <row r="42" spans="1:19" ht="75.75" customHeight="1">
      <c r="B42" s="2644" t="s">
        <v>4221</v>
      </c>
      <c r="C42" s="2645"/>
      <c r="D42" s="2398" t="s">
        <v>4255</v>
      </c>
      <c r="E42" s="2398"/>
      <c r="F42" s="2398"/>
      <c r="G42" s="2643" t="str">
        <f>ERMs!C71</f>
        <v xml:space="preserve"> CFM</v>
      </c>
      <c r="H42" s="2462" t="str">
        <f>ERMs!D71</f>
        <v>Baseline:  CFM
Proposed:  CFM</v>
      </c>
      <c r="I42" s="1839"/>
      <c r="J42" s="1839"/>
    </row>
    <row r="43" spans="1:19" s="1139" customFormat="1" ht="33.75" customHeight="1">
      <c r="A43" s="1134"/>
      <c r="B43" s="2593"/>
      <c r="C43" s="2646"/>
      <c r="D43" s="2381" t="s">
        <v>3607</v>
      </c>
      <c r="E43" s="2382"/>
      <c r="F43" s="2416"/>
      <c r="G43" s="2427"/>
      <c r="H43" s="2463"/>
      <c r="I43" s="1839"/>
      <c r="J43" s="1839"/>
      <c r="K43" s="1136"/>
      <c r="L43" s="1136"/>
      <c r="M43" s="1136"/>
      <c r="N43" s="1136"/>
      <c r="O43" s="1136"/>
      <c r="P43" s="1136"/>
      <c r="Q43" s="1136"/>
      <c r="R43" s="1136"/>
      <c r="S43" s="1136"/>
    </row>
    <row r="44" spans="1:19" s="1139" customFormat="1" ht="126.75" customHeight="1">
      <c r="A44" s="1371"/>
      <c r="B44" s="2381" t="s">
        <v>4586</v>
      </c>
      <c r="C44" s="2382"/>
      <c r="D44" s="2382"/>
      <c r="E44" s="2382"/>
      <c r="F44" s="2382"/>
      <c r="G44" s="2382"/>
      <c r="H44" s="2558"/>
      <c r="I44" s="1101"/>
      <c r="J44" s="1101"/>
      <c r="K44" s="1136"/>
      <c r="L44" s="1136"/>
      <c r="M44" s="1136"/>
      <c r="N44" s="1136"/>
      <c r="O44" s="1136"/>
      <c r="P44" s="1136"/>
      <c r="Q44" s="1136"/>
      <c r="R44" s="1136"/>
      <c r="S44" s="1136"/>
    </row>
    <row r="45" spans="1:19" s="1139" customFormat="1" ht="33.75" customHeight="1">
      <c r="A45" s="1371"/>
      <c r="B45" s="2391" t="s">
        <v>4222</v>
      </c>
      <c r="C45" s="2400"/>
      <c r="D45" s="2400"/>
      <c r="E45" s="2400"/>
      <c r="F45" s="2400"/>
      <c r="G45" s="2400"/>
      <c r="H45" s="2400"/>
      <c r="I45" s="1101"/>
      <c r="J45" s="1101"/>
      <c r="K45" s="1136"/>
      <c r="L45" s="1136"/>
      <c r="M45" s="1136"/>
      <c r="N45" s="1136"/>
      <c r="O45" s="1136"/>
      <c r="P45" s="1136"/>
      <c r="Q45" s="1136"/>
      <c r="R45" s="1136"/>
      <c r="S45" s="1136"/>
    </row>
    <row r="46" spans="1:19" ht="33.75" customHeight="1">
      <c r="B46" s="2391" t="s">
        <v>4223</v>
      </c>
      <c r="C46" s="2400"/>
      <c r="D46" s="2400"/>
      <c r="E46" s="2400"/>
      <c r="F46" s="2400"/>
      <c r="G46" s="2400"/>
      <c r="H46" s="2400"/>
      <c r="I46" s="1101"/>
      <c r="J46" s="1101"/>
    </row>
    <row r="47" spans="1:19" s="1139" customFormat="1" ht="35.25" customHeight="1">
      <c r="A47" s="1134"/>
      <c r="B47" s="2391" t="s">
        <v>4224</v>
      </c>
      <c r="C47" s="2400"/>
      <c r="D47" s="2400"/>
      <c r="E47" s="2400"/>
      <c r="F47" s="2400"/>
      <c r="G47" s="2400"/>
      <c r="H47" s="2400"/>
      <c r="I47" s="1101"/>
      <c r="J47" s="1101"/>
      <c r="K47" s="1136"/>
      <c r="L47" s="1136"/>
      <c r="M47" s="1136"/>
      <c r="N47" s="1136"/>
      <c r="O47" s="1136"/>
      <c r="P47" s="1136"/>
      <c r="Q47" s="1136"/>
      <c r="R47" s="1136"/>
      <c r="S47" s="1136"/>
    </row>
    <row r="48" spans="1:19" s="1139" customFormat="1" ht="39.75" customHeight="1">
      <c r="A48" s="1134"/>
      <c r="B48" s="2391" t="s">
        <v>4225</v>
      </c>
      <c r="C48" s="2400"/>
      <c r="D48" s="2400"/>
      <c r="E48" s="2400"/>
      <c r="F48" s="2400"/>
      <c r="G48" s="2400"/>
      <c r="H48" s="2400"/>
      <c r="I48" s="1101"/>
      <c r="J48" s="1101"/>
      <c r="K48" s="1136"/>
      <c r="L48" s="1136"/>
      <c r="M48" s="1136"/>
      <c r="N48" s="1136"/>
      <c r="O48" s="1136"/>
      <c r="P48" s="1136"/>
      <c r="Q48" s="1136"/>
      <c r="R48" s="1136"/>
      <c r="S48" s="1136"/>
    </row>
    <row r="49" spans="1:73" s="1139" customFormat="1" ht="39.75" customHeight="1">
      <c r="A49" s="1134"/>
      <c r="B49" s="2391" t="s">
        <v>4226</v>
      </c>
      <c r="C49" s="2400"/>
      <c r="D49" s="2400"/>
      <c r="E49" s="2400"/>
      <c r="F49" s="2400"/>
      <c r="G49" s="2400"/>
      <c r="H49" s="2400"/>
      <c r="I49" s="1101"/>
      <c r="J49" s="1101"/>
      <c r="K49" s="1136"/>
      <c r="L49" s="1136"/>
      <c r="M49" s="1136"/>
      <c r="N49" s="1136"/>
      <c r="O49" s="1136"/>
      <c r="P49" s="1136"/>
      <c r="Q49" s="1136"/>
      <c r="R49" s="1136"/>
      <c r="S49" s="1136"/>
    </row>
    <row r="50" spans="1:73" s="1139" customFormat="1" ht="31.5" customHeight="1">
      <c r="A50" s="1134"/>
      <c r="B50" s="2391" t="s">
        <v>4590</v>
      </c>
      <c r="C50" s="2400"/>
      <c r="D50" s="2400"/>
      <c r="E50" s="2400"/>
      <c r="F50" s="2400"/>
      <c r="G50" s="2400"/>
      <c r="H50" s="2400"/>
      <c r="I50" s="1101"/>
      <c r="J50" s="1101"/>
      <c r="K50" s="1136"/>
      <c r="L50" s="1136"/>
      <c r="M50" s="1136"/>
      <c r="N50" s="1136"/>
      <c r="O50" s="1136"/>
      <c r="P50" s="1136"/>
      <c r="Q50" s="1136"/>
      <c r="R50" s="1136"/>
      <c r="S50" s="1136"/>
    </row>
    <row r="51" spans="1:73" s="1139" customFormat="1">
      <c r="A51" s="1134"/>
      <c r="B51" s="1236"/>
      <c r="C51" s="1236"/>
      <c r="D51" s="1236"/>
      <c r="E51" s="1236"/>
      <c r="F51" s="1236"/>
      <c r="G51" s="2641"/>
      <c r="H51" s="2641"/>
      <c r="I51" s="2642"/>
      <c r="J51" s="2642"/>
      <c r="K51" s="1136"/>
      <c r="L51" s="1136"/>
      <c r="M51" s="1136"/>
      <c r="N51" s="1136"/>
      <c r="O51" s="1136"/>
      <c r="P51" s="1136"/>
      <c r="Q51" s="1136"/>
      <c r="R51" s="1136"/>
      <c r="S51" s="1136"/>
    </row>
    <row r="52" spans="1:73" s="1139" customFormat="1" ht="45" hidden="1" customHeight="1">
      <c r="A52" s="1134"/>
      <c r="B52" s="1119"/>
      <c r="C52" s="1119"/>
      <c r="D52" s="1288" t="s">
        <v>3834</v>
      </c>
      <c r="E52" s="1288" t="s">
        <v>3655</v>
      </c>
      <c r="F52" s="1288" t="s">
        <v>3835</v>
      </c>
      <c r="G52" s="1290" t="s">
        <v>3836</v>
      </c>
      <c r="H52" s="1372" t="s">
        <v>3837</v>
      </c>
      <c r="I52" s="1372" t="s">
        <v>3838</v>
      </c>
      <c r="J52" s="1373"/>
      <c r="K52" s="1136"/>
      <c r="L52" s="1136"/>
      <c r="M52" s="1136"/>
      <c r="N52" s="1136"/>
      <c r="O52" s="1136"/>
      <c r="P52" s="1136"/>
      <c r="Q52" s="1136"/>
      <c r="R52" s="1136"/>
      <c r="S52" s="1136"/>
    </row>
    <row r="53" spans="1:73" s="1139" customFormat="1" ht="33.75" hidden="1" customHeight="1">
      <c r="A53" s="1136"/>
      <c r="B53" s="1119"/>
      <c r="C53" s="1119"/>
      <c r="D53" s="1374" t="e">
        <f>#REF!</f>
        <v>#REF!</v>
      </c>
      <c r="E53" s="1375" t="e">
        <f>#REF!</f>
        <v>#REF!</v>
      </c>
      <c r="F53" s="1374" t="e">
        <f>#REF!</f>
        <v>#REF!</v>
      </c>
      <c r="G53" s="1376" t="e">
        <f>E53/F53</f>
        <v>#REF!</v>
      </c>
      <c r="H53" s="1377" t="e">
        <f>'8.2 - VENT_DUCT TIGHTNESS'!#REF!/'8.2 - VENT_DUCT TIGHTNESS'!F53</f>
        <v>#REF!</v>
      </c>
      <c r="I53" s="1378" t="e">
        <f>H53/G53</f>
        <v>#REF!</v>
      </c>
      <c r="J53" s="898"/>
      <c r="K53" s="1136"/>
      <c r="L53" s="1136"/>
      <c r="M53" s="1136"/>
      <c r="N53" s="1136"/>
      <c r="O53" s="1136"/>
      <c r="P53" s="1136"/>
      <c r="Q53" s="1136"/>
      <c r="R53" s="1136"/>
      <c r="S53" s="1136"/>
    </row>
    <row r="54" spans="1:73" ht="51" hidden="1" customHeight="1">
      <c r="D54" s="1374" t="e">
        <f>#REF!</f>
        <v>#REF!</v>
      </c>
      <c r="E54" s="1375" t="e">
        <f>#REF!</f>
        <v>#REF!</v>
      </c>
      <c r="F54" s="1374" t="e">
        <f>#REF!</f>
        <v>#REF!</v>
      </c>
      <c r="G54" s="1376" t="e">
        <f>E54/F54</f>
        <v>#REF!</v>
      </c>
      <c r="H54" s="1377" t="e">
        <f>'8.2 - VENT_DUCT TIGHTNESS'!#REF!/'8.2 - VENT_DUCT TIGHTNESS'!F54</f>
        <v>#REF!</v>
      </c>
      <c r="I54" s="1378" t="e">
        <f>H54/G54</f>
        <v>#REF!</v>
      </c>
      <c r="J54" s="898"/>
      <c r="K54" s="1136"/>
    </row>
    <row r="55" spans="1:73" ht="52.5" hidden="1" customHeight="1">
      <c r="D55" s="1374" t="e">
        <f>#REF!</f>
        <v>#REF!</v>
      </c>
      <c r="E55" s="1375" t="e">
        <f>#REF!</f>
        <v>#REF!</v>
      </c>
      <c r="F55" s="1374" t="e">
        <f>#REF!</f>
        <v>#REF!</v>
      </c>
      <c r="G55" s="1376" t="e">
        <f>E55/F55</f>
        <v>#REF!</v>
      </c>
      <c r="H55" s="1377" t="e">
        <f>'8.2 - VENT_DUCT TIGHTNESS'!#REF!/'8.2 - VENT_DUCT TIGHTNESS'!F55</f>
        <v>#REF!</v>
      </c>
      <c r="I55" s="1378" t="e">
        <f>H55/G55</f>
        <v>#REF!</v>
      </c>
      <c r="J55" s="898"/>
      <c r="K55" s="1136"/>
    </row>
    <row r="56" spans="1:73" ht="43.5" hidden="1" customHeight="1">
      <c r="D56" s="1374" t="e">
        <f>#REF!</f>
        <v>#REF!</v>
      </c>
      <c r="E56" s="1375" t="e">
        <f>#REF!</f>
        <v>#REF!</v>
      </c>
      <c r="F56" s="1374" t="e">
        <f>#REF!</f>
        <v>#REF!</v>
      </c>
      <c r="G56" s="1376" t="e">
        <f>E56/F56</f>
        <v>#REF!</v>
      </c>
      <c r="H56" s="1377" t="e">
        <f>'8.2 - VENT_DUCT TIGHTNESS'!#REF!/'8.2 - VENT_DUCT TIGHTNESS'!F56</f>
        <v>#REF!</v>
      </c>
      <c r="I56" s="1378" t="e">
        <f>H56/G56</f>
        <v>#REF!</v>
      </c>
      <c r="J56" s="898"/>
      <c r="K56" s="1123"/>
    </row>
    <row r="57" spans="1:73" ht="41.25" hidden="1" customHeight="1">
      <c r="K57" s="1123"/>
    </row>
    <row r="58" spans="1:73" hidden="1">
      <c r="K58" s="1123"/>
    </row>
    <row r="59" spans="1:73" hidden="1">
      <c r="G59" s="1121"/>
      <c r="K59" s="1379"/>
    </row>
    <row r="60" spans="1:73" hidden="1"/>
    <row r="61" spans="1:73">
      <c r="B61" s="1119" t="s">
        <v>3962</v>
      </c>
    </row>
    <row r="62" spans="1:73" ht="48">
      <c r="B62" s="1114" t="s">
        <v>3825</v>
      </c>
      <c r="C62" s="1114" t="s">
        <v>3839</v>
      </c>
      <c r="D62" s="1114" t="s">
        <v>3655</v>
      </c>
      <c r="E62" s="1114" t="s">
        <v>3840</v>
      </c>
      <c r="F62" s="1114" t="s">
        <v>3657</v>
      </c>
      <c r="G62" s="1114" t="s">
        <v>3841</v>
      </c>
      <c r="H62" s="2422" t="s">
        <v>3658</v>
      </c>
      <c r="I62" s="2422"/>
      <c r="J62" s="2422"/>
    </row>
    <row r="63" spans="1:73" ht="19.5" customHeight="1">
      <c r="B63" s="1115"/>
      <c r="C63" s="1115"/>
      <c r="D63" s="1351"/>
      <c r="E63" s="1116"/>
      <c r="F63" s="1394" t="e">
        <f>E63/D63</f>
        <v>#DIV/0!</v>
      </c>
      <c r="G63" s="1395" t="e">
        <f>E63/C63</f>
        <v>#DIV/0!</v>
      </c>
      <c r="H63" s="2639"/>
      <c r="I63" s="2639"/>
      <c r="J63" s="2639"/>
    </row>
    <row r="64" spans="1:73" s="1123" customFormat="1" ht="19.5" customHeight="1">
      <c r="A64" s="1226"/>
      <c r="B64" s="1115"/>
      <c r="C64" s="1115"/>
      <c r="D64" s="1351"/>
      <c r="E64" s="1116"/>
      <c r="F64" s="1394" t="e">
        <f t="shared" ref="F64:F71" si="0">E64/D64</f>
        <v>#DIV/0!</v>
      </c>
      <c r="G64" s="1395" t="e">
        <f t="shared" ref="G64:G71" si="1">E64/C64</f>
        <v>#DIV/0!</v>
      </c>
      <c r="H64" s="2639"/>
      <c r="I64" s="2639"/>
      <c r="J64" s="2639"/>
      <c r="K64" s="1280"/>
      <c r="L64" s="1338"/>
      <c r="M64" s="1226"/>
      <c r="N64" s="1226"/>
      <c r="O64" s="1226"/>
      <c r="P64" s="1226"/>
      <c r="Q64" s="1226"/>
      <c r="R64" s="1226"/>
      <c r="S64" s="1226"/>
      <c r="T64" s="1226"/>
      <c r="U64" s="1226"/>
      <c r="V64" s="1226"/>
      <c r="W64" s="1226"/>
      <c r="X64" s="1226"/>
      <c r="Y64" s="1226"/>
      <c r="Z64" s="1226"/>
      <c r="AA64" s="1226"/>
      <c r="AB64" s="1226"/>
      <c r="AC64" s="1226"/>
      <c r="AD64" s="1226"/>
      <c r="AE64" s="1226"/>
      <c r="AF64" s="1226"/>
      <c r="AG64" s="1226"/>
      <c r="AH64" s="1226"/>
      <c r="AI64" s="1226"/>
      <c r="AJ64" s="1226"/>
      <c r="AK64" s="1226"/>
      <c r="AL64" s="1226"/>
      <c r="AM64" s="1226"/>
      <c r="AN64" s="1226"/>
      <c r="AO64" s="1226"/>
      <c r="AP64" s="1226"/>
      <c r="AQ64" s="1226"/>
      <c r="AR64" s="1226"/>
      <c r="AS64" s="1226"/>
      <c r="AT64" s="1226"/>
      <c r="AU64" s="1226"/>
      <c r="AV64" s="1226"/>
      <c r="AW64" s="1226"/>
      <c r="AX64" s="1226"/>
      <c r="AY64" s="1226"/>
      <c r="AZ64" s="1226"/>
      <c r="BA64" s="1226"/>
      <c r="BB64" s="1226"/>
      <c r="BC64" s="1226"/>
      <c r="BD64" s="1226"/>
      <c r="BE64" s="1226"/>
      <c r="BF64" s="1226"/>
      <c r="BG64" s="1226"/>
      <c r="BH64" s="1226"/>
      <c r="BI64" s="1226"/>
      <c r="BJ64" s="1226"/>
      <c r="BK64" s="1226"/>
      <c r="BL64" s="1226"/>
      <c r="BM64" s="1226"/>
      <c r="BN64" s="1226"/>
      <c r="BO64" s="1226"/>
      <c r="BP64" s="1226"/>
      <c r="BQ64" s="1226"/>
      <c r="BR64" s="1226"/>
      <c r="BS64" s="1226"/>
      <c r="BT64" s="1226"/>
      <c r="BU64" s="1226"/>
    </row>
    <row r="65" spans="1:73" s="1123" customFormat="1" ht="19.5" customHeight="1">
      <c r="A65" s="1226"/>
      <c r="B65" s="1115"/>
      <c r="C65" s="1115"/>
      <c r="D65" s="1351"/>
      <c r="E65" s="1116"/>
      <c r="F65" s="1394" t="e">
        <f t="shared" si="0"/>
        <v>#DIV/0!</v>
      </c>
      <c r="G65" s="1395" t="e">
        <f t="shared" si="1"/>
        <v>#DIV/0!</v>
      </c>
      <c r="H65" s="2639"/>
      <c r="I65" s="2639"/>
      <c r="J65" s="2639"/>
      <c r="K65" s="1280"/>
      <c r="L65" s="1338"/>
      <c r="M65" s="1226"/>
      <c r="N65" s="1226"/>
      <c r="O65" s="1226"/>
      <c r="P65" s="1226"/>
      <c r="Q65" s="1226"/>
      <c r="R65" s="1226"/>
      <c r="S65" s="1226"/>
      <c r="T65" s="1226"/>
      <c r="U65" s="1226"/>
      <c r="V65" s="1226"/>
      <c r="W65" s="1226"/>
      <c r="X65" s="1226"/>
      <c r="Y65" s="1226"/>
      <c r="Z65" s="1226"/>
      <c r="AA65" s="1226"/>
      <c r="AB65" s="1226"/>
      <c r="AC65" s="1226"/>
      <c r="AD65" s="1226"/>
      <c r="AE65" s="1226"/>
      <c r="AF65" s="1226"/>
      <c r="AG65" s="1226"/>
      <c r="AH65" s="1226"/>
      <c r="AI65" s="1226"/>
      <c r="AJ65" s="1226"/>
      <c r="AK65" s="1226"/>
      <c r="AL65" s="1226"/>
      <c r="AM65" s="1226"/>
      <c r="AN65" s="1226"/>
      <c r="AO65" s="1226"/>
      <c r="AP65" s="1226"/>
      <c r="AQ65" s="1226"/>
      <c r="AR65" s="1226"/>
      <c r="AS65" s="1226"/>
      <c r="AT65" s="1226"/>
      <c r="AU65" s="1226"/>
      <c r="AV65" s="1226"/>
      <c r="AW65" s="1226"/>
      <c r="AX65" s="1226"/>
      <c r="AY65" s="1226"/>
      <c r="AZ65" s="1226"/>
      <c r="BA65" s="1226"/>
      <c r="BB65" s="1226"/>
      <c r="BC65" s="1226"/>
      <c r="BD65" s="1226"/>
      <c r="BE65" s="1226"/>
      <c r="BF65" s="1226"/>
      <c r="BG65" s="1226"/>
      <c r="BH65" s="1226"/>
      <c r="BI65" s="1226"/>
      <c r="BJ65" s="1226"/>
      <c r="BK65" s="1226"/>
      <c r="BL65" s="1226"/>
      <c r="BM65" s="1226"/>
      <c r="BN65" s="1226"/>
      <c r="BO65" s="1226"/>
      <c r="BP65" s="1226"/>
      <c r="BQ65" s="1226"/>
      <c r="BR65" s="1226"/>
      <c r="BS65" s="1226"/>
      <c r="BT65" s="1226"/>
      <c r="BU65" s="1226"/>
    </row>
    <row r="66" spans="1:73" s="1123" customFormat="1" ht="19.5" customHeight="1">
      <c r="A66" s="1226"/>
      <c r="B66" s="1115"/>
      <c r="C66" s="1115"/>
      <c r="D66" s="1351"/>
      <c r="E66" s="1116"/>
      <c r="F66" s="1394" t="e">
        <f t="shared" si="0"/>
        <v>#DIV/0!</v>
      </c>
      <c r="G66" s="1395" t="e">
        <f t="shared" si="1"/>
        <v>#DIV/0!</v>
      </c>
      <c r="H66" s="2639"/>
      <c r="I66" s="2639"/>
      <c r="J66" s="2639"/>
      <c r="K66" s="1280"/>
      <c r="L66" s="1338"/>
      <c r="M66" s="1226"/>
      <c r="N66" s="1226"/>
      <c r="O66" s="1226"/>
      <c r="P66" s="1226"/>
      <c r="Q66" s="1226"/>
      <c r="R66" s="1226"/>
      <c r="S66" s="1226"/>
      <c r="T66" s="1226"/>
      <c r="U66" s="1226"/>
      <c r="V66" s="1226"/>
      <c r="W66" s="1226"/>
      <c r="X66" s="1226"/>
      <c r="Y66" s="1226"/>
      <c r="Z66" s="1226"/>
      <c r="AA66" s="1226"/>
      <c r="AB66" s="1226"/>
      <c r="AC66" s="1226"/>
      <c r="AD66" s="1226"/>
      <c r="AE66" s="1226"/>
      <c r="AF66" s="1226"/>
      <c r="AG66" s="1226"/>
      <c r="AH66" s="1226"/>
      <c r="AI66" s="1226"/>
      <c r="AJ66" s="1226"/>
      <c r="AK66" s="1226"/>
      <c r="AL66" s="1226"/>
      <c r="AM66" s="1226"/>
      <c r="AN66" s="1226"/>
      <c r="AO66" s="1226"/>
      <c r="AP66" s="1226"/>
      <c r="AQ66" s="1226"/>
      <c r="AR66" s="1226"/>
      <c r="AS66" s="1226"/>
      <c r="AT66" s="1226"/>
      <c r="AU66" s="1226"/>
      <c r="AV66" s="1226"/>
      <c r="AW66" s="1226"/>
      <c r="AX66" s="1226"/>
      <c r="AY66" s="1226"/>
      <c r="AZ66" s="1226"/>
      <c r="BA66" s="1226"/>
      <c r="BB66" s="1226"/>
      <c r="BC66" s="1226"/>
      <c r="BD66" s="1226"/>
      <c r="BE66" s="1226"/>
      <c r="BF66" s="1226"/>
      <c r="BG66" s="1226"/>
      <c r="BH66" s="1226"/>
      <c r="BI66" s="1226"/>
      <c r="BJ66" s="1226"/>
      <c r="BK66" s="1226"/>
      <c r="BL66" s="1226"/>
      <c r="BM66" s="1226"/>
      <c r="BN66" s="1226"/>
      <c r="BO66" s="1226"/>
      <c r="BP66" s="1226"/>
      <c r="BQ66" s="1226"/>
      <c r="BR66" s="1226"/>
      <c r="BS66" s="1226"/>
      <c r="BT66" s="1226"/>
      <c r="BU66" s="1226"/>
    </row>
    <row r="67" spans="1:73" s="1123" customFormat="1" ht="19.5" customHeight="1">
      <c r="A67" s="1226"/>
      <c r="B67" s="1352"/>
      <c r="C67" s="1115"/>
      <c r="D67" s="1351"/>
      <c r="E67" s="1116"/>
      <c r="F67" s="1394" t="e">
        <f t="shared" si="0"/>
        <v>#DIV/0!</v>
      </c>
      <c r="G67" s="1395" t="e">
        <f t="shared" si="1"/>
        <v>#DIV/0!</v>
      </c>
      <c r="H67" s="2639"/>
      <c r="I67" s="2639"/>
      <c r="J67" s="2639"/>
      <c r="K67" s="1280"/>
      <c r="L67" s="1338"/>
      <c r="M67" s="1226"/>
      <c r="N67" s="1226"/>
      <c r="O67" s="1226"/>
      <c r="P67" s="1226"/>
      <c r="Q67" s="1226"/>
      <c r="R67" s="1226"/>
      <c r="S67" s="1226"/>
      <c r="T67" s="1226"/>
      <c r="U67" s="1226"/>
      <c r="V67" s="1226"/>
      <c r="W67" s="1226"/>
      <c r="X67" s="1226"/>
      <c r="Y67" s="1226"/>
      <c r="Z67" s="1226"/>
      <c r="AA67" s="1226"/>
      <c r="AB67" s="1226"/>
      <c r="AC67" s="1226"/>
      <c r="AD67" s="1226"/>
      <c r="AE67" s="1226"/>
      <c r="AF67" s="1226"/>
      <c r="AG67" s="1226"/>
      <c r="AH67" s="1226"/>
      <c r="AI67" s="1226"/>
      <c r="AJ67" s="1226"/>
      <c r="AK67" s="1226"/>
      <c r="AL67" s="1226"/>
      <c r="AM67" s="1226"/>
      <c r="AN67" s="1226"/>
      <c r="AO67" s="1226"/>
      <c r="AP67" s="1226"/>
      <c r="AQ67" s="1226"/>
      <c r="AR67" s="1226"/>
      <c r="AS67" s="1226"/>
      <c r="AT67" s="1226"/>
      <c r="AU67" s="1226"/>
      <c r="AV67" s="1226"/>
      <c r="AW67" s="1226"/>
      <c r="AX67" s="1226"/>
      <c r="AY67" s="1226"/>
      <c r="AZ67" s="1226"/>
      <c r="BA67" s="1226"/>
      <c r="BB67" s="1226"/>
      <c r="BC67" s="1226"/>
      <c r="BD67" s="1226"/>
      <c r="BE67" s="1226"/>
      <c r="BF67" s="1226"/>
      <c r="BG67" s="1226"/>
      <c r="BH67" s="1226"/>
      <c r="BI67" s="1226"/>
      <c r="BJ67" s="1226"/>
      <c r="BK67" s="1226"/>
      <c r="BL67" s="1226"/>
      <c r="BM67" s="1226"/>
      <c r="BN67" s="1226"/>
      <c r="BO67" s="1226"/>
      <c r="BP67" s="1226"/>
      <c r="BQ67" s="1226"/>
      <c r="BR67" s="1226"/>
      <c r="BS67" s="1226"/>
      <c r="BT67" s="1226"/>
      <c r="BU67" s="1226"/>
    </row>
    <row r="68" spans="1:73" s="1289" customFormat="1" ht="19.5" customHeight="1">
      <c r="A68" s="1198"/>
      <c r="B68" s="1352"/>
      <c r="C68" s="1115"/>
      <c r="D68" s="1351"/>
      <c r="E68" s="1116"/>
      <c r="F68" s="1394" t="e">
        <f t="shared" si="0"/>
        <v>#DIV/0!</v>
      </c>
      <c r="G68" s="1395" t="e">
        <f t="shared" si="1"/>
        <v>#DIV/0!</v>
      </c>
      <c r="H68" s="2639"/>
      <c r="I68" s="2639"/>
      <c r="J68" s="2639"/>
      <c r="K68" s="1198"/>
      <c r="L68" s="1340"/>
      <c r="M68" s="1198"/>
      <c r="N68" s="1198"/>
      <c r="O68" s="1198"/>
      <c r="P68" s="1198"/>
      <c r="Q68" s="1198"/>
      <c r="R68" s="1198"/>
      <c r="S68" s="1198"/>
      <c r="T68" s="1198"/>
      <c r="U68" s="1198"/>
      <c r="V68" s="1198"/>
      <c r="W68" s="1198"/>
      <c r="X68" s="1198"/>
      <c r="Y68" s="1198"/>
      <c r="Z68" s="1198"/>
      <c r="AA68" s="1198"/>
      <c r="AB68" s="1198"/>
      <c r="AC68" s="1198"/>
      <c r="AD68" s="1198"/>
      <c r="AE68" s="1198"/>
      <c r="AF68" s="1198"/>
      <c r="AG68" s="1198"/>
      <c r="AH68" s="1198"/>
      <c r="AI68" s="1198"/>
      <c r="AJ68" s="1198"/>
      <c r="AK68" s="1198"/>
      <c r="AL68" s="1198"/>
      <c r="AM68" s="1198"/>
      <c r="AN68" s="1198"/>
      <c r="AO68" s="1198"/>
      <c r="AP68" s="1198"/>
      <c r="AQ68" s="1198"/>
      <c r="AR68" s="1198"/>
      <c r="AS68" s="1198"/>
      <c r="AT68" s="1198"/>
      <c r="AU68" s="1198"/>
      <c r="AV68" s="1198"/>
      <c r="AW68" s="1198"/>
      <c r="AX68" s="1198"/>
      <c r="AY68" s="1198"/>
      <c r="AZ68" s="1198"/>
      <c r="BA68" s="1198"/>
      <c r="BB68" s="1198"/>
      <c r="BC68" s="1198"/>
      <c r="BD68" s="1198"/>
      <c r="BE68" s="1198"/>
      <c r="BF68" s="1198"/>
      <c r="BG68" s="1198"/>
      <c r="BH68" s="1198"/>
      <c r="BI68" s="1198"/>
      <c r="BJ68" s="1198"/>
      <c r="BK68" s="1198"/>
      <c r="BL68" s="1198"/>
      <c r="BM68" s="1198"/>
      <c r="BN68" s="1198"/>
      <c r="BO68" s="1198"/>
      <c r="BP68" s="1198"/>
      <c r="BQ68" s="1198"/>
      <c r="BR68" s="1198"/>
      <c r="BS68" s="1198"/>
      <c r="BT68" s="1198"/>
      <c r="BU68" s="1198"/>
    </row>
    <row r="69" spans="1:73" ht="19.5" customHeight="1">
      <c r="A69" s="1129"/>
      <c r="B69" s="1352"/>
      <c r="C69" s="1115"/>
      <c r="D69" s="1351"/>
      <c r="E69" s="1116"/>
      <c r="F69" s="1394" t="e">
        <f t="shared" si="0"/>
        <v>#DIV/0!</v>
      </c>
      <c r="G69" s="1395" t="e">
        <f t="shared" si="1"/>
        <v>#DIV/0!</v>
      </c>
      <c r="H69" s="2639"/>
      <c r="I69" s="2639"/>
      <c r="J69" s="2639"/>
      <c r="K69" s="1129"/>
      <c r="L69" s="1340"/>
      <c r="M69" s="1129"/>
      <c r="N69" s="1129"/>
      <c r="O69" s="1129"/>
      <c r="P69" s="1129"/>
      <c r="Q69" s="1129"/>
      <c r="R69" s="1129"/>
      <c r="S69" s="1129"/>
      <c r="T69" s="1129"/>
      <c r="U69" s="1129"/>
      <c r="V69" s="1129"/>
      <c r="W69" s="1129"/>
      <c r="X69" s="1129"/>
      <c r="Y69" s="1129"/>
      <c r="Z69" s="1129"/>
      <c r="AA69" s="1129"/>
      <c r="AB69" s="1129"/>
      <c r="AC69" s="1129"/>
      <c r="AD69" s="1129"/>
      <c r="AE69" s="1129"/>
      <c r="AF69" s="1129"/>
      <c r="AG69" s="1129"/>
      <c r="AH69" s="1129"/>
      <c r="AI69" s="1129"/>
      <c r="AJ69" s="1129"/>
      <c r="AK69" s="1129"/>
      <c r="AL69" s="1129"/>
      <c r="AM69" s="1129"/>
      <c r="AN69" s="1129"/>
      <c r="AO69" s="1129"/>
      <c r="AP69" s="1129"/>
      <c r="AQ69" s="1129"/>
      <c r="AR69" s="1129"/>
      <c r="AS69" s="1129"/>
      <c r="AT69" s="1129"/>
      <c r="AU69" s="1129"/>
      <c r="AV69" s="1129"/>
      <c r="AW69" s="1129"/>
      <c r="AX69" s="1129"/>
      <c r="AY69" s="1129"/>
      <c r="AZ69" s="1129"/>
      <c r="BA69" s="1129"/>
      <c r="BB69" s="1129"/>
      <c r="BC69" s="1129"/>
      <c r="BD69" s="1129"/>
      <c r="BE69" s="1129"/>
      <c r="BF69" s="1129"/>
      <c r="BG69" s="1129"/>
      <c r="BH69" s="1129"/>
      <c r="BI69" s="1129"/>
      <c r="BJ69" s="1129"/>
      <c r="BK69" s="1129"/>
      <c r="BL69" s="1129"/>
      <c r="BM69" s="1129"/>
      <c r="BN69" s="1129"/>
      <c r="BO69" s="1129"/>
      <c r="BP69" s="1129"/>
      <c r="BQ69" s="1129"/>
      <c r="BR69" s="1129"/>
      <c r="BS69" s="1129"/>
      <c r="BT69" s="1129"/>
      <c r="BU69" s="1129"/>
    </row>
    <row r="70" spans="1:73" ht="19.5" customHeight="1">
      <c r="A70" s="1129"/>
      <c r="B70" s="1352"/>
      <c r="C70" s="1115"/>
      <c r="D70" s="1351"/>
      <c r="E70" s="1116"/>
      <c r="F70" s="1394" t="e">
        <f t="shared" si="0"/>
        <v>#DIV/0!</v>
      </c>
      <c r="G70" s="1395" t="e">
        <f t="shared" si="1"/>
        <v>#DIV/0!</v>
      </c>
      <c r="H70" s="2639"/>
      <c r="I70" s="2639"/>
      <c r="J70" s="2639"/>
      <c r="K70" s="1129"/>
      <c r="L70" s="1340"/>
      <c r="M70" s="1129"/>
      <c r="N70" s="1129"/>
      <c r="O70" s="1129"/>
      <c r="P70" s="1129"/>
      <c r="Q70" s="1129"/>
      <c r="R70" s="1129"/>
      <c r="S70" s="1129"/>
      <c r="T70" s="1129"/>
      <c r="U70" s="1129"/>
      <c r="V70" s="1129"/>
      <c r="W70" s="1129"/>
      <c r="X70" s="1129"/>
      <c r="Y70" s="1129"/>
      <c r="Z70" s="1129"/>
      <c r="AA70" s="1129"/>
      <c r="AB70" s="1129"/>
      <c r="AC70" s="1129"/>
      <c r="AD70" s="1129"/>
      <c r="AE70" s="1129"/>
      <c r="AF70" s="1129"/>
      <c r="AG70" s="1129"/>
      <c r="AH70" s="1129"/>
      <c r="AI70" s="1129"/>
      <c r="AJ70" s="1129"/>
      <c r="AK70" s="1129"/>
      <c r="AL70" s="1129"/>
      <c r="AM70" s="1129"/>
      <c r="AN70" s="1129"/>
      <c r="AO70" s="1129"/>
      <c r="AP70" s="1129"/>
      <c r="AQ70" s="1129"/>
      <c r="AR70" s="1129"/>
      <c r="AS70" s="1129"/>
      <c r="AT70" s="1129"/>
      <c r="AU70" s="1129"/>
      <c r="AV70" s="1129"/>
      <c r="AW70" s="1129"/>
      <c r="AX70" s="1129"/>
      <c r="AY70" s="1129"/>
      <c r="AZ70" s="1129"/>
      <c r="BA70" s="1129"/>
      <c r="BB70" s="1129"/>
      <c r="BC70" s="1129"/>
      <c r="BD70" s="1129"/>
      <c r="BE70" s="1129"/>
      <c r="BF70" s="1129"/>
      <c r="BG70" s="1129"/>
      <c r="BH70" s="1129"/>
      <c r="BI70" s="1129"/>
      <c r="BJ70" s="1129"/>
      <c r="BK70" s="1129"/>
      <c r="BL70" s="1129"/>
      <c r="BM70" s="1129"/>
      <c r="BN70" s="1129"/>
      <c r="BO70" s="1129"/>
      <c r="BP70" s="1129"/>
      <c r="BQ70" s="1129"/>
      <c r="BR70" s="1129"/>
      <c r="BS70" s="1129"/>
      <c r="BT70" s="1129"/>
      <c r="BU70" s="1129"/>
    </row>
    <row r="71" spans="1:73" ht="19.5" customHeight="1">
      <c r="A71" s="1129"/>
      <c r="B71" s="1352"/>
      <c r="C71" s="1115"/>
      <c r="D71" s="1351"/>
      <c r="E71" s="1116"/>
      <c r="F71" s="1394" t="e">
        <f t="shared" si="0"/>
        <v>#DIV/0!</v>
      </c>
      <c r="G71" s="1395" t="e">
        <f t="shared" si="1"/>
        <v>#DIV/0!</v>
      </c>
      <c r="H71" s="2639"/>
      <c r="I71" s="2639"/>
      <c r="J71" s="2639"/>
      <c r="K71" s="1129"/>
      <c r="L71" s="1340"/>
      <c r="M71" s="1129"/>
      <c r="N71" s="1129"/>
      <c r="O71" s="1129"/>
      <c r="P71" s="1129"/>
      <c r="Q71" s="1129"/>
      <c r="R71" s="1129"/>
      <c r="S71" s="1129"/>
      <c r="T71" s="1129"/>
      <c r="U71" s="1129"/>
      <c r="V71" s="1129"/>
      <c r="W71" s="1129"/>
      <c r="X71" s="1129"/>
      <c r="Y71" s="1129"/>
      <c r="Z71" s="1129"/>
      <c r="AA71" s="1129"/>
      <c r="AB71" s="1129"/>
      <c r="AC71" s="1129"/>
      <c r="AD71" s="1129"/>
      <c r="AE71" s="1129"/>
      <c r="AF71" s="1129"/>
      <c r="AG71" s="1129"/>
      <c r="AH71" s="1129"/>
      <c r="AI71" s="1129"/>
      <c r="AJ71" s="1129"/>
      <c r="AK71" s="1129"/>
      <c r="AL71" s="1129"/>
      <c r="AM71" s="1129"/>
      <c r="AN71" s="1129"/>
      <c r="AO71" s="1129"/>
      <c r="AP71" s="1129"/>
      <c r="AQ71" s="1129"/>
      <c r="AR71" s="1129"/>
      <c r="AS71" s="1129"/>
      <c r="AT71" s="1129"/>
      <c r="AU71" s="1129"/>
      <c r="AV71" s="1129"/>
      <c r="AW71" s="1129"/>
      <c r="AX71" s="1129"/>
      <c r="AY71" s="1129"/>
      <c r="AZ71" s="1129"/>
      <c r="BA71" s="1129"/>
      <c r="BB71" s="1129"/>
      <c r="BC71" s="1129"/>
      <c r="BD71" s="1129"/>
      <c r="BE71" s="1129"/>
      <c r="BF71" s="1129"/>
      <c r="BG71" s="1129"/>
      <c r="BH71" s="1129"/>
      <c r="BI71" s="1129"/>
      <c r="BJ71" s="1129"/>
      <c r="BK71" s="1129"/>
      <c r="BL71" s="1129"/>
      <c r="BM71" s="1129"/>
      <c r="BN71" s="1129"/>
      <c r="BO71" s="1129"/>
      <c r="BP71" s="1129"/>
      <c r="BQ71" s="1129"/>
      <c r="BR71" s="1129"/>
      <c r="BS71" s="1129"/>
      <c r="BT71" s="1129"/>
      <c r="BU71" s="1129"/>
    </row>
    <row r="72" spans="1:73" ht="29.25" customHeight="1">
      <c r="A72" s="1129"/>
      <c r="C72" s="1380"/>
      <c r="E72" s="1298"/>
      <c r="K72" s="1129"/>
      <c r="L72" s="1340"/>
      <c r="M72" s="1129"/>
      <c r="N72" s="1129"/>
      <c r="O72" s="1129"/>
      <c r="P72" s="1129"/>
      <c r="Q72" s="1129"/>
      <c r="R72" s="1129"/>
      <c r="S72" s="1129"/>
      <c r="T72" s="1129"/>
      <c r="U72" s="1129"/>
      <c r="V72" s="1129"/>
      <c r="W72" s="1129"/>
      <c r="X72" s="1129"/>
      <c r="Y72" s="1129"/>
      <c r="Z72" s="1129"/>
      <c r="AA72" s="1129"/>
      <c r="AB72" s="1129"/>
      <c r="AC72" s="1129"/>
      <c r="AD72" s="1129"/>
      <c r="AE72" s="1129"/>
      <c r="AF72" s="1129"/>
      <c r="AG72" s="1129"/>
      <c r="AH72" s="1129"/>
      <c r="AI72" s="1129"/>
      <c r="AJ72" s="1129"/>
      <c r="AK72" s="1129"/>
      <c r="AL72" s="1129"/>
      <c r="AM72" s="1129"/>
      <c r="AN72" s="1129"/>
      <c r="AO72" s="1129"/>
      <c r="AP72" s="1129"/>
      <c r="AQ72" s="1129"/>
      <c r="AR72" s="1129"/>
      <c r="AS72" s="1129"/>
      <c r="AT72" s="1129"/>
      <c r="AU72" s="1129"/>
      <c r="AV72" s="1129"/>
      <c r="AW72" s="1129"/>
      <c r="AX72" s="1129"/>
      <c r="AY72" s="1129"/>
      <c r="AZ72" s="1129"/>
      <c r="BA72" s="1129"/>
      <c r="BB72" s="1129"/>
      <c r="BC72" s="1129"/>
      <c r="BD72" s="1129"/>
      <c r="BE72" s="1129"/>
      <c r="BF72" s="1129"/>
      <c r="BG72" s="1129"/>
      <c r="BH72" s="1129"/>
      <c r="BI72" s="1129"/>
      <c r="BJ72" s="1129"/>
      <c r="BK72" s="1129"/>
      <c r="BL72" s="1129"/>
      <c r="BM72" s="1129"/>
      <c r="BN72" s="1129"/>
      <c r="BO72" s="1129"/>
      <c r="BP72" s="1129"/>
      <c r="BQ72" s="1129"/>
      <c r="BR72" s="1129"/>
      <c r="BS72" s="1129"/>
      <c r="BT72" s="1129"/>
      <c r="BU72" s="1129"/>
    </row>
    <row r="73" spans="1:73">
      <c r="B73" s="1119" t="s">
        <v>4227</v>
      </c>
      <c r="D73" s="1327"/>
    </row>
    <row r="74" spans="1:73">
      <c r="D74" s="1327"/>
    </row>
    <row r="75" spans="1:73">
      <c r="C75" s="2640" t="s">
        <v>3842</v>
      </c>
      <c r="D75" s="2640"/>
      <c r="E75" s="1115"/>
    </row>
    <row r="76" spans="1:73">
      <c r="C76" s="2640" t="s">
        <v>3843</v>
      </c>
      <c r="D76" s="2640"/>
      <c r="E76" s="1115"/>
    </row>
    <row r="77" spans="1:73">
      <c r="C77" s="2640" t="s">
        <v>3844</v>
      </c>
      <c r="D77" s="2640"/>
      <c r="E77" s="1115"/>
    </row>
    <row r="79" spans="1:73" ht="48">
      <c r="C79" s="1381" t="s">
        <v>3845</v>
      </c>
      <c r="D79" s="1381" t="s">
        <v>3846</v>
      </c>
      <c r="E79" s="1381" t="s">
        <v>3847</v>
      </c>
      <c r="F79" s="1381" t="s">
        <v>3848</v>
      </c>
      <c r="G79" s="1381" t="s">
        <v>3849</v>
      </c>
      <c r="H79" s="1381" t="s">
        <v>3850</v>
      </c>
      <c r="I79" s="1381" t="s">
        <v>3851</v>
      </c>
      <c r="J79" s="1382"/>
    </row>
    <row r="80" spans="1:73">
      <c r="B80" s="1298"/>
      <c r="C80" s="1353"/>
      <c r="D80" s="1353"/>
      <c r="E80" s="1353"/>
      <c r="F80" s="1396" t="str">
        <f>IF(E80=1,ABS(D80-$E$77)^0.5*41.42,IF(E80=2,ABS(D80-$E$77)^0.5*15.8,IF(E80=3,ABS(D80-$E$77)^0.5*6.33,IF(E80="O",ABS(D80-$E$77)^0.5*108.5,"Enter Plate Position"))))</f>
        <v>Enter Plate Position</v>
      </c>
      <c r="G80" s="1396" t="e">
        <f>F80*SQRT(($E$76+460)/($E$75+460))</f>
        <v>#VALUE!</v>
      </c>
      <c r="H80" s="1397" t="e">
        <f>LOG(ABS(C80-$E$77))</f>
        <v>#NUM!</v>
      </c>
      <c r="I80" s="1397" t="e">
        <f>LOG(G80)</f>
        <v>#VALUE!</v>
      </c>
      <c r="J80" s="1383"/>
    </row>
    <row r="81" spans="2:10">
      <c r="B81" s="1298"/>
      <c r="C81" s="1353"/>
      <c r="D81" s="1353"/>
      <c r="E81" s="1353"/>
      <c r="F81" s="1396" t="str">
        <f>IF(E81=1,ABS(D81-$E$77)^0.5*41.42,IF(E81=2,ABS(D81-$E$77)^0.5*15.8,IF(E81=3,ABS(D81-$E$77)^0.5*6.33,IF(E81="O",ABS(D81-$E$77)^0.5*108.5,"Enter Plate Position"))))</f>
        <v>Enter Plate Position</v>
      </c>
      <c r="G81" s="1396" t="e">
        <f>F81*SQRT(($E$76+460)/($E$75+460))</f>
        <v>#VALUE!</v>
      </c>
      <c r="H81" s="1397" t="e">
        <f>LOG(ABS(C81-$E$77))</f>
        <v>#NUM!</v>
      </c>
      <c r="I81" s="1397" t="e">
        <f>LOG(G81)</f>
        <v>#VALUE!</v>
      </c>
      <c r="J81" s="1383"/>
    </row>
    <row r="82" spans="2:10">
      <c r="B82" s="1298"/>
      <c r="C82" s="1353"/>
      <c r="D82" s="1353"/>
      <c r="E82" s="1353"/>
      <c r="F82" s="1396" t="str">
        <f>IF(E82=1,ABS(D82-$E$77)^0.5*41.42,IF(E82=2,ABS(D82-$E$77)^0.5*15.8,IF(E82=3,ABS(D82-$E$77)^0.5*6.33,IF(E82="O",ABS(D82-$E$77)^0.5*108.5,"Enter Plate Position"))))</f>
        <v>Enter Plate Position</v>
      </c>
      <c r="G82" s="1396" t="e">
        <f>F82*SQRT(($E$76+460)/($E$75+460))</f>
        <v>#VALUE!</v>
      </c>
      <c r="H82" s="1397" t="e">
        <f>LOG(ABS(C82-$E$77))</f>
        <v>#NUM!</v>
      </c>
      <c r="I82" s="1397" t="e">
        <f>LOG(G82)</f>
        <v>#VALUE!</v>
      </c>
      <c r="J82" s="1383"/>
    </row>
    <row r="83" spans="2:10">
      <c r="B83" s="1298"/>
      <c r="C83" s="1353"/>
      <c r="D83" s="1353"/>
      <c r="E83" s="1353"/>
      <c r="F83" s="1396" t="str">
        <f>IF(E83=1,ABS(D83-$E$77)^0.5*41.42,IF(E83=2,ABS(D83-$E$77)^0.5*15.8,IF(E83=3,ABS(D83-$E$77)^0.5*6.33,IF(E83="O",ABS(D83-$E$77)^0.5*108.5,"Enter Plate Position"))))</f>
        <v>Enter Plate Position</v>
      </c>
      <c r="G83" s="1396" t="e">
        <f>F83*SQRT(($E$76+460)/($E$75+460))</f>
        <v>#VALUE!</v>
      </c>
      <c r="H83" s="1397" t="e">
        <f>LOG(ABS(C83-$E$77))</f>
        <v>#NUM!</v>
      </c>
      <c r="I83" s="1397" t="e">
        <f>LOG(G83)</f>
        <v>#VALUE!</v>
      </c>
      <c r="J83" s="1383"/>
    </row>
    <row r="84" spans="2:10">
      <c r="B84" s="1298"/>
      <c r="C84" s="1353"/>
      <c r="D84" s="1353"/>
      <c r="E84" s="1353"/>
      <c r="F84" s="1396" t="str">
        <f>IF(E84=1,ABS(D84-$E$77)^0.5*41.42,IF(E84=2,ABS(D84-$E$77)^0.5*15.8,IF(E84=3,ABS(D84-$E$77)^0.5*6.33,IF(E84="O",ABS(D84-$E$77)^0.5*108.5,"Enter Plate Position"))))</f>
        <v>Enter Plate Position</v>
      </c>
      <c r="G84" s="1396" t="e">
        <f>F84*SQRT(($E$76+460)/($E$75+460))</f>
        <v>#VALUE!</v>
      </c>
      <c r="H84" s="1397" t="e">
        <f>LOG(ABS(C84-$E$77))</f>
        <v>#NUM!</v>
      </c>
      <c r="I84" s="1397" t="e">
        <f>LOG(G84)</f>
        <v>#VALUE!</v>
      </c>
      <c r="J84" s="1383"/>
    </row>
    <row r="85" spans="2:10">
      <c r="H85" s="1309"/>
    </row>
    <row r="89" spans="2:10">
      <c r="C89" s="1398" t="s">
        <v>3852</v>
      </c>
      <c r="D89" s="1356" t="e">
        <f>INDEX(LINEST(I80:I84,H80:H84),1)</f>
        <v>#VALUE!</v>
      </c>
    </row>
    <row r="90" spans="2:10">
      <c r="C90" s="1399" t="s">
        <v>3853</v>
      </c>
      <c r="D90" s="1400" t="e">
        <f>INDEX(LINEST(I80:I84,H80:H84),2)</f>
        <v>#VALUE!</v>
      </c>
    </row>
    <row r="91" spans="2:10">
      <c r="C91" s="1401"/>
      <c r="D91" s="1402"/>
    </row>
    <row r="92" spans="2:10">
      <c r="C92" s="1403" t="s">
        <v>3854</v>
      </c>
      <c r="D92" s="1404" t="e">
        <f>10^D90</f>
        <v>#VALUE!</v>
      </c>
    </row>
    <row r="93" spans="2:10">
      <c r="C93" s="1398" t="s">
        <v>3855</v>
      </c>
      <c r="D93" s="1356" t="e">
        <f>D89</f>
        <v>#VALUE!</v>
      </c>
    </row>
    <row r="94" spans="2:10">
      <c r="C94" s="1399" t="s">
        <v>3856</v>
      </c>
      <c r="D94" s="1400" t="e">
        <f>INDEX(LINEST(I80:I84,H80:H84,TRUE,TRUE),3)</f>
        <v>#VALUE!</v>
      </c>
    </row>
    <row r="95" spans="2:10">
      <c r="C95" s="1401"/>
      <c r="D95" s="1402"/>
      <c r="E95" s="1327"/>
      <c r="J95" s="1327"/>
    </row>
    <row r="96" spans="2:10">
      <c r="C96" s="1403" t="s">
        <v>3857</v>
      </c>
      <c r="D96" s="1405"/>
    </row>
    <row r="97" spans="3:16" ht="13.5">
      <c r="C97" s="1399" t="s">
        <v>4228</v>
      </c>
      <c r="D97" s="1406" t="e">
        <f>D92*50^D93</f>
        <v>#VALUE!</v>
      </c>
    </row>
    <row r="98" spans="3:16">
      <c r="C98" s="1401"/>
      <c r="D98" s="1402"/>
      <c r="G98" s="1384"/>
      <c r="H98" s="1385"/>
    </row>
    <row r="99" spans="3:16" ht="24.75" customHeight="1">
      <c r="G99" s="1384"/>
      <c r="H99" s="1385"/>
    </row>
    <row r="101" spans="3:16">
      <c r="G101" s="1384"/>
    </row>
    <row r="102" spans="3:16">
      <c r="G102" s="1386"/>
      <c r="H102" s="1387"/>
      <c r="I102" s="1236"/>
      <c r="J102" s="1236"/>
    </row>
    <row r="103" spans="3:16">
      <c r="G103" s="1386"/>
      <c r="H103" s="1388"/>
      <c r="I103" s="1236"/>
      <c r="J103" s="1236"/>
    </row>
    <row r="104" spans="3:16">
      <c r="G104" s="1386"/>
      <c r="H104" s="1389"/>
      <c r="I104" s="1236"/>
      <c r="J104" s="1236"/>
    </row>
    <row r="105" spans="3:16">
      <c r="G105" s="1390"/>
      <c r="H105" s="1391"/>
      <c r="I105" s="1236"/>
      <c r="J105" s="1236"/>
    </row>
    <row r="106" spans="3:16">
      <c r="G106" s="1390"/>
      <c r="H106" s="1391"/>
      <c r="I106" s="1236"/>
      <c r="J106" s="1236"/>
    </row>
    <row r="112" spans="3:16">
      <c r="N112" s="1119"/>
      <c r="O112" s="1119"/>
      <c r="P112" s="1119"/>
    </row>
    <row r="113" spans="14:16">
      <c r="N113" s="1119"/>
      <c r="O113" s="1119"/>
      <c r="P113" s="1119"/>
    </row>
    <row r="114" spans="14:16">
      <c r="N114" s="1119" t="s">
        <v>1493</v>
      </c>
      <c r="O114" s="1119"/>
      <c r="P114" s="1119" t="s">
        <v>3858</v>
      </c>
    </row>
    <row r="115" spans="14:16">
      <c r="N115" s="1119" t="s">
        <v>1494</v>
      </c>
      <c r="O115" s="1119"/>
      <c r="P115" s="1119" t="s">
        <v>3859</v>
      </c>
    </row>
    <row r="116" spans="14:16">
      <c r="N116" s="1119" t="s">
        <v>2677</v>
      </c>
      <c r="O116" s="1119"/>
      <c r="P116" s="1119"/>
    </row>
    <row r="117" spans="14:16">
      <c r="N117" s="1119"/>
      <c r="O117" s="1119"/>
      <c r="P117" s="1119"/>
    </row>
  </sheetData>
  <sheetProtection formatCells="0" formatColumns="0" formatRows="0" insertColumns="0" insertRows="0"/>
  <mergeCells count="50">
    <mergeCell ref="H1:I1"/>
    <mergeCell ref="H2:I2"/>
    <mergeCell ref="H3:I3"/>
    <mergeCell ref="H4:I4"/>
    <mergeCell ref="B7:J7"/>
    <mergeCell ref="B6:J6"/>
    <mergeCell ref="B23:J23"/>
    <mergeCell ref="B29:J29"/>
    <mergeCell ref="B30:J30"/>
    <mergeCell ref="B31:J31"/>
    <mergeCell ref="B32:J32"/>
    <mergeCell ref="B24:F24"/>
    <mergeCell ref="B25:F25"/>
    <mergeCell ref="G42:G43"/>
    <mergeCell ref="H42:H43"/>
    <mergeCell ref="B28:J28"/>
    <mergeCell ref="B33:J33"/>
    <mergeCell ref="B34:J34"/>
    <mergeCell ref="B37:J37"/>
    <mergeCell ref="D42:F42"/>
    <mergeCell ref="D43:F43"/>
    <mergeCell ref="B42:C43"/>
    <mergeCell ref="B41:C41"/>
    <mergeCell ref="B35:J35"/>
    <mergeCell ref="B36:J36"/>
    <mergeCell ref="B38:J38"/>
    <mergeCell ref="B39:J39"/>
    <mergeCell ref="D41:F41"/>
    <mergeCell ref="H64:J64"/>
    <mergeCell ref="B44:H44"/>
    <mergeCell ref="B45:H45"/>
    <mergeCell ref="B46:H46"/>
    <mergeCell ref="B47:H47"/>
    <mergeCell ref="B48:H48"/>
    <mergeCell ref="B49:H49"/>
    <mergeCell ref="B50:H50"/>
    <mergeCell ref="G51:H51"/>
    <mergeCell ref="I51:J51"/>
    <mergeCell ref="H62:J62"/>
    <mergeCell ref="H63:J63"/>
    <mergeCell ref="H71:J71"/>
    <mergeCell ref="C75:D75"/>
    <mergeCell ref="C76:D76"/>
    <mergeCell ref="C77:D77"/>
    <mergeCell ref="H65:J65"/>
    <mergeCell ref="H66:J66"/>
    <mergeCell ref="H67:J67"/>
    <mergeCell ref="H68:J68"/>
    <mergeCell ref="H69:J69"/>
    <mergeCell ref="H70:J70"/>
  </mergeCells>
  <conditionalFormatting sqref="G63:G71">
    <cfRule type="cellIs" dxfId="0" priority="1" stopIfTrue="1" operator="greaterThan">
      <formula>10</formula>
    </cfRule>
  </conditionalFormatting>
  <dataValidations count="1">
    <dataValidation type="list" allowBlank="1" showInputMessage="1" showErrorMessage="1" sqref="JD65575 JD42 SZ65575 ACV65575 AMR65575 AWN65575 BGJ65575 BQF65575 CAB65575 CJX65575 CTT65575 DDP65575 DNL65575 DXH65575 EHD65575 EQZ65575 FAV65575 FKR65575 FUN65575 GEJ65575 GOF65575 GYB65575 HHX65575 HRT65575 IBP65575 ILL65575 IVH65575 JFD65575 JOZ65575 JYV65575 KIR65575 KSN65575 LCJ65575 LMF65575 LWB65575 MFX65575 MPT65575 MZP65575 NJL65575 NTH65575 ODD65575 OMZ65575 OWV65575 PGR65575 PQN65575 QAJ65575 QKF65575 QUB65575 RDX65575 RNT65575 RXP65575 SHL65575 SRH65575 TBD65575 TKZ65575 TUV65575 UER65575 UON65575 UYJ65575 VIF65575 VSB65575 WBX65575 WLT65575 WVP65575 JD131111 SZ131111 ACV131111 AMR131111 AWN131111 BGJ131111 BQF131111 CAB131111 CJX131111 CTT131111 DDP131111 DNL131111 DXH131111 EHD131111 EQZ131111 FAV131111 FKR131111 FUN131111 GEJ131111 GOF131111 GYB131111 HHX131111 HRT131111 IBP131111 ILL131111 IVH131111 JFD131111 JOZ131111 JYV131111 KIR131111 KSN131111 LCJ131111 LMF131111 LWB131111 MFX131111 MPT131111 MZP131111 NJL131111 NTH131111 ODD131111 OMZ131111 OWV131111 PGR131111 PQN131111 QAJ131111 QKF131111 QUB131111 RDX131111 RNT131111 RXP131111 SHL131111 SRH131111 TBD131111 TKZ131111 TUV131111 UER131111 UON131111 UYJ131111 VIF131111 VSB131111 WBX131111 WLT131111 WVP131111 JD196647 SZ196647 ACV196647 AMR196647 AWN196647 BGJ196647 BQF196647 CAB196647 CJX196647 CTT196647 DDP196647 DNL196647 DXH196647 EHD196647 EQZ196647 FAV196647 FKR196647 FUN196647 GEJ196647 GOF196647 GYB196647 HHX196647 HRT196647 IBP196647 ILL196647 IVH196647 JFD196647 JOZ196647 JYV196647 KIR196647 KSN196647 LCJ196647 LMF196647 LWB196647 MFX196647 MPT196647 MZP196647 NJL196647 NTH196647 ODD196647 OMZ196647 OWV196647 PGR196647 PQN196647 QAJ196647 QKF196647 QUB196647 RDX196647 RNT196647 RXP196647 SHL196647 SRH196647 TBD196647 TKZ196647 TUV196647 UER196647 UON196647 UYJ196647 VIF196647 VSB196647 WBX196647 WLT196647 WVP196647 JD262183 SZ262183 ACV262183 AMR262183 AWN262183 BGJ262183 BQF262183 CAB262183 CJX262183 CTT262183 DDP262183 DNL262183 DXH262183 EHD262183 EQZ262183 FAV262183 FKR262183 FUN262183 GEJ262183 GOF262183 GYB262183 HHX262183 HRT262183 IBP262183 ILL262183 IVH262183 JFD262183 JOZ262183 JYV262183 KIR262183 KSN262183 LCJ262183 LMF262183 LWB262183 MFX262183 MPT262183 MZP262183 NJL262183 NTH262183 ODD262183 OMZ262183 OWV262183 PGR262183 PQN262183 QAJ262183 QKF262183 QUB262183 RDX262183 RNT262183 RXP262183 SHL262183 SRH262183 TBD262183 TKZ262183 TUV262183 UER262183 UON262183 UYJ262183 VIF262183 VSB262183 WBX262183 WLT262183 WVP262183 JD327719 SZ327719 ACV327719 AMR327719 AWN327719 BGJ327719 BQF327719 CAB327719 CJX327719 CTT327719 DDP327719 DNL327719 DXH327719 EHD327719 EQZ327719 FAV327719 FKR327719 FUN327719 GEJ327719 GOF327719 GYB327719 HHX327719 HRT327719 IBP327719 ILL327719 IVH327719 JFD327719 JOZ327719 JYV327719 KIR327719 KSN327719 LCJ327719 LMF327719 LWB327719 MFX327719 MPT327719 MZP327719 NJL327719 NTH327719 ODD327719 OMZ327719 OWV327719 PGR327719 PQN327719 QAJ327719 QKF327719 QUB327719 RDX327719 RNT327719 RXP327719 SHL327719 SRH327719 TBD327719 TKZ327719 TUV327719 UER327719 UON327719 UYJ327719 VIF327719 VSB327719 WBX327719 WLT327719 WVP327719 JD393255 SZ393255 ACV393255 AMR393255 AWN393255 BGJ393255 BQF393255 CAB393255 CJX393255 CTT393255 DDP393255 DNL393255 DXH393255 EHD393255 EQZ393255 FAV393255 FKR393255 FUN393255 GEJ393255 GOF393255 GYB393255 HHX393255 HRT393255 IBP393255 ILL393255 IVH393255 JFD393255 JOZ393255 JYV393255 KIR393255 KSN393255 LCJ393255 LMF393255 LWB393255 MFX393255 MPT393255 MZP393255 NJL393255 NTH393255 ODD393255 OMZ393255 OWV393255 PGR393255 PQN393255 QAJ393255 QKF393255 QUB393255 RDX393255 RNT393255 RXP393255 SHL393255 SRH393255 TBD393255 TKZ393255 TUV393255 UER393255 UON393255 UYJ393255 VIF393255 VSB393255 WBX393255 WLT393255 WVP393255 JD458791 SZ458791 ACV458791 AMR458791 AWN458791 BGJ458791 BQF458791 CAB458791 CJX458791 CTT458791 DDP458791 DNL458791 DXH458791 EHD458791 EQZ458791 FAV458791 FKR458791 FUN458791 GEJ458791 GOF458791 GYB458791 HHX458791 HRT458791 IBP458791 ILL458791 IVH458791 JFD458791 JOZ458791 JYV458791 KIR458791 KSN458791 LCJ458791 LMF458791 LWB458791 MFX458791 MPT458791 MZP458791 NJL458791 NTH458791 ODD458791 OMZ458791 OWV458791 PGR458791 PQN458791 QAJ458791 QKF458791 QUB458791 RDX458791 RNT458791 RXP458791 SHL458791 SRH458791 TBD458791 TKZ458791 TUV458791 UER458791 UON458791 UYJ458791 VIF458791 VSB458791 WBX458791 WLT458791 WVP458791 JD524327 SZ524327 ACV524327 AMR524327 AWN524327 BGJ524327 BQF524327 CAB524327 CJX524327 CTT524327 DDP524327 DNL524327 DXH524327 EHD524327 EQZ524327 FAV524327 FKR524327 FUN524327 GEJ524327 GOF524327 GYB524327 HHX524327 HRT524327 IBP524327 ILL524327 IVH524327 JFD524327 JOZ524327 JYV524327 KIR524327 KSN524327 LCJ524327 LMF524327 LWB524327 MFX524327 MPT524327 MZP524327 NJL524327 NTH524327 ODD524327 OMZ524327 OWV524327 PGR524327 PQN524327 QAJ524327 QKF524327 QUB524327 RDX524327 RNT524327 RXP524327 SHL524327 SRH524327 TBD524327 TKZ524327 TUV524327 UER524327 UON524327 UYJ524327 VIF524327 VSB524327 WBX524327 WLT524327 WVP524327 JD589863 SZ589863 ACV589863 AMR589863 AWN589863 BGJ589863 BQF589863 CAB589863 CJX589863 CTT589863 DDP589863 DNL589863 DXH589863 EHD589863 EQZ589863 FAV589863 FKR589863 FUN589863 GEJ589863 GOF589863 GYB589863 HHX589863 HRT589863 IBP589863 ILL589863 IVH589863 JFD589863 JOZ589863 JYV589863 KIR589863 KSN589863 LCJ589863 LMF589863 LWB589863 MFX589863 MPT589863 MZP589863 NJL589863 NTH589863 ODD589863 OMZ589863 OWV589863 PGR589863 PQN589863 QAJ589863 QKF589863 QUB589863 RDX589863 RNT589863 RXP589863 SHL589863 SRH589863 TBD589863 TKZ589863 TUV589863 UER589863 UON589863 UYJ589863 VIF589863 VSB589863 WBX589863 WLT589863 WVP589863 JD655399 SZ655399 ACV655399 AMR655399 AWN655399 BGJ655399 BQF655399 CAB655399 CJX655399 CTT655399 DDP655399 DNL655399 DXH655399 EHD655399 EQZ655399 FAV655399 FKR655399 FUN655399 GEJ655399 GOF655399 GYB655399 HHX655399 HRT655399 IBP655399 ILL655399 IVH655399 JFD655399 JOZ655399 JYV655399 KIR655399 KSN655399 LCJ655399 LMF655399 LWB655399 MFX655399 MPT655399 MZP655399 NJL655399 NTH655399 ODD655399 OMZ655399 OWV655399 PGR655399 PQN655399 QAJ655399 QKF655399 QUB655399 RDX655399 RNT655399 RXP655399 SHL655399 SRH655399 TBD655399 TKZ655399 TUV655399 UER655399 UON655399 UYJ655399 VIF655399 VSB655399 WBX655399 WLT655399 WVP655399 JD720935 SZ720935 ACV720935 AMR720935 AWN720935 BGJ720935 BQF720935 CAB720935 CJX720935 CTT720935 DDP720935 DNL720935 DXH720935 EHD720935 EQZ720935 FAV720935 FKR720935 FUN720935 GEJ720935 GOF720935 GYB720935 HHX720935 HRT720935 IBP720935 ILL720935 IVH720935 JFD720935 JOZ720935 JYV720935 KIR720935 KSN720935 LCJ720935 LMF720935 LWB720935 MFX720935 MPT720935 MZP720935 NJL720935 NTH720935 ODD720935 OMZ720935 OWV720935 PGR720935 PQN720935 QAJ720935 QKF720935 QUB720935 RDX720935 RNT720935 RXP720935 SHL720935 SRH720935 TBD720935 TKZ720935 TUV720935 UER720935 UON720935 UYJ720935 VIF720935 VSB720935 WBX720935 WLT720935 WVP720935 JD786471 SZ786471 ACV786471 AMR786471 AWN786471 BGJ786471 BQF786471 CAB786471 CJX786471 CTT786471 DDP786471 DNL786471 DXH786471 EHD786471 EQZ786471 FAV786471 FKR786471 FUN786471 GEJ786471 GOF786471 GYB786471 HHX786471 HRT786471 IBP786471 ILL786471 IVH786471 JFD786471 JOZ786471 JYV786471 KIR786471 KSN786471 LCJ786471 LMF786471 LWB786471 MFX786471 MPT786471 MZP786471 NJL786471 NTH786471 ODD786471 OMZ786471 OWV786471 PGR786471 PQN786471 QAJ786471 QKF786471 QUB786471 RDX786471 RNT786471 RXP786471 SHL786471 SRH786471 TBD786471 TKZ786471 TUV786471 UER786471 UON786471 UYJ786471 VIF786471 VSB786471 WBX786471 WLT786471 WVP786471 JD852007 SZ852007 ACV852007 AMR852007 AWN852007 BGJ852007 BQF852007 CAB852007 CJX852007 CTT852007 DDP852007 DNL852007 DXH852007 EHD852007 EQZ852007 FAV852007 FKR852007 FUN852007 GEJ852007 GOF852007 GYB852007 HHX852007 HRT852007 IBP852007 ILL852007 IVH852007 JFD852007 JOZ852007 JYV852007 KIR852007 KSN852007 LCJ852007 LMF852007 LWB852007 MFX852007 MPT852007 MZP852007 NJL852007 NTH852007 ODD852007 OMZ852007 OWV852007 PGR852007 PQN852007 QAJ852007 QKF852007 QUB852007 RDX852007 RNT852007 RXP852007 SHL852007 SRH852007 TBD852007 TKZ852007 TUV852007 UER852007 UON852007 UYJ852007 VIF852007 VSB852007 WBX852007 WLT852007 WVP852007 JD917543 SZ917543 ACV917543 AMR917543 AWN917543 BGJ917543 BQF917543 CAB917543 CJX917543 CTT917543 DDP917543 DNL917543 DXH917543 EHD917543 EQZ917543 FAV917543 FKR917543 FUN917543 GEJ917543 GOF917543 GYB917543 HHX917543 HRT917543 IBP917543 ILL917543 IVH917543 JFD917543 JOZ917543 JYV917543 KIR917543 KSN917543 LCJ917543 LMF917543 LWB917543 MFX917543 MPT917543 MZP917543 NJL917543 NTH917543 ODD917543 OMZ917543 OWV917543 PGR917543 PQN917543 QAJ917543 QKF917543 QUB917543 RDX917543 RNT917543 RXP917543 SHL917543 SRH917543 TBD917543 TKZ917543 TUV917543 UER917543 UON917543 UYJ917543 VIF917543 VSB917543 WBX917543 WLT917543 WVP917543 JD983079 SZ983079 ACV983079 AMR983079 AWN983079 BGJ983079 BQF983079 CAB983079 CJX983079 CTT983079 DDP983079 DNL983079 DXH983079 EHD983079 EQZ983079 FAV983079 FKR983079 FUN983079 GEJ983079 GOF983079 GYB983079 HHX983079 HRT983079 IBP983079 ILL983079 IVH983079 JFD983079 JOZ983079 JYV983079 KIR983079 KSN983079 LCJ983079 LMF983079 LWB983079 MFX983079 MPT983079 MZP983079 NJL983079 NTH983079 ODD983079 OMZ983079 OWV983079 PGR983079 PQN983079 QAJ983079 QKF983079 QUB983079 RDX983079 RNT983079 RXP983079 SHL983079 SRH983079 TBD983079 TKZ983079 TUV983079 UER983079 UON983079 UYJ983079 VIF983079 VSB983079 WBX983079 WLT983079 WVP983079 JD44:JD45 SZ44:SZ45 ACV44:ACV45 AMR44:AMR45 AWN44:AWN45 BGJ44:BGJ45 BQF44:BQF45 CAB44:CAB45 CJX44:CJX45 CTT44:CTT45 DDP44:DDP45 DNL44:DNL45 DXH44:DXH45 EHD44:EHD45 EQZ44:EQZ45 FAV44:FAV45 FKR44:FKR45 FUN44:FUN45 GEJ44:GEJ45 GOF44:GOF45 GYB44:GYB45 HHX44:HHX45 HRT44:HRT45 IBP44:IBP45 ILL44:ILL45 IVH44:IVH45 JFD44:JFD45 JOZ44:JOZ45 JYV44:JYV45 KIR44:KIR45 KSN44:KSN45 LCJ44:LCJ45 LMF44:LMF45 LWB44:LWB45 MFX44:MFX45 MPT44:MPT45 MZP44:MZP45 NJL44:NJL45 NTH44:NTH45 ODD44:ODD45 OMZ44:OMZ45 OWV44:OWV45 PGR44:PGR45 PQN44:PQN45 QAJ44:QAJ45 QKF44:QKF45 QUB44:QUB45 RDX44:RDX45 RNT44:RNT45 RXP44:RXP45 SHL44:SHL45 SRH44:SRH45 TBD44:TBD45 TKZ44:TKZ45 TUV44:TUV45 UER44:UER45 UON44:UON45 UYJ44:UYJ45 VIF44:VIF45 VSB44:VSB45 WBX44:WBX45 WLT44:WLT45 WVP44:WVP45 JD65577:JD65578 SZ65577:SZ65578 ACV65577:ACV65578 AMR65577:AMR65578 AWN65577:AWN65578 BGJ65577:BGJ65578 BQF65577:BQF65578 CAB65577:CAB65578 CJX65577:CJX65578 CTT65577:CTT65578 DDP65577:DDP65578 DNL65577:DNL65578 DXH65577:DXH65578 EHD65577:EHD65578 EQZ65577:EQZ65578 FAV65577:FAV65578 FKR65577:FKR65578 FUN65577:FUN65578 GEJ65577:GEJ65578 GOF65577:GOF65578 GYB65577:GYB65578 HHX65577:HHX65578 HRT65577:HRT65578 IBP65577:IBP65578 ILL65577:ILL65578 IVH65577:IVH65578 JFD65577:JFD65578 JOZ65577:JOZ65578 JYV65577:JYV65578 KIR65577:KIR65578 KSN65577:KSN65578 LCJ65577:LCJ65578 LMF65577:LMF65578 LWB65577:LWB65578 MFX65577:MFX65578 MPT65577:MPT65578 MZP65577:MZP65578 NJL65577:NJL65578 NTH65577:NTH65578 ODD65577:ODD65578 OMZ65577:OMZ65578 OWV65577:OWV65578 PGR65577:PGR65578 PQN65577:PQN65578 QAJ65577:QAJ65578 QKF65577:QKF65578 QUB65577:QUB65578 RDX65577:RDX65578 RNT65577:RNT65578 RXP65577:RXP65578 SHL65577:SHL65578 SRH65577:SRH65578 TBD65577:TBD65578 TKZ65577:TKZ65578 TUV65577:TUV65578 UER65577:UER65578 UON65577:UON65578 UYJ65577:UYJ65578 VIF65577:VIF65578 VSB65577:VSB65578 WBX65577:WBX65578 WLT65577:WLT65578 WVP65577:WVP65578 JD131113:JD131114 SZ131113:SZ131114 ACV131113:ACV131114 AMR131113:AMR131114 AWN131113:AWN131114 BGJ131113:BGJ131114 BQF131113:BQF131114 CAB131113:CAB131114 CJX131113:CJX131114 CTT131113:CTT131114 DDP131113:DDP131114 DNL131113:DNL131114 DXH131113:DXH131114 EHD131113:EHD131114 EQZ131113:EQZ131114 FAV131113:FAV131114 FKR131113:FKR131114 FUN131113:FUN131114 GEJ131113:GEJ131114 GOF131113:GOF131114 GYB131113:GYB131114 HHX131113:HHX131114 HRT131113:HRT131114 IBP131113:IBP131114 ILL131113:ILL131114 IVH131113:IVH131114 JFD131113:JFD131114 JOZ131113:JOZ131114 JYV131113:JYV131114 KIR131113:KIR131114 KSN131113:KSN131114 LCJ131113:LCJ131114 LMF131113:LMF131114 LWB131113:LWB131114 MFX131113:MFX131114 MPT131113:MPT131114 MZP131113:MZP131114 NJL131113:NJL131114 NTH131113:NTH131114 ODD131113:ODD131114 OMZ131113:OMZ131114 OWV131113:OWV131114 PGR131113:PGR131114 PQN131113:PQN131114 QAJ131113:QAJ131114 QKF131113:QKF131114 QUB131113:QUB131114 RDX131113:RDX131114 RNT131113:RNT131114 RXP131113:RXP131114 SHL131113:SHL131114 SRH131113:SRH131114 TBD131113:TBD131114 TKZ131113:TKZ131114 TUV131113:TUV131114 UER131113:UER131114 UON131113:UON131114 UYJ131113:UYJ131114 VIF131113:VIF131114 VSB131113:VSB131114 WBX131113:WBX131114 WLT131113:WLT131114 WVP131113:WVP131114 JD196649:JD196650 SZ196649:SZ196650 ACV196649:ACV196650 AMR196649:AMR196650 AWN196649:AWN196650 BGJ196649:BGJ196650 BQF196649:BQF196650 CAB196649:CAB196650 CJX196649:CJX196650 CTT196649:CTT196650 DDP196649:DDP196650 DNL196649:DNL196650 DXH196649:DXH196650 EHD196649:EHD196650 EQZ196649:EQZ196650 FAV196649:FAV196650 FKR196649:FKR196650 FUN196649:FUN196650 GEJ196649:GEJ196650 GOF196649:GOF196650 GYB196649:GYB196650 HHX196649:HHX196650 HRT196649:HRT196650 IBP196649:IBP196650 ILL196649:ILL196650 IVH196649:IVH196650 JFD196649:JFD196650 JOZ196649:JOZ196650 JYV196649:JYV196650 KIR196649:KIR196650 KSN196649:KSN196650 LCJ196649:LCJ196650 LMF196649:LMF196650 LWB196649:LWB196650 MFX196649:MFX196650 MPT196649:MPT196650 MZP196649:MZP196650 NJL196649:NJL196650 NTH196649:NTH196650 ODD196649:ODD196650 OMZ196649:OMZ196650 OWV196649:OWV196650 PGR196649:PGR196650 PQN196649:PQN196650 QAJ196649:QAJ196650 QKF196649:QKF196650 QUB196649:QUB196650 RDX196649:RDX196650 RNT196649:RNT196650 RXP196649:RXP196650 SHL196649:SHL196650 SRH196649:SRH196650 TBD196649:TBD196650 TKZ196649:TKZ196650 TUV196649:TUV196650 UER196649:UER196650 UON196649:UON196650 UYJ196649:UYJ196650 VIF196649:VIF196650 VSB196649:VSB196650 WBX196649:WBX196650 WLT196649:WLT196650 WVP196649:WVP196650 JD262185:JD262186 SZ262185:SZ262186 ACV262185:ACV262186 AMR262185:AMR262186 AWN262185:AWN262186 BGJ262185:BGJ262186 BQF262185:BQF262186 CAB262185:CAB262186 CJX262185:CJX262186 CTT262185:CTT262186 DDP262185:DDP262186 DNL262185:DNL262186 DXH262185:DXH262186 EHD262185:EHD262186 EQZ262185:EQZ262186 FAV262185:FAV262186 FKR262185:FKR262186 FUN262185:FUN262186 GEJ262185:GEJ262186 GOF262185:GOF262186 GYB262185:GYB262186 HHX262185:HHX262186 HRT262185:HRT262186 IBP262185:IBP262186 ILL262185:ILL262186 IVH262185:IVH262186 JFD262185:JFD262186 JOZ262185:JOZ262186 JYV262185:JYV262186 KIR262185:KIR262186 KSN262185:KSN262186 LCJ262185:LCJ262186 LMF262185:LMF262186 LWB262185:LWB262186 MFX262185:MFX262186 MPT262185:MPT262186 MZP262185:MZP262186 NJL262185:NJL262186 NTH262185:NTH262186 ODD262185:ODD262186 OMZ262185:OMZ262186 OWV262185:OWV262186 PGR262185:PGR262186 PQN262185:PQN262186 QAJ262185:QAJ262186 QKF262185:QKF262186 QUB262185:QUB262186 RDX262185:RDX262186 RNT262185:RNT262186 RXP262185:RXP262186 SHL262185:SHL262186 SRH262185:SRH262186 TBD262185:TBD262186 TKZ262185:TKZ262186 TUV262185:TUV262186 UER262185:UER262186 UON262185:UON262186 UYJ262185:UYJ262186 VIF262185:VIF262186 VSB262185:VSB262186 WBX262185:WBX262186 WLT262185:WLT262186 WVP262185:WVP262186 JD327721:JD327722 SZ327721:SZ327722 ACV327721:ACV327722 AMR327721:AMR327722 AWN327721:AWN327722 BGJ327721:BGJ327722 BQF327721:BQF327722 CAB327721:CAB327722 CJX327721:CJX327722 CTT327721:CTT327722 DDP327721:DDP327722 DNL327721:DNL327722 DXH327721:DXH327722 EHD327721:EHD327722 EQZ327721:EQZ327722 FAV327721:FAV327722 FKR327721:FKR327722 FUN327721:FUN327722 GEJ327721:GEJ327722 GOF327721:GOF327722 GYB327721:GYB327722 HHX327721:HHX327722 HRT327721:HRT327722 IBP327721:IBP327722 ILL327721:ILL327722 IVH327721:IVH327722 JFD327721:JFD327722 JOZ327721:JOZ327722 JYV327721:JYV327722 KIR327721:KIR327722 KSN327721:KSN327722 LCJ327721:LCJ327722 LMF327721:LMF327722 LWB327721:LWB327722 MFX327721:MFX327722 MPT327721:MPT327722 MZP327721:MZP327722 NJL327721:NJL327722 NTH327721:NTH327722 ODD327721:ODD327722 OMZ327721:OMZ327722 OWV327721:OWV327722 PGR327721:PGR327722 PQN327721:PQN327722 QAJ327721:QAJ327722 QKF327721:QKF327722 QUB327721:QUB327722 RDX327721:RDX327722 RNT327721:RNT327722 RXP327721:RXP327722 SHL327721:SHL327722 SRH327721:SRH327722 TBD327721:TBD327722 TKZ327721:TKZ327722 TUV327721:TUV327722 UER327721:UER327722 UON327721:UON327722 UYJ327721:UYJ327722 VIF327721:VIF327722 VSB327721:VSB327722 WBX327721:WBX327722 WLT327721:WLT327722 WVP327721:WVP327722 JD393257:JD393258 SZ393257:SZ393258 ACV393257:ACV393258 AMR393257:AMR393258 AWN393257:AWN393258 BGJ393257:BGJ393258 BQF393257:BQF393258 CAB393257:CAB393258 CJX393257:CJX393258 CTT393257:CTT393258 DDP393257:DDP393258 DNL393257:DNL393258 DXH393257:DXH393258 EHD393257:EHD393258 EQZ393257:EQZ393258 FAV393257:FAV393258 FKR393257:FKR393258 FUN393257:FUN393258 GEJ393257:GEJ393258 GOF393257:GOF393258 GYB393257:GYB393258 HHX393257:HHX393258 HRT393257:HRT393258 IBP393257:IBP393258 ILL393257:ILL393258 IVH393257:IVH393258 JFD393257:JFD393258 JOZ393257:JOZ393258 JYV393257:JYV393258 KIR393257:KIR393258 KSN393257:KSN393258 LCJ393257:LCJ393258 LMF393257:LMF393258 LWB393257:LWB393258 MFX393257:MFX393258 MPT393257:MPT393258 MZP393257:MZP393258 NJL393257:NJL393258 NTH393257:NTH393258 ODD393257:ODD393258 OMZ393257:OMZ393258 OWV393257:OWV393258 PGR393257:PGR393258 PQN393257:PQN393258 QAJ393257:QAJ393258 QKF393257:QKF393258 QUB393257:QUB393258 RDX393257:RDX393258 RNT393257:RNT393258 RXP393257:RXP393258 SHL393257:SHL393258 SRH393257:SRH393258 TBD393257:TBD393258 TKZ393257:TKZ393258 TUV393257:TUV393258 UER393257:UER393258 UON393257:UON393258 UYJ393257:UYJ393258 VIF393257:VIF393258 VSB393257:VSB393258 WBX393257:WBX393258 WLT393257:WLT393258 WVP393257:WVP393258 JD458793:JD458794 SZ458793:SZ458794 ACV458793:ACV458794 AMR458793:AMR458794 AWN458793:AWN458794 BGJ458793:BGJ458794 BQF458793:BQF458794 CAB458793:CAB458794 CJX458793:CJX458794 CTT458793:CTT458794 DDP458793:DDP458794 DNL458793:DNL458794 DXH458793:DXH458794 EHD458793:EHD458794 EQZ458793:EQZ458794 FAV458793:FAV458794 FKR458793:FKR458794 FUN458793:FUN458794 GEJ458793:GEJ458794 GOF458793:GOF458794 GYB458793:GYB458794 HHX458793:HHX458794 HRT458793:HRT458794 IBP458793:IBP458794 ILL458793:ILL458794 IVH458793:IVH458794 JFD458793:JFD458794 JOZ458793:JOZ458794 JYV458793:JYV458794 KIR458793:KIR458794 KSN458793:KSN458794 LCJ458793:LCJ458794 LMF458793:LMF458794 LWB458793:LWB458794 MFX458793:MFX458794 MPT458793:MPT458794 MZP458793:MZP458794 NJL458793:NJL458794 NTH458793:NTH458794 ODD458793:ODD458794 OMZ458793:OMZ458794 OWV458793:OWV458794 PGR458793:PGR458794 PQN458793:PQN458794 QAJ458793:QAJ458794 QKF458793:QKF458794 QUB458793:QUB458794 RDX458793:RDX458794 RNT458793:RNT458794 RXP458793:RXP458794 SHL458793:SHL458794 SRH458793:SRH458794 TBD458793:TBD458794 TKZ458793:TKZ458794 TUV458793:TUV458794 UER458793:UER458794 UON458793:UON458794 UYJ458793:UYJ458794 VIF458793:VIF458794 VSB458793:VSB458794 WBX458793:WBX458794 WLT458793:WLT458794 WVP458793:WVP458794 JD524329:JD524330 SZ524329:SZ524330 ACV524329:ACV524330 AMR524329:AMR524330 AWN524329:AWN524330 BGJ524329:BGJ524330 BQF524329:BQF524330 CAB524329:CAB524330 CJX524329:CJX524330 CTT524329:CTT524330 DDP524329:DDP524330 DNL524329:DNL524330 DXH524329:DXH524330 EHD524329:EHD524330 EQZ524329:EQZ524330 FAV524329:FAV524330 FKR524329:FKR524330 FUN524329:FUN524330 GEJ524329:GEJ524330 GOF524329:GOF524330 GYB524329:GYB524330 HHX524329:HHX524330 HRT524329:HRT524330 IBP524329:IBP524330 ILL524329:ILL524330 IVH524329:IVH524330 JFD524329:JFD524330 JOZ524329:JOZ524330 JYV524329:JYV524330 KIR524329:KIR524330 KSN524329:KSN524330 LCJ524329:LCJ524330 LMF524329:LMF524330 LWB524329:LWB524330 MFX524329:MFX524330 MPT524329:MPT524330 MZP524329:MZP524330 NJL524329:NJL524330 NTH524329:NTH524330 ODD524329:ODD524330 OMZ524329:OMZ524330 OWV524329:OWV524330 PGR524329:PGR524330 PQN524329:PQN524330 QAJ524329:QAJ524330 QKF524329:QKF524330 QUB524329:QUB524330 RDX524329:RDX524330 RNT524329:RNT524330 RXP524329:RXP524330 SHL524329:SHL524330 SRH524329:SRH524330 TBD524329:TBD524330 TKZ524329:TKZ524330 TUV524329:TUV524330 UER524329:UER524330 UON524329:UON524330 UYJ524329:UYJ524330 VIF524329:VIF524330 VSB524329:VSB524330 WBX524329:WBX524330 WLT524329:WLT524330 WVP524329:WVP524330 JD589865:JD589866 SZ589865:SZ589866 ACV589865:ACV589866 AMR589865:AMR589866 AWN589865:AWN589866 BGJ589865:BGJ589866 BQF589865:BQF589866 CAB589865:CAB589866 CJX589865:CJX589866 CTT589865:CTT589866 DDP589865:DDP589866 DNL589865:DNL589866 DXH589865:DXH589866 EHD589865:EHD589866 EQZ589865:EQZ589866 FAV589865:FAV589866 FKR589865:FKR589866 FUN589865:FUN589866 GEJ589865:GEJ589866 GOF589865:GOF589866 GYB589865:GYB589866 HHX589865:HHX589866 HRT589865:HRT589866 IBP589865:IBP589866 ILL589865:ILL589866 IVH589865:IVH589866 JFD589865:JFD589866 JOZ589865:JOZ589866 JYV589865:JYV589866 KIR589865:KIR589866 KSN589865:KSN589866 LCJ589865:LCJ589866 LMF589865:LMF589866 LWB589865:LWB589866 MFX589865:MFX589866 MPT589865:MPT589866 MZP589865:MZP589866 NJL589865:NJL589866 NTH589865:NTH589866 ODD589865:ODD589866 OMZ589865:OMZ589866 OWV589865:OWV589866 PGR589865:PGR589866 PQN589865:PQN589866 QAJ589865:QAJ589866 QKF589865:QKF589866 QUB589865:QUB589866 RDX589865:RDX589866 RNT589865:RNT589866 RXP589865:RXP589866 SHL589865:SHL589866 SRH589865:SRH589866 TBD589865:TBD589866 TKZ589865:TKZ589866 TUV589865:TUV589866 UER589865:UER589866 UON589865:UON589866 UYJ589865:UYJ589866 VIF589865:VIF589866 VSB589865:VSB589866 WBX589865:WBX589866 WLT589865:WLT589866 WVP589865:WVP589866 JD655401:JD655402 SZ655401:SZ655402 ACV655401:ACV655402 AMR655401:AMR655402 AWN655401:AWN655402 BGJ655401:BGJ655402 BQF655401:BQF655402 CAB655401:CAB655402 CJX655401:CJX655402 CTT655401:CTT655402 DDP655401:DDP655402 DNL655401:DNL655402 DXH655401:DXH655402 EHD655401:EHD655402 EQZ655401:EQZ655402 FAV655401:FAV655402 FKR655401:FKR655402 FUN655401:FUN655402 GEJ655401:GEJ655402 GOF655401:GOF655402 GYB655401:GYB655402 HHX655401:HHX655402 HRT655401:HRT655402 IBP655401:IBP655402 ILL655401:ILL655402 IVH655401:IVH655402 JFD655401:JFD655402 JOZ655401:JOZ655402 JYV655401:JYV655402 KIR655401:KIR655402 KSN655401:KSN655402 LCJ655401:LCJ655402 LMF655401:LMF655402 LWB655401:LWB655402 MFX655401:MFX655402 MPT655401:MPT655402 MZP655401:MZP655402 NJL655401:NJL655402 NTH655401:NTH655402 ODD655401:ODD655402 OMZ655401:OMZ655402 OWV655401:OWV655402 PGR655401:PGR655402 PQN655401:PQN655402 QAJ655401:QAJ655402 QKF655401:QKF655402 QUB655401:QUB655402 RDX655401:RDX655402 RNT655401:RNT655402 RXP655401:RXP655402 SHL655401:SHL655402 SRH655401:SRH655402 TBD655401:TBD655402 TKZ655401:TKZ655402 TUV655401:TUV655402 UER655401:UER655402 UON655401:UON655402 UYJ655401:UYJ655402 VIF655401:VIF655402 VSB655401:VSB655402 WBX655401:WBX655402 WLT655401:WLT655402 WVP655401:WVP655402 JD720937:JD720938 SZ720937:SZ720938 ACV720937:ACV720938 AMR720937:AMR720938 AWN720937:AWN720938 BGJ720937:BGJ720938 BQF720937:BQF720938 CAB720937:CAB720938 CJX720937:CJX720938 CTT720937:CTT720938 DDP720937:DDP720938 DNL720937:DNL720938 DXH720937:DXH720938 EHD720937:EHD720938 EQZ720937:EQZ720938 FAV720937:FAV720938 FKR720937:FKR720938 FUN720937:FUN720938 GEJ720937:GEJ720938 GOF720937:GOF720938 GYB720937:GYB720938 HHX720937:HHX720938 HRT720937:HRT720938 IBP720937:IBP720938 ILL720937:ILL720938 IVH720937:IVH720938 JFD720937:JFD720938 JOZ720937:JOZ720938 JYV720937:JYV720938 KIR720937:KIR720938 KSN720937:KSN720938 LCJ720937:LCJ720938 LMF720937:LMF720938 LWB720937:LWB720938 MFX720937:MFX720938 MPT720937:MPT720938 MZP720937:MZP720938 NJL720937:NJL720938 NTH720937:NTH720938 ODD720937:ODD720938 OMZ720937:OMZ720938 OWV720937:OWV720938 PGR720937:PGR720938 PQN720937:PQN720938 QAJ720937:QAJ720938 QKF720937:QKF720938 QUB720937:QUB720938 RDX720937:RDX720938 RNT720937:RNT720938 RXP720937:RXP720938 SHL720937:SHL720938 SRH720937:SRH720938 TBD720937:TBD720938 TKZ720937:TKZ720938 TUV720937:TUV720938 UER720937:UER720938 UON720937:UON720938 UYJ720937:UYJ720938 VIF720937:VIF720938 VSB720937:VSB720938 WBX720937:WBX720938 WLT720937:WLT720938 WVP720937:WVP720938 JD786473:JD786474 SZ786473:SZ786474 ACV786473:ACV786474 AMR786473:AMR786474 AWN786473:AWN786474 BGJ786473:BGJ786474 BQF786473:BQF786474 CAB786473:CAB786474 CJX786473:CJX786474 CTT786473:CTT786474 DDP786473:DDP786474 DNL786473:DNL786474 DXH786473:DXH786474 EHD786473:EHD786474 EQZ786473:EQZ786474 FAV786473:FAV786474 FKR786473:FKR786474 FUN786473:FUN786474 GEJ786473:GEJ786474 GOF786473:GOF786474 GYB786473:GYB786474 HHX786473:HHX786474 HRT786473:HRT786474 IBP786473:IBP786474 ILL786473:ILL786474 IVH786473:IVH786474 JFD786473:JFD786474 JOZ786473:JOZ786474 JYV786473:JYV786474 KIR786473:KIR786474 KSN786473:KSN786474 LCJ786473:LCJ786474 LMF786473:LMF786474 LWB786473:LWB786474 MFX786473:MFX786474 MPT786473:MPT786474 MZP786473:MZP786474 NJL786473:NJL786474 NTH786473:NTH786474 ODD786473:ODD786474 OMZ786473:OMZ786474 OWV786473:OWV786474 PGR786473:PGR786474 PQN786473:PQN786474 QAJ786473:QAJ786474 QKF786473:QKF786474 QUB786473:QUB786474 RDX786473:RDX786474 RNT786473:RNT786474 RXP786473:RXP786474 SHL786473:SHL786474 SRH786473:SRH786474 TBD786473:TBD786474 TKZ786473:TKZ786474 TUV786473:TUV786474 UER786473:UER786474 UON786473:UON786474 UYJ786473:UYJ786474 VIF786473:VIF786474 VSB786473:VSB786474 WBX786473:WBX786474 WLT786473:WLT786474 WVP786473:WVP786474 JD852009:JD852010 SZ852009:SZ852010 ACV852009:ACV852010 AMR852009:AMR852010 AWN852009:AWN852010 BGJ852009:BGJ852010 BQF852009:BQF852010 CAB852009:CAB852010 CJX852009:CJX852010 CTT852009:CTT852010 DDP852009:DDP852010 DNL852009:DNL852010 DXH852009:DXH852010 EHD852009:EHD852010 EQZ852009:EQZ852010 FAV852009:FAV852010 FKR852009:FKR852010 FUN852009:FUN852010 GEJ852009:GEJ852010 GOF852009:GOF852010 GYB852009:GYB852010 HHX852009:HHX852010 HRT852009:HRT852010 IBP852009:IBP852010 ILL852009:ILL852010 IVH852009:IVH852010 JFD852009:JFD852010 JOZ852009:JOZ852010 JYV852009:JYV852010 KIR852009:KIR852010 KSN852009:KSN852010 LCJ852009:LCJ852010 LMF852009:LMF852010 LWB852009:LWB852010 MFX852009:MFX852010 MPT852009:MPT852010 MZP852009:MZP852010 NJL852009:NJL852010 NTH852009:NTH852010 ODD852009:ODD852010 OMZ852009:OMZ852010 OWV852009:OWV852010 PGR852009:PGR852010 PQN852009:PQN852010 QAJ852009:QAJ852010 QKF852009:QKF852010 QUB852009:QUB852010 RDX852009:RDX852010 RNT852009:RNT852010 RXP852009:RXP852010 SHL852009:SHL852010 SRH852009:SRH852010 TBD852009:TBD852010 TKZ852009:TKZ852010 TUV852009:TUV852010 UER852009:UER852010 UON852009:UON852010 UYJ852009:UYJ852010 VIF852009:VIF852010 VSB852009:VSB852010 WBX852009:WBX852010 WLT852009:WLT852010 WVP852009:WVP852010 JD917545:JD917546 SZ917545:SZ917546 ACV917545:ACV917546 AMR917545:AMR917546 AWN917545:AWN917546 BGJ917545:BGJ917546 BQF917545:BQF917546 CAB917545:CAB917546 CJX917545:CJX917546 CTT917545:CTT917546 DDP917545:DDP917546 DNL917545:DNL917546 DXH917545:DXH917546 EHD917545:EHD917546 EQZ917545:EQZ917546 FAV917545:FAV917546 FKR917545:FKR917546 FUN917545:FUN917546 GEJ917545:GEJ917546 GOF917545:GOF917546 GYB917545:GYB917546 HHX917545:HHX917546 HRT917545:HRT917546 IBP917545:IBP917546 ILL917545:ILL917546 IVH917545:IVH917546 JFD917545:JFD917546 JOZ917545:JOZ917546 JYV917545:JYV917546 KIR917545:KIR917546 KSN917545:KSN917546 LCJ917545:LCJ917546 LMF917545:LMF917546 LWB917545:LWB917546 MFX917545:MFX917546 MPT917545:MPT917546 MZP917545:MZP917546 NJL917545:NJL917546 NTH917545:NTH917546 ODD917545:ODD917546 OMZ917545:OMZ917546 OWV917545:OWV917546 PGR917545:PGR917546 PQN917545:PQN917546 QAJ917545:QAJ917546 QKF917545:QKF917546 QUB917545:QUB917546 RDX917545:RDX917546 RNT917545:RNT917546 RXP917545:RXP917546 SHL917545:SHL917546 SRH917545:SRH917546 TBD917545:TBD917546 TKZ917545:TKZ917546 TUV917545:TUV917546 UER917545:UER917546 UON917545:UON917546 UYJ917545:UYJ917546 VIF917545:VIF917546 VSB917545:VSB917546 WBX917545:WBX917546 WLT917545:WLT917546 WVP917545:WVP917546 JD983081:JD983082 SZ983081:SZ983082 ACV983081:ACV983082 AMR983081:AMR983082 AWN983081:AWN983082 BGJ983081:BGJ983082 BQF983081:BQF983082 CAB983081:CAB983082 CJX983081:CJX983082 CTT983081:CTT983082 DDP983081:DDP983082 DNL983081:DNL983082 DXH983081:DXH983082 EHD983081:EHD983082 EQZ983081:EQZ983082 FAV983081:FAV983082 FKR983081:FKR983082 FUN983081:FUN983082 GEJ983081:GEJ983082 GOF983081:GOF983082 GYB983081:GYB983082 HHX983081:HHX983082 HRT983081:HRT983082 IBP983081:IBP983082 ILL983081:ILL983082 IVH983081:IVH983082 JFD983081:JFD983082 JOZ983081:JOZ983082 JYV983081:JYV983082 KIR983081:KIR983082 KSN983081:KSN983082 LCJ983081:LCJ983082 LMF983081:LMF983082 LWB983081:LWB983082 MFX983081:MFX983082 MPT983081:MPT983082 MZP983081:MZP983082 NJL983081:NJL983082 NTH983081:NTH983082 ODD983081:ODD983082 OMZ983081:OMZ983082 OWV983081:OWV983082 PGR983081:PGR983082 PQN983081:PQN983082 QAJ983081:QAJ983082 QKF983081:QKF983082 QUB983081:QUB983082 RDX983081:RDX983082 RNT983081:RNT983082 RXP983081:RXP983082 SHL983081:SHL983082 SRH983081:SRH983082 TBD983081:TBD983082 TKZ983081:TKZ983082 TUV983081:TUV983082 UER983081:UER983082 UON983081:UON983082 UYJ983081:UYJ983082 VIF983081:VIF983082 VSB983081:VSB983082 WBX983081:WBX983082 WLT983081:WLT983082 WVP983081:WVP983082 JE44:JE52 TA44:TA52 ACW44:ACW52 AMS44:AMS52 AWO44:AWO52 BGK44:BGK52 BQG44:BQG52 CAC44:CAC52 CJY44:CJY52 CTU44:CTU52 DDQ44:DDQ52 DNM44:DNM52 DXI44:DXI52 EHE44:EHE52 ERA44:ERA52 FAW44:FAW52 FKS44:FKS52 FUO44:FUO52 GEK44:GEK52 GOG44:GOG52 GYC44:GYC52 HHY44:HHY52 HRU44:HRU52 IBQ44:IBQ52 ILM44:ILM52 IVI44:IVI52 JFE44:JFE52 JPA44:JPA52 JYW44:JYW52 KIS44:KIS52 KSO44:KSO52 LCK44:LCK52 LMG44:LMG52 LWC44:LWC52 MFY44:MFY52 MPU44:MPU52 MZQ44:MZQ52 NJM44:NJM52 NTI44:NTI52 ODE44:ODE52 ONA44:ONA52 OWW44:OWW52 PGS44:PGS52 PQO44:PQO52 QAK44:QAK52 QKG44:QKG52 QUC44:QUC52 RDY44:RDY52 RNU44:RNU52 RXQ44:RXQ52 SHM44:SHM52 SRI44:SRI52 TBE44:TBE52 TLA44:TLA52 TUW44:TUW52 UES44:UES52 UOO44:UOO52 UYK44:UYK52 VIG44:VIG52 VSC44:VSC52 WBY44:WBY52 WLU44:WLU52 WVQ44:WVQ52 JE65577:JE65585 TA65577:TA65585 ACW65577:ACW65585 AMS65577:AMS65585 AWO65577:AWO65585 BGK65577:BGK65585 BQG65577:BQG65585 CAC65577:CAC65585 CJY65577:CJY65585 CTU65577:CTU65585 DDQ65577:DDQ65585 DNM65577:DNM65585 DXI65577:DXI65585 EHE65577:EHE65585 ERA65577:ERA65585 FAW65577:FAW65585 FKS65577:FKS65585 FUO65577:FUO65585 GEK65577:GEK65585 GOG65577:GOG65585 GYC65577:GYC65585 HHY65577:HHY65585 HRU65577:HRU65585 IBQ65577:IBQ65585 ILM65577:ILM65585 IVI65577:IVI65585 JFE65577:JFE65585 JPA65577:JPA65585 JYW65577:JYW65585 KIS65577:KIS65585 KSO65577:KSO65585 LCK65577:LCK65585 LMG65577:LMG65585 LWC65577:LWC65585 MFY65577:MFY65585 MPU65577:MPU65585 MZQ65577:MZQ65585 NJM65577:NJM65585 NTI65577:NTI65585 ODE65577:ODE65585 ONA65577:ONA65585 OWW65577:OWW65585 PGS65577:PGS65585 PQO65577:PQO65585 QAK65577:QAK65585 QKG65577:QKG65585 QUC65577:QUC65585 RDY65577:RDY65585 RNU65577:RNU65585 RXQ65577:RXQ65585 SHM65577:SHM65585 SRI65577:SRI65585 TBE65577:TBE65585 TLA65577:TLA65585 TUW65577:TUW65585 UES65577:UES65585 UOO65577:UOO65585 UYK65577:UYK65585 VIG65577:VIG65585 VSC65577:VSC65585 WBY65577:WBY65585 WLU65577:WLU65585 WVQ65577:WVQ65585 JE131113:JE131121 TA131113:TA131121 ACW131113:ACW131121 AMS131113:AMS131121 AWO131113:AWO131121 BGK131113:BGK131121 BQG131113:BQG131121 CAC131113:CAC131121 CJY131113:CJY131121 CTU131113:CTU131121 DDQ131113:DDQ131121 DNM131113:DNM131121 DXI131113:DXI131121 EHE131113:EHE131121 ERA131113:ERA131121 FAW131113:FAW131121 FKS131113:FKS131121 FUO131113:FUO131121 GEK131113:GEK131121 GOG131113:GOG131121 GYC131113:GYC131121 HHY131113:HHY131121 HRU131113:HRU131121 IBQ131113:IBQ131121 ILM131113:ILM131121 IVI131113:IVI131121 JFE131113:JFE131121 JPA131113:JPA131121 JYW131113:JYW131121 KIS131113:KIS131121 KSO131113:KSO131121 LCK131113:LCK131121 LMG131113:LMG131121 LWC131113:LWC131121 MFY131113:MFY131121 MPU131113:MPU131121 MZQ131113:MZQ131121 NJM131113:NJM131121 NTI131113:NTI131121 ODE131113:ODE131121 ONA131113:ONA131121 OWW131113:OWW131121 PGS131113:PGS131121 PQO131113:PQO131121 QAK131113:QAK131121 QKG131113:QKG131121 QUC131113:QUC131121 RDY131113:RDY131121 RNU131113:RNU131121 RXQ131113:RXQ131121 SHM131113:SHM131121 SRI131113:SRI131121 TBE131113:TBE131121 TLA131113:TLA131121 TUW131113:TUW131121 UES131113:UES131121 UOO131113:UOO131121 UYK131113:UYK131121 VIG131113:VIG131121 VSC131113:VSC131121 WBY131113:WBY131121 WLU131113:WLU131121 WVQ131113:WVQ131121 JE196649:JE196657 TA196649:TA196657 ACW196649:ACW196657 AMS196649:AMS196657 AWO196649:AWO196657 BGK196649:BGK196657 BQG196649:BQG196657 CAC196649:CAC196657 CJY196649:CJY196657 CTU196649:CTU196657 DDQ196649:DDQ196657 DNM196649:DNM196657 DXI196649:DXI196657 EHE196649:EHE196657 ERA196649:ERA196657 FAW196649:FAW196657 FKS196649:FKS196657 FUO196649:FUO196657 GEK196649:GEK196657 GOG196649:GOG196657 GYC196649:GYC196657 HHY196649:HHY196657 HRU196649:HRU196657 IBQ196649:IBQ196657 ILM196649:ILM196657 IVI196649:IVI196657 JFE196649:JFE196657 JPA196649:JPA196657 JYW196649:JYW196657 KIS196649:KIS196657 KSO196649:KSO196657 LCK196649:LCK196657 LMG196649:LMG196657 LWC196649:LWC196657 MFY196649:MFY196657 MPU196649:MPU196657 MZQ196649:MZQ196657 NJM196649:NJM196657 NTI196649:NTI196657 ODE196649:ODE196657 ONA196649:ONA196657 OWW196649:OWW196657 PGS196649:PGS196657 PQO196649:PQO196657 QAK196649:QAK196657 QKG196649:QKG196657 QUC196649:QUC196657 RDY196649:RDY196657 RNU196649:RNU196657 RXQ196649:RXQ196657 SHM196649:SHM196657 SRI196649:SRI196657 TBE196649:TBE196657 TLA196649:TLA196657 TUW196649:TUW196657 UES196649:UES196657 UOO196649:UOO196657 UYK196649:UYK196657 VIG196649:VIG196657 VSC196649:VSC196657 WBY196649:WBY196657 WLU196649:WLU196657 WVQ196649:WVQ196657 JE262185:JE262193 TA262185:TA262193 ACW262185:ACW262193 AMS262185:AMS262193 AWO262185:AWO262193 BGK262185:BGK262193 BQG262185:BQG262193 CAC262185:CAC262193 CJY262185:CJY262193 CTU262185:CTU262193 DDQ262185:DDQ262193 DNM262185:DNM262193 DXI262185:DXI262193 EHE262185:EHE262193 ERA262185:ERA262193 FAW262185:FAW262193 FKS262185:FKS262193 FUO262185:FUO262193 GEK262185:GEK262193 GOG262185:GOG262193 GYC262185:GYC262193 HHY262185:HHY262193 HRU262185:HRU262193 IBQ262185:IBQ262193 ILM262185:ILM262193 IVI262185:IVI262193 JFE262185:JFE262193 JPA262185:JPA262193 JYW262185:JYW262193 KIS262185:KIS262193 KSO262185:KSO262193 LCK262185:LCK262193 LMG262185:LMG262193 LWC262185:LWC262193 MFY262185:MFY262193 MPU262185:MPU262193 MZQ262185:MZQ262193 NJM262185:NJM262193 NTI262185:NTI262193 ODE262185:ODE262193 ONA262185:ONA262193 OWW262185:OWW262193 PGS262185:PGS262193 PQO262185:PQO262193 QAK262185:QAK262193 QKG262185:QKG262193 QUC262185:QUC262193 RDY262185:RDY262193 RNU262185:RNU262193 RXQ262185:RXQ262193 SHM262185:SHM262193 SRI262185:SRI262193 TBE262185:TBE262193 TLA262185:TLA262193 TUW262185:TUW262193 UES262185:UES262193 UOO262185:UOO262193 UYK262185:UYK262193 VIG262185:VIG262193 VSC262185:VSC262193 WBY262185:WBY262193 WLU262185:WLU262193 WVQ262185:WVQ262193 JE327721:JE327729 TA327721:TA327729 ACW327721:ACW327729 AMS327721:AMS327729 AWO327721:AWO327729 BGK327721:BGK327729 BQG327721:BQG327729 CAC327721:CAC327729 CJY327721:CJY327729 CTU327721:CTU327729 DDQ327721:DDQ327729 DNM327721:DNM327729 DXI327721:DXI327729 EHE327721:EHE327729 ERA327721:ERA327729 FAW327721:FAW327729 FKS327721:FKS327729 FUO327721:FUO327729 GEK327721:GEK327729 GOG327721:GOG327729 GYC327721:GYC327729 HHY327721:HHY327729 HRU327721:HRU327729 IBQ327721:IBQ327729 ILM327721:ILM327729 IVI327721:IVI327729 JFE327721:JFE327729 JPA327721:JPA327729 JYW327721:JYW327729 KIS327721:KIS327729 KSO327721:KSO327729 LCK327721:LCK327729 LMG327721:LMG327729 LWC327721:LWC327729 MFY327721:MFY327729 MPU327721:MPU327729 MZQ327721:MZQ327729 NJM327721:NJM327729 NTI327721:NTI327729 ODE327721:ODE327729 ONA327721:ONA327729 OWW327721:OWW327729 PGS327721:PGS327729 PQO327721:PQO327729 QAK327721:QAK327729 QKG327721:QKG327729 QUC327721:QUC327729 RDY327721:RDY327729 RNU327721:RNU327729 RXQ327721:RXQ327729 SHM327721:SHM327729 SRI327721:SRI327729 TBE327721:TBE327729 TLA327721:TLA327729 TUW327721:TUW327729 UES327721:UES327729 UOO327721:UOO327729 UYK327721:UYK327729 VIG327721:VIG327729 VSC327721:VSC327729 WBY327721:WBY327729 WLU327721:WLU327729 WVQ327721:WVQ327729 JE393257:JE393265 TA393257:TA393265 ACW393257:ACW393265 AMS393257:AMS393265 AWO393257:AWO393265 BGK393257:BGK393265 BQG393257:BQG393265 CAC393257:CAC393265 CJY393257:CJY393265 CTU393257:CTU393265 DDQ393257:DDQ393265 DNM393257:DNM393265 DXI393257:DXI393265 EHE393257:EHE393265 ERA393257:ERA393265 FAW393257:FAW393265 FKS393257:FKS393265 FUO393257:FUO393265 GEK393257:GEK393265 GOG393257:GOG393265 GYC393257:GYC393265 HHY393257:HHY393265 HRU393257:HRU393265 IBQ393257:IBQ393265 ILM393257:ILM393265 IVI393257:IVI393265 JFE393257:JFE393265 JPA393257:JPA393265 JYW393257:JYW393265 KIS393257:KIS393265 KSO393257:KSO393265 LCK393257:LCK393265 LMG393257:LMG393265 LWC393257:LWC393265 MFY393257:MFY393265 MPU393257:MPU393265 MZQ393257:MZQ393265 NJM393257:NJM393265 NTI393257:NTI393265 ODE393257:ODE393265 ONA393257:ONA393265 OWW393257:OWW393265 PGS393257:PGS393265 PQO393257:PQO393265 QAK393257:QAK393265 QKG393257:QKG393265 QUC393257:QUC393265 RDY393257:RDY393265 RNU393257:RNU393265 RXQ393257:RXQ393265 SHM393257:SHM393265 SRI393257:SRI393265 TBE393257:TBE393265 TLA393257:TLA393265 TUW393257:TUW393265 UES393257:UES393265 UOO393257:UOO393265 UYK393257:UYK393265 VIG393257:VIG393265 VSC393257:VSC393265 WBY393257:WBY393265 WLU393257:WLU393265 WVQ393257:WVQ393265 JE458793:JE458801 TA458793:TA458801 ACW458793:ACW458801 AMS458793:AMS458801 AWO458793:AWO458801 BGK458793:BGK458801 BQG458793:BQG458801 CAC458793:CAC458801 CJY458793:CJY458801 CTU458793:CTU458801 DDQ458793:DDQ458801 DNM458793:DNM458801 DXI458793:DXI458801 EHE458793:EHE458801 ERA458793:ERA458801 FAW458793:FAW458801 FKS458793:FKS458801 FUO458793:FUO458801 GEK458793:GEK458801 GOG458793:GOG458801 GYC458793:GYC458801 HHY458793:HHY458801 HRU458793:HRU458801 IBQ458793:IBQ458801 ILM458793:ILM458801 IVI458793:IVI458801 JFE458793:JFE458801 JPA458793:JPA458801 JYW458793:JYW458801 KIS458793:KIS458801 KSO458793:KSO458801 LCK458793:LCK458801 LMG458793:LMG458801 LWC458793:LWC458801 MFY458793:MFY458801 MPU458793:MPU458801 MZQ458793:MZQ458801 NJM458793:NJM458801 NTI458793:NTI458801 ODE458793:ODE458801 ONA458793:ONA458801 OWW458793:OWW458801 PGS458793:PGS458801 PQO458793:PQO458801 QAK458793:QAK458801 QKG458793:QKG458801 QUC458793:QUC458801 RDY458793:RDY458801 RNU458793:RNU458801 RXQ458793:RXQ458801 SHM458793:SHM458801 SRI458793:SRI458801 TBE458793:TBE458801 TLA458793:TLA458801 TUW458793:TUW458801 UES458793:UES458801 UOO458793:UOO458801 UYK458793:UYK458801 VIG458793:VIG458801 VSC458793:VSC458801 WBY458793:WBY458801 WLU458793:WLU458801 WVQ458793:WVQ458801 JE524329:JE524337 TA524329:TA524337 ACW524329:ACW524337 AMS524329:AMS524337 AWO524329:AWO524337 BGK524329:BGK524337 BQG524329:BQG524337 CAC524329:CAC524337 CJY524329:CJY524337 CTU524329:CTU524337 DDQ524329:DDQ524337 DNM524329:DNM524337 DXI524329:DXI524337 EHE524329:EHE524337 ERA524329:ERA524337 FAW524329:FAW524337 FKS524329:FKS524337 FUO524329:FUO524337 GEK524329:GEK524337 GOG524329:GOG524337 GYC524329:GYC524337 HHY524329:HHY524337 HRU524329:HRU524337 IBQ524329:IBQ524337 ILM524329:ILM524337 IVI524329:IVI524337 JFE524329:JFE524337 JPA524329:JPA524337 JYW524329:JYW524337 KIS524329:KIS524337 KSO524329:KSO524337 LCK524329:LCK524337 LMG524329:LMG524337 LWC524329:LWC524337 MFY524329:MFY524337 MPU524329:MPU524337 MZQ524329:MZQ524337 NJM524329:NJM524337 NTI524329:NTI524337 ODE524329:ODE524337 ONA524329:ONA524337 OWW524329:OWW524337 PGS524329:PGS524337 PQO524329:PQO524337 QAK524329:QAK524337 QKG524329:QKG524337 QUC524329:QUC524337 RDY524329:RDY524337 RNU524329:RNU524337 RXQ524329:RXQ524337 SHM524329:SHM524337 SRI524329:SRI524337 TBE524329:TBE524337 TLA524329:TLA524337 TUW524329:TUW524337 UES524329:UES524337 UOO524329:UOO524337 UYK524329:UYK524337 VIG524329:VIG524337 VSC524329:VSC524337 WBY524329:WBY524337 WLU524329:WLU524337 WVQ524329:WVQ524337 JE589865:JE589873 TA589865:TA589873 ACW589865:ACW589873 AMS589865:AMS589873 AWO589865:AWO589873 BGK589865:BGK589873 BQG589865:BQG589873 CAC589865:CAC589873 CJY589865:CJY589873 CTU589865:CTU589873 DDQ589865:DDQ589873 DNM589865:DNM589873 DXI589865:DXI589873 EHE589865:EHE589873 ERA589865:ERA589873 FAW589865:FAW589873 FKS589865:FKS589873 FUO589865:FUO589873 GEK589865:GEK589873 GOG589865:GOG589873 GYC589865:GYC589873 HHY589865:HHY589873 HRU589865:HRU589873 IBQ589865:IBQ589873 ILM589865:ILM589873 IVI589865:IVI589873 JFE589865:JFE589873 JPA589865:JPA589873 JYW589865:JYW589873 KIS589865:KIS589873 KSO589865:KSO589873 LCK589865:LCK589873 LMG589865:LMG589873 LWC589865:LWC589873 MFY589865:MFY589873 MPU589865:MPU589873 MZQ589865:MZQ589873 NJM589865:NJM589873 NTI589865:NTI589873 ODE589865:ODE589873 ONA589865:ONA589873 OWW589865:OWW589873 PGS589865:PGS589873 PQO589865:PQO589873 QAK589865:QAK589873 QKG589865:QKG589873 QUC589865:QUC589873 RDY589865:RDY589873 RNU589865:RNU589873 RXQ589865:RXQ589873 SHM589865:SHM589873 SRI589865:SRI589873 TBE589865:TBE589873 TLA589865:TLA589873 TUW589865:TUW589873 UES589865:UES589873 UOO589865:UOO589873 UYK589865:UYK589873 VIG589865:VIG589873 VSC589865:VSC589873 WBY589865:WBY589873 WLU589865:WLU589873 WVQ589865:WVQ589873 JE655401:JE655409 TA655401:TA655409 ACW655401:ACW655409 AMS655401:AMS655409 AWO655401:AWO655409 BGK655401:BGK655409 BQG655401:BQG655409 CAC655401:CAC655409 CJY655401:CJY655409 CTU655401:CTU655409 DDQ655401:DDQ655409 DNM655401:DNM655409 DXI655401:DXI655409 EHE655401:EHE655409 ERA655401:ERA655409 FAW655401:FAW655409 FKS655401:FKS655409 FUO655401:FUO655409 GEK655401:GEK655409 GOG655401:GOG655409 GYC655401:GYC655409 HHY655401:HHY655409 HRU655401:HRU655409 IBQ655401:IBQ655409 ILM655401:ILM655409 IVI655401:IVI655409 JFE655401:JFE655409 JPA655401:JPA655409 JYW655401:JYW655409 KIS655401:KIS655409 KSO655401:KSO655409 LCK655401:LCK655409 LMG655401:LMG655409 LWC655401:LWC655409 MFY655401:MFY655409 MPU655401:MPU655409 MZQ655401:MZQ655409 NJM655401:NJM655409 NTI655401:NTI655409 ODE655401:ODE655409 ONA655401:ONA655409 OWW655401:OWW655409 PGS655401:PGS655409 PQO655401:PQO655409 QAK655401:QAK655409 QKG655401:QKG655409 QUC655401:QUC655409 RDY655401:RDY655409 RNU655401:RNU655409 RXQ655401:RXQ655409 SHM655401:SHM655409 SRI655401:SRI655409 TBE655401:TBE655409 TLA655401:TLA655409 TUW655401:TUW655409 UES655401:UES655409 UOO655401:UOO655409 UYK655401:UYK655409 VIG655401:VIG655409 VSC655401:VSC655409 WBY655401:WBY655409 WLU655401:WLU655409 WVQ655401:WVQ655409 JE720937:JE720945 TA720937:TA720945 ACW720937:ACW720945 AMS720937:AMS720945 AWO720937:AWO720945 BGK720937:BGK720945 BQG720937:BQG720945 CAC720937:CAC720945 CJY720937:CJY720945 CTU720937:CTU720945 DDQ720937:DDQ720945 DNM720937:DNM720945 DXI720937:DXI720945 EHE720937:EHE720945 ERA720937:ERA720945 FAW720937:FAW720945 FKS720937:FKS720945 FUO720937:FUO720945 GEK720937:GEK720945 GOG720937:GOG720945 GYC720937:GYC720945 HHY720937:HHY720945 HRU720937:HRU720945 IBQ720937:IBQ720945 ILM720937:ILM720945 IVI720937:IVI720945 JFE720937:JFE720945 JPA720937:JPA720945 JYW720937:JYW720945 KIS720937:KIS720945 KSO720937:KSO720945 LCK720937:LCK720945 LMG720937:LMG720945 LWC720937:LWC720945 MFY720937:MFY720945 MPU720937:MPU720945 MZQ720937:MZQ720945 NJM720937:NJM720945 NTI720937:NTI720945 ODE720937:ODE720945 ONA720937:ONA720945 OWW720937:OWW720945 PGS720937:PGS720945 PQO720937:PQO720945 QAK720937:QAK720945 QKG720937:QKG720945 QUC720937:QUC720945 RDY720937:RDY720945 RNU720937:RNU720945 RXQ720937:RXQ720945 SHM720937:SHM720945 SRI720937:SRI720945 TBE720937:TBE720945 TLA720937:TLA720945 TUW720937:TUW720945 UES720937:UES720945 UOO720937:UOO720945 UYK720937:UYK720945 VIG720937:VIG720945 VSC720937:VSC720945 WBY720937:WBY720945 WLU720937:WLU720945 WVQ720937:WVQ720945 JE786473:JE786481 TA786473:TA786481 ACW786473:ACW786481 AMS786473:AMS786481 AWO786473:AWO786481 BGK786473:BGK786481 BQG786473:BQG786481 CAC786473:CAC786481 CJY786473:CJY786481 CTU786473:CTU786481 DDQ786473:DDQ786481 DNM786473:DNM786481 DXI786473:DXI786481 EHE786473:EHE786481 ERA786473:ERA786481 FAW786473:FAW786481 FKS786473:FKS786481 FUO786473:FUO786481 GEK786473:GEK786481 GOG786473:GOG786481 GYC786473:GYC786481 HHY786473:HHY786481 HRU786473:HRU786481 IBQ786473:IBQ786481 ILM786473:ILM786481 IVI786473:IVI786481 JFE786473:JFE786481 JPA786473:JPA786481 JYW786473:JYW786481 KIS786473:KIS786481 KSO786473:KSO786481 LCK786473:LCK786481 LMG786473:LMG786481 LWC786473:LWC786481 MFY786473:MFY786481 MPU786473:MPU786481 MZQ786473:MZQ786481 NJM786473:NJM786481 NTI786473:NTI786481 ODE786473:ODE786481 ONA786473:ONA786481 OWW786473:OWW786481 PGS786473:PGS786481 PQO786473:PQO786481 QAK786473:QAK786481 QKG786473:QKG786481 QUC786473:QUC786481 RDY786473:RDY786481 RNU786473:RNU786481 RXQ786473:RXQ786481 SHM786473:SHM786481 SRI786473:SRI786481 TBE786473:TBE786481 TLA786473:TLA786481 TUW786473:TUW786481 UES786473:UES786481 UOO786473:UOO786481 UYK786473:UYK786481 VIG786473:VIG786481 VSC786473:VSC786481 WBY786473:WBY786481 WLU786473:WLU786481 WVQ786473:WVQ786481 JE852009:JE852017 TA852009:TA852017 ACW852009:ACW852017 AMS852009:AMS852017 AWO852009:AWO852017 BGK852009:BGK852017 BQG852009:BQG852017 CAC852009:CAC852017 CJY852009:CJY852017 CTU852009:CTU852017 DDQ852009:DDQ852017 DNM852009:DNM852017 DXI852009:DXI852017 EHE852009:EHE852017 ERA852009:ERA852017 FAW852009:FAW852017 FKS852009:FKS852017 FUO852009:FUO852017 GEK852009:GEK852017 GOG852009:GOG852017 GYC852009:GYC852017 HHY852009:HHY852017 HRU852009:HRU852017 IBQ852009:IBQ852017 ILM852009:ILM852017 IVI852009:IVI852017 JFE852009:JFE852017 JPA852009:JPA852017 JYW852009:JYW852017 KIS852009:KIS852017 KSO852009:KSO852017 LCK852009:LCK852017 LMG852009:LMG852017 LWC852009:LWC852017 MFY852009:MFY852017 MPU852009:MPU852017 MZQ852009:MZQ852017 NJM852009:NJM852017 NTI852009:NTI852017 ODE852009:ODE852017 ONA852009:ONA852017 OWW852009:OWW852017 PGS852009:PGS852017 PQO852009:PQO852017 QAK852009:QAK852017 QKG852009:QKG852017 QUC852009:QUC852017 RDY852009:RDY852017 RNU852009:RNU852017 RXQ852009:RXQ852017 SHM852009:SHM852017 SRI852009:SRI852017 TBE852009:TBE852017 TLA852009:TLA852017 TUW852009:TUW852017 UES852009:UES852017 UOO852009:UOO852017 UYK852009:UYK852017 VIG852009:VIG852017 VSC852009:VSC852017 WBY852009:WBY852017 WLU852009:WLU852017 WVQ852009:WVQ852017 JE917545:JE917553 TA917545:TA917553 ACW917545:ACW917553 AMS917545:AMS917553 AWO917545:AWO917553 BGK917545:BGK917553 BQG917545:BQG917553 CAC917545:CAC917553 CJY917545:CJY917553 CTU917545:CTU917553 DDQ917545:DDQ917553 DNM917545:DNM917553 DXI917545:DXI917553 EHE917545:EHE917553 ERA917545:ERA917553 FAW917545:FAW917553 FKS917545:FKS917553 FUO917545:FUO917553 GEK917545:GEK917553 GOG917545:GOG917553 GYC917545:GYC917553 HHY917545:HHY917553 HRU917545:HRU917553 IBQ917545:IBQ917553 ILM917545:ILM917553 IVI917545:IVI917553 JFE917545:JFE917553 JPA917545:JPA917553 JYW917545:JYW917553 KIS917545:KIS917553 KSO917545:KSO917553 LCK917545:LCK917553 LMG917545:LMG917553 LWC917545:LWC917553 MFY917545:MFY917553 MPU917545:MPU917553 MZQ917545:MZQ917553 NJM917545:NJM917553 NTI917545:NTI917553 ODE917545:ODE917553 ONA917545:ONA917553 OWW917545:OWW917553 PGS917545:PGS917553 PQO917545:PQO917553 QAK917545:QAK917553 QKG917545:QKG917553 QUC917545:QUC917553 RDY917545:RDY917553 RNU917545:RNU917553 RXQ917545:RXQ917553 SHM917545:SHM917553 SRI917545:SRI917553 TBE917545:TBE917553 TLA917545:TLA917553 TUW917545:TUW917553 UES917545:UES917553 UOO917545:UOO917553 UYK917545:UYK917553 VIG917545:VIG917553 VSC917545:VSC917553 WBY917545:WBY917553 WLU917545:WLU917553 WVQ917545:WVQ917553 JE983081:JE983089 TA983081:TA983089 ACW983081:ACW983089 AMS983081:AMS983089 AWO983081:AWO983089 BGK983081:BGK983089 BQG983081:BQG983089 CAC983081:CAC983089 CJY983081:CJY983089 CTU983081:CTU983089 DDQ983081:DDQ983089 DNM983081:DNM983089 DXI983081:DXI983089 EHE983081:EHE983089 ERA983081:ERA983089 FAW983081:FAW983089 FKS983081:FKS983089 FUO983081:FUO983089 GEK983081:GEK983089 GOG983081:GOG983089 GYC983081:GYC983089 HHY983081:HHY983089 HRU983081:HRU983089 IBQ983081:IBQ983089 ILM983081:ILM983089 IVI983081:IVI983089 JFE983081:JFE983089 JPA983081:JPA983089 JYW983081:JYW983089 KIS983081:KIS983089 KSO983081:KSO983089 LCK983081:LCK983089 LMG983081:LMG983089 LWC983081:LWC983089 MFY983081:MFY983089 MPU983081:MPU983089 MZQ983081:MZQ983089 NJM983081:NJM983089 NTI983081:NTI983089 ODE983081:ODE983089 ONA983081:ONA983089 OWW983081:OWW983089 PGS983081:PGS983089 PQO983081:PQO983089 QAK983081:QAK983089 QKG983081:QKG983089 QUC983081:QUC983089 RDY983081:RDY983089 RNU983081:RNU983089 RXQ983081:RXQ983089 SHM983081:SHM983089 SRI983081:SRI983089 TBE983081:TBE983089 TLA983081:TLA983089 TUW983081:TUW983089 UES983081:UES983089 UOO983081:UOO983089 UYK983081:UYK983089 VIG983081:VIG983089 VSC983081:VSC983089 WBY983081:WBY983089 WLU983081:WLU983089 WVQ983081:WVQ983089 I983079:I983087 I917543:I917551 I852007:I852015 I786471:I786479 I720935:I720943 I655399:I655407 I589863:I589871 I524327:I524335 I458791:I458799 I393255:I393263 I327719:I327727 I262183:I262191 I196647:I196655 I131111:I131119 I65575:I65583 SZ42 H983079:H983080 H917543:H917544 H852007:H852008 H786471:H786472 H720935:H720936 H655399:H655400 H589863:H589864 H524327:H524328 H458791:H458792 H393255:H393256 H327719:H327720 H262183:H262184 H196647:H196648 H131111:H131112 H65575:H65576 H983077 H917541 H852005 H786469 H720933 H655397 H589861 H524325 H458789 H393253 H327717 H262181 H196645 H131109 H65573 WVP42 WLT42 WBX42 VSB42 VIF42 UYJ42 UON42 UER42 TUV42 TKZ42 TBD42 SRH42 SHL42 RXP42 RNT42 RDX42 QUB42 QKF42 QAJ42 PQN42 PGR42 OWV42 OMZ42 ODD42 NTH42 NJL42 MZP42 MPT42 MFX42 LWB42 LMF42 LCJ42 KSN42 KIR42 JYV42 JOZ42 JFD42 IVH42 ILL42 IBP42 HRT42 HHX42 GYB42 GOF42 GEJ42 FUN42 FKR42 FAV42 EQZ42 EHD42 DXH42 DNL42 DDP42 CTT42 CJX42 CAB42 BQF42 BGJ42 AWN42 AMR42 ACV42 I42:I50">
      <formula1>$N$113:$N$116</formula1>
    </dataValidation>
  </dataValidations>
  <hyperlinks>
    <hyperlink ref="A1" location="'T&amp;V TOC'!A1" display="TOC"/>
  </hyperlinks>
  <pageMargins left="0.25" right="0.25" top="0.75" bottom="0.75" header="0.3" footer="0.3"/>
  <pageSetup scale="47" orientation="portrait" r:id="rId1"/>
  <headerFooter alignWithMargins="0"/>
  <rowBreaks count="1" manualBreakCount="1">
    <brk id="50" min="1" max="9" man="1"/>
  </rowBreaks>
  <drawing r:id="rId2"/>
  <legacyDrawingHF r:id="rId3"/>
</worksheet>
</file>

<file path=xl/worksheets/sheet37.xml><?xml version="1.0" encoding="utf-8"?>
<worksheet xmlns="http://schemas.openxmlformats.org/spreadsheetml/2006/main" xmlns:r="http://schemas.openxmlformats.org/officeDocument/2006/relationships">
  <dimension ref="A1:N35"/>
  <sheetViews>
    <sheetView showGridLines="0" view="pageBreakPreview" zoomScaleNormal="100" zoomScaleSheetLayoutView="100" workbookViewId="0"/>
  </sheetViews>
  <sheetFormatPr defaultRowHeight="12"/>
  <cols>
    <col min="1" max="1" width="9.140625" style="1119"/>
    <col min="2" max="2" width="20" style="1119" customWidth="1"/>
    <col min="3" max="3" width="16.85546875" style="1119" customWidth="1"/>
    <col min="4" max="5" width="15.7109375" style="1119" customWidth="1"/>
    <col min="6" max="6" width="30.7109375" style="1119" customWidth="1"/>
    <col min="7" max="7" width="10.7109375" style="1119" customWidth="1"/>
    <col min="8" max="8" width="6.85546875" style="1119" customWidth="1"/>
    <col min="9" max="9" width="5.28515625" style="1119" customWidth="1"/>
    <col min="10" max="10" width="33.5703125" style="1119" customWidth="1"/>
    <col min="11" max="12" width="9.140625" style="1119"/>
    <col min="13" max="13" width="9.140625" style="1119" customWidth="1"/>
    <col min="14" max="14" width="9.140625" style="1119" hidden="1" customWidth="1"/>
    <col min="15" max="257" width="9.140625" style="1119"/>
    <col min="258" max="258" width="20" style="1119" customWidth="1"/>
    <col min="259" max="259" width="16.85546875" style="1119" customWidth="1"/>
    <col min="260" max="261" width="15.7109375" style="1119" customWidth="1"/>
    <col min="262" max="262" width="30.7109375" style="1119" customWidth="1"/>
    <col min="263" max="263" width="10.7109375" style="1119" customWidth="1"/>
    <col min="264" max="265" width="6.85546875" style="1119" customWidth="1"/>
    <col min="266" max="266" width="33.5703125" style="1119" customWidth="1"/>
    <col min="267" max="268" width="9.140625" style="1119"/>
    <col min="269" max="269" width="9.140625" style="1119" customWidth="1"/>
    <col min="270" max="270" width="0" style="1119" hidden="1" customWidth="1"/>
    <col min="271" max="513" width="9.140625" style="1119"/>
    <col min="514" max="514" width="20" style="1119" customWidth="1"/>
    <col min="515" max="515" width="16.85546875" style="1119" customWidth="1"/>
    <col min="516" max="517" width="15.7109375" style="1119" customWidth="1"/>
    <col min="518" max="518" width="30.7109375" style="1119" customWidth="1"/>
    <col min="519" max="519" width="10.7109375" style="1119" customWidth="1"/>
    <col min="520" max="521" width="6.85546875" style="1119" customWidth="1"/>
    <col min="522" max="522" width="33.5703125" style="1119" customWidth="1"/>
    <col min="523" max="524" width="9.140625" style="1119"/>
    <col min="525" max="525" width="9.140625" style="1119" customWidth="1"/>
    <col min="526" max="526" width="0" style="1119" hidden="1" customWidth="1"/>
    <col min="527" max="769" width="9.140625" style="1119"/>
    <col min="770" max="770" width="20" style="1119" customWidth="1"/>
    <col min="771" max="771" width="16.85546875" style="1119" customWidth="1"/>
    <col min="772" max="773" width="15.7109375" style="1119" customWidth="1"/>
    <col min="774" max="774" width="30.7109375" style="1119" customWidth="1"/>
    <col min="775" max="775" width="10.7109375" style="1119" customWidth="1"/>
    <col min="776" max="777" width="6.85546875" style="1119" customWidth="1"/>
    <col min="778" max="778" width="33.5703125" style="1119" customWidth="1"/>
    <col min="779" max="780" width="9.140625" style="1119"/>
    <col min="781" max="781" width="9.140625" style="1119" customWidth="1"/>
    <col min="782" max="782" width="0" style="1119" hidden="1" customWidth="1"/>
    <col min="783" max="1025" width="9.140625" style="1119"/>
    <col min="1026" max="1026" width="20" style="1119" customWidth="1"/>
    <col min="1027" max="1027" width="16.85546875" style="1119" customWidth="1"/>
    <col min="1028" max="1029" width="15.7109375" style="1119" customWidth="1"/>
    <col min="1030" max="1030" width="30.7109375" style="1119" customWidth="1"/>
    <col min="1031" max="1031" width="10.7109375" style="1119" customWidth="1"/>
    <col min="1032" max="1033" width="6.85546875" style="1119" customWidth="1"/>
    <col min="1034" max="1034" width="33.5703125" style="1119" customWidth="1"/>
    <col min="1035" max="1036" width="9.140625" style="1119"/>
    <col min="1037" max="1037" width="9.140625" style="1119" customWidth="1"/>
    <col min="1038" max="1038" width="0" style="1119" hidden="1" customWidth="1"/>
    <col min="1039" max="1281" width="9.140625" style="1119"/>
    <col min="1282" max="1282" width="20" style="1119" customWidth="1"/>
    <col min="1283" max="1283" width="16.85546875" style="1119" customWidth="1"/>
    <col min="1284" max="1285" width="15.7109375" style="1119" customWidth="1"/>
    <col min="1286" max="1286" width="30.7109375" style="1119" customWidth="1"/>
    <col min="1287" max="1287" width="10.7109375" style="1119" customWidth="1"/>
    <col min="1288" max="1289" width="6.85546875" style="1119" customWidth="1"/>
    <col min="1290" max="1290" width="33.5703125" style="1119" customWidth="1"/>
    <col min="1291" max="1292" width="9.140625" style="1119"/>
    <col min="1293" max="1293" width="9.140625" style="1119" customWidth="1"/>
    <col min="1294" max="1294" width="0" style="1119" hidden="1" customWidth="1"/>
    <col min="1295" max="1537" width="9.140625" style="1119"/>
    <col min="1538" max="1538" width="20" style="1119" customWidth="1"/>
    <col min="1539" max="1539" width="16.85546875" style="1119" customWidth="1"/>
    <col min="1540" max="1541" width="15.7109375" style="1119" customWidth="1"/>
    <col min="1542" max="1542" width="30.7109375" style="1119" customWidth="1"/>
    <col min="1543" max="1543" width="10.7109375" style="1119" customWidth="1"/>
    <col min="1544" max="1545" width="6.85546875" style="1119" customWidth="1"/>
    <col min="1546" max="1546" width="33.5703125" style="1119" customWidth="1"/>
    <col min="1547" max="1548" width="9.140625" style="1119"/>
    <col min="1549" max="1549" width="9.140625" style="1119" customWidth="1"/>
    <col min="1550" max="1550" width="0" style="1119" hidden="1" customWidth="1"/>
    <col min="1551" max="1793" width="9.140625" style="1119"/>
    <col min="1794" max="1794" width="20" style="1119" customWidth="1"/>
    <col min="1795" max="1795" width="16.85546875" style="1119" customWidth="1"/>
    <col min="1796" max="1797" width="15.7109375" style="1119" customWidth="1"/>
    <col min="1798" max="1798" width="30.7109375" style="1119" customWidth="1"/>
    <col min="1799" max="1799" width="10.7109375" style="1119" customWidth="1"/>
    <col min="1800" max="1801" width="6.85546875" style="1119" customWidth="1"/>
    <col min="1802" max="1802" width="33.5703125" style="1119" customWidth="1"/>
    <col min="1803" max="1804" width="9.140625" style="1119"/>
    <col min="1805" max="1805" width="9.140625" style="1119" customWidth="1"/>
    <col min="1806" max="1806" width="0" style="1119" hidden="1" customWidth="1"/>
    <col min="1807" max="2049" width="9.140625" style="1119"/>
    <col min="2050" max="2050" width="20" style="1119" customWidth="1"/>
    <col min="2051" max="2051" width="16.85546875" style="1119" customWidth="1"/>
    <col min="2052" max="2053" width="15.7109375" style="1119" customWidth="1"/>
    <col min="2054" max="2054" width="30.7109375" style="1119" customWidth="1"/>
    <col min="2055" max="2055" width="10.7109375" style="1119" customWidth="1"/>
    <col min="2056" max="2057" width="6.85546875" style="1119" customWidth="1"/>
    <col min="2058" max="2058" width="33.5703125" style="1119" customWidth="1"/>
    <col min="2059" max="2060" width="9.140625" style="1119"/>
    <col min="2061" max="2061" width="9.140625" style="1119" customWidth="1"/>
    <col min="2062" max="2062" width="0" style="1119" hidden="1" customWidth="1"/>
    <col min="2063" max="2305" width="9.140625" style="1119"/>
    <col min="2306" max="2306" width="20" style="1119" customWidth="1"/>
    <col min="2307" max="2307" width="16.85546875" style="1119" customWidth="1"/>
    <col min="2308" max="2309" width="15.7109375" style="1119" customWidth="1"/>
    <col min="2310" max="2310" width="30.7109375" style="1119" customWidth="1"/>
    <col min="2311" max="2311" width="10.7109375" style="1119" customWidth="1"/>
    <col min="2312" max="2313" width="6.85546875" style="1119" customWidth="1"/>
    <col min="2314" max="2314" width="33.5703125" style="1119" customWidth="1"/>
    <col min="2315" max="2316" width="9.140625" style="1119"/>
    <col min="2317" max="2317" width="9.140625" style="1119" customWidth="1"/>
    <col min="2318" max="2318" width="0" style="1119" hidden="1" customWidth="1"/>
    <col min="2319" max="2561" width="9.140625" style="1119"/>
    <col min="2562" max="2562" width="20" style="1119" customWidth="1"/>
    <col min="2563" max="2563" width="16.85546875" style="1119" customWidth="1"/>
    <col min="2564" max="2565" width="15.7109375" style="1119" customWidth="1"/>
    <col min="2566" max="2566" width="30.7109375" style="1119" customWidth="1"/>
    <col min="2567" max="2567" width="10.7109375" style="1119" customWidth="1"/>
    <col min="2568" max="2569" width="6.85546875" style="1119" customWidth="1"/>
    <col min="2570" max="2570" width="33.5703125" style="1119" customWidth="1"/>
    <col min="2571" max="2572" width="9.140625" style="1119"/>
    <col min="2573" max="2573" width="9.140625" style="1119" customWidth="1"/>
    <col min="2574" max="2574" width="0" style="1119" hidden="1" customWidth="1"/>
    <col min="2575" max="2817" width="9.140625" style="1119"/>
    <col min="2818" max="2818" width="20" style="1119" customWidth="1"/>
    <col min="2819" max="2819" width="16.85546875" style="1119" customWidth="1"/>
    <col min="2820" max="2821" width="15.7109375" style="1119" customWidth="1"/>
    <col min="2822" max="2822" width="30.7109375" style="1119" customWidth="1"/>
    <col min="2823" max="2823" width="10.7109375" style="1119" customWidth="1"/>
    <col min="2824" max="2825" width="6.85546875" style="1119" customWidth="1"/>
    <col min="2826" max="2826" width="33.5703125" style="1119" customWidth="1"/>
    <col min="2827" max="2828" width="9.140625" style="1119"/>
    <col min="2829" max="2829" width="9.140625" style="1119" customWidth="1"/>
    <col min="2830" max="2830" width="0" style="1119" hidden="1" customWidth="1"/>
    <col min="2831" max="3073" width="9.140625" style="1119"/>
    <col min="3074" max="3074" width="20" style="1119" customWidth="1"/>
    <col min="3075" max="3075" width="16.85546875" style="1119" customWidth="1"/>
    <col min="3076" max="3077" width="15.7109375" style="1119" customWidth="1"/>
    <col min="3078" max="3078" width="30.7109375" style="1119" customWidth="1"/>
    <col min="3079" max="3079" width="10.7109375" style="1119" customWidth="1"/>
    <col min="3080" max="3081" width="6.85546875" style="1119" customWidth="1"/>
    <col min="3082" max="3082" width="33.5703125" style="1119" customWidth="1"/>
    <col min="3083" max="3084" width="9.140625" style="1119"/>
    <col min="3085" max="3085" width="9.140625" style="1119" customWidth="1"/>
    <col min="3086" max="3086" width="0" style="1119" hidden="1" customWidth="1"/>
    <col min="3087" max="3329" width="9.140625" style="1119"/>
    <col min="3330" max="3330" width="20" style="1119" customWidth="1"/>
    <col min="3331" max="3331" width="16.85546875" style="1119" customWidth="1"/>
    <col min="3332" max="3333" width="15.7109375" style="1119" customWidth="1"/>
    <col min="3334" max="3334" width="30.7109375" style="1119" customWidth="1"/>
    <col min="3335" max="3335" width="10.7109375" style="1119" customWidth="1"/>
    <col min="3336" max="3337" width="6.85546875" style="1119" customWidth="1"/>
    <col min="3338" max="3338" width="33.5703125" style="1119" customWidth="1"/>
    <col min="3339" max="3340" width="9.140625" style="1119"/>
    <col min="3341" max="3341" width="9.140625" style="1119" customWidth="1"/>
    <col min="3342" max="3342" width="0" style="1119" hidden="1" customWidth="1"/>
    <col min="3343" max="3585" width="9.140625" style="1119"/>
    <col min="3586" max="3586" width="20" style="1119" customWidth="1"/>
    <col min="3587" max="3587" width="16.85546875" style="1119" customWidth="1"/>
    <col min="3588" max="3589" width="15.7109375" style="1119" customWidth="1"/>
    <col min="3590" max="3590" width="30.7109375" style="1119" customWidth="1"/>
    <col min="3591" max="3591" width="10.7109375" style="1119" customWidth="1"/>
    <col min="3592" max="3593" width="6.85546875" style="1119" customWidth="1"/>
    <col min="3594" max="3594" width="33.5703125" style="1119" customWidth="1"/>
    <col min="3595" max="3596" width="9.140625" style="1119"/>
    <col min="3597" max="3597" width="9.140625" style="1119" customWidth="1"/>
    <col min="3598" max="3598" width="0" style="1119" hidden="1" customWidth="1"/>
    <col min="3599" max="3841" width="9.140625" style="1119"/>
    <col min="3842" max="3842" width="20" style="1119" customWidth="1"/>
    <col min="3843" max="3843" width="16.85546875" style="1119" customWidth="1"/>
    <col min="3844" max="3845" width="15.7109375" style="1119" customWidth="1"/>
    <col min="3846" max="3846" width="30.7109375" style="1119" customWidth="1"/>
    <col min="3847" max="3847" width="10.7109375" style="1119" customWidth="1"/>
    <col min="3848" max="3849" width="6.85546875" style="1119" customWidth="1"/>
    <col min="3850" max="3850" width="33.5703125" style="1119" customWidth="1"/>
    <col min="3851" max="3852" width="9.140625" style="1119"/>
    <col min="3853" max="3853" width="9.140625" style="1119" customWidth="1"/>
    <col min="3854" max="3854" width="0" style="1119" hidden="1" customWidth="1"/>
    <col min="3855" max="4097" width="9.140625" style="1119"/>
    <col min="4098" max="4098" width="20" style="1119" customWidth="1"/>
    <col min="4099" max="4099" width="16.85546875" style="1119" customWidth="1"/>
    <col min="4100" max="4101" width="15.7109375" style="1119" customWidth="1"/>
    <col min="4102" max="4102" width="30.7109375" style="1119" customWidth="1"/>
    <col min="4103" max="4103" width="10.7109375" style="1119" customWidth="1"/>
    <col min="4104" max="4105" width="6.85546875" style="1119" customWidth="1"/>
    <col min="4106" max="4106" width="33.5703125" style="1119" customWidth="1"/>
    <col min="4107" max="4108" width="9.140625" style="1119"/>
    <col min="4109" max="4109" width="9.140625" style="1119" customWidth="1"/>
    <col min="4110" max="4110" width="0" style="1119" hidden="1" customWidth="1"/>
    <col min="4111" max="4353" width="9.140625" style="1119"/>
    <col min="4354" max="4354" width="20" style="1119" customWidth="1"/>
    <col min="4355" max="4355" width="16.85546875" style="1119" customWidth="1"/>
    <col min="4356" max="4357" width="15.7109375" style="1119" customWidth="1"/>
    <col min="4358" max="4358" width="30.7109375" style="1119" customWidth="1"/>
    <col min="4359" max="4359" width="10.7109375" style="1119" customWidth="1"/>
    <col min="4360" max="4361" width="6.85546875" style="1119" customWidth="1"/>
    <col min="4362" max="4362" width="33.5703125" style="1119" customWidth="1"/>
    <col min="4363" max="4364" width="9.140625" style="1119"/>
    <col min="4365" max="4365" width="9.140625" style="1119" customWidth="1"/>
    <col min="4366" max="4366" width="0" style="1119" hidden="1" customWidth="1"/>
    <col min="4367" max="4609" width="9.140625" style="1119"/>
    <col min="4610" max="4610" width="20" style="1119" customWidth="1"/>
    <col min="4611" max="4611" width="16.85546875" style="1119" customWidth="1"/>
    <col min="4612" max="4613" width="15.7109375" style="1119" customWidth="1"/>
    <col min="4614" max="4614" width="30.7109375" style="1119" customWidth="1"/>
    <col min="4615" max="4615" width="10.7109375" style="1119" customWidth="1"/>
    <col min="4616" max="4617" width="6.85546875" style="1119" customWidth="1"/>
    <col min="4618" max="4618" width="33.5703125" style="1119" customWidth="1"/>
    <col min="4619" max="4620" width="9.140625" style="1119"/>
    <col min="4621" max="4621" width="9.140625" style="1119" customWidth="1"/>
    <col min="4622" max="4622" width="0" style="1119" hidden="1" customWidth="1"/>
    <col min="4623" max="4865" width="9.140625" style="1119"/>
    <col min="4866" max="4866" width="20" style="1119" customWidth="1"/>
    <col min="4867" max="4867" width="16.85546875" style="1119" customWidth="1"/>
    <col min="4868" max="4869" width="15.7109375" style="1119" customWidth="1"/>
    <col min="4870" max="4870" width="30.7109375" style="1119" customWidth="1"/>
    <col min="4871" max="4871" width="10.7109375" style="1119" customWidth="1"/>
    <col min="4872" max="4873" width="6.85546875" style="1119" customWidth="1"/>
    <col min="4874" max="4874" width="33.5703125" style="1119" customWidth="1"/>
    <col min="4875" max="4876" width="9.140625" style="1119"/>
    <col min="4877" max="4877" width="9.140625" style="1119" customWidth="1"/>
    <col min="4878" max="4878" width="0" style="1119" hidden="1" customWidth="1"/>
    <col min="4879" max="5121" width="9.140625" style="1119"/>
    <col min="5122" max="5122" width="20" style="1119" customWidth="1"/>
    <col min="5123" max="5123" width="16.85546875" style="1119" customWidth="1"/>
    <col min="5124" max="5125" width="15.7109375" style="1119" customWidth="1"/>
    <col min="5126" max="5126" width="30.7109375" style="1119" customWidth="1"/>
    <col min="5127" max="5127" width="10.7109375" style="1119" customWidth="1"/>
    <col min="5128" max="5129" width="6.85546875" style="1119" customWidth="1"/>
    <col min="5130" max="5130" width="33.5703125" style="1119" customWidth="1"/>
    <col min="5131" max="5132" width="9.140625" style="1119"/>
    <col min="5133" max="5133" width="9.140625" style="1119" customWidth="1"/>
    <col min="5134" max="5134" width="0" style="1119" hidden="1" customWidth="1"/>
    <col min="5135" max="5377" width="9.140625" style="1119"/>
    <col min="5378" max="5378" width="20" style="1119" customWidth="1"/>
    <col min="5379" max="5379" width="16.85546875" style="1119" customWidth="1"/>
    <col min="5380" max="5381" width="15.7109375" style="1119" customWidth="1"/>
    <col min="5382" max="5382" width="30.7109375" style="1119" customWidth="1"/>
    <col min="5383" max="5383" width="10.7109375" style="1119" customWidth="1"/>
    <col min="5384" max="5385" width="6.85546875" style="1119" customWidth="1"/>
    <col min="5386" max="5386" width="33.5703125" style="1119" customWidth="1"/>
    <col min="5387" max="5388" width="9.140625" style="1119"/>
    <col min="5389" max="5389" width="9.140625" style="1119" customWidth="1"/>
    <col min="5390" max="5390" width="0" style="1119" hidden="1" customWidth="1"/>
    <col min="5391" max="5633" width="9.140625" style="1119"/>
    <col min="5634" max="5634" width="20" style="1119" customWidth="1"/>
    <col min="5635" max="5635" width="16.85546875" style="1119" customWidth="1"/>
    <col min="5636" max="5637" width="15.7109375" style="1119" customWidth="1"/>
    <col min="5638" max="5638" width="30.7109375" style="1119" customWidth="1"/>
    <col min="5639" max="5639" width="10.7109375" style="1119" customWidth="1"/>
    <col min="5640" max="5641" width="6.85546875" style="1119" customWidth="1"/>
    <col min="5642" max="5642" width="33.5703125" style="1119" customWidth="1"/>
    <col min="5643" max="5644" width="9.140625" style="1119"/>
    <col min="5645" max="5645" width="9.140625" style="1119" customWidth="1"/>
    <col min="5646" max="5646" width="0" style="1119" hidden="1" customWidth="1"/>
    <col min="5647" max="5889" width="9.140625" style="1119"/>
    <col min="5890" max="5890" width="20" style="1119" customWidth="1"/>
    <col min="5891" max="5891" width="16.85546875" style="1119" customWidth="1"/>
    <col min="5892" max="5893" width="15.7109375" style="1119" customWidth="1"/>
    <col min="5894" max="5894" width="30.7109375" style="1119" customWidth="1"/>
    <col min="5895" max="5895" width="10.7109375" style="1119" customWidth="1"/>
    <col min="5896" max="5897" width="6.85546875" style="1119" customWidth="1"/>
    <col min="5898" max="5898" width="33.5703125" style="1119" customWidth="1"/>
    <col min="5899" max="5900" width="9.140625" style="1119"/>
    <col min="5901" max="5901" width="9.140625" style="1119" customWidth="1"/>
    <col min="5902" max="5902" width="0" style="1119" hidden="1" customWidth="1"/>
    <col min="5903" max="6145" width="9.140625" style="1119"/>
    <col min="6146" max="6146" width="20" style="1119" customWidth="1"/>
    <col min="6147" max="6147" width="16.85546875" style="1119" customWidth="1"/>
    <col min="6148" max="6149" width="15.7109375" style="1119" customWidth="1"/>
    <col min="6150" max="6150" width="30.7109375" style="1119" customWidth="1"/>
    <col min="6151" max="6151" width="10.7109375" style="1119" customWidth="1"/>
    <col min="6152" max="6153" width="6.85546875" style="1119" customWidth="1"/>
    <col min="6154" max="6154" width="33.5703125" style="1119" customWidth="1"/>
    <col min="6155" max="6156" width="9.140625" style="1119"/>
    <col min="6157" max="6157" width="9.140625" style="1119" customWidth="1"/>
    <col min="6158" max="6158" width="0" style="1119" hidden="1" customWidth="1"/>
    <col min="6159" max="6401" width="9.140625" style="1119"/>
    <col min="6402" max="6402" width="20" style="1119" customWidth="1"/>
    <col min="6403" max="6403" width="16.85546875" style="1119" customWidth="1"/>
    <col min="6404" max="6405" width="15.7109375" style="1119" customWidth="1"/>
    <col min="6406" max="6406" width="30.7109375" style="1119" customWidth="1"/>
    <col min="6407" max="6407" width="10.7109375" style="1119" customWidth="1"/>
    <col min="6408" max="6409" width="6.85546875" style="1119" customWidth="1"/>
    <col min="6410" max="6410" width="33.5703125" style="1119" customWidth="1"/>
    <col min="6411" max="6412" width="9.140625" style="1119"/>
    <col min="6413" max="6413" width="9.140625" style="1119" customWidth="1"/>
    <col min="6414" max="6414" width="0" style="1119" hidden="1" customWidth="1"/>
    <col min="6415" max="6657" width="9.140625" style="1119"/>
    <col min="6658" max="6658" width="20" style="1119" customWidth="1"/>
    <col min="6659" max="6659" width="16.85546875" style="1119" customWidth="1"/>
    <col min="6660" max="6661" width="15.7109375" style="1119" customWidth="1"/>
    <col min="6662" max="6662" width="30.7109375" style="1119" customWidth="1"/>
    <col min="6663" max="6663" width="10.7109375" style="1119" customWidth="1"/>
    <col min="6664" max="6665" width="6.85546875" style="1119" customWidth="1"/>
    <col min="6666" max="6666" width="33.5703125" style="1119" customWidth="1"/>
    <col min="6667" max="6668" width="9.140625" style="1119"/>
    <col min="6669" max="6669" width="9.140625" style="1119" customWidth="1"/>
    <col min="6670" max="6670" width="0" style="1119" hidden="1" customWidth="1"/>
    <col min="6671" max="6913" width="9.140625" style="1119"/>
    <col min="6914" max="6914" width="20" style="1119" customWidth="1"/>
    <col min="6915" max="6915" width="16.85546875" style="1119" customWidth="1"/>
    <col min="6916" max="6917" width="15.7109375" style="1119" customWidth="1"/>
    <col min="6918" max="6918" width="30.7109375" style="1119" customWidth="1"/>
    <col min="6919" max="6919" width="10.7109375" style="1119" customWidth="1"/>
    <col min="6920" max="6921" width="6.85546875" style="1119" customWidth="1"/>
    <col min="6922" max="6922" width="33.5703125" style="1119" customWidth="1"/>
    <col min="6923" max="6924" width="9.140625" style="1119"/>
    <col min="6925" max="6925" width="9.140625" style="1119" customWidth="1"/>
    <col min="6926" max="6926" width="0" style="1119" hidden="1" customWidth="1"/>
    <col min="6927" max="7169" width="9.140625" style="1119"/>
    <col min="7170" max="7170" width="20" style="1119" customWidth="1"/>
    <col min="7171" max="7171" width="16.85546875" style="1119" customWidth="1"/>
    <col min="7172" max="7173" width="15.7109375" style="1119" customWidth="1"/>
    <col min="7174" max="7174" width="30.7109375" style="1119" customWidth="1"/>
    <col min="7175" max="7175" width="10.7109375" style="1119" customWidth="1"/>
    <col min="7176" max="7177" width="6.85546875" style="1119" customWidth="1"/>
    <col min="7178" max="7178" width="33.5703125" style="1119" customWidth="1"/>
    <col min="7179" max="7180" width="9.140625" style="1119"/>
    <col min="7181" max="7181" width="9.140625" style="1119" customWidth="1"/>
    <col min="7182" max="7182" width="0" style="1119" hidden="1" customWidth="1"/>
    <col min="7183" max="7425" width="9.140625" style="1119"/>
    <col min="7426" max="7426" width="20" style="1119" customWidth="1"/>
    <col min="7427" max="7427" width="16.85546875" style="1119" customWidth="1"/>
    <col min="7428" max="7429" width="15.7109375" style="1119" customWidth="1"/>
    <col min="7430" max="7430" width="30.7109375" style="1119" customWidth="1"/>
    <col min="7431" max="7431" width="10.7109375" style="1119" customWidth="1"/>
    <col min="7432" max="7433" width="6.85546875" style="1119" customWidth="1"/>
    <col min="7434" max="7434" width="33.5703125" style="1119" customWidth="1"/>
    <col min="7435" max="7436" width="9.140625" style="1119"/>
    <col min="7437" max="7437" width="9.140625" style="1119" customWidth="1"/>
    <col min="7438" max="7438" width="0" style="1119" hidden="1" customWidth="1"/>
    <col min="7439" max="7681" width="9.140625" style="1119"/>
    <col min="7682" max="7682" width="20" style="1119" customWidth="1"/>
    <col min="7683" max="7683" width="16.85546875" style="1119" customWidth="1"/>
    <col min="7684" max="7685" width="15.7109375" style="1119" customWidth="1"/>
    <col min="7686" max="7686" width="30.7109375" style="1119" customWidth="1"/>
    <col min="7687" max="7687" width="10.7109375" style="1119" customWidth="1"/>
    <col min="7688" max="7689" width="6.85546875" style="1119" customWidth="1"/>
    <col min="7690" max="7690" width="33.5703125" style="1119" customWidth="1"/>
    <col min="7691" max="7692" width="9.140625" style="1119"/>
    <col min="7693" max="7693" width="9.140625" style="1119" customWidth="1"/>
    <col min="7694" max="7694" width="0" style="1119" hidden="1" customWidth="1"/>
    <col min="7695" max="7937" width="9.140625" style="1119"/>
    <col min="7938" max="7938" width="20" style="1119" customWidth="1"/>
    <col min="7939" max="7939" width="16.85546875" style="1119" customWidth="1"/>
    <col min="7940" max="7941" width="15.7109375" style="1119" customWidth="1"/>
    <col min="7942" max="7942" width="30.7109375" style="1119" customWidth="1"/>
    <col min="7943" max="7943" width="10.7109375" style="1119" customWidth="1"/>
    <col min="7944" max="7945" width="6.85546875" style="1119" customWidth="1"/>
    <col min="7946" max="7946" width="33.5703125" style="1119" customWidth="1"/>
    <col min="7947" max="7948" width="9.140625" style="1119"/>
    <col min="7949" max="7949" width="9.140625" style="1119" customWidth="1"/>
    <col min="7950" max="7950" width="0" style="1119" hidden="1" customWidth="1"/>
    <col min="7951" max="8193" width="9.140625" style="1119"/>
    <col min="8194" max="8194" width="20" style="1119" customWidth="1"/>
    <col min="8195" max="8195" width="16.85546875" style="1119" customWidth="1"/>
    <col min="8196" max="8197" width="15.7109375" style="1119" customWidth="1"/>
    <col min="8198" max="8198" width="30.7109375" style="1119" customWidth="1"/>
    <col min="8199" max="8199" width="10.7109375" style="1119" customWidth="1"/>
    <col min="8200" max="8201" width="6.85546875" style="1119" customWidth="1"/>
    <col min="8202" max="8202" width="33.5703125" style="1119" customWidth="1"/>
    <col min="8203" max="8204" width="9.140625" style="1119"/>
    <col min="8205" max="8205" width="9.140625" style="1119" customWidth="1"/>
    <col min="8206" max="8206" width="0" style="1119" hidden="1" customWidth="1"/>
    <col min="8207" max="8449" width="9.140625" style="1119"/>
    <col min="8450" max="8450" width="20" style="1119" customWidth="1"/>
    <col min="8451" max="8451" width="16.85546875" style="1119" customWidth="1"/>
    <col min="8452" max="8453" width="15.7109375" style="1119" customWidth="1"/>
    <col min="8454" max="8454" width="30.7109375" style="1119" customWidth="1"/>
    <col min="8455" max="8455" width="10.7109375" style="1119" customWidth="1"/>
    <col min="8456" max="8457" width="6.85546875" style="1119" customWidth="1"/>
    <col min="8458" max="8458" width="33.5703125" style="1119" customWidth="1"/>
    <col min="8459" max="8460" width="9.140625" style="1119"/>
    <col min="8461" max="8461" width="9.140625" style="1119" customWidth="1"/>
    <col min="8462" max="8462" width="0" style="1119" hidden="1" customWidth="1"/>
    <col min="8463" max="8705" width="9.140625" style="1119"/>
    <col min="8706" max="8706" width="20" style="1119" customWidth="1"/>
    <col min="8707" max="8707" width="16.85546875" style="1119" customWidth="1"/>
    <col min="8708" max="8709" width="15.7109375" style="1119" customWidth="1"/>
    <col min="8710" max="8710" width="30.7109375" style="1119" customWidth="1"/>
    <col min="8711" max="8711" width="10.7109375" style="1119" customWidth="1"/>
    <col min="8712" max="8713" width="6.85546875" style="1119" customWidth="1"/>
    <col min="8714" max="8714" width="33.5703125" style="1119" customWidth="1"/>
    <col min="8715" max="8716" width="9.140625" style="1119"/>
    <col min="8717" max="8717" width="9.140625" style="1119" customWidth="1"/>
    <col min="8718" max="8718" width="0" style="1119" hidden="1" customWidth="1"/>
    <col min="8719" max="8961" width="9.140625" style="1119"/>
    <col min="8962" max="8962" width="20" style="1119" customWidth="1"/>
    <col min="8963" max="8963" width="16.85546875" style="1119" customWidth="1"/>
    <col min="8964" max="8965" width="15.7109375" style="1119" customWidth="1"/>
    <col min="8966" max="8966" width="30.7109375" style="1119" customWidth="1"/>
    <col min="8967" max="8967" width="10.7109375" style="1119" customWidth="1"/>
    <col min="8968" max="8969" width="6.85546875" style="1119" customWidth="1"/>
    <col min="8970" max="8970" width="33.5703125" style="1119" customWidth="1"/>
    <col min="8971" max="8972" width="9.140625" style="1119"/>
    <col min="8973" max="8973" width="9.140625" style="1119" customWidth="1"/>
    <col min="8974" max="8974" width="0" style="1119" hidden="1" customWidth="1"/>
    <col min="8975" max="9217" width="9.140625" style="1119"/>
    <col min="9218" max="9218" width="20" style="1119" customWidth="1"/>
    <col min="9219" max="9219" width="16.85546875" style="1119" customWidth="1"/>
    <col min="9220" max="9221" width="15.7109375" style="1119" customWidth="1"/>
    <col min="9222" max="9222" width="30.7109375" style="1119" customWidth="1"/>
    <col min="9223" max="9223" width="10.7109375" style="1119" customWidth="1"/>
    <col min="9224" max="9225" width="6.85546875" style="1119" customWidth="1"/>
    <col min="9226" max="9226" width="33.5703125" style="1119" customWidth="1"/>
    <col min="9227" max="9228" width="9.140625" style="1119"/>
    <col min="9229" max="9229" width="9.140625" style="1119" customWidth="1"/>
    <col min="9230" max="9230" width="0" style="1119" hidden="1" customWidth="1"/>
    <col min="9231" max="9473" width="9.140625" style="1119"/>
    <col min="9474" max="9474" width="20" style="1119" customWidth="1"/>
    <col min="9475" max="9475" width="16.85546875" style="1119" customWidth="1"/>
    <col min="9476" max="9477" width="15.7109375" style="1119" customWidth="1"/>
    <col min="9478" max="9478" width="30.7109375" style="1119" customWidth="1"/>
    <col min="9479" max="9479" width="10.7109375" style="1119" customWidth="1"/>
    <col min="9480" max="9481" width="6.85546875" style="1119" customWidth="1"/>
    <col min="9482" max="9482" width="33.5703125" style="1119" customWidth="1"/>
    <col min="9483" max="9484" width="9.140625" style="1119"/>
    <col min="9485" max="9485" width="9.140625" style="1119" customWidth="1"/>
    <col min="9486" max="9486" width="0" style="1119" hidden="1" customWidth="1"/>
    <col min="9487" max="9729" width="9.140625" style="1119"/>
    <col min="9730" max="9730" width="20" style="1119" customWidth="1"/>
    <col min="9731" max="9731" width="16.85546875" style="1119" customWidth="1"/>
    <col min="9732" max="9733" width="15.7109375" style="1119" customWidth="1"/>
    <col min="9734" max="9734" width="30.7109375" style="1119" customWidth="1"/>
    <col min="9735" max="9735" width="10.7109375" style="1119" customWidth="1"/>
    <col min="9736" max="9737" width="6.85546875" style="1119" customWidth="1"/>
    <col min="9738" max="9738" width="33.5703125" style="1119" customWidth="1"/>
    <col min="9739" max="9740" width="9.140625" style="1119"/>
    <col min="9741" max="9741" width="9.140625" style="1119" customWidth="1"/>
    <col min="9742" max="9742" width="0" style="1119" hidden="1" customWidth="1"/>
    <col min="9743" max="9985" width="9.140625" style="1119"/>
    <col min="9986" max="9986" width="20" style="1119" customWidth="1"/>
    <col min="9987" max="9987" width="16.85546875" style="1119" customWidth="1"/>
    <col min="9988" max="9989" width="15.7109375" style="1119" customWidth="1"/>
    <col min="9990" max="9990" width="30.7109375" style="1119" customWidth="1"/>
    <col min="9991" max="9991" width="10.7109375" style="1119" customWidth="1"/>
    <col min="9992" max="9993" width="6.85546875" style="1119" customWidth="1"/>
    <col min="9994" max="9994" width="33.5703125" style="1119" customWidth="1"/>
    <col min="9995" max="9996" width="9.140625" style="1119"/>
    <col min="9997" max="9997" width="9.140625" style="1119" customWidth="1"/>
    <col min="9998" max="9998" width="0" style="1119" hidden="1" customWidth="1"/>
    <col min="9999" max="10241" width="9.140625" style="1119"/>
    <col min="10242" max="10242" width="20" style="1119" customWidth="1"/>
    <col min="10243" max="10243" width="16.85546875" style="1119" customWidth="1"/>
    <col min="10244" max="10245" width="15.7109375" style="1119" customWidth="1"/>
    <col min="10246" max="10246" width="30.7109375" style="1119" customWidth="1"/>
    <col min="10247" max="10247" width="10.7109375" style="1119" customWidth="1"/>
    <col min="10248" max="10249" width="6.85546875" style="1119" customWidth="1"/>
    <col min="10250" max="10250" width="33.5703125" style="1119" customWidth="1"/>
    <col min="10251" max="10252" width="9.140625" style="1119"/>
    <col min="10253" max="10253" width="9.140625" style="1119" customWidth="1"/>
    <col min="10254" max="10254" width="0" style="1119" hidden="1" customWidth="1"/>
    <col min="10255" max="10497" width="9.140625" style="1119"/>
    <col min="10498" max="10498" width="20" style="1119" customWidth="1"/>
    <col min="10499" max="10499" width="16.85546875" style="1119" customWidth="1"/>
    <col min="10500" max="10501" width="15.7109375" style="1119" customWidth="1"/>
    <col min="10502" max="10502" width="30.7109375" style="1119" customWidth="1"/>
    <col min="10503" max="10503" width="10.7109375" style="1119" customWidth="1"/>
    <col min="10504" max="10505" width="6.85546875" style="1119" customWidth="1"/>
    <col min="10506" max="10506" width="33.5703125" style="1119" customWidth="1"/>
    <col min="10507" max="10508" width="9.140625" style="1119"/>
    <col min="10509" max="10509" width="9.140625" style="1119" customWidth="1"/>
    <col min="10510" max="10510" width="0" style="1119" hidden="1" customWidth="1"/>
    <col min="10511" max="10753" width="9.140625" style="1119"/>
    <col min="10754" max="10754" width="20" style="1119" customWidth="1"/>
    <col min="10755" max="10755" width="16.85546875" style="1119" customWidth="1"/>
    <col min="10756" max="10757" width="15.7109375" style="1119" customWidth="1"/>
    <col min="10758" max="10758" width="30.7109375" style="1119" customWidth="1"/>
    <col min="10759" max="10759" width="10.7109375" style="1119" customWidth="1"/>
    <col min="10760" max="10761" width="6.85546875" style="1119" customWidth="1"/>
    <col min="10762" max="10762" width="33.5703125" style="1119" customWidth="1"/>
    <col min="10763" max="10764" width="9.140625" style="1119"/>
    <col min="10765" max="10765" width="9.140625" style="1119" customWidth="1"/>
    <col min="10766" max="10766" width="0" style="1119" hidden="1" customWidth="1"/>
    <col min="10767" max="11009" width="9.140625" style="1119"/>
    <col min="11010" max="11010" width="20" style="1119" customWidth="1"/>
    <col min="11011" max="11011" width="16.85546875" style="1119" customWidth="1"/>
    <col min="11012" max="11013" width="15.7109375" style="1119" customWidth="1"/>
    <col min="11014" max="11014" width="30.7109375" style="1119" customWidth="1"/>
    <col min="11015" max="11015" width="10.7109375" style="1119" customWidth="1"/>
    <col min="11016" max="11017" width="6.85546875" style="1119" customWidth="1"/>
    <col min="11018" max="11018" width="33.5703125" style="1119" customWidth="1"/>
    <col min="11019" max="11020" width="9.140625" style="1119"/>
    <col min="11021" max="11021" width="9.140625" style="1119" customWidth="1"/>
    <col min="11022" max="11022" width="0" style="1119" hidden="1" customWidth="1"/>
    <col min="11023" max="11265" width="9.140625" style="1119"/>
    <col min="11266" max="11266" width="20" style="1119" customWidth="1"/>
    <col min="11267" max="11267" width="16.85546875" style="1119" customWidth="1"/>
    <col min="11268" max="11269" width="15.7109375" style="1119" customWidth="1"/>
    <col min="11270" max="11270" width="30.7109375" style="1119" customWidth="1"/>
    <col min="11271" max="11271" width="10.7109375" style="1119" customWidth="1"/>
    <col min="11272" max="11273" width="6.85546875" style="1119" customWidth="1"/>
    <col min="11274" max="11274" width="33.5703125" style="1119" customWidth="1"/>
    <col min="11275" max="11276" width="9.140625" style="1119"/>
    <col min="11277" max="11277" width="9.140625" style="1119" customWidth="1"/>
    <col min="11278" max="11278" width="0" style="1119" hidden="1" customWidth="1"/>
    <col min="11279" max="11521" width="9.140625" style="1119"/>
    <col min="11522" max="11522" width="20" style="1119" customWidth="1"/>
    <col min="11523" max="11523" width="16.85546875" style="1119" customWidth="1"/>
    <col min="11524" max="11525" width="15.7109375" style="1119" customWidth="1"/>
    <col min="11526" max="11526" width="30.7109375" style="1119" customWidth="1"/>
    <col min="11527" max="11527" width="10.7109375" style="1119" customWidth="1"/>
    <col min="11528" max="11529" width="6.85546875" style="1119" customWidth="1"/>
    <col min="11530" max="11530" width="33.5703125" style="1119" customWidth="1"/>
    <col min="11531" max="11532" width="9.140625" style="1119"/>
    <col min="11533" max="11533" width="9.140625" style="1119" customWidth="1"/>
    <col min="11534" max="11534" width="0" style="1119" hidden="1" customWidth="1"/>
    <col min="11535" max="11777" width="9.140625" style="1119"/>
    <col min="11778" max="11778" width="20" style="1119" customWidth="1"/>
    <col min="11779" max="11779" width="16.85546875" style="1119" customWidth="1"/>
    <col min="11780" max="11781" width="15.7109375" style="1119" customWidth="1"/>
    <col min="11782" max="11782" width="30.7109375" style="1119" customWidth="1"/>
    <col min="11783" max="11783" width="10.7109375" style="1119" customWidth="1"/>
    <col min="11784" max="11785" width="6.85546875" style="1119" customWidth="1"/>
    <col min="11786" max="11786" width="33.5703125" style="1119" customWidth="1"/>
    <col min="11787" max="11788" width="9.140625" style="1119"/>
    <col min="11789" max="11789" width="9.140625" style="1119" customWidth="1"/>
    <col min="11790" max="11790" width="0" style="1119" hidden="1" customWidth="1"/>
    <col min="11791" max="12033" width="9.140625" style="1119"/>
    <col min="12034" max="12034" width="20" style="1119" customWidth="1"/>
    <col min="12035" max="12035" width="16.85546875" style="1119" customWidth="1"/>
    <col min="12036" max="12037" width="15.7109375" style="1119" customWidth="1"/>
    <col min="12038" max="12038" width="30.7109375" style="1119" customWidth="1"/>
    <col min="12039" max="12039" width="10.7109375" style="1119" customWidth="1"/>
    <col min="12040" max="12041" width="6.85546875" style="1119" customWidth="1"/>
    <col min="12042" max="12042" width="33.5703125" style="1119" customWidth="1"/>
    <col min="12043" max="12044" width="9.140625" style="1119"/>
    <col min="12045" max="12045" width="9.140625" style="1119" customWidth="1"/>
    <col min="12046" max="12046" width="0" style="1119" hidden="1" customWidth="1"/>
    <col min="12047" max="12289" width="9.140625" style="1119"/>
    <col min="12290" max="12290" width="20" style="1119" customWidth="1"/>
    <col min="12291" max="12291" width="16.85546875" style="1119" customWidth="1"/>
    <col min="12292" max="12293" width="15.7109375" style="1119" customWidth="1"/>
    <col min="12294" max="12294" width="30.7109375" style="1119" customWidth="1"/>
    <col min="12295" max="12295" width="10.7109375" style="1119" customWidth="1"/>
    <col min="12296" max="12297" width="6.85546875" style="1119" customWidth="1"/>
    <col min="12298" max="12298" width="33.5703125" style="1119" customWidth="1"/>
    <col min="12299" max="12300" width="9.140625" style="1119"/>
    <col min="12301" max="12301" width="9.140625" style="1119" customWidth="1"/>
    <col min="12302" max="12302" width="0" style="1119" hidden="1" customWidth="1"/>
    <col min="12303" max="12545" width="9.140625" style="1119"/>
    <col min="12546" max="12546" width="20" style="1119" customWidth="1"/>
    <col min="12547" max="12547" width="16.85546875" style="1119" customWidth="1"/>
    <col min="12548" max="12549" width="15.7109375" style="1119" customWidth="1"/>
    <col min="12550" max="12550" width="30.7109375" style="1119" customWidth="1"/>
    <col min="12551" max="12551" width="10.7109375" style="1119" customWidth="1"/>
    <col min="12552" max="12553" width="6.85546875" style="1119" customWidth="1"/>
    <col min="12554" max="12554" width="33.5703125" style="1119" customWidth="1"/>
    <col min="12555" max="12556" width="9.140625" style="1119"/>
    <col min="12557" max="12557" width="9.140625" style="1119" customWidth="1"/>
    <col min="12558" max="12558" width="0" style="1119" hidden="1" customWidth="1"/>
    <col min="12559" max="12801" width="9.140625" style="1119"/>
    <col min="12802" max="12802" width="20" style="1119" customWidth="1"/>
    <col min="12803" max="12803" width="16.85546875" style="1119" customWidth="1"/>
    <col min="12804" max="12805" width="15.7109375" style="1119" customWidth="1"/>
    <col min="12806" max="12806" width="30.7109375" style="1119" customWidth="1"/>
    <col min="12807" max="12807" width="10.7109375" style="1119" customWidth="1"/>
    <col min="12808" max="12809" width="6.85546875" style="1119" customWidth="1"/>
    <col min="12810" max="12810" width="33.5703125" style="1119" customWidth="1"/>
    <col min="12811" max="12812" width="9.140625" style="1119"/>
    <col min="12813" max="12813" width="9.140625" style="1119" customWidth="1"/>
    <col min="12814" max="12814" width="0" style="1119" hidden="1" customWidth="1"/>
    <col min="12815" max="13057" width="9.140625" style="1119"/>
    <col min="13058" max="13058" width="20" style="1119" customWidth="1"/>
    <col min="13059" max="13059" width="16.85546875" style="1119" customWidth="1"/>
    <col min="13060" max="13061" width="15.7109375" style="1119" customWidth="1"/>
    <col min="13062" max="13062" width="30.7109375" style="1119" customWidth="1"/>
    <col min="13063" max="13063" width="10.7109375" style="1119" customWidth="1"/>
    <col min="13064" max="13065" width="6.85546875" style="1119" customWidth="1"/>
    <col min="13066" max="13066" width="33.5703125" style="1119" customWidth="1"/>
    <col min="13067" max="13068" width="9.140625" style="1119"/>
    <col min="13069" max="13069" width="9.140625" style="1119" customWidth="1"/>
    <col min="13070" max="13070" width="0" style="1119" hidden="1" customWidth="1"/>
    <col min="13071" max="13313" width="9.140625" style="1119"/>
    <col min="13314" max="13314" width="20" style="1119" customWidth="1"/>
    <col min="13315" max="13315" width="16.85546875" style="1119" customWidth="1"/>
    <col min="13316" max="13317" width="15.7109375" style="1119" customWidth="1"/>
    <col min="13318" max="13318" width="30.7109375" style="1119" customWidth="1"/>
    <col min="13319" max="13319" width="10.7109375" style="1119" customWidth="1"/>
    <col min="13320" max="13321" width="6.85546875" style="1119" customWidth="1"/>
    <col min="13322" max="13322" width="33.5703125" style="1119" customWidth="1"/>
    <col min="13323" max="13324" width="9.140625" style="1119"/>
    <col min="13325" max="13325" width="9.140625" style="1119" customWidth="1"/>
    <col min="13326" max="13326" width="0" style="1119" hidden="1" customWidth="1"/>
    <col min="13327" max="13569" width="9.140625" style="1119"/>
    <col min="13570" max="13570" width="20" style="1119" customWidth="1"/>
    <col min="13571" max="13571" width="16.85546875" style="1119" customWidth="1"/>
    <col min="13572" max="13573" width="15.7109375" style="1119" customWidth="1"/>
    <col min="13574" max="13574" width="30.7109375" style="1119" customWidth="1"/>
    <col min="13575" max="13575" width="10.7109375" style="1119" customWidth="1"/>
    <col min="13576" max="13577" width="6.85546875" style="1119" customWidth="1"/>
    <col min="13578" max="13578" width="33.5703125" style="1119" customWidth="1"/>
    <col min="13579" max="13580" width="9.140625" style="1119"/>
    <col min="13581" max="13581" width="9.140625" style="1119" customWidth="1"/>
    <col min="13582" max="13582" width="0" style="1119" hidden="1" customWidth="1"/>
    <col min="13583" max="13825" width="9.140625" style="1119"/>
    <col min="13826" max="13826" width="20" style="1119" customWidth="1"/>
    <col min="13827" max="13827" width="16.85546875" style="1119" customWidth="1"/>
    <col min="13828" max="13829" width="15.7109375" style="1119" customWidth="1"/>
    <col min="13830" max="13830" width="30.7109375" style="1119" customWidth="1"/>
    <col min="13831" max="13831" width="10.7109375" style="1119" customWidth="1"/>
    <col min="13832" max="13833" width="6.85546875" style="1119" customWidth="1"/>
    <col min="13834" max="13834" width="33.5703125" style="1119" customWidth="1"/>
    <col min="13835" max="13836" width="9.140625" style="1119"/>
    <col min="13837" max="13837" width="9.140625" style="1119" customWidth="1"/>
    <col min="13838" max="13838" width="0" style="1119" hidden="1" customWidth="1"/>
    <col min="13839" max="14081" width="9.140625" style="1119"/>
    <col min="14082" max="14082" width="20" style="1119" customWidth="1"/>
    <col min="14083" max="14083" width="16.85546875" style="1119" customWidth="1"/>
    <col min="14084" max="14085" width="15.7109375" style="1119" customWidth="1"/>
    <col min="14086" max="14086" width="30.7109375" style="1119" customWidth="1"/>
    <col min="14087" max="14087" width="10.7109375" style="1119" customWidth="1"/>
    <col min="14088" max="14089" width="6.85546875" style="1119" customWidth="1"/>
    <col min="14090" max="14090" width="33.5703125" style="1119" customWidth="1"/>
    <col min="14091" max="14092" width="9.140625" style="1119"/>
    <col min="14093" max="14093" width="9.140625" style="1119" customWidth="1"/>
    <col min="14094" max="14094" width="0" style="1119" hidden="1" customWidth="1"/>
    <col min="14095" max="14337" width="9.140625" style="1119"/>
    <col min="14338" max="14338" width="20" style="1119" customWidth="1"/>
    <col min="14339" max="14339" width="16.85546875" style="1119" customWidth="1"/>
    <col min="14340" max="14341" width="15.7109375" style="1119" customWidth="1"/>
    <col min="14342" max="14342" width="30.7109375" style="1119" customWidth="1"/>
    <col min="14343" max="14343" width="10.7109375" style="1119" customWidth="1"/>
    <col min="14344" max="14345" width="6.85546875" style="1119" customWidth="1"/>
    <col min="14346" max="14346" width="33.5703125" style="1119" customWidth="1"/>
    <col min="14347" max="14348" width="9.140625" style="1119"/>
    <col min="14349" max="14349" width="9.140625" style="1119" customWidth="1"/>
    <col min="14350" max="14350" width="0" style="1119" hidden="1" customWidth="1"/>
    <col min="14351" max="14593" width="9.140625" style="1119"/>
    <col min="14594" max="14594" width="20" style="1119" customWidth="1"/>
    <col min="14595" max="14595" width="16.85546875" style="1119" customWidth="1"/>
    <col min="14596" max="14597" width="15.7109375" style="1119" customWidth="1"/>
    <col min="14598" max="14598" width="30.7109375" style="1119" customWidth="1"/>
    <col min="14599" max="14599" width="10.7109375" style="1119" customWidth="1"/>
    <col min="14600" max="14601" width="6.85546875" style="1119" customWidth="1"/>
    <col min="14602" max="14602" width="33.5703125" style="1119" customWidth="1"/>
    <col min="14603" max="14604" width="9.140625" style="1119"/>
    <col min="14605" max="14605" width="9.140625" style="1119" customWidth="1"/>
    <col min="14606" max="14606" width="0" style="1119" hidden="1" customWidth="1"/>
    <col min="14607" max="14849" width="9.140625" style="1119"/>
    <col min="14850" max="14850" width="20" style="1119" customWidth="1"/>
    <col min="14851" max="14851" width="16.85546875" style="1119" customWidth="1"/>
    <col min="14852" max="14853" width="15.7109375" style="1119" customWidth="1"/>
    <col min="14854" max="14854" width="30.7109375" style="1119" customWidth="1"/>
    <col min="14855" max="14855" width="10.7109375" style="1119" customWidth="1"/>
    <col min="14856" max="14857" width="6.85546875" style="1119" customWidth="1"/>
    <col min="14858" max="14858" width="33.5703125" style="1119" customWidth="1"/>
    <col min="14859" max="14860" width="9.140625" style="1119"/>
    <col min="14861" max="14861" width="9.140625" style="1119" customWidth="1"/>
    <col min="14862" max="14862" width="0" style="1119" hidden="1" customWidth="1"/>
    <col min="14863" max="15105" width="9.140625" style="1119"/>
    <col min="15106" max="15106" width="20" style="1119" customWidth="1"/>
    <col min="15107" max="15107" width="16.85546875" style="1119" customWidth="1"/>
    <col min="15108" max="15109" width="15.7109375" style="1119" customWidth="1"/>
    <col min="15110" max="15110" width="30.7109375" style="1119" customWidth="1"/>
    <col min="15111" max="15111" width="10.7109375" style="1119" customWidth="1"/>
    <col min="15112" max="15113" width="6.85546875" style="1119" customWidth="1"/>
    <col min="15114" max="15114" width="33.5703125" style="1119" customWidth="1"/>
    <col min="15115" max="15116" width="9.140625" style="1119"/>
    <col min="15117" max="15117" width="9.140625" style="1119" customWidth="1"/>
    <col min="15118" max="15118" width="0" style="1119" hidden="1" customWidth="1"/>
    <col min="15119" max="15361" width="9.140625" style="1119"/>
    <col min="15362" max="15362" width="20" style="1119" customWidth="1"/>
    <col min="15363" max="15363" width="16.85546875" style="1119" customWidth="1"/>
    <col min="15364" max="15365" width="15.7109375" style="1119" customWidth="1"/>
    <col min="15366" max="15366" width="30.7109375" style="1119" customWidth="1"/>
    <col min="15367" max="15367" width="10.7109375" style="1119" customWidth="1"/>
    <col min="15368" max="15369" width="6.85546875" style="1119" customWidth="1"/>
    <col min="15370" max="15370" width="33.5703125" style="1119" customWidth="1"/>
    <col min="15371" max="15372" width="9.140625" style="1119"/>
    <col min="15373" max="15373" width="9.140625" style="1119" customWidth="1"/>
    <col min="15374" max="15374" width="0" style="1119" hidden="1" customWidth="1"/>
    <col min="15375" max="15617" width="9.140625" style="1119"/>
    <col min="15618" max="15618" width="20" style="1119" customWidth="1"/>
    <col min="15619" max="15619" width="16.85546875" style="1119" customWidth="1"/>
    <col min="15620" max="15621" width="15.7109375" style="1119" customWidth="1"/>
    <col min="15622" max="15622" width="30.7109375" style="1119" customWidth="1"/>
    <col min="15623" max="15623" width="10.7109375" style="1119" customWidth="1"/>
    <col min="15624" max="15625" width="6.85546875" style="1119" customWidth="1"/>
    <col min="15626" max="15626" width="33.5703125" style="1119" customWidth="1"/>
    <col min="15627" max="15628" width="9.140625" style="1119"/>
    <col min="15629" max="15629" width="9.140625" style="1119" customWidth="1"/>
    <col min="15630" max="15630" width="0" style="1119" hidden="1" customWidth="1"/>
    <col min="15631" max="15873" width="9.140625" style="1119"/>
    <col min="15874" max="15874" width="20" style="1119" customWidth="1"/>
    <col min="15875" max="15875" width="16.85546875" style="1119" customWidth="1"/>
    <col min="15876" max="15877" width="15.7109375" style="1119" customWidth="1"/>
    <col min="15878" max="15878" width="30.7109375" style="1119" customWidth="1"/>
    <col min="15879" max="15879" width="10.7109375" style="1119" customWidth="1"/>
    <col min="15880" max="15881" width="6.85546875" style="1119" customWidth="1"/>
    <col min="15882" max="15882" width="33.5703125" style="1119" customWidth="1"/>
    <col min="15883" max="15884" width="9.140625" style="1119"/>
    <col min="15885" max="15885" width="9.140625" style="1119" customWidth="1"/>
    <col min="15886" max="15886" width="0" style="1119" hidden="1" customWidth="1"/>
    <col min="15887" max="16129" width="9.140625" style="1119"/>
    <col min="16130" max="16130" width="20" style="1119" customWidth="1"/>
    <col min="16131" max="16131" width="16.85546875" style="1119" customWidth="1"/>
    <col min="16132" max="16133" width="15.7109375" style="1119" customWidth="1"/>
    <col min="16134" max="16134" width="30.7109375" style="1119" customWidth="1"/>
    <col min="16135" max="16135" width="10.7109375" style="1119" customWidth="1"/>
    <col min="16136" max="16137" width="6.85546875" style="1119" customWidth="1"/>
    <col min="16138" max="16138" width="33.5703125" style="1119" customWidth="1"/>
    <col min="16139" max="16140" width="9.140625" style="1119"/>
    <col min="16141" max="16141" width="9.140625" style="1119" customWidth="1"/>
    <col min="16142" max="16142" width="0" style="1119" hidden="1" customWidth="1"/>
    <col min="16143" max="16384" width="9.140625" style="1119"/>
  </cols>
  <sheetData>
    <row r="1" spans="1:10" ht="18.75">
      <c r="A1" s="1881" t="s">
        <v>3609</v>
      </c>
      <c r="B1" s="1155" t="s">
        <v>4491</v>
      </c>
      <c r="C1" s="1775"/>
      <c r="D1" s="1186"/>
      <c r="E1" s="1769"/>
      <c r="F1" s="905"/>
      <c r="G1" s="1328"/>
      <c r="H1" s="2530" t="s">
        <v>2595</v>
      </c>
      <c r="I1" s="2437"/>
      <c r="J1" s="1772" t="s">
        <v>3610</v>
      </c>
    </row>
    <row r="2" spans="1:10">
      <c r="B2" s="1034" t="s">
        <v>3198</v>
      </c>
      <c r="C2" s="1035">
        <f>'Basic Info'!C29:D29</f>
        <v>0</v>
      </c>
      <c r="D2" s="923"/>
      <c r="E2" s="923"/>
      <c r="F2" s="923"/>
      <c r="G2" s="923"/>
      <c r="H2" s="2502"/>
      <c r="I2" s="2502"/>
      <c r="J2" s="1006"/>
    </row>
    <row r="3" spans="1:10">
      <c r="B3" s="923"/>
      <c r="C3" s="923"/>
      <c r="D3" s="923"/>
      <c r="E3" s="923"/>
      <c r="F3" s="923"/>
      <c r="G3" s="923"/>
      <c r="H3" s="2502"/>
      <c r="I3" s="2502"/>
      <c r="J3" s="1006"/>
    </row>
    <row r="4" spans="1:10">
      <c r="B4" s="923"/>
      <c r="C4" s="923"/>
      <c r="D4" s="923"/>
      <c r="E4" s="923"/>
      <c r="F4" s="923"/>
      <c r="G4" s="923"/>
      <c r="H4" s="2502"/>
      <c r="I4" s="2502"/>
      <c r="J4" s="1006"/>
    </row>
    <row r="5" spans="1:10">
      <c r="B5" s="1239" t="s">
        <v>3981</v>
      </c>
      <c r="C5" s="923"/>
      <c r="D5" s="923"/>
      <c r="E5" s="923"/>
      <c r="F5" s="923"/>
      <c r="G5" s="923"/>
      <c r="H5" s="923"/>
      <c r="I5" s="923"/>
      <c r="J5" s="1122"/>
    </row>
    <row r="6" spans="1:10">
      <c r="B6" s="1773" t="s">
        <v>4492</v>
      </c>
      <c r="C6" s="1773"/>
      <c r="D6" s="1773"/>
      <c r="E6" s="1773"/>
      <c r="F6" s="1773"/>
      <c r="G6" s="1773"/>
      <c r="H6" s="1773"/>
      <c r="I6" s="1773"/>
      <c r="J6" s="1773"/>
    </row>
    <row r="7" spans="1:10">
      <c r="B7" s="923"/>
      <c r="C7" s="923"/>
      <c r="D7" s="923"/>
      <c r="E7" s="923"/>
      <c r="F7" s="923"/>
      <c r="G7" s="923"/>
      <c r="H7" s="923"/>
      <c r="I7" s="923"/>
      <c r="J7" s="1122"/>
    </row>
    <row r="8" spans="1:10">
      <c r="B8" s="1239" t="s">
        <v>3927</v>
      </c>
      <c r="C8" s="923"/>
      <c r="D8" s="923"/>
      <c r="E8" s="923"/>
      <c r="F8" s="923"/>
      <c r="G8" s="923"/>
      <c r="H8" s="923"/>
      <c r="I8" s="923"/>
      <c r="J8" s="1122"/>
    </row>
    <row r="9" spans="1:10">
      <c r="B9" s="923" t="s">
        <v>3613</v>
      </c>
      <c r="C9" s="923"/>
      <c r="D9" s="923"/>
      <c r="E9" s="923"/>
      <c r="F9" s="923"/>
      <c r="G9" s="923"/>
      <c r="H9" s="923"/>
      <c r="I9" s="923"/>
      <c r="J9" s="923"/>
    </row>
    <row r="10" spans="1:10">
      <c r="B10" s="923" t="s">
        <v>3862</v>
      </c>
      <c r="C10" s="923"/>
      <c r="D10" s="923"/>
      <c r="E10" s="923"/>
      <c r="F10" s="923"/>
      <c r="G10" s="923"/>
      <c r="H10" s="923"/>
      <c r="I10" s="923"/>
      <c r="J10" s="923"/>
    </row>
    <row r="11" spans="1:10">
      <c r="B11" s="923"/>
      <c r="C11" s="923"/>
      <c r="D11" s="923"/>
      <c r="E11" s="923"/>
      <c r="F11" s="923"/>
      <c r="G11" s="923"/>
      <c r="H11" s="923"/>
      <c r="I11" s="923"/>
      <c r="J11" s="923"/>
    </row>
    <row r="12" spans="1:10">
      <c r="B12" s="1011" t="s">
        <v>3982</v>
      </c>
      <c r="C12" s="923"/>
      <c r="D12" s="923"/>
      <c r="E12" s="923"/>
      <c r="F12" s="923"/>
      <c r="G12" s="923"/>
      <c r="H12" s="923"/>
      <c r="I12" s="923"/>
      <c r="J12" s="923"/>
    </row>
    <row r="13" spans="1:10">
      <c r="B13" s="2395" t="s">
        <v>4493</v>
      </c>
      <c r="C13" s="2395"/>
      <c r="D13" s="2395"/>
      <c r="E13" s="2395"/>
      <c r="F13" s="2395"/>
      <c r="G13" s="2395"/>
      <c r="H13" s="2395"/>
      <c r="I13" s="2395"/>
      <c r="J13" s="2395"/>
    </row>
    <row r="14" spans="1:10">
      <c r="B14" s="2649" t="s">
        <v>4494</v>
      </c>
      <c r="C14" s="2649"/>
      <c r="D14" s="2649"/>
      <c r="E14" s="2649"/>
      <c r="F14" s="2649"/>
      <c r="G14" s="2649"/>
      <c r="H14" s="923"/>
      <c r="I14" s="923"/>
      <c r="J14" s="923"/>
    </row>
    <row r="15" spans="1:10">
      <c r="B15" s="923" t="s">
        <v>4069</v>
      </c>
      <c r="C15" s="923"/>
      <c r="D15" s="923"/>
      <c r="E15" s="923"/>
      <c r="F15" s="923"/>
      <c r="G15" s="923"/>
      <c r="H15" s="923"/>
      <c r="I15" s="923"/>
      <c r="J15" s="923"/>
    </row>
    <row r="16" spans="1:10">
      <c r="B16" s="2529" t="s">
        <v>4495</v>
      </c>
      <c r="C16" s="2529"/>
      <c r="D16" s="2529"/>
      <c r="E16" s="2529"/>
      <c r="F16" s="2529"/>
      <c r="G16" s="2529"/>
      <c r="H16" s="2529"/>
      <c r="I16" s="2529"/>
      <c r="J16" s="2529"/>
    </row>
    <row r="17" spans="2:10">
      <c r="B17" s="1363"/>
      <c r="C17" s="1363"/>
      <c r="D17" s="1363"/>
      <c r="E17" s="1363"/>
      <c r="F17" s="1363"/>
      <c r="G17" s="1363"/>
      <c r="H17" s="923"/>
      <c r="I17" s="923"/>
      <c r="J17" s="923"/>
    </row>
    <row r="18" spans="2:10">
      <c r="B18" s="1165" t="s">
        <v>3928</v>
      </c>
      <c r="C18" s="1768"/>
      <c r="D18" s="1768"/>
      <c r="E18" s="1768"/>
    </row>
    <row r="19" spans="2:10">
      <c r="B19" s="2414" t="s">
        <v>4496</v>
      </c>
      <c r="C19" s="2395"/>
      <c r="D19" s="2395"/>
      <c r="E19" s="2395"/>
      <c r="F19" s="2395"/>
      <c r="G19" s="2395"/>
      <c r="H19" s="2395"/>
      <c r="I19" s="2395"/>
      <c r="J19" s="2395"/>
    </row>
    <row r="20" spans="2:10">
      <c r="B20" s="1769"/>
      <c r="C20" s="1769"/>
      <c r="D20" s="1769"/>
      <c r="E20" s="1769"/>
      <c r="F20" s="1769"/>
      <c r="G20" s="1769"/>
      <c r="H20" s="1769"/>
      <c r="I20" s="1769"/>
      <c r="J20" s="1769"/>
    </row>
    <row r="21" spans="2:10">
      <c r="B21" s="905"/>
      <c r="C21" s="1774"/>
      <c r="D21" s="1774"/>
      <c r="E21" s="1774"/>
      <c r="F21" s="896"/>
      <c r="G21" s="896"/>
      <c r="H21" s="896"/>
      <c r="I21" s="896"/>
      <c r="J21" s="896"/>
    </row>
    <row r="22" spans="2:10" ht="29.25">
      <c r="B22" s="2443"/>
      <c r="C22" s="2443"/>
      <c r="D22" s="2443"/>
      <c r="E22" s="2443"/>
      <c r="F22" s="2443"/>
      <c r="G22" s="2443"/>
      <c r="H22" s="2443"/>
      <c r="I22" s="1089" t="s">
        <v>3627</v>
      </c>
      <c r="J22" s="1284" t="s">
        <v>3833</v>
      </c>
    </row>
    <row r="23" spans="2:10" ht="26.25" customHeight="1">
      <c r="B23" s="2427" t="s">
        <v>4497</v>
      </c>
      <c r="C23" s="2427"/>
      <c r="D23" s="2427"/>
      <c r="E23" s="2427"/>
      <c r="F23" s="2427"/>
      <c r="G23" s="2427"/>
      <c r="H23" s="2381"/>
      <c r="I23" s="1408"/>
      <c r="J23" s="1766"/>
    </row>
    <row r="24" spans="2:10" ht="27" customHeight="1">
      <c r="B24" s="2398" t="s">
        <v>4498</v>
      </c>
      <c r="C24" s="2398"/>
      <c r="D24" s="2398"/>
      <c r="E24" s="2398"/>
      <c r="F24" s="2398"/>
      <c r="G24" s="2398"/>
      <c r="H24" s="2391"/>
      <c r="I24" s="1408"/>
      <c r="J24" s="1766"/>
    </row>
    <row r="25" spans="2:10" ht="56.25" customHeight="1">
      <c r="B25" s="2398" t="s">
        <v>4044</v>
      </c>
      <c r="C25" s="2398"/>
      <c r="D25" s="2398"/>
      <c r="E25" s="2398"/>
      <c r="F25" s="2398"/>
      <c r="G25" s="2398"/>
      <c r="H25" s="2391"/>
      <c r="I25" s="1408"/>
      <c r="J25" s="1766"/>
    </row>
    <row r="33" spans="14:14">
      <c r="N33" s="1119" t="s">
        <v>1493</v>
      </c>
    </row>
    <row r="34" spans="14:14">
      <c r="N34" s="1119" t="s">
        <v>1494</v>
      </c>
    </row>
    <row r="35" spans="14:14">
      <c r="N35" s="1119" t="s">
        <v>2677</v>
      </c>
    </row>
  </sheetData>
  <mergeCells count="12">
    <mergeCell ref="B14:G14"/>
    <mergeCell ref="H1:I1"/>
    <mergeCell ref="H2:I2"/>
    <mergeCell ref="H3:I3"/>
    <mergeCell ref="H4:I4"/>
    <mergeCell ref="B13:J13"/>
    <mergeCell ref="B25:H25"/>
    <mergeCell ref="B16:J16"/>
    <mergeCell ref="B19:J19"/>
    <mergeCell ref="B22:H22"/>
    <mergeCell ref="B23:H23"/>
    <mergeCell ref="B24:H24"/>
  </mergeCells>
  <dataValidations count="2">
    <dataValidation type="list" allowBlank="1" showInputMessage="1" showErrorMessage="1" sqref="H65557:H65561 JD25:JD29 SZ25:SZ29 ACV25:ACV29 AMR25:AMR29 AWN25:AWN29 BGJ25:BGJ29 BQF25:BQF29 CAB25:CAB29 CJX25:CJX29 CTT25:CTT29 DDP25:DDP29 DNL25:DNL29 DXH25:DXH29 EHD25:EHD29 EQZ25:EQZ29 FAV25:FAV29 FKR25:FKR29 FUN25:FUN29 GEJ25:GEJ29 GOF25:GOF29 GYB25:GYB29 HHX25:HHX29 HRT25:HRT29 IBP25:IBP29 ILL25:ILL29 IVH25:IVH29 JFD25:JFD29 JOZ25:JOZ29 JYV25:JYV29 KIR25:KIR29 KSN25:KSN29 LCJ25:LCJ29 LMF25:LMF29 LWB25:LWB29 MFX25:MFX29 MPT25:MPT29 MZP25:MZP29 NJL25:NJL29 NTH25:NTH29 ODD25:ODD29 OMZ25:OMZ29 OWV25:OWV29 PGR25:PGR29 PQN25:PQN29 QAJ25:QAJ29 QKF25:QKF29 QUB25:QUB29 RDX25:RDX29 RNT25:RNT29 RXP25:RXP29 SHL25:SHL29 SRH25:SRH29 TBD25:TBD29 TKZ25:TKZ29 TUV25:TUV29 UER25:UER29 UON25:UON29 UYJ25:UYJ29 VIF25:VIF29 VSB25:VSB29 WBX25:WBX29 WLT25:WLT29 WVP25:WVP29 JD65561:JD65565 SZ65561:SZ65565 ACV65561:ACV65565 AMR65561:AMR65565 AWN65561:AWN65565 BGJ65561:BGJ65565 BQF65561:BQF65565 CAB65561:CAB65565 CJX65561:CJX65565 CTT65561:CTT65565 DDP65561:DDP65565 DNL65561:DNL65565 DXH65561:DXH65565 EHD65561:EHD65565 EQZ65561:EQZ65565 FAV65561:FAV65565 FKR65561:FKR65565 FUN65561:FUN65565 GEJ65561:GEJ65565 GOF65561:GOF65565 GYB65561:GYB65565 HHX65561:HHX65565 HRT65561:HRT65565 IBP65561:IBP65565 ILL65561:ILL65565 IVH65561:IVH65565 JFD65561:JFD65565 JOZ65561:JOZ65565 JYV65561:JYV65565 KIR65561:KIR65565 KSN65561:KSN65565 LCJ65561:LCJ65565 LMF65561:LMF65565 LWB65561:LWB65565 MFX65561:MFX65565 MPT65561:MPT65565 MZP65561:MZP65565 NJL65561:NJL65565 NTH65561:NTH65565 ODD65561:ODD65565 OMZ65561:OMZ65565 OWV65561:OWV65565 PGR65561:PGR65565 PQN65561:PQN65565 QAJ65561:QAJ65565 QKF65561:QKF65565 QUB65561:QUB65565 RDX65561:RDX65565 RNT65561:RNT65565 RXP65561:RXP65565 SHL65561:SHL65565 SRH65561:SRH65565 TBD65561:TBD65565 TKZ65561:TKZ65565 TUV65561:TUV65565 UER65561:UER65565 UON65561:UON65565 UYJ65561:UYJ65565 VIF65561:VIF65565 VSB65561:VSB65565 WBX65561:WBX65565 WLT65561:WLT65565 WVP65561:WVP65565 JD131097:JD131101 SZ131097:SZ131101 ACV131097:ACV131101 AMR131097:AMR131101 AWN131097:AWN131101 BGJ131097:BGJ131101 BQF131097:BQF131101 CAB131097:CAB131101 CJX131097:CJX131101 CTT131097:CTT131101 DDP131097:DDP131101 DNL131097:DNL131101 DXH131097:DXH131101 EHD131097:EHD131101 EQZ131097:EQZ131101 FAV131097:FAV131101 FKR131097:FKR131101 FUN131097:FUN131101 GEJ131097:GEJ131101 GOF131097:GOF131101 GYB131097:GYB131101 HHX131097:HHX131101 HRT131097:HRT131101 IBP131097:IBP131101 ILL131097:ILL131101 IVH131097:IVH131101 JFD131097:JFD131101 JOZ131097:JOZ131101 JYV131097:JYV131101 KIR131097:KIR131101 KSN131097:KSN131101 LCJ131097:LCJ131101 LMF131097:LMF131101 LWB131097:LWB131101 MFX131097:MFX131101 MPT131097:MPT131101 MZP131097:MZP131101 NJL131097:NJL131101 NTH131097:NTH131101 ODD131097:ODD131101 OMZ131097:OMZ131101 OWV131097:OWV131101 PGR131097:PGR131101 PQN131097:PQN131101 QAJ131097:QAJ131101 QKF131097:QKF131101 QUB131097:QUB131101 RDX131097:RDX131101 RNT131097:RNT131101 RXP131097:RXP131101 SHL131097:SHL131101 SRH131097:SRH131101 TBD131097:TBD131101 TKZ131097:TKZ131101 TUV131097:TUV131101 UER131097:UER131101 UON131097:UON131101 UYJ131097:UYJ131101 VIF131097:VIF131101 VSB131097:VSB131101 WBX131097:WBX131101 WLT131097:WLT131101 WVP131097:WVP131101 JD196633:JD196637 SZ196633:SZ196637 ACV196633:ACV196637 AMR196633:AMR196637 AWN196633:AWN196637 BGJ196633:BGJ196637 BQF196633:BQF196637 CAB196633:CAB196637 CJX196633:CJX196637 CTT196633:CTT196637 DDP196633:DDP196637 DNL196633:DNL196637 DXH196633:DXH196637 EHD196633:EHD196637 EQZ196633:EQZ196637 FAV196633:FAV196637 FKR196633:FKR196637 FUN196633:FUN196637 GEJ196633:GEJ196637 GOF196633:GOF196637 GYB196633:GYB196637 HHX196633:HHX196637 HRT196633:HRT196637 IBP196633:IBP196637 ILL196633:ILL196637 IVH196633:IVH196637 JFD196633:JFD196637 JOZ196633:JOZ196637 JYV196633:JYV196637 KIR196633:KIR196637 KSN196633:KSN196637 LCJ196633:LCJ196637 LMF196633:LMF196637 LWB196633:LWB196637 MFX196633:MFX196637 MPT196633:MPT196637 MZP196633:MZP196637 NJL196633:NJL196637 NTH196633:NTH196637 ODD196633:ODD196637 OMZ196633:OMZ196637 OWV196633:OWV196637 PGR196633:PGR196637 PQN196633:PQN196637 QAJ196633:QAJ196637 QKF196633:QKF196637 QUB196633:QUB196637 RDX196633:RDX196637 RNT196633:RNT196637 RXP196633:RXP196637 SHL196633:SHL196637 SRH196633:SRH196637 TBD196633:TBD196637 TKZ196633:TKZ196637 TUV196633:TUV196637 UER196633:UER196637 UON196633:UON196637 UYJ196633:UYJ196637 VIF196633:VIF196637 VSB196633:VSB196637 WBX196633:WBX196637 WLT196633:WLT196637 WVP196633:WVP196637 JD262169:JD262173 SZ262169:SZ262173 ACV262169:ACV262173 AMR262169:AMR262173 AWN262169:AWN262173 BGJ262169:BGJ262173 BQF262169:BQF262173 CAB262169:CAB262173 CJX262169:CJX262173 CTT262169:CTT262173 DDP262169:DDP262173 DNL262169:DNL262173 DXH262169:DXH262173 EHD262169:EHD262173 EQZ262169:EQZ262173 FAV262169:FAV262173 FKR262169:FKR262173 FUN262169:FUN262173 GEJ262169:GEJ262173 GOF262169:GOF262173 GYB262169:GYB262173 HHX262169:HHX262173 HRT262169:HRT262173 IBP262169:IBP262173 ILL262169:ILL262173 IVH262169:IVH262173 JFD262169:JFD262173 JOZ262169:JOZ262173 JYV262169:JYV262173 KIR262169:KIR262173 KSN262169:KSN262173 LCJ262169:LCJ262173 LMF262169:LMF262173 LWB262169:LWB262173 MFX262169:MFX262173 MPT262169:MPT262173 MZP262169:MZP262173 NJL262169:NJL262173 NTH262169:NTH262173 ODD262169:ODD262173 OMZ262169:OMZ262173 OWV262169:OWV262173 PGR262169:PGR262173 PQN262169:PQN262173 QAJ262169:QAJ262173 QKF262169:QKF262173 QUB262169:QUB262173 RDX262169:RDX262173 RNT262169:RNT262173 RXP262169:RXP262173 SHL262169:SHL262173 SRH262169:SRH262173 TBD262169:TBD262173 TKZ262169:TKZ262173 TUV262169:TUV262173 UER262169:UER262173 UON262169:UON262173 UYJ262169:UYJ262173 VIF262169:VIF262173 VSB262169:VSB262173 WBX262169:WBX262173 WLT262169:WLT262173 WVP262169:WVP262173 JD327705:JD327709 SZ327705:SZ327709 ACV327705:ACV327709 AMR327705:AMR327709 AWN327705:AWN327709 BGJ327705:BGJ327709 BQF327705:BQF327709 CAB327705:CAB327709 CJX327705:CJX327709 CTT327705:CTT327709 DDP327705:DDP327709 DNL327705:DNL327709 DXH327705:DXH327709 EHD327705:EHD327709 EQZ327705:EQZ327709 FAV327705:FAV327709 FKR327705:FKR327709 FUN327705:FUN327709 GEJ327705:GEJ327709 GOF327705:GOF327709 GYB327705:GYB327709 HHX327705:HHX327709 HRT327705:HRT327709 IBP327705:IBP327709 ILL327705:ILL327709 IVH327705:IVH327709 JFD327705:JFD327709 JOZ327705:JOZ327709 JYV327705:JYV327709 KIR327705:KIR327709 KSN327705:KSN327709 LCJ327705:LCJ327709 LMF327705:LMF327709 LWB327705:LWB327709 MFX327705:MFX327709 MPT327705:MPT327709 MZP327705:MZP327709 NJL327705:NJL327709 NTH327705:NTH327709 ODD327705:ODD327709 OMZ327705:OMZ327709 OWV327705:OWV327709 PGR327705:PGR327709 PQN327705:PQN327709 QAJ327705:QAJ327709 QKF327705:QKF327709 QUB327705:QUB327709 RDX327705:RDX327709 RNT327705:RNT327709 RXP327705:RXP327709 SHL327705:SHL327709 SRH327705:SRH327709 TBD327705:TBD327709 TKZ327705:TKZ327709 TUV327705:TUV327709 UER327705:UER327709 UON327705:UON327709 UYJ327705:UYJ327709 VIF327705:VIF327709 VSB327705:VSB327709 WBX327705:WBX327709 WLT327705:WLT327709 WVP327705:WVP327709 JD393241:JD393245 SZ393241:SZ393245 ACV393241:ACV393245 AMR393241:AMR393245 AWN393241:AWN393245 BGJ393241:BGJ393245 BQF393241:BQF393245 CAB393241:CAB393245 CJX393241:CJX393245 CTT393241:CTT393245 DDP393241:DDP393245 DNL393241:DNL393245 DXH393241:DXH393245 EHD393241:EHD393245 EQZ393241:EQZ393245 FAV393241:FAV393245 FKR393241:FKR393245 FUN393241:FUN393245 GEJ393241:GEJ393245 GOF393241:GOF393245 GYB393241:GYB393245 HHX393241:HHX393245 HRT393241:HRT393245 IBP393241:IBP393245 ILL393241:ILL393245 IVH393241:IVH393245 JFD393241:JFD393245 JOZ393241:JOZ393245 JYV393241:JYV393245 KIR393241:KIR393245 KSN393241:KSN393245 LCJ393241:LCJ393245 LMF393241:LMF393245 LWB393241:LWB393245 MFX393241:MFX393245 MPT393241:MPT393245 MZP393241:MZP393245 NJL393241:NJL393245 NTH393241:NTH393245 ODD393241:ODD393245 OMZ393241:OMZ393245 OWV393241:OWV393245 PGR393241:PGR393245 PQN393241:PQN393245 QAJ393241:QAJ393245 QKF393241:QKF393245 QUB393241:QUB393245 RDX393241:RDX393245 RNT393241:RNT393245 RXP393241:RXP393245 SHL393241:SHL393245 SRH393241:SRH393245 TBD393241:TBD393245 TKZ393241:TKZ393245 TUV393241:TUV393245 UER393241:UER393245 UON393241:UON393245 UYJ393241:UYJ393245 VIF393241:VIF393245 VSB393241:VSB393245 WBX393241:WBX393245 WLT393241:WLT393245 WVP393241:WVP393245 JD458777:JD458781 SZ458777:SZ458781 ACV458777:ACV458781 AMR458777:AMR458781 AWN458777:AWN458781 BGJ458777:BGJ458781 BQF458777:BQF458781 CAB458777:CAB458781 CJX458777:CJX458781 CTT458777:CTT458781 DDP458777:DDP458781 DNL458777:DNL458781 DXH458777:DXH458781 EHD458777:EHD458781 EQZ458777:EQZ458781 FAV458777:FAV458781 FKR458777:FKR458781 FUN458777:FUN458781 GEJ458777:GEJ458781 GOF458777:GOF458781 GYB458777:GYB458781 HHX458777:HHX458781 HRT458777:HRT458781 IBP458777:IBP458781 ILL458777:ILL458781 IVH458777:IVH458781 JFD458777:JFD458781 JOZ458777:JOZ458781 JYV458777:JYV458781 KIR458777:KIR458781 KSN458777:KSN458781 LCJ458777:LCJ458781 LMF458777:LMF458781 LWB458777:LWB458781 MFX458777:MFX458781 MPT458777:MPT458781 MZP458777:MZP458781 NJL458777:NJL458781 NTH458777:NTH458781 ODD458777:ODD458781 OMZ458777:OMZ458781 OWV458777:OWV458781 PGR458777:PGR458781 PQN458777:PQN458781 QAJ458777:QAJ458781 QKF458777:QKF458781 QUB458777:QUB458781 RDX458777:RDX458781 RNT458777:RNT458781 RXP458777:RXP458781 SHL458777:SHL458781 SRH458777:SRH458781 TBD458777:TBD458781 TKZ458777:TKZ458781 TUV458777:TUV458781 UER458777:UER458781 UON458777:UON458781 UYJ458777:UYJ458781 VIF458777:VIF458781 VSB458777:VSB458781 WBX458777:WBX458781 WLT458777:WLT458781 WVP458777:WVP458781 JD524313:JD524317 SZ524313:SZ524317 ACV524313:ACV524317 AMR524313:AMR524317 AWN524313:AWN524317 BGJ524313:BGJ524317 BQF524313:BQF524317 CAB524313:CAB524317 CJX524313:CJX524317 CTT524313:CTT524317 DDP524313:DDP524317 DNL524313:DNL524317 DXH524313:DXH524317 EHD524313:EHD524317 EQZ524313:EQZ524317 FAV524313:FAV524317 FKR524313:FKR524317 FUN524313:FUN524317 GEJ524313:GEJ524317 GOF524313:GOF524317 GYB524313:GYB524317 HHX524313:HHX524317 HRT524313:HRT524317 IBP524313:IBP524317 ILL524313:ILL524317 IVH524313:IVH524317 JFD524313:JFD524317 JOZ524313:JOZ524317 JYV524313:JYV524317 KIR524313:KIR524317 KSN524313:KSN524317 LCJ524313:LCJ524317 LMF524313:LMF524317 LWB524313:LWB524317 MFX524313:MFX524317 MPT524313:MPT524317 MZP524313:MZP524317 NJL524313:NJL524317 NTH524313:NTH524317 ODD524313:ODD524317 OMZ524313:OMZ524317 OWV524313:OWV524317 PGR524313:PGR524317 PQN524313:PQN524317 QAJ524313:QAJ524317 QKF524313:QKF524317 QUB524313:QUB524317 RDX524313:RDX524317 RNT524313:RNT524317 RXP524313:RXP524317 SHL524313:SHL524317 SRH524313:SRH524317 TBD524313:TBD524317 TKZ524313:TKZ524317 TUV524313:TUV524317 UER524313:UER524317 UON524313:UON524317 UYJ524313:UYJ524317 VIF524313:VIF524317 VSB524313:VSB524317 WBX524313:WBX524317 WLT524313:WLT524317 WVP524313:WVP524317 JD589849:JD589853 SZ589849:SZ589853 ACV589849:ACV589853 AMR589849:AMR589853 AWN589849:AWN589853 BGJ589849:BGJ589853 BQF589849:BQF589853 CAB589849:CAB589853 CJX589849:CJX589853 CTT589849:CTT589853 DDP589849:DDP589853 DNL589849:DNL589853 DXH589849:DXH589853 EHD589849:EHD589853 EQZ589849:EQZ589853 FAV589849:FAV589853 FKR589849:FKR589853 FUN589849:FUN589853 GEJ589849:GEJ589853 GOF589849:GOF589853 GYB589849:GYB589853 HHX589849:HHX589853 HRT589849:HRT589853 IBP589849:IBP589853 ILL589849:ILL589853 IVH589849:IVH589853 JFD589849:JFD589853 JOZ589849:JOZ589853 JYV589849:JYV589853 KIR589849:KIR589853 KSN589849:KSN589853 LCJ589849:LCJ589853 LMF589849:LMF589853 LWB589849:LWB589853 MFX589849:MFX589853 MPT589849:MPT589853 MZP589849:MZP589853 NJL589849:NJL589853 NTH589849:NTH589853 ODD589849:ODD589853 OMZ589849:OMZ589853 OWV589849:OWV589853 PGR589849:PGR589853 PQN589849:PQN589853 QAJ589849:QAJ589853 QKF589849:QKF589853 QUB589849:QUB589853 RDX589849:RDX589853 RNT589849:RNT589853 RXP589849:RXP589853 SHL589849:SHL589853 SRH589849:SRH589853 TBD589849:TBD589853 TKZ589849:TKZ589853 TUV589849:TUV589853 UER589849:UER589853 UON589849:UON589853 UYJ589849:UYJ589853 VIF589849:VIF589853 VSB589849:VSB589853 WBX589849:WBX589853 WLT589849:WLT589853 WVP589849:WVP589853 JD655385:JD655389 SZ655385:SZ655389 ACV655385:ACV655389 AMR655385:AMR655389 AWN655385:AWN655389 BGJ655385:BGJ655389 BQF655385:BQF655389 CAB655385:CAB655389 CJX655385:CJX655389 CTT655385:CTT655389 DDP655385:DDP655389 DNL655385:DNL655389 DXH655385:DXH655389 EHD655385:EHD655389 EQZ655385:EQZ655389 FAV655385:FAV655389 FKR655385:FKR655389 FUN655385:FUN655389 GEJ655385:GEJ655389 GOF655385:GOF655389 GYB655385:GYB655389 HHX655385:HHX655389 HRT655385:HRT655389 IBP655385:IBP655389 ILL655385:ILL655389 IVH655385:IVH655389 JFD655385:JFD655389 JOZ655385:JOZ655389 JYV655385:JYV655389 KIR655385:KIR655389 KSN655385:KSN655389 LCJ655385:LCJ655389 LMF655385:LMF655389 LWB655385:LWB655389 MFX655385:MFX655389 MPT655385:MPT655389 MZP655385:MZP655389 NJL655385:NJL655389 NTH655385:NTH655389 ODD655385:ODD655389 OMZ655385:OMZ655389 OWV655385:OWV655389 PGR655385:PGR655389 PQN655385:PQN655389 QAJ655385:QAJ655389 QKF655385:QKF655389 QUB655385:QUB655389 RDX655385:RDX655389 RNT655385:RNT655389 RXP655385:RXP655389 SHL655385:SHL655389 SRH655385:SRH655389 TBD655385:TBD655389 TKZ655385:TKZ655389 TUV655385:TUV655389 UER655385:UER655389 UON655385:UON655389 UYJ655385:UYJ655389 VIF655385:VIF655389 VSB655385:VSB655389 WBX655385:WBX655389 WLT655385:WLT655389 WVP655385:WVP655389 JD720921:JD720925 SZ720921:SZ720925 ACV720921:ACV720925 AMR720921:AMR720925 AWN720921:AWN720925 BGJ720921:BGJ720925 BQF720921:BQF720925 CAB720921:CAB720925 CJX720921:CJX720925 CTT720921:CTT720925 DDP720921:DDP720925 DNL720921:DNL720925 DXH720921:DXH720925 EHD720921:EHD720925 EQZ720921:EQZ720925 FAV720921:FAV720925 FKR720921:FKR720925 FUN720921:FUN720925 GEJ720921:GEJ720925 GOF720921:GOF720925 GYB720921:GYB720925 HHX720921:HHX720925 HRT720921:HRT720925 IBP720921:IBP720925 ILL720921:ILL720925 IVH720921:IVH720925 JFD720921:JFD720925 JOZ720921:JOZ720925 JYV720921:JYV720925 KIR720921:KIR720925 KSN720921:KSN720925 LCJ720921:LCJ720925 LMF720921:LMF720925 LWB720921:LWB720925 MFX720921:MFX720925 MPT720921:MPT720925 MZP720921:MZP720925 NJL720921:NJL720925 NTH720921:NTH720925 ODD720921:ODD720925 OMZ720921:OMZ720925 OWV720921:OWV720925 PGR720921:PGR720925 PQN720921:PQN720925 QAJ720921:QAJ720925 QKF720921:QKF720925 QUB720921:QUB720925 RDX720921:RDX720925 RNT720921:RNT720925 RXP720921:RXP720925 SHL720921:SHL720925 SRH720921:SRH720925 TBD720921:TBD720925 TKZ720921:TKZ720925 TUV720921:TUV720925 UER720921:UER720925 UON720921:UON720925 UYJ720921:UYJ720925 VIF720921:VIF720925 VSB720921:VSB720925 WBX720921:WBX720925 WLT720921:WLT720925 WVP720921:WVP720925 JD786457:JD786461 SZ786457:SZ786461 ACV786457:ACV786461 AMR786457:AMR786461 AWN786457:AWN786461 BGJ786457:BGJ786461 BQF786457:BQF786461 CAB786457:CAB786461 CJX786457:CJX786461 CTT786457:CTT786461 DDP786457:DDP786461 DNL786457:DNL786461 DXH786457:DXH786461 EHD786457:EHD786461 EQZ786457:EQZ786461 FAV786457:FAV786461 FKR786457:FKR786461 FUN786457:FUN786461 GEJ786457:GEJ786461 GOF786457:GOF786461 GYB786457:GYB786461 HHX786457:HHX786461 HRT786457:HRT786461 IBP786457:IBP786461 ILL786457:ILL786461 IVH786457:IVH786461 JFD786457:JFD786461 JOZ786457:JOZ786461 JYV786457:JYV786461 KIR786457:KIR786461 KSN786457:KSN786461 LCJ786457:LCJ786461 LMF786457:LMF786461 LWB786457:LWB786461 MFX786457:MFX786461 MPT786457:MPT786461 MZP786457:MZP786461 NJL786457:NJL786461 NTH786457:NTH786461 ODD786457:ODD786461 OMZ786457:OMZ786461 OWV786457:OWV786461 PGR786457:PGR786461 PQN786457:PQN786461 QAJ786457:QAJ786461 QKF786457:QKF786461 QUB786457:QUB786461 RDX786457:RDX786461 RNT786457:RNT786461 RXP786457:RXP786461 SHL786457:SHL786461 SRH786457:SRH786461 TBD786457:TBD786461 TKZ786457:TKZ786461 TUV786457:TUV786461 UER786457:UER786461 UON786457:UON786461 UYJ786457:UYJ786461 VIF786457:VIF786461 VSB786457:VSB786461 WBX786457:WBX786461 WLT786457:WLT786461 WVP786457:WVP786461 JD851993:JD851997 SZ851993:SZ851997 ACV851993:ACV851997 AMR851993:AMR851997 AWN851993:AWN851997 BGJ851993:BGJ851997 BQF851993:BQF851997 CAB851993:CAB851997 CJX851993:CJX851997 CTT851993:CTT851997 DDP851993:DDP851997 DNL851993:DNL851997 DXH851993:DXH851997 EHD851993:EHD851997 EQZ851993:EQZ851997 FAV851993:FAV851997 FKR851993:FKR851997 FUN851993:FUN851997 GEJ851993:GEJ851997 GOF851993:GOF851997 GYB851993:GYB851997 HHX851993:HHX851997 HRT851993:HRT851997 IBP851993:IBP851997 ILL851993:ILL851997 IVH851993:IVH851997 JFD851993:JFD851997 JOZ851993:JOZ851997 JYV851993:JYV851997 KIR851993:KIR851997 KSN851993:KSN851997 LCJ851993:LCJ851997 LMF851993:LMF851997 LWB851993:LWB851997 MFX851993:MFX851997 MPT851993:MPT851997 MZP851993:MZP851997 NJL851993:NJL851997 NTH851993:NTH851997 ODD851993:ODD851997 OMZ851993:OMZ851997 OWV851993:OWV851997 PGR851993:PGR851997 PQN851993:PQN851997 QAJ851993:QAJ851997 QKF851993:QKF851997 QUB851993:QUB851997 RDX851993:RDX851997 RNT851993:RNT851997 RXP851993:RXP851997 SHL851993:SHL851997 SRH851993:SRH851997 TBD851993:TBD851997 TKZ851993:TKZ851997 TUV851993:TUV851997 UER851993:UER851997 UON851993:UON851997 UYJ851993:UYJ851997 VIF851993:VIF851997 VSB851993:VSB851997 WBX851993:WBX851997 WLT851993:WLT851997 WVP851993:WVP851997 JD917529:JD917533 SZ917529:SZ917533 ACV917529:ACV917533 AMR917529:AMR917533 AWN917529:AWN917533 BGJ917529:BGJ917533 BQF917529:BQF917533 CAB917529:CAB917533 CJX917529:CJX917533 CTT917529:CTT917533 DDP917529:DDP917533 DNL917529:DNL917533 DXH917529:DXH917533 EHD917529:EHD917533 EQZ917529:EQZ917533 FAV917529:FAV917533 FKR917529:FKR917533 FUN917529:FUN917533 GEJ917529:GEJ917533 GOF917529:GOF917533 GYB917529:GYB917533 HHX917529:HHX917533 HRT917529:HRT917533 IBP917529:IBP917533 ILL917529:ILL917533 IVH917529:IVH917533 JFD917529:JFD917533 JOZ917529:JOZ917533 JYV917529:JYV917533 KIR917529:KIR917533 KSN917529:KSN917533 LCJ917529:LCJ917533 LMF917529:LMF917533 LWB917529:LWB917533 MFX917529:MFX917533 MPT917529:MPT917533 MZP917529:MZP917533 NJL917529:NJL917533 NTH917529:NTH917533 ODD917529:ODD917533 OMZ917529:OMZ917533 OWV917529:OWV917533 PGR917529:PGR917533 PQN917529:PQN917533 QAJ917529:QAJ917533 QKF917529:QKF917533 QUB917529:QUB917533 RDX917529:RDX917533 RNT917529:RNT917533 RXP917529:RXP917533 SHL917529:SHL917533 SRH917529:SRH917533 TBD917529:TBD917533 TKZ917529:TKZ917533 TUV917529:TUV917533 UER917529:UER917533 UON917529:UON917533 UYJ917529:UYJ917533 VIF917529:VIF917533 VSB917529:VSB917533 WBX917529:WBX917533 WLT917529:WLT917533 WVP917529:WVP917533 JD983065:JD983069 SZ983065:SZ983069 ACV983065:ACV983069 AMR983065:AMR983069 AWN983065:AWN983069 BGJ983065:BGJ983069 BQF983065:BQF983069 CAB983065:CAB983069 CJX983065:CJX983069 CTT983065:CTT983069 DDP983065:DDP983069 DNL983065:DNL983069 DXH983065:DXH983069 EHD983065:EHD983069 EQZ983065:EQZ983069 FAV983065:FAV983069 FKR983065:FKR983069 FUN983065:FUN983069 GEJ983065:GEJ983069 GOF983065:GOF983069 GYB983065:GYB983069 HHX983065:HHX983069 HRT983065:HRT983069 IBP983065:IBP983069 ILL983065:ILL983069 IVH983065:IVH983069 JFD983065:JFD983069 JOZ983065:JOZ983069 JYV983065:JYV983069 KIR983065:KIR983069 KSN983065:KSN983069 LCJ983065:LCJ983069 LMF983065:LMF983069 LWB983065:LWB983069 MFX983065:MFX983069 MPT983065:MPT983069 MZP983065:MZP983069 NJL983065:NJL983069 NTH983065:NTH983069 ODD983065:ODD983069 OMZ983065:OMZ983069 OWV983065:OWV983069 PGR983065:PGR983069 PQN983065:PQN983069 QAJ983065:QAJ983069 QKF983065:QKF983069 QUB983065:QUB983069 RDX983065:RDX983069 RNT983065:RNT983069 RXP983065:RXP983069 SHL983065:SHL983069 SRH983065:SRH983069 TBD983065:TBD983069 TKZ983065:TKZ983069 TUV983065:TUV983069 UER983065:UER983069 UON983065:UON983069 UYJ983065:UYJ983069 VIF983065:VIF983069 VSB983065:VSB983069 WBX983065:WBX983069 WLT983065:WLT983069 WVP983065:WVP983069 H983061:H983065 H917525:H917529 H851989:H851993 H786453:H786457 H720917:H720921 H655381:H655385 H589845:H589849 H524309:H524313 H458773:H458777 H393237:H393241 H327701:H327705 H262165:H262169 H196629:H196633 H131093:H131097 H24:H25">
      <formula1>$P$55:$P$58</formula1>
    </dataValidation>
    <dataValidation type="list" allowBlank="1" showInputMessage="1" showErrorMessage="1" sqref="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JA21 JD22:JD24 SW21 SZ22:SZ24 ACS21 ACV22:ACV24 AMO21 AMR22:AMR24 AWK21 AWN22:AWN24 BGG21 BGJ22:BGJ24 BQC21 BQF22:BQF24 BZY21 CAB22:CAB24 CJU21 CJX22:CJX24 CTQ21 CTT22:CTT24 DDM21 DDP22:DDP24 DNI21 DNL22:DNL24 DXE21 DXH22:DXH24 EHA21 EHD22:EHD24 EQW21 EQZ22:EQZ24 FAS21 FAV22:FAV24 FKO21 FKR22:FKR24 FUK21 FUN22:FUN24 GEG21 GEJ22:GEJ24 GOC21 GOF22:GOF24 GXY21 GYB22:GYB24 HHU21 HHX22:HHX24 HRQ21 HRT22:HRT24 IBM21 IBP22:IBP24 ILI21 ILL22:ILL24 IVE21 IVH22:IVH24 JFA21 JFD22:JFD24 JOW21 JOZ22:JOZ24 JYS21 JYV22:JYV24 KIO21 KIR22:KIR24 KSK21 KSN22:KSN24 LCG21 LCJ22:LCJ24 LMC21 LMF22:LMF24 LVY21 LWB22:LWB24 MFU21 MFX22:MFX24 MPQ21 MPT22:MPT24 MZM21 MZP22:MZP24 NJI21 NJL22:NJL24 NTE21 NTH22:NTH24 ODA21 ODD22:ODD24 OMW21 OMZ22:OMZ24 OWS21 OWV22:OWV24 PGO21 PGR22:PGR24 PQK21 PQN22:PQN24 QAG21 QAJ22:QAJ24 QKC21 QKF22:QKF24 QTY21 QUB22:QUB24 RDU21 RDX22:RDX24 RNQ21 RNT22:RNT24 RXM21 RXP22:RXP24 SHI21 SHL22:SHL24 SRE21 SRH22:SRH24 TBA21 TBD22:TBD24 TKW21 TKZ22:TKZ24 TUS21 TUV22:TUV24 UEO21 UER22:UER24 UOK21 UON22:UON24 UYG21 UYJ22:UYJ24 VIC21 VIF22:VIF24 VRY21 VSB22:VSB24 WBU21 WBX22:WBX24 WLQ21 WLT22:WLT24 WVM21 WVP22:WVP24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JE25:JE29 TA25:TA29 ACW25:ACW29 AMS25:AMS29 AWO25:AWO29 BGK25:BGK29 BQG25:BQG29 CAC25:CAC29 CJY25:CJY29 CTU25:CTU29 DDQ25:DDQ29 DNM25:DNM29 DXI25:DXI29 EHE25:EHE29 ERA25:ERA29 FAW25:FAW29 FKS25:FKS29 FUO25:FUO29 GEK25:GEK29 GOG25:GOG29 GYC25:GYC29 HHY25:HHY29 HRU25:HRU29 IBQ25:IBQ29 ILM25:ILM29 IVI25:IVI29 JFE25:JFE29 JPA25:JPA29 JYW25:JYW29 KIS25:KIS29 KSO25:KSO29 LCK25:LCK29 LMG25:LMG29 LWC25:LWC29 MFY25:MFY29 MPU25:MPU29 MZQ25:MZQ29 NJM25:NJM29 NTI25:NTI29 ODE25:ODE29 ONA25:ONA29 OWW25:OWW29 PGS25:PGS29 PQO25:PQO29 QAK25:QAK29 QKG25:QKG29 QUC25:QUC29 RDY25:RDY29 RNU25:RNU29 RXQ25:RXQ29 SHM25:SHM29 SRI25:SRI29 TBE25:TBE29 TLA25:TLA29 TUW25:TUW29 UES25:UES29 UOO25:UOO29 UYK25:UYK29 VIG25:VIG29 VSC25:VSC29 WBY25:WBY29 WLU25:WLU29 WVQ25:WVQ29 JE65560:JE65565 TA65560:TA65565 ACW65560:ACW65565 AMS65560:AMS65565 AWO65560:AWO65565 BGK65560:BGK65565 BQG65560:BQG65565 CAC65560:CAC65565 CJY65560:CJY65565 CTU65560:CTU65565 DDQ65560:DDQ65565 DNM65560:DNM65565 DXI65560:DXI65565 EHE65560:EHE65565 ERA65560:ERA65565 FAW65560:FAW65565 FKS65560:FKS65565 FUO65560:FUO65565 GEK65560:GEK65565 GOG65560:GOG65565 GYC65560:GYC65565 HHY65560:HHY65565 HRU65560:HRU65565 IBQ65560:IBQ65565 ILM65560:ILM65565 IVI65560:IVI65565 JFE65560:JFE65565 JPA65560:JPA65565 JYW65560:JYW65565 KIS65560:KIS65565 KSO65560:KSO65565 LCK65560:LCK65565 LMG65560:LMG65565 LWC65560:LWC65565 MFY65560:MFY65565 MPU65560:MPU65565 MZQ65560:MZQ65565 NJM65560:NJM65565 NTI65560:NTI65565 ODE65560:ODE65565 ONA65560:ONA65565 OWW65560:OWW65565 PGS65560:PGS65565 PQO65560:PQO65565 QAK65560:QAK65565 QKG65560:QKG65565 QUC65560:QUC65565 RDY65560:RDY65565 RNU65560:RNU65565 RXQ65560:RXQ65565 SHM65560:SHM65565 SRI65560:SRI65565 TBE65560:TBE65565 TLA65560:TLA65565 TUW65560:TUW65565 UES65560:UES65565 UOO65560:UOO65565 UYK65560:UYK65565 VIG65560:VIG65565 VSC65560:VSC65565 WBY65560:WBY65565 WLU65560:WLU65565 WVQ65560:WVQ65565 JE131096:JE131101 TA131096:TA131101 ACW131096:ACW131101 AMS131096:AMS131101 AWO131096:AWO131101 BGK131096:BGK131101 BQG131096:BQG131101 CAC131096:CAC131101 CJY131096:CJY131101 CTU131096:CTU131101 DDQ131096:DDQ131101 DNM131096:DNM131101 DXI131096:DXI131101 EHE131096:EHE131101 ERA131096:ERA131101 FAW131096:FAW131101 FKS131096:FKS131101 FUO131096:FUO131101 GEK131096:GEK131101 GOG131096:GOG131101 GYC131096:GYC131101 HHY131096:HHY131101 HRU131096:HRU131101 IBQ131096:IBQ131101 ILM131096:ILM131101 IVI131096:IVI131101 JFE131096:JFE131101 JPA131096:JPA131101 JYW131096:JYW131101 KIS131096:KIS131101 KSO131096:KSO131101 LCK131096:LCK131101 LMG131096:LMG131101 LWC131096:LWC131101 MFY131096:MFY131101 MPU131096:MPU131101 MZQ131096:MZQ131101 NJM131096:NJM131101 NTI131096:NTI131101 ODE131096:ODE131101 ONA131096:ONA131101 OWW131096:OWW131101 PGS131096:PGS131101 PQO131096:PQO131101 QAK131096:QAK131101 QKG131096:QKG131101 QUC131096:QUC131101 RDY131096:RDY131101 RNU131096:RNU131101 RXQ131096:RXQ131101 SHM131096:SHM131101 SRI131096:SRI131101 TBE131096:TBE131101 TLA131096:TLA131101 TUW131096:TUW131101 UES131096:UES131101 UOO131096:UOO131101 UYK131096:UYK131101 VIG131096:VIG131101 VSC131096:VSC131101 WBY131096:WBY131101 WLU131096:WLU131101 WVQ131096:WVQ131101 JE196632:JE196637 TA196632:TA196637 ACW196632:ACW196637 AMS196632:AMS196637 AWO196632:AWO196637 BGK196632:BGK196637 BQG196632:BQG196637 CAC196632:CAC196637 CJY196632:CJY196637 CTU196632:CTU196637 DDQ196632:DDQ196637 DNM196632:DNM196637 DXI196632:DXI196637 EHE196632:EHE196637 ERA196632:ERA196637 FAW196632:FAW196637 FKS196632:FKS196637 FUO196632:FUO196637 GEK196632:GEK196637 GOG196632:GOG196637 GYC196632:GYC196637 HHY196632:HHY196637 HRU196632:HRU196637 IBQ196632:IBQ196637 ILM196632:ILM196637 IVI196632:IVI196637 JFE196632:JFE196637 JPA196632:JPA196637 JYW196632:JYW196637 KIS196632:KIS196637 KSO196632:KSO196637 LCK196632:LCK196637 LMG196632:LMG196637 LWC196632:LWC196637 MFY196632:MFY196637 MPU196632:MPU196637 MZQ196632:MZQ196637 NJM196632:NJM196637 NTI196632:NTI196637 ODE196632:ODE196637 ONA196632:ONA196637 OWW196632:OWW196637 PGS196632:PGS196637 PQO196632:PQO196637 QAK196632:QAK196637 QKG196632:QKG196637 QUC196632:QUC196637 RDY196632:RDY196637 RNU196632:RNU196637 RXQ196632:RXQ196637 SHM196632:SHM196637 SRI196632:SRI196637 TBE196632:TBE196637 TLA196632:TLA196637 TUW196632:TUW196637 UES196632:UES196637 UOO196632:UOO196637 UYK196632:UYK196637 VIG196632:VIG196637 VSC196632:VSC196637 WBY196632:WBY196637 WLU196632:WLU196637 WVQ196632:WVQ196637 JE262168:JE262173 TA262168:TA262173 ACW262168:ACW262173 AMS262168:AMS262173 AWO262168:AWO262173 BGK262168:BGK262173 BQG262168:BQG262173 CAC262168:CAC262173 CJY262168:CJY262173 CTU262168:CTU262173 DDQ262168:DDQ262173 DNM262168:DNM262173 DXI262168:DXI262173 EHE262168:EHE262173 ERA262168:ERA262173 FAW262168:FAW262173 FKS262168:FKS262173 FUO262168:FUO262173 GEK262168:GEK262173 GOG262168:GOG262173 GYC262168:GYC262173 HHY262168:HHY262173 HRU262168:HRU262173 IBQ262168:IBQ262173 ILM262168:ILM262173 IVI262168:IVI262173 JFE262168:JFE262173 JPA262168:JPA262173 JYW262168:JYW262173 KIS262168:KIS262173 KSO262168:KSO262173 LCK262168:LCK262173 LMG262168:LMG262173 LWC262168:LWC262173 MFY262168:MFY262173 MPU262168:MPU262173 MZQ262168:MZQ262173 NJM262168:NJM262173 NTI262168:NTI262173 ODE262168:ODE262173 ONA262168:ONA262173 OWW262168:OWW262173 PGS262168:PGS262173 PQO262168:PQO262173 QAK262168:QAK262173 QKG262168:QKG262173 QUC262168:QUC262173 RDY262168:RDY262173 RNU262168:RNU262173 RXQ262168:RXQ262173 SHM262168:SHM262173 SRI262168:SRI262173 TBE262168:TBE262173 TLA262168:TLA262173 TUW262168:TUW262173 UES262168:UES262173 UOO262168:UOO262173 UYK262168:UYK262173 VIG262168:VIG262173 VSC262168:VSC262173 WBY262168:WBY262173 WLU262168:WLU262173 WVQ262168:WVQ262173 JE327704:JE327709 TA327704:TA327709 ACW327704:ACW327709 AMS327704:AMS327709 AWO327704:AWO327709 BGK327704:BGK327709 BQG327704:BQG327709 CAC327704:CAC327709 CJY327704:CJY327709 CTU327704:CTU327709 DDQ327704:DDQ327709 DNM327704:DNM327709 DXI327704:DXI327709 EHE327704:EHE327709 ERA327704:ERA327709 FAW327704:FAW327709 FKS327704:FKS327709 FUO327704:FUO327709 GEK327704:GEK327709 GOG327704:GOG327709 GYC327704:GYC327709 HHY327704:HHY327709 HRU327704:HRU327709 IBQ327704:IBQ327709 ILM327704:ILM327709 IVI327704:IVI327709 JFE327704:JFE327709 JPA327704:JPA327709 JYW327704:JYW327709 KIS327704:KIS327709 KSO327704:KSO327709 LCK327704:LCK327709 LMG327704:LMG327709 LWC327704:LWC327709 MFY327704:MFY327709 MPU327704:MPU327709 MZQ327704:MZQ327709 NJM327704:NJM327709 NTI327704:NTI327709 ODE327704:ODE327709 ONA327704:ONA327709 OWW327704:OWW327709 PGS327704:PGS327709 PQO327704:PQO327709 QAK327704:QAK327709 QKG327704:QKG327709 QUC327704:QUC327709 RDY327704:RDY327709 RNU327704:RNU327709 RXQ327704:RXQ327709 SHM327704:SHM327709 SRI327704:SRI327709 TBE327704:TBE327709 TLA327704:TLA327709 TUW327704:TUW327709 UES327704:UES327709 UOO327704:UOO327709 UYK327704:UYK327709 VIG327704:VIG327709 VSC327704:VSC327709 WBY327704:WBY327709 WLU327704:WLU327709 WVQ327704:WVQ327709 JE393240:JE393245 TA393240:TA393245 ACW393240:ACW393245 AMS393240:AMS393245 AWO393240:AWO393245 BGK393240:BGK393245 BQG393240:BQG393245 CAC393240:CAC393245 CJY393240:CJY393245 CTU393240:CTU393245 DDQ393240:DDQ393245 DNM393240:DNM393245 DXI393240:DXI393245 EHE393240:EHE393245 ERA393240:ERA393245 FAW393240:FAW393245 FKS393240:FKS393245 FUO393240:FUO393245 GEK393240:GEK393245 GOG393240:GOG393245 GYC393240:GYC393245 HHY393240:HHY393245 HRU393240:HRU393245 IBQ393240:IBQ393245 ILM393240:ILM393245 IVI393240:IVI393245 JFE393240:JFE393245 JPA393240:JPA393245 JYW393240:JYW393245 KIS393240:KIS393245 KSO393240:KSO393245 LCK393240:LCK393245 LMG393240:LMG393245 LWC393240:LWC393245 MFY393240:MFY393245 MPU393240:MPU393245 MZQ393240:MZQ393245 NJM393240:NJM393245 NTI393240:NTI393245 ODE393240:ODE393245 ONA393240:ONA393245 OWW393240:OWW393245 PGS393240:PGS393245 PQO393240:PQO393245 QAK393240:QAK393245 QKG393240:QKG393245 QUC393240:QUC393245 RDY393240:RDY393245 RNU393240:RNU393245 RXQ393240:RXQ393245 SHM393240:SHM393245 SRI393240:SRI393245 TBE393240:TBE393245 TLA393240:TLA393245 TUW393240:TUW393245 UES393240:UES393245 UOO393240:UOO393245 UYK393240:UYK393245 VIG393240:VIG393245 VSC393240:VSC393245 WBY393240:WBY393245 WLU393240:WLU393245 WVQ393240:WVQ393245 JE458776:JE458781 TA458776:TA458781 ACW458776:ACW458781 AMS458776:AMS458781 AWO458776:AWO458781 BGK458776:BGK458781 BQG458776:BQG458781 CAC458776:CAC458781 CJY458776:CJY458781 CTU458776:CTU458781 DDQ458776:DDQ458781 DNM458776:DNM458781 DXI458776:DXI458781 EHE458776:EHE458781 ERA458776:ERA458781 FAW458776:FAW458781 FKS458776:FKS458781 FUO458776:FUO458781 GEK458776:GEK458781 GOG458776:GOG458781 GYC458776:GYC458781 HHY458776:HHY458781 HRU458776:HRU458781 IBQ458776:IBQ458781 ILM458776:ILM458781 IVI458776:IVI458781 JFE458776:JFE458781 JPA458776:JPA458781 JYW458776:JYW458781 KIS458776:KIS458781 KSO458776:KSO458781 LCK458776:LCK458781 LMG458776:LMG458781 LWC458776:LWC458781 MFY458776:MFY458781 MPU458776:MPU458781 MZQ458776:MZQ458781 NJM458776:NJM458781 NTI458776:NTI458781 ODE458776:ODE458781 ONA458776:ONA458781 OWW458776:OWW458781 PGS458776:PGS458781 PQO458776:PQO458781 QAK458776:QAK458781 QKG458776:QKG458781 QUC458776:QUC458781 RDY458776:RDY458781 RNU458776:RNU458781 RXQ458776:RXQ458781 SHM458776:SHM458781 SRI458776:SRI458781 TBE458776:TBE458781 TLA458776:TLA458781 TUW458776:TUW458781 UES458776:UES458781 UOO458776:UOO458781 UYK458776:UYK458781 VIG458776:VIG458781 VSC458776:VSC458781 WBY458776:WBY458781 WLU458776:WLU458781 WVQ458776:WVQ458781 JE524312:JE524317 TA524312:TA524317 ACW524312:ACW524317 AMS524312:AMS524317 AWO524312:AWO524317 BGK524312:BGK524317 BQG524312:BQG524317 CAC524312:CAC524317 CJY524312:CJY524317 CTU524312:CTU524317 DDQ524312:DDQ524317 DNM524312:DNM524317 DXI524312:DXI524317 EHE524312:EHE524317 ERA524312:ERA524317 FAW524312:FAW524317 FKS524312:FKS524317 FUO524312:FUO524317 GEK524312:GEK524317 GOG524312:GOG524317 GYC524312:GYC524317 HHY524312:HHY524317 HRU524312:HRU524317 IBQ524312:IBQ524317 ILM524312:ILM524317 IVI524312:IVI524317 JFE524312:JFE524317 JPA524312:JPA524317 JYW524312:JYW524317 KIS524312:KIS524317 KSO524312:KSO524317 LCK524312:LCK524317 LMG524312:LMG524317 LWC524312:LWC524317 MFY524312:MFY524317 MPU524312:MPU524317 MZQ524312:MZQ524317 NJM524312:NJM524317 NTI524312:NTI524317 ODE524312:ODE524317 ONA524312:ONA524317 OWW524312:OWW524317 PGS524312:PGS524317 PQO524312:PQO524317 QAK524312:QAK524317 QKG524312:QKG524317 QUC524312:QUC524317 RDY524312:RDY524317 RNU524312:RNU524317 RXQ524312:RXQ524317 SHM524312:SHM524317 SRI524312:SRI524317 TBE524312:TBE524317 TLA524312:TLA524317 TUW524312:TUW524317 UES524312:UES524317 UOO524312:UOO524317 UYK524312:UYK524317 VIG524312:VIG524317 VSC524312:VSC524317 WBY524312:WBY524317 WLU524312:WLU524317 WVQ524312:WVQ524317 JE589848:JE589853 TA589848:TA589853 ACW589848:ACW589853 AMS589848:AMS589853 AWO589848:AWO589853 BGK589848:BGK589853 BQG589848:BQG589853 CAC589848:CAC589853 CJY589848:CJY589853 CTU589848:CTU589853 DDQ589848:DDQ589853 DNM589848:DNM589853 DXI589848:DXI589853 EHE589848:EHE589853 ERA589848:ERA589853 FAW589848:FAW589853 FKS589848:FKS589853 FUO589848:FUO589853 GEK589848:GEK589853 GOG589848:GOG589853 GYC589848:GYC589853 HHY589848:HHY589853 HRU589848:HRU589853 IBQ589848:IBQ589853 ILM589848:ILM589853 IVI589848:IVI589853 JFE589848:JFE589853 JPA589848:JPA589853 JYW589848:JYW589853 KIS589848:KIS589853 KSO589848:KSO589853 LCK589848:LCK589853 LMG589848:LMG589853 LWC589848:LWC589853 MFY589848:MFY589853 MPU589848:MPU589853 MZQ589848:MZQ589853 NJM589848:NJM589853 NTI589848:NTI589853 ODE589848:ODE589853 ONA589848:ONA589853 OWW589848:OWW589853 PGS589848:PGS589853 PQO589848:PQO589853 QAK589848:QAK589853 QKG589848:QKG589853 QUC589848:QUC589853 RDY589848:RDY589853 RNU589848:RNU589853 RXQ589848:RXQ589853 SHM589848:SHM589853 SRI589848:SRI589853 TBE589848:TBE589853 TLA589848:TLA589853 TUW589848:TUW589853 UES589848:UES589853 UOO589848:UOO589853 UYK589848:UYK589853 VIG589848:VIG589853 VSC589848:VSC589853 WBY589848:WBY589853 WLU589848:WLU589853 WVQ589848:WVQ589853 JE655384:JE655389 TA655384:TA655389 ACW655384:ACW655389 AMS655384:AMS655389 AWO655384:AWO655389 BGK655384:BGK655389 BQG655384:BQG655389 CAC655384:CAC655389 CJY655384:CJY655389 CTU655384:CTU655389 DDQ655384:DDQ655389 DNM655384:DNM655389 DXI655384:DXI655389 EHE655384:EHE655389 ERA655384:ERA655389 FAW655384:FAW655389 FKS655384:FKS655389 FUO655384:FUO655389 GEK655384:GEK655389 GOG655384:GOG655389 GYC655384:GYC655389 HHY655384:HHY655389 HRU655384:HRU655389 IBQ655384:IBQ655389 ILM655384:ILM655389 IVI655384:IVI655389 JFE655384:JFE655389 JPA655384:JPA655389 JYW655384:JYW655389 KIS655384:KIS655389 KSO655384:KSO655389 LCK655384:LCK655389 LMG655384:LMG655389 LWC655384:LWC655389 MFY655384:MFY655389 MPU655384:MPU655389 MZQ655384:MZQ655389 NJM655384:NJM655389 NTI655384:NTI655389 ODE655384:ODE655389 ONA655384:ONA655389 OWW655384:OWW655389 PGS655384:PGS655389 PQO655384:PQO655389 QAK655384:QAK655389 QKG655384:QKG655389 QUC655384:QUC655389 RDY655384:RDY655389 RNU655384:RNU655389 RXQ655384:RXQ655389 SHM655384:SHM655389 SRI655384:SRI655389 TBE655384:TBE655389 TLA655384:TLA655389 TUW655384:TUW655389 UES655384:UES655389 UOO655384:UOO655389 UYK655384:UYK655389 VIG655384:VIG655389 VSC655384:VSC655389 WBY655384:WBY655389 WLU655384:WLU655389 WVQ655384:WVQ655389 JE720920:JE720925 TA720920:TA720925 ACW720920:ACW720925 AMS720920:AMS720925 AWO720920:AWO720925 BGK720920:BGK720925 BQG720920:BQG720925 CAC720920:CAC720925 CJY720920:CJY720925 CTU720920:CTU720925 DDQ720920:DDQ720925 DNM720920:DNM720925 DXI720920:DXI720925 EHE720920:EHE720925 ERA720920:ERA720925 FAW720920:FAW720925 FKS720920:FKS720925 FUO720920:FUO720925 GEK720920:GEK720925 GOG720920:GOG720925 GYC720920:GYC720925 HHY720920:HHY720925 HRU720920:HRU720925 IBQ720920:IBQ720925 ILM720920:ILM720925 IVI720920:IVI720925 JFE720920:JFE720925 JPA720920:JPA720925 JYW720920:JYW720925 KIS720920:KIS720925 KSO720920:KSO720925 LCK720920:LCK720925 LMG720920:LMG720925 LWC720920:LWC720925 MFY720920:MFY720925 MPU720920:MPU720925 MZQ720920:MZQ720925 NJM720920:NJM720925 NTI720920:NTI720925 ODE720920:ODE720925 ONA720920:ONA720925 OWW720920:OWW720925 PGS720920:PGS720925 PQO720920:PQO720925 QAK720920:QAK720925 QKG720920:QKG720925 QUC720920:QUC720925 RDY720920:RDY720925 RNU720920:RNU720925 RXQ720920:RXQ720925 SHM720920:SHM720925 SRI720920:SRI720925 TBE720920:TBE720925 TLA720920:TLA720925 TUW720920:TUW720925 UES720920:UES720925 UOO720920:UOO720925 UYK720920:UYK720925 VIG720920:VIG720925 VSC720920:VSC720925 WBY720920:WBY720925 WLU720920:WLU720925 WVQ720920:WVQ720925 JE786456:JE786461 TA786456:TA786461 ACW786456:ACW786461 AMS786456:AMS786461 AWO786456:AWO786461 BGK786456:BGK786461 BQG786456:BQG786461 CAC786456:CAC786461 CJY786456:CJY786461 CTU786456:CTU786461 DDQ786456:DDQ786461 DNM786456:DNM786461 DXI786456:DXI786461 EHE786456:EHE786461 ERA786456:ERA786461 FAW786456:FAW786461 FKS786456:FKS786461 FUO786456:FUO786461 GEK786456:GEK786461 GOG786456:GOG786461 GYC786456:GYC786461 HHY786456:HHY786461 HRU786456:HRU786461 IBQ786456:IBQ786461 ILM786456:ILM786461 IVI786456:IVI786461 JFE786456:JFE786461 JPA786456:JPA786461 JYW786456:JYW786461 KIS786456:KIS786461 KSO786456:KSO786461 LCK786456:LCK786461 LMG786456:LMG786461 LWC786456:LWC786461 MFY786456:MFY786461 MPU786456:MPU786461 MZQ786456:MZQ786461 NJM786456:NJM786461 NTI786456:NTI786461 ODE786456:ODE786461 ONA786456:ONA786461 OWW786456:OWW786461 PGS786456:PGS786461 PQO786456:PQO786461 QAK786456:QAK786461 QKG786456:QKG786461 QUC786456:QUC786461 RDY786456:RDY786461 RNU786456:RNU786461 RXQ786456:RXQ786461 SHM786456:SHM786461 SRI786456:SRI786461 TBE786456:TBE786461 TLA786456:TLA786461 TUW786456:TUW786461 UES786456:UES786461 UOO786456:UOO786461 UYK786456:UYK786461 VIG786456:VIG786461 VSC786456:VSC786461 WBY786456:WBY786461 WLU786456:WLU786461 WVQ786456:WVQ786461 JE851992:JE851997 TA851992:TA851997 ACW851992:ACW851997 AMS851992:AMS851997 AWO851992:AWO851997 BGK851992:BGK851997 BQG851992:BQG851997 CAC851992:CAC851997 CJY851992:CJY851997 CTU851992:CTU851997 DDQ851992:DDQ851997 DNM851992:DNM851997 DXI851992:DXI851997 EHE851992:EHE851997 ERA851992:ERA851997 FAW851992:FAW851997 FKS851992:FKS851997 FUO851992:FUO851997 GEK851992:GEK851997 GOG851992:GOG851997 GYC851992:GYC851997 HHY851992:HHY851997 HRU851992:HRU851997 IBQ851992:IBQ851997 ILM851992:ILM851997 IVI851992:IVI851997 JFE851992:JFE851997 JPA851992:JPA851997 JYW851992:JYW851997 KIS851992:KIS851997 KSO851992:KSO851997 LCK851992:LCK851997 LMG851992:LMG851997 LWC851992:LWC851997 MFY851992:MFY851997 MPU851992:MPU851997 MZQ851992:MZQ851997 NJM851992:NJM851997 NTI851992:NTI851997 ODE851992:ODE851997 ONA851992:ONA851997 OWW851992:OWW851997 PGS851992:PGS851997 PQO851992:PQO851997 QAK851992:QAK851997 QKG851992:QKG851997 QUC851992:QUC851997 RDY851992:RDY851997 RNU851992:RNU851997 RXQ851992:RXQ851997 SHM851992:SHM851997 SRI851992:SRI851997 TBE851992:TBE851997 TLA851992:TLA851997 TUW851992:TUW851997 UES851992:UES851997 UOO851992:UOO851997 UYK851992:UYK851997 VIG851992:VIG851997 VSC851992:VSC851997 WBY851992:WBY851997 WLU851992:WLU851997 WVQ851992:WVQ851997 JE917528:JE917533 TA917528:TA917533 ACW917528:ACW917533 AMS917528:AMS917533 AWO917528:AWO917533 BGK917528:BGK917533 BQG917528:BQG917533 CAC917528:CAC917533 CJY917528:CJY917533 CTU917528:CTU917533 DDQ917528:DDQ917533 DNM917528:DNM917533 DXI917528:DXI917533 EHE917528:EHE917533 ERA917528:ERA917533 FAW917528:FAW917533 FKS917528:FKS917533 FUO917528:FUO917533 GEK917528:GEK917533 GOG917528:GOG917533 GYC917528:GYC917533 HHY917528:HHY917533 HRU917528:HRU917533 IBQ917528:IBQ917533 ILM917528:ILM917533 IVI917528:IVI917533 JFE917528:JFE917533 JPA917528:JPA917533 JYW917528:JYW917533 KIS917528:KIS917533 KSO917528:KSO917533 LCK917528:LCK917533 LMG917528:LMG917533 LWC917528:LWC917533 MFY917528:MFY917533 MPU917528:MPU917533 MZQ917528:MZQ917533 NJM917528:NJM917533 NTI917528:NTI917533 ODE917528:ODE917533 ONA917528:ONA917533 OWW917528:OWW917533 PGS917528:PGS917533 PQO917528:PQO917533 QAK917528:QAK917533 QKG917528:QKG917533 QUC917528:QUC917533 RDY917528:RDY917533 RNU917528:RNU917533 RXQ917528:RXQ917533 SHM917528:SHM917533 SRI917528:SRI917533 TBE917528:TBE917533 TLA917528:TLA917533 TUW917528:TUW917533 UES917528:UES917533 UOO917528:UOO917533 UYK917528:UYK917533 VIG917528:VIG917533 VSC917528:VSC917533 WBY917528:WBY917533 WLU917528:WLU917533 WVQ917528:WVQ917533 JE983064:JE983069 TA983064:TA983069 ACW983064:ACW983069 AMS983064:AMS983069 AWO983064:AWO983069 BGK983064:BGK983069 BQG983064:BQG983069 CAC983064:CAC983069 CJY983064:CJY983069 CTU983064:CTU983069 DDQ983064:DDQ983069 DNM983064:DNM983069 DXI983064:DXI983069 EHE983064:EHE983069 ERA983064:ERA983069 FAW983064:FAW983069 FKS983064:FKS983069 FUO983064:FUO983069 GEK983064:GEK983069 GOG983064:GOG983069 GYC983064:GYC983069 HHY983064:HHY983069 HRU983064:HRU983069 IBQ983064:IBQ983069 ILM983064:ILM983069 IVI983064:IVI983069 JFE983064:JFE983069 JPA983064:JPA983069 JYW983064:JYW983069 KIS983064:KIS983069 KSO983064:KSO983069 LCK983064:LCK983069 LMG983064:LMG983069 LWC983064:LWC983069 MFY983064:MFY983069 MPU983064:MPU983069 MZQ983064:MZQ983069 NJM983064:NJM983069 NTI983064:NTI983069 ODE983064:ODE983069 ONA983064:ONA983069 OWW983064:OWW983069 PGS983064:PGS983069 PQO983064:PQO983069 QAK983064:QAK983069 QKG983064:QKG983069 QUC983064:QUC983069 RDY983064:RDY983069 RNU983064:RNU983069 RXQ983064:RXQ983069 SHM983064:SHM983069 SRI983064:SRI983069 TBE983064:TBE983069 TLA983064:TLA983069 TUW983064:TUW983069 UES983064:UES983069 UOO983064:UOO983069 UYK983064:UYK983069 VIG983064:VIG983069 VSC983064:VSC983069 WBY983064:WBY983069 WLU983064:WLU983069 WVQ983064:WVQ983069 I983060:I983065 I917524:I917529 I851988:I851993 I786452:I786457 I720916:I720921 I655380:I655385 I589844:I589849 I524308:I524313 I458772:I458777 I393236:I393241 I327700:I327705 I262164:I262169 I196628:I196633 I131092:I131097 I65556:I65561 I23:I25 H983054:H983058 H917518:H917522 H851982:H851986 H786446:H786450 H720910:H720914 H655374:H655378 H589838:H589842 H524302:H524306 H458766:H458770 H393230:H393234 H327694:H327698 H262158:H262162 H196622:H196626 H131086:H131090 H65550:H65554 H983052 H917516 H851980 H786444 H720908 H655372 H589836 H524300 H458764 H393228 H327692 H262156 H196620 H131084 H65548">
      <formula1>$N$32:$N$35</formula1>
    </dataValidation>
  </dataValidations>
  <hyperlinks>
    <hyperlink ref="A1" location="'T&amp;V TOC'!A1" display="TOC"/>
  </hyperlinks>
  <pageMargins left="0.7" right="0.7" top="0.75" bottom="0.75" header="0.3" footer="0.3"/>
  <pageSetup scale="59" orientation="portrait" r:id="rId1"/>
</worksheet>
</file>

<file path=xl/worksheets/sheet38.xml><?xml version="1.0" encoding="utf-8"?>
<worksheet xmlns="http://schemas.openxmlformats.org/spreadsheetml/2006/main" xmlns:r="http://schemas.openxmlformats.org/officeDocument/2006/relationships">
  <sheetPr>
    <tabColor theme="3" tint="0.39997558519241921"/>
  </sheetPr>
  <dimension ref="A1:N45"/>
  <sheetViews>
    <sheetView showGridLines="0" view="pageBreakPreview" zoomScaleNormal="100" zoomScaleSheetLayoutView="100" workbookViewId="0"/>
  </sheetViews>
  <sheetFormatPr defaultRowHeight="12"/>
  <cols>
    <col min="1" max="1" width="9.140625" style="1119"/>
    <col min="2" max="2" width="20" style="1119" customWidth="1"/>
    <col min="3" max="3" width="16.85546875" style="1119" customWidth="1"/>
    <col min="4" max="5" width="15.7109375" style="1119" customWidth="1"/>
    <col min="6" max="6" width="30.7109375" style="1119" customWidth="1"/>
    <col min="7" max="7" width="10.7109375" style="1119" customWidth="1"/>
    <col min="8" max="8" width="6.85546875" style="1119" customWidth="1"/>
    <col min="9" max="9" width="5.28515625" style="1119" customWidth="1"/>
    <col min="10" max="10" width="33.5703125" style="1119" customWidth="1"/>
    <col min="11" max="12" width="9.140625" style="1119"/>
    <col min="13" max="13" width="9.140625" style="1119" customWidth="1"/>
    <col min="14" max="14" width="9.140625" style="1119" hidden="1" customWidth="1"/>
    <col min="15" max="257" width="9.140625" style="1119"/>
    <col min="258" max="258" width="20" style="1119" customWidth="1"/>
    <col min="259" max="259" width="16.85546875" style="1119" customWidth="1"/>
    <col min="260" max="261" width="15.7109375" style="1119" customWidth="1"/>
    <col min="262" max="262" width="30.7109375" style="1119" customWidth="1"/>
    <col min="263" max="263" width="10.7109375" style="1119" customWidth="1"/>
    <col min="264" max="265" width="6.85546875" style="1119" customWidth="1"/>
    <col min="266" max="266" width="33.5703125" style="1119" customWidth="1"/>
    <col min="267" max="268" width="9.140625" style="1119"/>
    <col min="269" max="269" width="9.140625" style="1119" customWidth="1"/>
    <col min="270" max="270" width="0" style="1119" hidden="1" customWidth="1"/>
    <col min="271" max="513" width="9.140625" style="1119"/>
    <col min="514" max="514" width="20" style="1119" customWidth="1"/>
    <col min="515" max="515" width="16.85546875" style="1119" customWidth="1"/>
    <col min="516" max="517" width="15.7109375" style="1119" customWidth="1"/>
    <col min="518" max="518" width="30.7109375" style="1119" customWidth="1"/>
    <col min="519" max="519" width="10.7109375" style="1119" customWidth="1"/>
    <col min="520" max="521" width="6.85546875" style="1119" customWidth="1"/>
    <col min="522" max="522" width="33.5703125" style="1119" customWidth="1"/>
    <col min="523" max="524" width="9.140625" style="1119"/>
    <col min="525" max="525" width="9.140625" style="1119" customWidth="1"/>
    <col min="526" max="526" width="0" style="1119" hidden="1" customWidth="1"/>
    <col min="527" max="769" width="9.140625" style="1119"/>
    <col min="770" max="770" width="20" style="1119" customWidth="1"/>
    <col min="771" max="771" width="16.85546875" style="1119" customWidth="1"/>
    <col min="772" max="773" width="15.7109375" style="1119" customWidth="1"/>
    <col min="774" max="774" width="30.7109375" style="1119" customWidth="1"/>
    <col min="775" max="775" width="10.7109375" style="1119" customWidth="1"/>
    <col min="776" max="777" width="6.85546875" style="1119" customWidth="1"/>
    <col min="778" max="778" width="33.5703125" style="1119" customWidth="1"/>
    <col min="779" max="780" width="9.140625" style="1119"/>
    <col min="781" max="781" width="9.140625" style="1119" customWidth="1"/>
    <col min="782" max="782" width="0" style="1119" hidden="1" customWidth="1"/>
    <col min="783" max="1025" width="9.140625" style="1119"/>
    <col min="1026" max="1026" width="20" style="1119" customWidth="1"/>
    <col min="1027" max="1027" width="16.85546875" style="1119" customWidth="1"/>
    <col min="1028" max="1029" width="15.7109375" style="1119" customWidth="1"/>
    <col min="1030" max="1030" width="30.7109375" style="1119" customWidth="1"/>
    <col min="1031" max="1031" width="10.7109375" style="1119" customWidth="1"/>
    <col min="1032" max="1033" width="6.85546875" style="1119" customWidth="1"/>
    <col min="1034" max="1034" width="33.5703125" style="1119" customWidth="1"/>
    <col min="1035" max="1036" width="9.140625" style="1119"/>
    <col min="1037" max="1037" width="9.140625" style="1119" customWidth="1"/>
    <col min="1038" max="1038" width="0" style="1119" hidden="1" customWidth="1"/>
    <col min="1039" max="1281" width="9.140625" style="1119"/>
    <col min="1282" max="1282" width="20" style="1119" customWidth="1"/>
    <col min="1283" max="1283" width="16.85546875" style="1119" customWidth="1"/>
    <col min="1284" max="1285" width="15.7109375" style="1119" customWidth="1"/>
    <col min="1286" max="1286" width="30.7109375" style="1119" customWidth="1"/>
    <col min="1287" max="1287" width="10.7109375" style="1119" customWidth="1"/>
    <col min="1288" max="1289" width="6.85546875" style="1119" customWidth="1"/>
    <col min="1290" max="1290" width="33.5703125" style="1119" customWidth="1"/>
    <col min="1291" max="1292" width="9.140625" style="1119"/>
    <col min="1293" max="1293" width="9.140625" style="1119" customWidth="1"/>
    <col min="1294" max="1294" width="0" style="1119" hidden="1" customWidth="1"/>
    <col min="1295" max="1537" width="9.140625" style="1119"/>
    <col min="1538" max="1538" width="20" style="1119" customWidth="1"/>
    <col min="1539" max="1539" width="16.85546875" style="1119" customWidth="1"/>
    <col min="1540" max="1541" width="15.7109375" style="1119" customWidth="1"/>
    <col min="1542" max="1542" width="30.7109375" style="1119" customWidth="1"/>
    <col min="1543" max="1543" width="10.7109375" style="1119" customWidth="1"/>
    <col min="1544" max="1545" width="6.85546875" style="1119" customWidth="1"/>
    <col min="1546" max="1546" width="33.5703125" style="1119" customWidth="1"/>
    <col min="1547" max="1548" width="9.140625" style="1119"/>
    <col min="1549" max="1549" width="9.140625" style="1119" customWidth="1"/>
    <col min="1550" max="1550" width="0" style="1119" hidden="1" customWidth="1"/>
    <col min="1551" max="1793" width="9.140625" style="1119"/>
    <col min="1794" max="1794" width="20" style="1119" customWidth="1"/>
    <col min="1795" max="1795" width="16.85546875" style="1119" customWidth="1"/>
    <col min="1796" max="1797" width="15.7109375" style="1119" customWidth="1"/>
    <col min="1798" max="1798" width="30.7109375" style="1119" customWidth="1"/>
    <col min="1799" max="1799" width="10.7109375" style="1119" customWidth="1"/>
    <col min="1800" max="1801" width="6.85546875" style="1119" customWidth="1"/>
    <col min="1802" max="1802" width="33.5703125" style="1119" customWidth="1"/>
    <col min="1803" max="1804" width="9.140625" style="1119"/>
    <col min="1805" max="1805" width="9.140625" style="1119" customWidth="1"/>
    <col min="1806" max="1806" width="0" style="1119" hidden="1" customWidth="1"/>
    <col min="1807" max="2049" width="9.140625" style="1119"/>
    <col min="2050" max="2050" width="20" style="1119" customWidth="1"/>
    <col min="2051" max="2051" width="16.85546875" style="1119" customWidth="1"/>
    <col min="2052" max="2053" width="15.7109375" style="1119" customWidth="1"/>
    <col min="2054" max="2054" width="30.7109375" style="1119" customWidth="1"/>
    <col min="2055" max="2055" width="10.7109375" style="1119" customWidth="1"/>
    <col min="2056" max="2057" width="6.85546875" style="1119" customWidth="1"/>
    <col min="2058" max="2058" width="33.5703125" style="1119" customWidth="1"/>
    <col min="2059" max="2060" width="9.140625" style="1119"/>
    <col min="2061" max="2061" width="9.140625" style="1119" customWidth="1"/>
    <col min="2062" max="2062" width="0" style="1119" hidden="1" customWidth="1"/>
    <col min="2063" max="2305" width="9.140625" style="1119"/>
    <col min="2306" max="2306" width="20" style="1119" customWidth="1"/>
    <col min="2307" max="2307" width="16.85546875" style="1119" customWidth="1"/>
    <col min="2308" max="2309" width="15.7109375" style="1119" customWidth="1"/>
    <col min="2310" max="2310" width="30.7109375" style="1119" customWidth="1"/>
    <col min="2311" max="2311" width="10.7109375" style="1119" customWidth="1"/>
    <col min="2312" max="2313" width="6.85546875" style="1119" customWidth="1"/>
    <col min="2314" max="2314" width="33.5703125" style="1119" customWidth="1"/>
    <col min="2315" max="2316" width="9.140625" style="1119"/>
    <col min="2317" max="2317" width="9.140625" style="1119" customWidth="1"/>
    <col min="2318" max="2318" width="0" style="1119" hidden="1" customWidth="1"/>
    <col min="2319" max="2561" width="9.140625" style="1119"/>
    <col min="2562" max="2562" width="20" style="1119" customWidth="1"/>
    <col min="2563" max="2563" width="16.85546875" style="1119" customWidth="1"/>
    <col min="2564" max="2565" width="15.7109375" style="1119" customWidth="1"/>
    <col min="2566" max="2566" width="30.7109375" style="1119" customWidth="1"/>
    <col min="2567" max="2567" width="10.7109375" style="1119" customWidth="1"/>
    <col min="2568" max="2569" width="6.85546875" style="1119" customWidth="1"/>
    <col min="2570" max="2570" width="33.5703125" style="1119" customWidth="1"/>
    <col min="2571" max="2572" width="9.140625" style="1119"/>
    <col min="2573" max="2573" width="9.140625" style="1119" customWidth="1"/>
    <col min="2574" max="2574" width="0" style="1119" hidden="1" customWidth="1"/>
    <col min="2575" max="2817" width="9.140625" style="1119"/>
    <col min="2818" max="2818" width="20" style="1119" customWidth="1"/>
    <col min="2819" max="2819" width="16.85546875" style="1119" customWidth="1"/>
    <col min="2820" max="2821" width="15.7109375" style="1119" customWidth="1"/>
    <col min="2822" max="2822" width="30.7109375" style="1119" customWidth="1"/>
    <col min="2823" max="2823" width="10.7109375" style="1119" customWidth="1"/>
    <col min="2824" max="2825" width="6.85546875" style="1119" customWidth="1"/>
    <col min="2826" max="2826" width="33.5703125" style="1119" customWidth="1"/>
    <col min="2827" max="2828" width="9.140625" style="1119"/>
    <col min="2829" max="2829" width="9.140625" style="1119" customWidth="1"/>
    <col min="2830" max="2830" width="0" style="1119" hidden="1" customWidth="1"/>
    <col min="2831" max="3073" width="9.140625" style="1119"/>
    <col min="3074" max="3074" width="20" style="1119" customWidth="1"/>
    <col min="3075" max="3075" width="16.85546875" style="1119" customWidth="1"/>
    <col min="3076" max="3077" width="15.7109375" style="1119" customWidth="1"/>
    <col min="3078" max="3078" width="30.7109375" style="1119" customWidth="1"/>
    <col min="3079" max="3079" width="10.7109375" style="1119" customWidth="1"/>
    <col min="3080" max="3081" width="6.85546875" style="1119" customWidth="1"/>
    <col min="3082" max="3082" width="33.5703125" style="1119" customWidth="1"/>
    <col min="3083" max="3084" width="9.140625" style="1119"/>
    <col min="3085" max="3085" width="9.140625" style="1119" customWidth="1"/>
    <col min="3086" max="3086" width="0" style="1119" hidden="1" customWidth="1"/>
    <col min="3087" max="3329" width="9.140625" style="1119"/>
    <col min="3330" max="3330" width="20" style="1119" customWidth="1"/>
    <col min="3331" max="3331" width="16.85546875" style="1119" customWidth="1"/>
    <col min="3332" max="3333" width="15.7109375" style="1119" customWidth="1"/>
    <col min="3334" max="3334" width="30.7109375" style="1119" customWidth="1"/>
    <col min="3335" max="3335" width="10.7109375" style="1119" customWidth="1"/>
    <col min="3336" max="3337" width="6.85546875" style="1119" customWidth="1"/>
    <col min="3338" max="3338" width="33.5703125" style="1119" customWidth="1"/>
    <col min="3339" max="3340" width="9.140625" style="1119"/>
    <col min="3341" max="3341" width="9.140625" style="1119" customWidth="1"/>
    <col min="3342" max="3342" width="0" style="1119" hidden="1" customWidth="1"/>
    <col min="3343" max="3585" width="9.140625" style="1119"/>
    <col min="3586" max="3586" width="20" style="1119" customWidth="1"/>
    <col min="3587" max="3587" width="16.85546875" style="1119" customWidth="1"/>
    <col min="3588" max="3589" width="15.7109375" style="1119" customWidth="1"/>
    <col min="3590" max="3590" width="30.7109375" style="1119" customWidth="1"/>
    <col min="3591" max="3591" width="10.7109375" style="1119" customWidth="1"/>
    <col min="3592" max="3593" width="6.85546875" style="1119" customWidth="1"/>
    <col min="3594" max="3594" width="33.5703125" style="1119" customWidth="1"/>
    <col min="3595" max="3596" width="9.140625" style="1119"/>
    <col min="3597" max="3597" width="9.140625" style="1119" customWidth="1"/>
    <col min="3598" max="3598" width="0" style="1119" hidden="1" customWidth="1"/>
    <col min="3599" max="3841" width="9.140625" style="1119"/>
    <col min="3842" max="3842" width="20" style="1119" customWidth="1"/>
    <col min="3843" max="3843" width="16.85546875" style="1119" customWidth="1"/>
    <col min="3844" max="3845" width="15.7109375" style="1119" customWidth="1"/>
    <col min="3846" max="3846" width="30.7109375" style="1119" customWidth="1"/>
    <col min="3847" max="3847" width="10.7109375" style="1119" customWidth="1"/>
    <col min="3848" max="3849" width="6.85546875" style="1119" customWidth="1"/>
    <col min="3850" max="3850" width="33.5703125" style="1119" customWidth="1"/>
    <col min="3851" max="3852" width="9.140625" style="1119"/>
    <col min="3853" max="3853" width="9.140625" style="1119" customWidth="1"/>
    <col min="3854" max="3854" width="0" style="1119" hidden="1" customWidth="1"/>
    <col min="3855" max="4097" width="9.140625" style="1119"/>
    <col min="4098" max="4098" width="20" style="1119" customWidth="1"/>
    <col min="4099" max="4099" width="16.85546875" style="1119" customWidth="1"/>
    <col min="4100" max="4101" width="15.7109375" style="1119" customWidth="1"/>
    <col min="4102" max="4102" width="30.7109375" style="1119" customWidth="1"/>
    <col min="4103" max="4103" width="10.7109375" style="1119" customWidth="1"/>
    <col min="4104" max="4105" width="6.85546875" style="1119" customWidth="1"/>
    <col min="4106" max="4106" width="33.5703125" style="1119" customWidth="1"/>
    <col min="4107" max="4108" width="9.140625" style="1119"/>
    <col min="4109" max="4109" width="9.140625" style="1119" customWidth="1"/>
    <col min="4110" max="4110" width="0" style="1119" hidden="1" customWidth="1"/>
    <col min="4111" max="4353" width="9.140625" style="1119"/>
    <col min="4354" max="4354" width="20" style="1119" customWidth="1"/>
    <col min="4355" max="4355" width="16.85546875" style="1119" customWidth="1"/>
    <col min="4356" max="4357" width="15.7109375" style="1119" customWidth="1"/>
    <col min="4358" max="4358" width="30.7109375" style="1119" customWidth="1"/>
    <col min="4359" max="4359" width="10.7109375" style="1119" customWidth="1"/>
    <col min="4360" max="4361" width="6.85546875" style="1119" customWidth="1"/>
    <col min="4362" max="4362" width="33.5703125" style="1119" customWidth="1"/>
    <col min="4363" max="4364" width="9.140625" style="1119"/>
    <col min="4365" max="4365" width="9.140625" style="1119" customWidth="1"/>
    <col min="4366" max="4366" width="0" style="1119" hidden="1" customWidth="1"/>
    <col min="4367" max="4609" width="9.140625" style="1119"/>
    <col min="4610" max="4610" width="20" style="1119" customWidth="1"/>
    <col min="4611" max="4611" width="16.85546875" style="1119" customWidth="1"/>
    <col min="4612" max="4613" width="15.7109375" style="1119" customWidth="1"/>
    <col min="4614" max="4614" width="30.7109375" style="1119" customWidth="1"/>
    <col min="4615" max="4615" width="10.7109375" style="1119" customWidth="1"/>
    <col min="4616" max="4617" width="6.85546875" style="1119" customWidth="1"/>
    <col min="4618" max="4618" width="33.5703125" style="1119" customWidth="1"/>
    <col min="4619" max="4620" width="9.140625" style="1119"/>
    <col min="4621" max="4621" width="9.140625" style="1119" customWidth="1"/>
    <col min="4622" max="4622" width="0" style="1119" hidden="1" customWidth="1"/>
    <col min="4623" max="4865" width="9.140625" style="1119"/>
    <col min="4866" max="4866" width="20" style="1119" customWidth="1"/>
    <col min="4867" max="4867" width="16.85546875" style="1119" customWidth="1"/>
    <col min="4868" max="4869" width="15.7109375" style="1119" customWidth="1"/>
    <col min="4870" max="4870" width="30.7109375" style="1119" customWidth="1"/>
    <col min="4871" max="4871" width="10.7109375" style="1119" customWidth="1"/>
    <col min="4872" max="4873" width="6.85546875" style="1119" customWidth="1"/>
    <col min="4874" max="4874" width="33.5703125" style="1119" customWidth="1"/>
    <col min="4875" max="4876" width="9.140625" style="1119"/>
    <col min="4877" max="4877" width="9.140625" style="1119" customWidth="1"/>
    <col min="4878" max="4878" width="0" style="1119" hidden="1" customWidth="1"/>
    <col min="4879" max="5121" width="9.140625" style="1119"/>
    <col min="5122" max="5122" width="20" style="1119" customWidth="1"/>
    <col min="5123" max="5123" width="16.85546875" style="1119" customWidth="1"/>
    <col min="5124" max="5125" width="15.7109375" style="1119" customWidth="1"/>
    <col min="5126" max="5126" width="30.7109375" style="1119" customWidth="1"/>
    <col min="5127" max="5127" width="10.7109375" style="1119" customWidth="1"/>
    <col min="5128" max="5129" width="6.85546875" style="1119" customWidth="1"/>
    <col min="5130" max="5130" width="33.5703125" style="1119" customWidth="1"/>
    <col min="5131" max="5132" width="9.140625" style="1119"/>
    <col min="5133" max="5133" width="9.140625" style="1119" customWidth="1"/>
    <col min="5134" max="5134" width="0" style="1119" hidden="1" customWidth="1"/>
    <col min="5135" max="5377" width="9.140625" style="1119"/>
    <col min="5378" max="5378" width="20" style="1119" customWidth="1"/>
    <col min="5379" max="5379" width="16.85546875" style="1119" customWidth="1"/>
    <col min="5380" max="5381" width="15.7109375" style="1119" customWidth="1"/>
    <col min="5382" max="5382" width="30.7109375" style="1119" customWidth="1"/>
    <col min="5383" max="5383" width="10.7109375" style="1119" customWidth="1"/>
    <col min="5384" max="5385" width="6.85546875" style="1119" customWidth="1"/>
    <col min="5386" max="5386" width="33.5703125" style="1119" customWidth="1"/>
    <col min="5387" max="5388" width="9.140625" style="1119"/>
    <col min="5389" max="5389" width="9.140625" style="1119" customWidth="1"/>
    <col min="5390" max="5390" width="0" style="1119" hidden="1" customWidth="1"/>
    <col min="5391" max="5633" width="9.140625" style="1119"/>
    <col min="5634" max="5634" width="20" style="1119" customWidth="1"/>
    <col min="5635" max="5635" width="16.85546875" style="1119" customWidth="1"/>
    <col min="5636" max="5637" width="15.7109375" style="1119" customWidth="1"/>
    <col min="5638" max="5638" width="30.7109375" style="1119" customWidth="1"/>
    <col min="5639" max="5639" width="10.7109375" style="1119" customWidth="1"/>
    <col min="5640" max="5641" width="6.85546875" style="1119" customWidth="1"/>
    <col min="5642" max="5642" width="33.5703125" style="1119" customWidth="1"/>
    <col min="5643" max="5644" width="9.140625" style="1119"/>
    <col min="5645" max="5645" width="9.140625" style="1119" customWidth="1"/>
    <col min="5646" max="5646" width="0" style="1119" hidden="1" customWidth="1"/>
    <col min="5647" max="5889" width="9.140625" style="1119"/>
    <col min="5890" max="5890" width="20" style="1119" customWidth="1"/>
    <col min="5891" max="5891" width="16.85546875" style="1119" customWidth="1"/>
    <col min="5892" max="5893" width="15.7109375" style="1119" customWidth="1"/>
    <col min="5894" max="5894" width="30.7109375" style="1119" customWidth="1"/>
    <col min="5895" max="5895" width="10.7109375" style="1119" customWidth="1"/>
    <col min="5896" max="5897" width="6.85546875" style="1119" customWidth="1"/>
    <col min="5898" max="5898" width="33.5703125" style="1119" customWidth="1"/>
    <col min="5899" max="5900" width="9.140625" style="1119"/>
    <col min="5901" max="5901" width="9.140625" style="1119" customWidth="1"/>
    <col min="5902" max="5902" width="0" style="1119" hidden="1" customWidth="1"/>
    <col min="5903" max="6145" width="9.140625" style="1119"/>
    <col min="6146" max="6146" width="20" style="1119" customWidth="1"/>
    <col min="6147" max="6147" width="16.85546875" style="1119" customWidth="1"/>
    <col min="6148" max="6149" width="15.7109375" style="1119" customWidth="1"/>
    <col min="6150" max="6150" width="30.7109375" style="1119" customWidth="1"/>
    <col min="6151" max="6151" width="10.7109375" style="1119" customWidth="1"/>
    <col min="6152" max="6153" width="6.85546875" style="1119" customWidth="1"/>
    <col min="6154" max="6154" width="33.5703125" style="1119" customWidth="1"/>
    <col min="6155" max="6156" width="9.140625" style="1119"/>
    <col min="6157" max="6157" width="9.140625" style="1119" customWidth="1"/>
    <col min="6158" max="6158" width="0" style="1119" hidden="1" customWidth="1"/>
    <col min="6159" max="6401" width="9.140625" style="1119"/>
    <col min="6402" max="6402" width="20" style="1119" customWidth="1"/>
    <col min="6403" max="6403" width="16.85546875" style="1119" customWidth="1"/>
    <col min="6404" max="6405" width="15.7109375" style="1119" customWidth="1"/>
    <col min="6406" max="6406" width="30.7109375" style="1119" customWidth="1"/>
    <col min="6407" max="6407" width="10.7109375" style="1119" customWidth="1"/>
    <col min="6408" max="6409" width="6.85546875" style="1119" customWidth="1"/>
    <col min="6410" max="6410" width="33.5703125" style="1119" customWidth="1"/>
    <col min="6411" max="6412" width="9.140625" style="1119"/>
    <col min="6413" max="6413" width="9.140625" style="1119" customWidth="1"/>
    <col min="6414" max="6414" width="0" style="1119" hidden="1" customWidth="1"/>
    <col min="6415" max="6657" width="9.140625" style="1119"/>
    <col min="6658" max="6658" width="20" style="1119" customWidth="1"/>
    <col min="6659" max="6659" width="16.85546875" style="1119" customWidth="1"/>
    <col min="6660" max="6661" width="15.7109375" style="1119" customWidth="1"/>
    <col min="6662" max="6662" width="30.7109375" style="1119" customWidth="1"/>
    <col min="6663" max="6663" width="10.7109375" style="1119" customWidth="1"/>
    <col min="6664" max="6665" width="6.85546875" style="1119" customWidth="1"/>
    <col min="6666" max="6666" width="33.5703125" style="1119" customWidth="1"/>
    <col min="6667" max="6668" width="9.140625" style="1119"/>
    <col min="6669" max="6669" width="9.140625" style="1119" customWidth="1"/>
    <col min="6670" max="6670" width="0" style="1119" hidden="1" customWidth="1"/>
    <col min="6671" max="6913" width="9.140625" style="1119"/>
    <col min="6914" max="6914" width="20" style="1119" customWidth="1"/>
    <col min="6915" max="6915" width="16.85546875" style="1119" customWidth="1"/>
    <col min="6916" max="6917" width="15.7109375" style="1119" customWidth="1"/>
    <col min="6918" max="6918" width="30.7109375" style="1119" customWidth="1"/>
    <col min="6919" max="6919" width="10.7109375" style="1119" customWidth="1"/>
    <col min="6920" max="6921" width="6.85546875" style="1119" customWidth="1"/>
    <col min="6922" max="6922" width="33.5703125" style="1119" customWidth="1"/>
    <col min="6923" max="6924" width="9.140625" style="1119"/>
    <col min="6925" max="6925" width="9.140625" style="1119" customWidth="1"/>
    <col min="6926" max="6926" width="0" style="1119" hidden="1" customWidth="1"/>
    <col min="6927" max="7169" width="9.140625" style="1119"/>
    <col min="7170" max="7170" width="20" style="1119" customWidth="1"/>
    <col min="7171" max="7171" width="16.85546875" style="1119" customWidth="1"/>
    <col min="7172" max="7173" width="15.7109375" style="1119" customWidth="1"/>
    <col min="7174" max="7174" width="30.7109375" style="1119" customWidth="1"/>
    <col min="7175" max="7175" width="10.7109375" style="1119" customWidth="1"/>
    <col min="7176" max="7177" width="6.85546875" style="1119" customWidth="1"/>
    <col min="7178" max="7178" width="33.5703125" style="1119" customWidth="1"/>
    <col min="7179" max="7180" width="9.140625" style="1119"/>
    <col min="7181" max="7181" width="9.140625" style="1119" customWidth="1"/>
    <col min="7182" max="7182" width="0" style="1119" hidden="1" customWidth="1"/>
    <col min="7183" max="7425" width="9.140625" style="1119"/>
    <col min="7426" max="7426" width="20" style="1119" customWidth="1"/>
    <col min="7427" max="7427" width="16.85546875" style="1119" customWidth="1"/>
    <col min="7428" max="7429" width="15.7109375" style="1119" customWidth="1"/>
    <col min="7430" max="7430" width="30.7109375" style="1119" customWidth="1"/>
    <col min="7431" max="7431" width="10.7109375" style="1119" customWidth="1"/>
    <col min="7432" max="7433" width="6.85546875" style="1119" customWidth="1"/>
    <col min="7434" max="7434" width="33.5703125" style="1119" customWidth="1"/>
    <col min="7435" max="7436" width="9.140625" style="1119"/>
    <col min="7437" max="7437" width="9.140625" style="1119" customWidth="1"/>
    <col min="7438" max="7438" width="0" style="1119" hidden="1" customWidth="1"/>
    <col min="7439" max="7681" width="9.140625" style="1119"/>
    <col min="7682" max="7682" width="20" style="1119" customWidth="1"/>
    <col min="7683" max="7683" width="16.85546875" style="1119" customWidth="1"/>
    <col min="7684" max="7685" width="15.7109375" style="1119" customWidth="1"/>
    <col min="7686" max="7686" width="30.7109375" style="1119" customWidth="1"/>
    <col min="7687" max="7687" width="10.7109375" style="1119" customWidth="1"/>
    <col min="7688" max="7689" width="6.85546875" style="1119" customWidth="1"/>
    <col min="7690" max="7690" width="33.5703125" style="1119" customWidth="1"/>
    <col min="7691" max="7692" width="9.140625" style="1119"/>
    <col min="7693" max="7693" width="9.140625" style="1119" customWidth="1"/>
    <col min="7694" max="7694" width="0" style="1119" hidden="1" customWidth="1"/>
    <col min="7695" max="7937" width="9.140625" style="1119"/>
    <col min="7938" max="7938" width="20" style="1119" customWidth="1"/>
    <col min="7939" max="7939" width="16.85546875" style="1119" customWidth="1"/>
    <col min="7940" max="7941" width="15.7109375" style="1119" customWidth="1"/>
    <col min="7942" max="7942" width="30.7109375" style="1119" customWidth="1"/>
    <col min="7943" max="7943" width="10.7109375" style="1119" customWidth="1"/>
    <col min="7944" max="7945" width="6.85546875" style="1119" customWidth="1"/>
    <col min="7946" max="7946" width="33.5703125" style="1119" customWidth="1"/>
    <col min="7947" max="7948" width="9.140625" style="1119"/>
    <col min="7949" max="7949" width="9.140625" style="1119" customWidth="1"/>
    <col min="7950" max="7950" width="0" style="1119" hidden="1" customWidth="1"/>
    <col min="7951" max="8193" width="9.140625" style="1119"/>
    <col min="8194" max="8194" width="20" style="1119" customWidth="1"/>
    <col min="8195" max="8195" width="16.85546875" style="1119" customWidth="1"/>
    <col min="8196" max="8197" width="15.7109375" style="1119" customWidth="1"/>
    <col min="8198" max="8198" width="30.7109375" style="1119" customWidth="1"/>
    <col min="8199" max="8199" width="10.7109375" style="1119" customWidth="1"/>
    <col min="8200" max="8201" width="6.85546875" style="1119" customWidth="1"/>
    <col min="8202" max="8202" width="33.5703125" style="1119" customWidth="1"/>
    <col min="8203" max="8204" width="9.140625" style="1119"/>
    <col min="8205" max="8205" width="9.140625" style="1119" customWidth="1"/>
    <col min="8206" max="8206" width="0" style="1119" hidden="1" customWidth="1"/>
    <col min="8207" max="8449" width="9.140625" style="1119"/>
    <col min="8450" max="8450" width="20" style="1119" customWidth="1"/>
    <col min="8451" max="8451" width="16.85546875" style="1119" customWidth="1"/>
    <col min="8452" max="8453" width="15.7109375" style="1119" customWidth="1"/>
    <col min="8454" max="8454" width="30.7109375" style="1119" customWidth="1"/>
    <col min="8455" max="8455" width="10.7109375" style="1119" customWidth="1"/>
    <col min="8456" max="8457" width="6.85546875" style="1119" customWidth="1"/>
    <col min="8458" max="8458" width="33.5703125" style="1119" customWidth="1"/>
    <col min="8459" max="8460" width="9.140625" style="1119"/>
    <col min="8461" max="8461" width="9.140625" style="1119" customWidth="1"/>
    <col min="8462" max="8462" width="0" style="1119" hidden="1" customWidth="1"/>
    <col min="8463" max="8705" width="9.140625" style="1119"/>
    <col min="8706" max="8706" width="20" style="1119" customWidth="1"/>
    <col min="8707" max="8707" width="16.85546875" style="1119" customWidth="1"/>
    <col min="8708" max="8709" width="15.7109375" style="1119" customWidth="1"/>
    <col min="8710" max="8710" width="30.7109375" style="1119" customWidth="1"/>
    <col min="8711" max="8711" width="10.7109375" style="1119" customWidth="1"/>
    <col min="8712" max="8713" width="6.85546875" style="1119" customWidth="1"/>
    <col min="8714" max="8714" width="33.5703125" style="1119" customWidth="1"/>
    <col min="8715" max="8716" width="9.140625" style="1119"/>
    <col min="8717" max="8717" width="9.140625" style="1119" customWidth="1"/>
    <col min="8718" max="8718" width="0" style="1119" hidden="1" customWidth="1"/>
    <col min="8719" max="8961" width="9.140625" style="1119"/>
    <col min="8962" max="8962" width="20" style="1119" customWidth="1"/>
    <col min="8963" max="8963" width="16.85546875" style="1119" customWidth="1"/>
    <col min="8964" max="8965" width="15.7109375" style="1119" customWidth="1"/>
    <col min="8966" max="8966" width="30.7109375" style="1119" customWidth="1"/>
    <col min="8967" max="8967" width="10.7109375" style="1119" customWidth="1"/>
    <col min="8968" max="8969" width="6.85546875" style="1119" customWidth="1"/>
    <col min="8970" max="8970" width="33.5703125" style="1119" customWidth="1"/>
    <col min="8971" max="8972" width="9.140625" style="1119"/>
    <col min="8973" max="8973" width="9.140625" style="1119" customWidth="1"/>
    <col min="8974" max="8974" width="0" style="1119" hidden="1" customWidth="1"/>
    <col min="8975" max="9217" width="9.140625" style="1119"/>
    <col min="9218" max="9218" width="20" style="1119" customWidth="1"/>
    <col min="9219" max="9219" width="16.85546875" style="1119" customWidth="1"/>
    <col min="9220" max="9221" width="15.7109375" style="1119" customWidth="1"/>
    <col min="9222" max="9222" width="30.7109375" style="1119" customWidth="1"/>
    <col min="9223" max="9223" width="10.7109375" style="1119" customWidth="1"/>
    <col min="9224" max="9225" width="6.85546875" style="1119" customWidth="1"/>
    <col min="9226" max="9226" width="33.5703125" style="1119" customWidth="1"/>
    <col min="9227" max="9228" width="9.140625" style="1119"/>
    <col min="9229" max="9229" width="9.140625" style="1119" customWidth="1"/>
    <col min="9230" max="9230" width="0" style="1119" hidden="1" customWidth="1"/>
    <col min="9231" max="9473" width="9.140625" style="1119"/>
    <col min="9474" max="9474" width="20" style="1119" customWidth="1"/>
    <col min="9475" max="9475" width="16.85546875" style="1119" customWidth="1"/>
    <col min="9476" max="9477" width="15.7109375" style="1119" customWidth="1"/>
    <col min="9478" max="9478" width="30.7109375" style="1119" customWidth="1"/>
    <col min="9479" max="9479" width="10.7109375" style="1119" customWidth="1"/>
    <col min="9480" max="9481" width="6.85546875" style="1119" customWidth="1"/>
    <col min="9482" max="9482" width="33.5703125" style="1119" customWidth="1"/>
    <col min="9483" max="9484" width="9.140625" style="1119"/>
    <col min="9485" max="9485" width="9.140625" style="1119" customWidth="1"/>
    <col min="9486" max="9486" width="0" style="1119" hidden="1" customWidth="1"/>
    <col min="9487" max="9729" width="9.140625" style="1119"/>
    <col min="9730" max="9730" width="20" style="1119" customWidth="1"/>
    <col min="9731" max="9731" width="16.85546875" style="1119" customWidth="1"/>
    <col min="9732" max="9733" width="15.7109375" style="1119" customWidth="1"/>
    <col min="9734" max="9734" width="30.7109375" style="1119" customWidth="1"/>
    <col min="9735" max="9735" width="10.7109375" style="1119" customWidth="1"/>
    <col min="9736" max="9737" width="6.85546875" style="1119" customWidth="1"/>
    <col min="9738" max="9738" width="33.5703125" style="1119" customWidth="1"/>
    <col min="9739" max="9740" width="9.140625" style="1119"/>
    <col min="9741" max="9741" width="9.140625" style="1119" customWidth="1"/>
    <col min="9742" max="9742" width="0" style="1119" hidden="1" customWidth="1"/>
    <col min="9743" max="9985" width="9.140625" style="1119"/>
    <col min="9986" max="9986" width="20" style="1119" customWidth="1"/>
    <col min="9987" max="9987" width="16.85546875" style="1119" customWidth="1"/>
    <col min="9988" max="9989" width="15.7109375" style="1119" customWidth="1"/>
    <col min="9990" max="9990" width="30.7109375" style="1119" customWidth="1"/>
    <col min="9991" max="9991" width="10.7109375" style="1119" customWidth="1"/>
    <col min="9992" max="9993" width="6.85546875" style="1119" customWidth="1"/>
    <col min="9994" max="9994" width="33.5703125" style="1119" customWidth="1"/>
    <col min="9995" max="9996" width="9.140625" style="1119"/>
    <col min="9997" max="9997" width="9.140625" style="1119" customWidth="1"/>
    <col min="9998" max="9998" width="0" style="1119" hidden="1" customWidth="1"/>
    <col min="9999" max="10241" width="9.140625" style="1119"/>
    <col min="10242" max="10242" width="20" style="1119" customWidth="1"/>
    <col min="10243" max="10243" width="16.85546875" style="1119" customWidth="1"/>
    <col min="10244" max="10245" width="15.7109375" style="1119" customWidth="1"/>
    <col min="10246" max="10246" width="30.7109375" style="1119" customWidth="1"/>
    <col min="10247" max="10247" width="10.7109375" style="1119" customWidth="1"/>
    <col min="10248" max="10249" width="6.85546875" style="1119" customWidth="1"/>
    <col min="10250" max="10250" width="33.5703125" style="1119" customWidth="1"/>
    <col min="10251" max="10252" width="9.140625" style="1119"/>
    <col min="10253" max="10253" width="9.140625" style="1119" customWidth="1"/>
    <col min="10254" max="10254" width="0" style="1119" hidden="1" customWidth="1"/>
    <col min="10255" max="10497" width="9.140625" style="1119"/>
    <col min="10498" max="10498" width="20" style="1119" customWidth="1"/>
    <col min="10499" max="10499" width="16.85546875" style="1119" customWidth="1"/>
    <col min="10500" max="10501" width="15.7109375" style="1119" customWidth="1"/>
    <col min="10502" max="10502" width="30.7109375" style="1119" customWidth="1"/>
    <col min="10503" max="10503" width="10.7109375" style="1119" customWidth="1"/>
    <col min="10504" max="10505" width="6.85546875" style="1119" customWidth="1"/>
    <col min="10506" max="10506" width="33.5703125" style="1119" customWidth="1"/>
    <col min="10507" max="10508" width="9.140625" style="1119"/>
    <col min="10509" max="10509" width="9.140625" style="1119" customWidth="1"/>
    <col min="10510" max="10510" width="0" style="1119" hidden="1" customWidth="1"/>
    <col min="10511" max="10753" width="9.140625" style="1119"/>
    <col min="10754" max="10754" width="20" style="1119" customWidth="1"/>
    <col min="10755" max="10755" width="16.85546875" style="1119" customWidth="1"/>
    <col min="10756" max="10757" width="15.7109375" style="1119" customWidth="1"/>
    <col min="10758" max="10758" width="30.7109375" style="1119" customWidth="1"/>
    <col min="10759" max="10759" width="10.7109375" style="1119" customWidth="1"/>
    <col min="10760" max="10761" width="6.85546875" style="1119" customWidth="1"/>
    <col min="10762" max="10762" width="33.5703125" style="1119" customWidth="1"/>
    <col min="10763" max="10764" width="9.140625" style="1119"/>
    <col min="10765" max="10765" width="9.140625" style="1119" customWidth="1"/>
    <col min="10766" max="10766" width="0" style="1119" hidden="1" customWidth="1"/>
    <col min="10767" max="11009" width="9.140625" style="1119"/>
    <col min="11010" max="11010" width="20" style="1119" customWidth="1"/>
    <col min="11011" max="11011" width="16.85546875" style="1119" customWidth="1"/>
    <col min="11012" max="11013" width="15.7109375" style="1119" customWidth="1"/>
    <col min="11014" max="11014" width="30.7109375" style="1119" customWidth="1"/>
    <col min="11015" max="11015" width="10.7109375" style="1119" customWidth="1"/>
    <col min="11016" max="11017" width="6.85546875" style="1119" customWidth="1"/>
    <col min="11018" max="11018" width="33.5703125" style="1119" customWidth="1"/>
    <col min="11019" max="11020" width="9.140625" style="1119"/>
    <col min="11021" max="11021" width="9.140625" style="1119" customWidth="1"/>
    <col min="11022" max="11022" width="0" style="1119" hidden="1" customWidth="1"/>
    <col min="11023" max="11265" width="9.140625" style="1119"/>
    <col min="11266" max="11266" width="20" style="1119" customWidth="1"/>
    <col min="11267" max="11267" width="16.85546875" style="1119" customWidth="1"/>
    <col min="11268" max="11269" width="15.7109375" style="1119" customWidth="1"/>
    <col min="11270" max="11270" width="30.7109375" style="1119" customWidth="1"/>
    <col min="11271" max="11271" width="10.7109375" style="1119" customWidth="1"/>
    <col min="11272" max="11273" width="6.85546875" style="1119" customWidth="1"/>
    <col min="11274" max="11274" width="33.5703125" style="1119" customWidth="1"/>
    <col min="11275" max="11276" width="9.140625" style="1119"/>
    <col min="11277" max="11277" width="9.140625" style="1119" customWidth="1"/>
    <col min="11278" max="11278" width="0" style="1119" hidden="1" customWidth="1"/>
    <col min="11279" max="11521" width="9.140625" style="1119"/>
    <col min="11522" max="11522" width="20" style="1119" customWidth="1"/>
    <col min="11523" max="11523" width="16.85546875" style="1119" customWidth="1"/>
    <col min="11524" max="11525" width="15.7109375" style="1119" customWidth="1"/>
    <col min="11526" max="11526" width="30.7109375" style="1119" customWidth="1"/>
    <col min="11527" max="11527" width="10.7109375" style="1119" customWidth="1"/>
    <col min="11528" max="11529" width="6.85546875" style="1119" customWidth="1"/>
    <col min="11530" max="11530" width="33.5703125" style="1119" customWidth="1"/>
    <col min="11531" max="11532" width="9.140625" style="1119"/>
    <col min="11533" max="11533" width="9.140625" style="1119" customWidth="1"/>
    <col min="11534" max="11534" width="0" style="1119" hidden="1" customWidth="1"/>
    <col min="11535" max="11777" width="9.140625" style="1119"/>
    <col min="11778" max="11778" width="20" style="1119" customWidth="1"/>
    <col min="11779" max="11779" width="16.85546875" style="1119" customWidth="1"/>
    <col min="11780" max="11781" width="15.7109375" style="1119" customWidth="1"/>
    <col min="11782" max="11782" width="30.7109375" style="1119" customWidth="1"/>
    <col min="11783" max="11783" width="10.7109375" style="1119" customWidth="1"/>
    <col min="11784" max="11785" width="6.85546875" style="1119" customWidth="1"/>
    <col min="11786" max="11786" width="33.5703125" style="1119" customWidth="1"/>
    <col min="11787" max="11788" width="9.140625" style="1119"/>
    <col min="11789" max="11789" width="9.140625" style="1119" customWidth="1"/>
    <col min="11790" max="11790" width="0" style="1119" hidden="1" customWidth="1"/>
    <col min="11791" max="12033" width="9.140625" style="1119"/>
    <col min="12034" max="12034" width="20" style="1119" customWidth="1"/>
    <col min="12035" max="12035" width="16.85546875" style="1119" customWidth="1"/>
    <col min="12036" max="12037" width="15.7109375" style="1119" customWidth="1"/>
    <col min="12038" max="12038" width="30.7109375" style="1119" customWidth="1"/>
    <col min="12039" max="12039" width="10.7109375" style="1119" customWidth="1"/>
    <col min="12040" max="12041" width="6.85546875" style="1119" customWidth="1"/>
    <col min="12042" max="12042" width="33.5703125" style="1119" customWidth="1"/>
    <col min="12043" max="12044" width="9.140625" style="1119"/>
    <col min="12045" max="12045" width="9.140625" style="1119" customWidth="1"/>
    <col min="12046" max="12046" width="0" style="1119" hidden="1" customWidth="1"/>
    <col min="12047" max="12289" width="9.140625" style="1119"/>
    <col min="12290" max="12290" width="20" style="1119" customWidth="1"/>
    <col min="12291" max="12291" width="16.85546875" style="1119" customWidth="1"/>
    <col min="12292" max="12293" width="15.7109375" style="1119" customWidth="1"/>
    <col min="12294" max="12294" width="30.7109375" style="1119" customWidth="1"/>
    <col min="12295" max="12295" width="10.7109375" style="1119" customWidth="1"/>
    <col min="12296" max="12297" width="6.85546875" style="1119" customWidth="1"/>
    <col min="12298" max="12298" width="33.5703125" style="1119" customWidth="1"/>
    <col min="12299" max="12300" width="9.140625" style="1119"/>
    <col min="12301" max="12301" width="9.140625" style="1119" customWidth="1"/>
    <col min="12302" max="12302" width="0" style="1119" hidden="1" customWidth="1"/>
    <col min="12303" max="12545" width="9.140625" style="1119"/>
    <col min="12546" max="12546" width="20" style="1119" customWidth="1"/>
    <col min="12547" max="12547" width="16.85546875" style="1119" customWidth="1"/>
    <col min="12548" max="12549" width="15.7109375" style="1119" customWidth="1"/>
    <col min="12550" max="12550" width="30.7109375" style="1119" customWidth="1"/>
    <col min="12551" max="12551" width="10.7109375" style="1119" customWidth="1"/>
    <col min="12552" max="12553" width="6.85546875" style="1119" customWidth="1"/>
    <col min="12554" max="12554" width="33.5703125" style="1119" customWidth="1"/>
    <col min="12555" max="12556" width="9.140625" style="1119"/>
    <col min="12557" max="12557" width="9.140625" style="1119" customWidth="1"/>
    <col min="12558" max="12558" width="0" style="1119" hidden="1" customWidth="1"/>
    <col min="12559" max="12801" width="9.140625" style="1119"/>
    <col min="12802" max="12802" width="20" style="1119" customWidth="1"/>
    <col min="12803" max="12803" width="16.85546875" style="1119" customWidth="1"/>
    <col min="12804" max="12805" width="15.7109375" style="1119" customWidth="1"/>
    <col min="12806" max="12806" width="30.7109375" style="1119" customWidth="1"/>
    <col min="12807" max="12807" width="10.7109375" style="1119" customWidth="1"/>
    <col min="12808" max="12809" width="6.85546875" style="1119" customWidth="1"/>
    <col min="12810" max="12810" width="33.5703125" style="1119" customWidth="1"/>
    <col min="12811" max="12812" width="9.140625" style="1119"/>
    <col min="12813" max="12813" width="9.140625" style="1119" customWidth="1"/>
    <col min="12814" max="12814" width="0" style="1119" hidden="1" customWidth="1"/>
    <col min="12815" max="13057" width="9.140625" style="1119"/>
    <col min="13058" max="13058" width="20" style="1119" customWidth="1"/>
    <col min="13059" max="13059" width="16.85546875" style="1119" customWidth="1"/>
    <col min="13060" max="13061" width="15.7109375" style="1119" customWidth="1"/>
    <col min="13062" max="13062" width="30.7109375" style="1119" customWidth="1"/>
    <col min="13063" max="13063" width="10.7109375" style="1119" customWidth="1"/>
    <col min="13064" max="13065" width="6.85546875" style="1119" customWidth="1"/>
    <col min="13066" max="13066" width="33.5703125" style="1119" customWidth="1"/>
    <col min="13067" max="13068" width="9.140625" style="1119"/>
    <col min="13069" max="13069" width="9.140625" style="1119" customWidth="1"/>
    <col min="13070" max="13070" width="0" style="1119" hidden="1" customWidth="1"/>
    <col min="13071" max="13313" width="9.140625" style="1119"/>
    <col min="13314" max="13314" width="20" style="1119" customWidth="1"/>
    <col min="13315" max="13315" width="16.85546875" style="1119" customWidth="1"/>
    <col min="13316" max="13317" width="15.7109375" style="1119" customWidth="1"/>
    <col min="13318" max="13318" width="30.7109375" style="1119" customWidth="1"/>
    <col min="13319" max="13319" width="10.7109375" style="1119" customWidth="1"/>
    <col min="13320" max="13321" width="6.85546875" style="1119" customWidth="1"/>
    <col min="13322" max="13322" width="33.5703125" style="1119" customWidth="1"/>
    <col min="13323" max="13324" width="9.140625" style="1119"/>
    <col min="13325" max="13325" width="9.140625" style="1119" customWidth="1"/>
    <col min="13326" max="13326" width="0" style="1119" hidden="1" customWidth="1"/>
    <col min="13327" max="13569" width="9.140625" style="1119"/>
    <col min="13570" max="13570" width="20" style="1119" customWidth="1"/>
    <col min="13571" max="13571" width="16.85546875" style="1119" customWidth="1"/>
    <col min="13572" max="13573" width="15.7109375" style="1119" customWidth="1"/>
    <col min="13574" max="13574" width="30.7109375" style="1119" customWidth="1"/>
    <col min="13575" max="13575" width="10.7109375" style="1119" customWidth="1"/>
    <col min="13576" max="13577" width="6.85546875" style="1119" customWidth="1"/>
    <col min="13578" max="13578" width="33.5703125" style="1119" customWidth="1"/>
    <col min="13579" max="13580" width="9.140625" style="1119"/>
    <col min="13581" max="13581" width="9.140625" style="1119" customWidth="1"/>
    <col min="13582" max="13582" width="0" style="1119" hidden="1" customWidth="1"/>
    <col min="13583" max="13825" width="9.140625" style="1119"/>
    <col min="13826" max="13826" width="20" style="1119" customWidth="1"/>
    <col min="13827" max="13827" width="16.85546875" style="1119" customWidth="1"/>
    <col min="13828" max="13829" width="15.7109375" style="1119" customWidth="1"/>
    <col min="13830" max="13830" width="30.7109375" style="1119" customWidth="1"/>
    <col min="13831" max="13831" width="10.7109375" style="1119" customWidth="1"/>
    <col min="13832" max="13833" width="6.85546875" style="1119" customWidth="1"/>
    <col min="13834" max="13834" width="33.5703125" style="1119" customWidth="1"/>
    <col min="13835" max="13836" width="9.140625" style="1119"/>
    <col min="13837" max="13837" width="9.140625" style="1119" customWidth="1"/>
    <col min="13838" max="13838" width="0" style="1119" hidden="1" customWidth="1"/>
    <col min="13839" max="14081" width="9.140625" style="1119"/>
    <col min="14082" max="14082" width="20" style="1119" customWidth="1"/>
    <col min="14083" max="14083" width="16.85546875" style="1119" customWidth="1"/>
    <col min="14084" max="14085" width="15.7109375" style="1119" customWidth="1"/>
    <col min="14086" max="14086" width="30.7109375" style="1119" customWidth="1"/>
    <col min="14087" max="14087" width="10.7109375" style="1119" customWidth="1"/>
    <col min="14088" max="14089" width="6.85546875" style="1119" customWidth="1"/>
    <col min="14090" max="14090" width="33.5703125" style="1119" customWidth="1"/>
    <col min="14091" max="14092" width="9.140625" style="1119"/>
    <col min="14093" max="14093" width="9.140625" style="1119" customWidth="1"/>
    <col min="14094" max="14094" width="0" style="1119" hidden="1" customWidth="1"/>
    <col min="14095" max="14337" width="9.140625" style="1119"/>
    <col min="14338" max="14338" width="20" style="1119" customWidth="1"/>
    <col min="14339" max="14339" width="16.85546875" style="1119" customWidth="1"/>
    <col min="14340" max="14341" width="15.7109375" style="1119" customWidth="1"/>
    <col min="14342" max="14342" width="30.7109375" style="1119" customWidth="1"/>
    <col min="14343" max="14343" width="10.7109375" style="1119" customWidth="1"/>
    <col min="14344" max="14345" width="6.85546875" style="1119" customWidth="1"/>
    <col min="14346" max="14346" width="33.5703125" style="1119" customWidth="1"/>
    <col min="14347" max="14348" width="9.140625" style="1119"/>
    <col min="14349" max="14349" width="9.140625" style="1119" customWidth="1"/>
    <col min="14350" max="14350" width="0" style="1119" hidden="1" customWidth="1"/>
    <col min="14351" max="14593" width="9.140625" style="1119"/>
    <col min="14594" max="14594" width="20" style="1119" customWidth="1"/>
    <col min="14595" max="14595" width="16.85546875" style="1119" customWidth="1"/>
    <col min="14596" max="14597" width="15.7109375" style="1119" customWidth="1"/>
    <col min="14598" max="14598" width="30.7109375" style="1119" customWidth="1"/>
    <col min="14599" max="14599" width="10.7109375" style="1119" customWidth="1"/>
    <col min="14600" max="14601" width="6.85546875" style="1119" customWidth="1"/>
    <col min="14602" max="14602" width="33.5703125" style="1119" customWidth="1"/>
    <col min="14603" max="14604" width="9.140625" style="1119"/>
    <col min="14605" max="14605" width="9.140625" style="1119" customWidth="1"/>
    <col min="14606" max="14606" width="0" style="1119" hidden="1" customWidth="1"/>
    <col min="14607" max="14849" width="9.140625" style="1119"/>
    <col min="14850" max="14850" width="20" style="1119" customWidth="1"/>
    <col min="14851" max="14851" width="16.85546875" style="1119" customWidth="1"/>
    <col min="14852" max="14853" width="15.7109375" style="1119" customWidth="1"/>
    <col min="14854" max="14854" width="30.7109375" style="1119" customWidth="1"/>
    <col min="14855" max="14855" width="10.7109375" style="1119" customWidth="1"/>
    <col min="14856" max="14857" width="6.85546875" style="1119" customWidth="1"/>
    <col min="14858" max="14858" width="33.5703125" style="1119" customWidth="1"/>
    <col min="14859" max="14860" width="9.140625" style="1119"/>
    <col min="14861" max="14861" width="9.140625" style="1119" customWidth="1"/>
    <col min="14862" max="14862" width="0" style="1119" hidden="1" customWidth="1"/>
    <col min="14863" max="15105" width="9.140625" style="1119"/>
    <col min="15106" max="15106" width="20" style="1119" customWidth="1"/>
    <col min="15107" max="15107" width="16.85546875" style="1119" customWidth="1"/>
    <col min="15108" max="15109" width="15.7109375" style="1119" customWidth="1"/>
    <col min="15110" max="15110" width="30.7109375" style="1119" customWidth="1"/>
    <col min="15111" max="15111" width="10.7109375" style="1119" customWidth="1"/>
    <col min="15112" max="15113" width="6.85546875" style="1119" customWidth="1"/>
    <col min="15114" max="15114" width="33.5703125" style="1119" customWidth="1"/>
    <col min="15115" max="15116" width="9.140625" style="1119"/>
    <col min="15117" max="15117" width="9.140625" style="1119" customWidth="1"/>
    <col min="15118" max="15118" width="0" style="1119" hidden="1" customWidth="1"/>
    <col min="15119" max="15361" width="9.140625" style="1119"/>
    <col min="15362" max="15362" width="20" style="1119" customWidth="1"/>
    <col min="15363" max="15363" width="16.85546875" style="1119" customWidth="1"/>
    <col min="15364" max="15365" width="15.7109375" style="1119" customWidth="1"/>
    <col min="15366" max="15366" width="30.7109375" style="1119" customWidth="1"/>
    <col min="15367" max="15367" width="10.7109375" style="1119" customWidth="1"/>
    <col min="15368" max="15369" width="6.85546875" style="1119" customWidth="1"/>
    <col min="15370" max="15370" width="33.5703125" style="1119" customWidth="1"/>
    <col min="15371" max="15372" width="9.140625" style="1119"/>
    <col min="15373" max="15373" width="9.140625" style="1119" customWidth="1"/>
    <col min="15374" max="15374" width="0" style="1119" hidden="1" customWidth="1"/>
    <col min="15375" max="15617" width="9.140625" style="1119"/>
    <col min="15618" max="15618" width="20" style="1119" customWidth="1"/>
    <col min="15619" max="15619" width="16.85546875" style="1119" customWidth="1"/>
    <col min="15620" max="15621" width="15.7109375" style="1119" customWidth="1"/>
    <col min="15622" max="15622" width="30.7109375" style="1119" customWidth="1"/>
    <col min="15623" max="15623" width="10.7109375" style="1119" customWidth="1"/>
    <col min="15624" max="15625" width="6.85546875" style="1119" customWidth="1"/>
    <col min="15626" max="15626" width="33.5703125" style="1119" customWidth="1"/>
    <col min="15627" max="15628" width="9.140625" style="1119"/>
    <col min="15629" max="15629" width="9.140625" style="1119" customWidth="1"/>
    <col min="15630" max="15630" width="0" style="1119" hidden="1" customWidth="1"/>
    <col min="15631" max="15873" width="9.140625" style="1119"/>
    <col min="15874" max="15874" width="20" style="1119" customWidth="1"/>
    <col min="15875" max="15875" width="16.85546875" style="1119" customWidth="1"/>
    <col min="15876" max="15877" width="15.7109375" style="1119" customWidth="1"/>
    <col min="15878" max="15878" width="30.7109375" style="1119" customWidth="1"/>
    <col min="15879" max="15879" width="10.7109375" style="1119" customWidth="1"/>
    <col min="15880" max="15881" width="6.85546875" style="1119" customWidth="1"/>
    <col min="15882" max="15882" width="33.5703125" style="1119" customWidth="1"/>
    <col min="15883" max="15884" width="9.140625" style="1119"/>
    <col min="15885" max="15885" width="9.140625" style="1119" customWidth="1"/>
    <col min="15886" max="15886" width="0" style="1119" hidden="1" customWidth="1"/>
    <col min="15887" max="16129" width="9.140625" style="1119"/>
    <col min="16130" max="16130" width="20" style="1119" customWidth="1"/>
    <col min="16131" max="16131" width="16.85546875" style="1119" customWidth="1"/>
    <col min="16132" max="16133" width="15.7109375" style="1119" customWidth="1"/>
    <col min="16134" max="16134" width="30.7109375" style="1119" customWidth="1"/>
    <col min="16135" max="16135" width="10.7109375" style="1119" customWidth="1"/>
    <col min="16136" max="16137" width="6.85546875" style="1119" customWidth="1"/>
    <col min="16138" max="16138" width="33.5703125" style="1119" customWidth="1"/>
    <col min="16139" max="16140" width="9.140625" style="1119"/>
    <col min="16141" max="16141" width="9.140625" style="1119" customWidth="1"/>
    <col min="16142" max="16142" width="0" style="1119" hidden="1" customWidth="1"/>
    <col min="16143" max="16384" width="9.140625" style="1119"/>
  </cols>
  <sheetData>
    <row r="1" spans="1:10" ht="18.75">
      <c r="A1" s="1881" t="s">
        <v>3609</v>
      </c>
      <c r="B1" s="1155" t="s">
        <v>4487</v>
      </c>
      <c r="C1" s="1012"/>
      <c r="D1" s="1186"/>
      <c r="E1" s="1104"/>
      <c r="F1" s="905"/>
      <c r="G1" s="1328"/>
      <c r="H1" s="2530" t="s">
        <v>2595</v>
      </c>
      <c r="I1" s="2437"/>
      <c r="J1" s="1193" t="s">
        <v>3610</v>
      </c>
    </row>
    <row r="2" spans="1:10">
      <c r="B2" s="1034" t="s">
        <v>3198</v>
      </c>
      <c r="C2" s="1035">
        <f>'Basic Info'!C29:D29</f>
        <v>0</v>
      </c>
      <c r="D2" s="923"/>
      <c r="E2" s="923"/>
      <c r="F2" s="923"/>
      <c r="G2" s="923"/>
      <c r="H2" s="2502"/>
      <c r="I2" s="2502"/>
      <c r="J2" s="1006"/>
    </row>
    <row r="3" spans="1:10">
      <c r="B3" s="923"/>
      <c r="C3" s="923"/>
      <c r="D3" s="923"/>
      <c r="E3" s="923"/>
      <c r="F3" s="923"/>
      <c r="G3" s="923"/>
      <c r="H3" s="2502"/>
      <c r="I3" s="2502"/>
      <c r="J3" s="1006"/>
    </row>
    <row r="4" spans="1:10">
      <c r="B4" s="923"/>
      <c r="C4" s="923"/>
      <c r="D4" s="923"/>
      <c r="E4" s="923"/>
      <c r="F4" s="923"/>
      <c r="G4" s="923"/>
      <c r="H4" s="2502"/>
      <c r="I4" s="2502"/>
      <c r="J4" s="1006"/>
    </row>
    <row r="5" spans="1:10">
      <c r="B5" s="1239" t="s">
        <v>3981</v>
      </c>
      <c r="C5" s="923"/>
      <c r="D5" s="923"/>
      <c r="E5" s="923"/>
      <c r="F5" s="923"/>
      <c r="G5" s="923"/>
      <c r="H5" s="923"/>
      <c r="I5" s="923"/>
      <c r="J5" s="1122"/>
    </row>
    <row r="6" spans="1:10">
      <c r="B6" s="1218" t="s">
        <v>3860</v>
      </c>
      <c r="C6" s="1218"/>
      <c r="D6" s="1218"/>
      <c r="E6" s="1218"/>
      <c r="F6" s="1218"/>
      <c r="G6" s="1218"/>
      <c r="H6" s="1218"/>
      <c r="I6" s="1218"/>
      <c r="J6" s="1218"/>
    </row>
    <row r="7" spans="1:10">
      <c r="B7" s="923" t="s">
        <v>3861</v>
      </c>
      <c r="C7" s="923"/>
      <c r="D7" s="923"/>
      <c r="E7" s="923"/>
      <c r="F7" s="923"/>
      <c r="G7" s="923"/>
      <c r="H7" s="923"/>
      <c r="I7" s="923"/>
      <c r="J7" s="1122"/>
    </row>
    <row r="8" spans="1:10" ht="10.5" customHeight="1">
      <c r="B8" s="923"/>
      <c r="C8" s="923"/>
      <c r="D8" s="923"/>
      <c r="E8" s="923"/>
      <c r="F8" s="923"/>
      <c r="G8" s="923"/>
      <c r="H8" s="923"/>
      <c r="I8" s="923"/>
      <c r="J8" s="1122"/>
    </row>
    <row r="9" spans="1:10">
      <c r="B9" s="1239" t="s">
        <v>3927</v>
      </c>
      <c r="C9" s="923"/>
      <c r="D9" s="923"/>
      <c r="E9" s="923"/>
      <c r="F9" s="923"/>
      <c r="G9" s="923"/>
      <c r="H9" s="923"/>
      <c r="I9" s="923"/>
      <c r="J9" s="1122"/>
    </row>
    <row r="10" spans="1:10" ht="11.25" customHeight="1">
      <c r="B10" s="923" t="s">
        <v>3613</v>
      </c>
      <c r="C10" s="923"/>
      <c r="D10" s="923"/>
      <c r="E10" s="923"/>
      <c r="F10" s="923"/>
      <c r="G10" s="923"/>
      <c r="H10" s="923"/>
      <c r="I10" s="923"/>
      <c r="J10" s="923"/>
    </row>
    <row r="11" spans="1:10" ht="11.25" customHeight="1">
      <c r="B11" s="923" t="s">
        <v>3862</v>
      </c>
      <c r="C11" s="923"/>
      <c r="D11" s="923"/>
      <c r="E11" s="923"/>
      <c r="F11" s="923"/>
      <c r="G11" s="923"/>
      <c r="H11" s="923"/>
      <c r="I11" s="923"/>
      <c r="J11" s="923"/>
    </row>
    <row r="12" spans="1:10" ht="10.5" customHeight="1">
      <c r="B12" s="923"/>
      <c r="C12" s="923"/>
      <c r="D12" s="923"/>
      <c r="E12" s="923"/>
      <c r="F12" s="923"/>
      <c r="G12" s="923"/>
      <c r="H12" s="923"/>
      <c r="I12" s="923"/>
      <c r="J12" s="923"/>
    </row>
    <row r="13" spans="1:10">
      <c r="B13" s="1011" t="s">
        <v>3982</v>
      </c>
      <c r="C13" s="923"/>
      <c r="D13" s="923"/>
      <c r="E13" s="923"/>
      <c r="F13" s="923"/>
      <c r="G13" s="923"/>
      <c r="H13" s="923"/>
      <c r="I13" s="923"/>
      <c r="J13" s="923"/>
    </row>
    <row r="14" spans="1:10" ht="30" customHeight="1">
      <c r="B14" s="2395" t="s">
        <v>4244</v>
      </c>
      <c r="C14" s="2395"/>
      <c r="D14" s="2395"/>
      <c r="E14" s="2395"/>
      <c r="F14" s="2395"/>
      <c r="G14" s="2395"/>
      <c r="H14" s="2395"/>
      <c r="I14" s="2395"/>
      <c r="J14" s="2395"/>
    </row>
    <row r="15" spans="1:10">
      <c r="B15" s="2649" t="s">
        <v>3863</v>
      </c>
      <c r="C15" s="2649"/>
      <c r="D15" s="2649"/>
      <c r="E15" s="2649"/>
      <c r="F15" s="2649"/>
      <c r="G15" s="2649"/>
      <c r="H15" s="923"/>
      <c r="I15" s="923"/>
      <c r="J15" s="923"/>
    </row>
    <row r="16" spans="1:10">
      <c r="B16" s="923" t="s">
        <v>3617</v>
      </c>
      <c r="C16" s="923"/>
      <c r="D16" s="923"/>
      <c r="E16" s="923"/>
      <c r="F16" s="923"/>
      <c r="G16" s="923"/>
      <c r="H16" s="923"/>
      <c r="I16" s="923"/>
      <c r="J16" s="923"/>
    </row>
    <row r="17" spans="2:10" ht="12" customHeight="1">
      <c r="B17" s="2529" t="s">
        <v>3864</v>
      </c>
      <c r="C17" s="2529"/>
      <c r="D17" s="2529"/>
      <c r="E17" s="2529"/>
      <c r="F17" s="2529"/>
      <c r="G17" s="2529"/>
      <c r="H17" s="2529"/>
      <c r="I17" s="2529"/>
      <c r="J17" s="2529"/>
    </row>
    <row r="18" spans="2:10">
      <c r="B18" s="1363"/>
      <c r="C18" s="1363"/>
      <c r="D18" s="1363"/>
      <c r="E18" s="1363"/>
      <c r="F18" s="1363"/>
      <c r="G18" s="1363"/>
      <c r="H18" s="923"/>
      <c r="I18" s="923"/>
      <c r="J18" s="923"/>
    </row>
    <row r="19" spans="2:10">
      <c r="B19" s="1165" t="s">
        <v>3928</v>
      </c>
      <c r="C19" s="1103"/>
      <c r="D19" s="1103"/>
      <c r="E19" s="1103"/>
    </row>
    <row r="20" spans="2:10" ht="14.25" customHeight="1">
      <c r="B20" s="2414" t="s">
        <v>4253</v>
      </c>
      <c r="C20" s="2395"/>
      <c r="D20" s="2395"/>
      <c r="E20" s="2395"/>
      <c r="F20" s="2395"/>
      <c r="G20" s="2395"/>
      <c r="H20" s="2395"/>
      <c r="I20" s="2395"/>
      <c r="J20" s="2395"/>
    </row>
    <row r="21" spans="2:10" ht="18.75" customHeight="1">
      <c r="B21" s="1104"/>
      <c r="C21" s="1104"/>
      <c r="D21" s="1104"/>
      <c r="E21" s="1104"/>
      <c r="F21" s="1104"/>
      <c r="G21" s="1104"/>
      <c r="H21" s="1104"/>
      <c r="I21" s="1104"/>
      <c r="J21" s="1104"/>
    </row>
    <row r="22" spans="2:10" ht="25.5" customHeight="1">
      <c r="B22" s="1162" t="s">
        <v>3865</v>
      </c>
      <c r="C22" s="1211" t="s">
        <v>1903</v>
      </c>
      <c r="D22" s="1211" t="s">
        <v>2197</v>
      </c>
      <c r="E22" s="1211" t="s">
        <v>3866</v>
      </c>
    </row>
    <row r="23" spans="2:10" ht="27" customHeight="1">
      <c r="B23" s="1407" t="s">
        <v>3867</v>
      </c>
      <c r="C23" s="1171"/>
      <c r="D23" s="1171"/>
      <c r="E23" s="1171"/>
    </row>
    <row r="24" spans="2:10" ht="27" customHeight="1">
      <c r="B24" s="1407" t="s">
        <v>4245</v>
      </c>
      <c r="C24" s="1171"/>
      <c r="D24" s="1171"/>
      <c r="E24" s="1171"/>
    </row>
    <row r="25" spans="2:10" ht="27.75" customHeight="1">
      <c r="B25" s="1407" t="s">
        <v>4246</v>
      </c>
      <c r="C25" s="1170"/>
      <c r="D25" s="1171"/>
      <c r="E25" s="1171"/>
    </row>
    <row r="26" spans="2:10" ht="30" customHeight="1" collapsed="1">
      <c r="B26" s="1407" t="s">
        <v>3868</v>
      </c>
      <c r="C26" s="1171"/>
      <c r="D26" s="1171"/>
      <c r="E26" s="1171"/>
    </row>
    <row r="27" spans="2:10" ht="32.25" customHeight="1">
      <c r="B27" s="1407" t="s">
        <v>4247</v>
      </c>
      <c r="C27" s="1171"/>
      <c r="D27" s="1171"/>
      <c r="E27" s="1171"/>
    </row>
    <row r="28" spans="2:10" ht="32.25" customHeight="1">
      <c r="B28" s="905"/>
      <c r="C28" s="1263"/>
      <c r="D28" s="1263"/>
      <c r="E28" s="1263"/>
      <c r="F28" s="896"/>
      <c r="G28" s="896"/>
      <c r="H28" s="896"/>
      <c r="I28" s="896"/>
      <c r="J28" s="896"/>
    </row>
    <row r="29" spans="2:10" ht="57" customHeight="1">
      <c r="B29" s="2443"/>
      <c r="C29" s="2443"/>
      <c r="D29" s="2443"/>
      <c r="E29" s="2443"/>
      <c r="F29" s="2443"/>
      <c r="G29" s="2443"/>
      <c r="H29" s="2443"/>
      <c r="I29" s="1089" t="s">
        <v>3627</v>
      </c>
      <c r="J29" s="1284" t="s">
        <v>3833</v>
      </c>
    </row>
    <row r="30" spans="2:10" ht="32.25" customHeight="1">
      <c r="B30" s="2427" t="s">
        <v>4248</v>
      </c>
      <c r="C30" s="2427"/>
      <c r="D30" s="2427"/>
      <c r="E30" s="2427"/>
      <c r="F30" s="2427"/>
      <c r="G30" s="2427"/>
      <c r="H30" s="2381"/>
      <c r="I30" s="1408"/>
      <c r="J30" s="1101"/>
    </row>
    <row r="31" spans="2:10" ht="32.25" customHeight="1">
      <c r="B31" s="2398" t="s">
        <v>4249</v>
      </c>
      <c r="C31" s="2398"/>
      <c r="D31" s="2398"/>
      <c r="E31" s="2398"/>
      <c r="F31" s="2398"/>
      <c r="G31" s="2398"/>
      <c r="H31" s="2391"/>
      <c r="I31" s="1408"/>
      <c r="J31" s="1101"/>
    </row>
    <row r="32" spans="2:10" ht="32.25" customHeight="1">
      <c r="B32" s="2398" t="s">
        <v>4250</v>
      </c>
      <c r="C32" s="2398"/>
      <c r="D32" s="2398"/>
      <c r="E32" s="2398"/>
      <c r="F32" s="2398"/>
      <c r="G32" s="2398"/>
      <c r="H32" s="2391"/>
      <c r="I32" s="1408"/>
      <c r="J32" s="1101"/>
    </row>
    <row r="33" spans="2:14" ht="30.75" customHeight="1">
      <c r="B33" s="2398" t="s">
        <v>4251</v>
      </c>
      <c r="C33" s="2398"/>
      <c r="D33" s="2398"/>
      <c r="E33" s="2398"/>
      <c r="F33" s="2398"/>
      <c r="G33" s="2398"/>
      <c r="H33" s="2391"/>
      <c r="I33" s="1408"/>
      <c r="J33" s="1101"/>
    </row>
    <row r="34" spans="2:14" ht="45.75" customHeight="1">
      <c r="B34" s="2398" t="s">
        <v>4252</v>
      </c>
      <c r="C34" s="2398"/>
      <c r="D34" s="2398"/>
      <c r="E34" s="2398"/>
      <c r="F34" s="2398"/>
      <c r="G34" s="2398"/>
      <c r="H34" s="2391"/>
      <c r="I34" s="1408"/>
      <c r="J34" s="1101"/>
    </row>
    <row r="35" spans="2:14" ht="54.75" customHeight="1">
      <c r="B35" s="2398" t="s">
        <v>4044</v>
      </c>
      <c r="C35" s="2398"/>
      <c r="D35" s="2398"/>
      <c r="E35" s="2398"/>
      <c r="F35" s="2398"/>
      <c r="G35" s="2398"/>
      <c r="H35" s="2391"/>
      <c r="I35" s="1408"/>
      <c r="J35" s="1101"/>
    </row>
    <row r="36" spans="2:14" ht="27.75" customHeight="1"/>
    <row r="37" spans="2:14" ht="27.75" customHeight="1"/>
    <row r="38" spans="2:14" ht="37.5" customHeight="1"/>
    <row r="39" spans="2:14" ht="55.5" customHeight="1"/>
    <row r="40" spans="2:14" ht="39" customHeight="1"/>
    <row r="41" spans="2:14" ht="26.25" customHeight="1"/>
    <row r="42" spans="2:14" ht="26.25" customHeight="1"/>
    <row r="43" spans="2:14">
      <c r="N43" s="1119" t="s">
        <v>1493</v>
      </c>
    </row>
    <row r="44" spans="2:14">
      <c r="N44" s="1119" t="s">
        <v>1494</v>
      </c>
    </row>
    <row r="45" spans="2:14">
      <c r="N45" s="1119" t="s">
        <v>2677</v>
      </c>
    </row>
  </sheetData>
  <sheetProtection formatCells="0" formatColumns="0" formatRows="0" insertColumns="0" insertRows="0"/>
  <mergeCells count="15">
    <mergeCell ref="B20:J20"/>
    <mergeCell ref="B29:H29"/>
    <mergeCell ref="B17:J17"/>
    <mergeCell ref="B15:G15"/>
    <mergeCell ref="H1:I1"/>
    <mergeCell ref="H2:I2"/>
    <mergeCell ref="H3:I3"/>
    <mergeCell ref="H4:I4"/>
    <mergeCell ref="B14:J14"/>
    <mergeCell ref="B33:H33"/>
    <mergeCell ref="B34:H34"/>
    <mergeCell ref="B35:H35"/>
    <mergeCell ref="B30:H30"/>
    <mergeCell ref="B31:H31"/>
    <mergeCell ref="B32:H32"/>
  </mergeCells>
  <dataValidations count="2">
    <dataValidation type="list" allowBlank="1" showInputMessage="1" showErrorMessage="1" sqref="WVM25 H65558 H131094 H196630 H262166 H327702 H393238 H458774 H524310 H589846 H655382 H720918 H786454 H851990 H917526 H983062 H65560:H65564 H131096:H131100 H196632:H196636 H262168:H262172 H327704:H327708 H393240:H393244 H458776:H458780 H524312:H524316 H589848:H589852 H655384:H655388 H720920:H720924 H786456:H786460 H851992:H851996 H917528:H917532 H983064:H983068 I30:I35 I65566:I65571 I131102:I131107 I196638:I196643 I262174:I262179 I327710:I327715 I393246:I393251 I458782:I458787 I524318:I524323 I589854:I589859 I655390:I655395 I720926:I720931 I786462:I786467 I851998:I852003 I917534:I917539 I983070:I983075 WVQ983074:WVQ983079 WLU983074:WLU983079 WBY983074:WBY983079 VSC983074:VSC983079 VIG983074:VIG983079 UYK983074:UYK983079 UOO983074:UOO983079 UES983074:UES983079 TUW983074:TUW983079 TLA983074:TLA983079 TBE983074:TBE983079 SRI983074:SRI983079 SHM983074:SHM983079 RXQ983074:RXQ983079 RNU983074:RNU983079 RDY983074:RDY983079 QUC983074:QUC983079 QKG983074:QKG983079 QAK983074:QAK983079 PQO983074:PQO983079 PGS983074:PGS983079 OWW983074:OWW983079 ONA983074:ONA983079 ODE983074:ODE983079 NTI983074:NTI983079 NJM983074:NJM983079 MZQ983074:MZQ983079 MPU983074:MPU983079 MFY983074:MFY983079 LWC983074:LWC983079 LMG983074:LMG983079 LCK983074:LCK983079 KSO983074:KSO983079 KIS983074:KIS983079 JYW983074:JYW983079 JPA983074:JPA983079 JFE983074:JFE983079 IVI983074:IVI983079 ILM983074:ILM983079 IBQ983074:IBQ983079 HRU983074:HRU983079 HHY983074:HHY983079 GYC983074:GYC983079 GOG983074:GOG983079 GEK983074:GEK983079 FUO983074:FUO983079 FKS983074:FKS983079 FAW983074:FAW983079 ERA983074:ERA983079 EHE983074:EHE983079 DXI983074:DXI983079 DNM983074:DNM983079 DDQ983074:DDQ983079 CTU983074:CTU983079 CJY983074:CJY983079 CAC983074:CAC983079 BQG983074:BQG983079 BGK983074:BGK983079 AWO983074:AWO983079 AMS983074:AMS983079 ACW983074:ACW983079 TA983074:TA983079 JE983074:JE983079 WVQ917538:WVQ917543 WLU917538:WLU917543 WBY917538:WBY917543 VSC917538:VSC917543 VIG917538:VIG917543 UYK917538:UYK917543 UOO917538:UOO917543 UES917538:UES917543 TUW917538:TUW917543 TLA917538:TLA917543 TBE917538:TBE917543 SRI917538:SRI917543 SHM917538:SHM917543 RXQ917538:RXQ917543 RNU917538:RNU917543 RDY917538:RDY917543 QUC917538:QUC917543 QKG917538:QKG917543 QAK917538:QAK917543 PQO917538:PQO917543 PGS917538:PGS917543 OWW917538:OWW917543 ONA917538:ONA917543 ODE917538:ODE917543 NTI917538:NTI917543 NJM917538:NJM917543 MZQ917538:MZQ917543 MPU917538:MPU917543 MFY917538:MFY917543 LWC917538:LWC917543 LMG917538:LMG917543 LCK917538:LCK917543 KSO917538:KSO917543 KIS917538:KIS917543 JYW917538:JYW917543 JPA917538:JPA917543 JFE917538:JFE917543 IVI917538:IVI917543 ILM917538:ILM917543 IBQ917538:IBQ917543 HRU917538:HRU917543 HHY917538:HHY917543 GYC917538:GYC917543 GOG917538:GOG917543 GEK917538:GEK917543 FUO917538:FUO917543 FKS917538:FKS917543 FAW917538:FAW917543 ERA917538:ERA917543 EHE917538:EHE917543 DXI917538:DXI917543 DNM917538:DNM917543 DDQ917538:DDQ917543 CTU917538:CTU917543 CJY917538:CJY917543 CAC917538:CAC917543 BQG917538:BQG917543 BGK917538:BGK917543 AWO917538:AWO917543 AMS917538:AMS917543 ACW917538:ACW917543 TA917538:TA917543 JE917538:JE917543 WVQ852002:WVQ852007 WLU852002:WLU852007 WBY852002:WBY852007 VSC852002:VSC852007 VIG852002:VIG852007 UYK852002:UYK852007 UOO852002:UOO852007 UES852002:UES852007 TUW852002:TUW852007 TLA852002:TLA852007 TBE852002:TBE852007 SRI852002:SRI852007 SHM852002:SHM852007 RXQ852002:RXQ852007 RNU852002:RNU852007 RDY852002:RDY852007 QUC852002:QUC852007 QKG852002:QKG852007 QAK852002:QAK852007 PQO852002:PQO852007 PGS852002:PGS852007 OWW852002:OWW852007 ONA852002:ONA852007 ODE852002:ODE852007 NTI852002:NTI852007 NJM852002:NJM852007 MZQ852002:MZQ852007 MPU852002:MPU852007 MFY852002:MFY852007 LWC852002:LWC852007 LMG852002:LMG852007 LCK852002:LCK852007 KSO852002:KSO852007 KIS852002:KIS852007 JYW852002:JYW852007 JPA852002:JPA852007 JFE852002:JFE852007 IVI852002:IVI852007 ILM852002:ILM852007 IBQ852002:IBQ852007 HRU852002:HRU852007 HHY852002:HHY852007 GYC852002:GYC852007 GOG852002:GOG852007 GEK852002:GEK852007 FUO852002:FUO852007 FKS852002:FKS852007 FAW852002:FAW852007 ERA852002:ERA852007 EHE852002:EHE852007 DXI852002:DXI852007 DNM852002:DNM852007 DDQ852002:DDQ852007 CTU852002:CTU852007 CJY852002:CJY852007 CAC852002:CAC852007 BQG852002:BQG852007 BGK852002:BGK852007 AWO852002:AWO852007 AMS852002:AMS852007 ACW852002:ACW852007 TA852002:TA852007 JE852002:JE852007 WVQ786466:WVQ786471 WLU786466:WLU786471 WBY786466:WBY786471 VSC786466:VSC786471 VIG786466:VIG786471 UYK786466:UYK786471 UOO786466:UOO786471 UES786466:UES786471 TUW786466:TUW786471 TLA786466:TLA786471 TBE786466:TBE786471 SRI786466:SRI786471 SHM786466:SHM786471 RXQ786466:RXQ786471 RNU786466:RNU786471 RDY786466:RDY786471 QUC786466:QUC786471 QKG786466:QKG786471 QAK786466:QAK786471 PQO786466:PQO786471 PGS786466:PGS786471 OWW786466:OWW786471 ONA786466:ONA786471 ODE786466:ODE786471 NTI786466:NTI786471 NJM786466:NJM786471 MZQ786466:MZQ786471 MPU786466:MPU786471 MFY786466:MFY786471 LWC786466:LWC786471 LMG786466:LMG786471 LCK786466:LCK786471 KSO786466:KSO786471 KIS786466:KIS786471 JYW786466:JYW786471 JPA786466:JPA786471 JFE786466:JFE786471 IVI786466:IVI786471 ILM786466:ILM786471 IBQ786466:IBQ786471 HRU786466:HRU786471 HHY786466:HHY786471 GYC786466:GYC786471 GOG786466:GOG786471 GEK786466:GEK786471 FUO786466:FUO786471 FKS786466:FKS786471 FAW786466:FAW786471 ERA786466:ERA786471 EHE786466:EHE786471 DXI786466:DXI786471 DNM786466:DNM786471 DDQ786466:DDQ786471 CTU786466:CTU786471 CJY786466:CJY786471 CAC786466:CAC786471 BQG786466:BQG786471 BGK786466:BGK786471 AWO786466:AWO786471 AMS786466:AMS786471 ACW786466:ACW786471 TA786466:TA786471 JE786466:JE786471 WVQ720930:WVQ720935 WLU720930:WLU720935 WBY720930:WBY720935 VSC720930:VSC720935 VIG720930:VIG720935 UYK720930:UYK720935 UOO720930:UOO720935 UES720930:UES720935 TUW720930:TUW720935 TLA720930:TLA720935 TBE720930:TBE720935 SRI720930:SRI720935 SHM720930:SHM720935 RXQ720930:RXQ720935 RNU720930:RNU720935 RDY720930:RDY720935 QUC720930:QUC720935 QKG720930:QKG720935 QAK720930:QAK720935 PQO720930:PQO720935 PGS720930:PGS720935 OWW720930:OWW720935 ONA720930:ONA720935 ODE720930:ODE720935 NTI720930:NTI720935 NJM720930:NJM720935 MZQ720930:MZQ720935 MPU720930:MPU720935 MFY720930:MFY720935 LWC720930:LWC720935 LMG720930:LMG720935 LCK720930:LCK720935 KSO720930:KSO720935 KIS720930:KIS720935 JYW720930:JYW720935 JPA720930:JPA720935 JFE720930:JFE720935 IVI720930:IVI720935 ILM720930:ILM720935 IBQ720930:IBQ720935 HRU720930:HRU720935 HHY720930:HHY720935 GYC720930:GYC720935 GOG720930:GOG720935 GEK720930:GEK720935 FUO720930:FUO720935 FKS720930:FKS720935 FAW720930:FAW720935 ERA720930:ERA720935 EHE720930:EHE720935 DXI720930:DXI720935 DNM720930:DNM720935 DDQ720930:DDQ720935 CTU720930:CTU720935 CJY720930:CJY720935 CAC720930:CAC720935 BQG720930:BQG720935 BGK720930:BGK720935 AWO720930:AWO720935 AMS720930:AMS720935 ACW720930:ACW720935 TA720930:TA720935 JE720930:JE720935 WVQ655394:WVQ655399 WLU655394:WLU655399 WBY655394:WBY655399 VSC655394:VSC655399 VIG655394:VIG655399 UYK655394:UYK655399 UOO655394:UOO655399 UES655394:UES655399 TUW655394:TUW655399 TLA655394:TLA655399 TBE655394:TBE655399 SRI655394:SRI655399 SHM655394:SHM655399 RXQ655394:RXQ655399 RNU655394:RNU655399 RDY655394:RDY655399 QUC655394:QUC655399 QKG655394:QKG655399 QAK655394:QAK655399 PQO655394:PQO655399 PGS655394:PGS655399 OWW655394:OWW655399 ONA655394:ONA655399 ODE655394:ODE655399 NTI655394:NTI655399 NJM655394:NJM655399 MZQ655394:MZQ655399 MPU655394:MPU655399 MFY655394:MFY655399 LWC655394:LWC655399 LMG655394:LMG655399 LCK655394:LCK655399 KSO655394:KSO655399 KIS655394:KIS655399 JYW655394:JYW655399 JPA655394:JPA655399 JFE655394:JFE655399 IVI655394:IVI655399 ILM655394:ILM655399 IBQ655394:IBQ655399 HRU655394:HRU655399 HHY655394:HHY655399 GYC655394:GYC655399 GOG655394:GOG655399 GEK655394:GEK655399 FUO655394:FUO655399 FKS655394:FKS655399 FAW655394:FAW655399 ERA655394:ERA655399 EHE655394:EHE655399 DXI655394:DXI655399 DNM655394:DNM655399 DDQ655394:DDQ655399 CTU655394:CTU655399 CJY655394:CJY655399 CAC655394:CAC655399 BQG655394:BQG655399 BGK655394:BGK655399 AWO655394:AWO655399 AMS655394:AMS655399 ACW655394:ACW655399 TA655394:TA655399 JE655394:JE655399 WVQ589858:WVQ589863 WLU589858:WLU589863 WBY589858:WBY589863 VSC589858:VSC589863 VIG589858:VIG589863 UYK589858:UYK589863 UOO589858:UOO589863 UES589858:UES589863 TUW589858:TUW589863 TLA589858:TLA589863 TBE589858:TBE589863 SRI589858:SRI589863 SHM589858:SHM589863 RXQ589858:RXQ589863 RNU589858:RNU589863 RDY589858:RDY589863 QUC589858:QUC589863 QKG589858:QKG589863 QAK589858:QAK589863 PQO589858:PQO589863 PGS589858:PGS589863 OWW589858:OWW589863 ONA589858:ONA589863 ODE589858:ODE589863 NTI589858:NTI589863 NJM589858:NJM589863 MZQ589858:MZQ589863 MPU589858:MPU589863 MFY589858:MFY589863 LWC589858:LWC589863 LMG589858:LMG589863 LCK589858:LCK589863 KSO589858:KSO589863 KIS589858:KIS589863 JYW589858:JYW589863 JPA589858:JPA589863 JFE589858:JFE589863 IVI589858:IVI589863 ILM589858:ILM589863 IBQ589858:IBQ589863 HRU589858:HRU589863 HHY589858:HHY589863 GYC589858:GYC589863 GOG589858:GOG589863 GEK589858:GEK589863 FUO589858:FUO589863 FKS589858:FKS589863 FAW589858:FAW589863 ERA589858:ERA589863 EHE589858:EHE589863 DXI589858:DXI589863 DNM589858:DNM589863 DDQ589858:DDQ589863 CTU589858:CTU589863 CJY589858:CJY589863 CAC589858:CAC589863 BQG589858:BQG589863 BGK589858:BGK589863 AWO589858:AWO589863 AMS589858:AMS589863 ACW589858:ACW589863 TA589858:TA589863 JE589858:JE589863 WVQ524322:WVQ524327 WLU524322:WLU524327 WBY524322:WBY524327 VSC524322:VSC524327 VIG524322:VIG524327 UYK524322:UYK524327 UOO524322:UOO524327 UES524322:UES524327 TUW524322:TUW524327 TLA524322:TLA524327 TBE524322:TBE524327 SRI524322:SRI524327 SHM524322:SHM524327 RXQ524322:RXQ524327 RNU524322:RNU524327 RDY524322:RDY524327 QUC524322:QUC524327 QKG524322:QKG524327 QAK524322:QAK524327 PQO524322:PQO524327 PGS524322:PGS524327 OWW524322:OWW524327 ONA524322:ONA524327 ODE524322:ODE524327 NTI524322:NTI524327 NJM524322:NJM524327 MZQ524322:MZQ524327 MPU524322:MPU524327 MFY524322:MFY524327 LWC524322:LWC524327 LMG524322:LMG524327 LCK524322:LCK524327 KSO524322:KSO524327 KIS524322:KIS524327 JYW524322:JYW524327 JPA524322:JPA524327 JFE524322:JFE524327 IVI524322:IVI524327 ILM524322:ILM524327 IBQ524322:IBQ524327 HRU524322:HRU524327 HHY524322:HHY524327 GYC524322:GYC524327 GOG524322:GOG524327 GEK524322:GEK524327 FUO524322:FUO524327 FKS524322:FKS524327 FAW524322:FAW524327 ERA524322:ERA524327 EHE524322:EHE524327 DXI524322:DXI524327 DNM524322:DNM524327 DDQ524322:DDQ524327 CTU524322:CTU524327 CJY524322:CJY524327 CAC524322:CAC524327 BQG524322:BQG524327 BGK524322:BGK524327 AWO524322:AWO524327 AMS524322:AMS524327 ACW524322:ACW524327 TA524322:TA524327 JE524322:JE524327 WVQ458786:WVQ458791 WLU458786:WLU458791 WBY458786:WBY458791 VSC458786:VSC458791 VIG458786:VIG458791 UYK458786:UYK458791 UOO458786:UOO458791 UES458786:UES458791 TUW458786:TUW458791 TLA458786:TLA458791 TBE458786:TBE458791 SRI458786:SRI458791 SHM458786:SHM458791 RXQ458786:RXQ458791 RNU458786:RNU458791 RDY458786:RDY458791 QUC458786:QUC458791 QKG458786:QKG458791 QAK458786:QAK458791 PQO458786:PQO458791 PGS458786:PGS458791 OWW458786:OWW458791 ONA458786:ONA458791 ODE458786:ODE458791 NTI458786:NTI458791 NJM458786:NJM458791 MZQ458786:MZQ458791 MPU458786:MPU458791 MFY458786:MFY458791 LWC458786:LWC458791 LMG458786:LMG458791 LCK458786:LCK458791 KSO458786:KSO458791 KIS458786:KIS458791 JYW458786:JYW458791 JPA458786:JPA458791 JFE458786:JFE458791 IVI458786:IVI458791 ILM458786:ILM458791 IBQ458786:IBQ458791 HRU458786:HRU458791 HHY458786:HHY458791 GYC458786:GYC458791 GOG458786:GOG458791 GEK458786:GEK458791 FUO458786:FUO458791 FKS458786:FKS458791 FAW458786:FAW458791 ERA458786:ERA458791 EHE458786:EHE458791 DXI458786:DXI458791 DNM458786:DNM458791 DDQ458786:DDQ458791 CTU458786:CTU458791 CJY458786:CJY458791 CAC458786:CAC458791 BQG458786:BQG458791 BGK458786:BGK458791 AWO458786:AWO458791 AMS458786:AMS458791 ACW458786:ACW458791 TA458786:TA458791 JE458786:JE458791 WVQ393250:WVQ393255 WLU393250:WLU393255 WBY393250:WBY393255 VSC393250:VSC393255 VIG393250:VIG393255 UYK393250:UYK393255 UOO393250:UOO393255 UES393250:UES393255 TUW393250:TUW393255 TLA393250:TLA393255 TBE393250:TBE393255 SRI393250:SRI393255 SHM393250:SHM393255 RXQ393250:RXQ393255 RNU393250:RNU393255 RDY393250:RDY393255 QUC393250:QUC393255 QKG393250:QKG393255 QAK393250:QAK393255 PQO393250:PQO393255 PGS393250:PGS393255 OWW393250:OWW393255 ONA393250:ONA393255 ODE393250:ODE393255 NTI393250:NTI393255 NJM393250:NJM393255 MZQ393250:MZQ393255 MPU393250:MPU393255 MFY393250:MFY393255 LWC393250:LWC393255 LMG393250:LMG393255 LCK393250:LCK393255 KSO393250:KSO393255 KIS393250:KIS393255 JYW393250:JYW393255 JPA393250:JPA393255 JFE393250:JFE393255 IVI393250:IVI393255 ILM393250:ILM393255 IBQ393250:IBQ393255 HRU393250:HRU393255 HHY393250:HHY393255 GYC393250:GYC393255 GOG393250:GOG393255 GEK393250:GEK393255 FUO393250:FUO393255 FKS393250:FKS393255 FAW393250:FAW393255 ERA393250:ERA393255 EHE393250:EHE393255 DXI393250:DXI393255 DNM393250:DNM393255 DDQ393250:DDQ393255 CTU393250:CTU393255 CJY393250:CJY393255 CAC393250:CAC393255 BQG393250:BQG393255 BGK393250:BGK393255 AWO393250:AWO393255 AMS393250:AMS393255 ACW393250:ACW393255 TA393250:TA393255 JE393250:JE393255 WVQ327714:WVQ327719 WLU327714:WLU327719 WBY327714:WBY327719 VSC327714:VSC327719 VIG327714:VIG327719 UYK327714:UYK327719 UOO327714:UOO327719 UES327714:UES327719 TUW327714:TUW327719 TLA327714:TLA327719 TBE327714:TBE327719 SRI327714:SRI327719 SHM327714:SHM327719 RXQ327714:RXQ327719 RNU327714:RNU327719 RDY327714:RDY327719 QUC327714:QUC327719 QKG327714:QKG327719 QAK327714:QAK327719 PQO327714:PQO327719 PGS327714:PGS327719 OWW327714:OWW327719 ONA327714:ONA327719 ODE327714:ODE327719 NTI327714:NTI327719 NJM327714:NJM327719 MZQ327714:MZQ327719 MPU327714:MPU327719 MFY327714:MFY327719 LWC327714:LWC327719 LMG327714:LMG327719 LCK327714:LCK327719 KSO327714:KSO327719 KIS327714:KIS327719 JYW327714:JYW327719 JPA327714:JPA327719 JFE327714:JFE327719 IVI327714:IVI327719 ILM327714:ILM327719 IBQ327714:IBQ327719 HRU327714:HRU327719 HHY327714:HHY327719 GYC327714:GYC327719 GOG327714:GOG327719 GEK327714:GEK327719 FUO327714:FUO327719 FKS327714:FKS327719 FAW327714:FAW327719 ERA327714:ERA327719 EHE327714:EHE327719 DXI327714:DXI327719 DNM327714:DNM327719 DDQ327714:DDQ327719 CTU327714:CTU327719 CJY327714:CJY327719 CAC327714:CAC327719 BQG327714:BQG327719 BGK327714:BGK327719 AWO327714:AWO327719 AMS327714:AMS327719 ACW327714:ACW327719 TA327714:TA327719 JE327714:JE327719 WVQ262178:WVQ262183 WLU262178:WLU262183 WBY262178:WBY262183 VSC262178:VSC262183 VIG262178:VIG262183 UYK262178:UYK262183 UOO262178:UOO262183 UES262178:UES262183 TUW262178:TUW262183 TLA262178:TLA262183 TBE262178:TBE262183 SRI262178:SRI262183 SHM262178:SHM262183 RXQ262178:RXQ262183 RNU262178:RNU262183 RDY262178:RDY262183 QUC262178:QUC262183 QKG262178:QKG262183 QAK262178:QAK262183 PQO262178:PQO262183 PGS262178:PGS262183 OWW262178:OWW262183 ONA262178:ONA262183 ODE262178:ODE262183 NTI262178:NTI262183 NJM262178:NJM262183 MZQ262178:MZQ262183 MPU262178:MPU262183 MFY262178:MFY262183 LWC262178:LWC262183 LMG262178:LMG262183 LCK262178:LCK262183 KSO262178:KSO262183 KIS262178:KIS262183 JYW262178:JYW262183 JPA262178:JPA262183 JFE262178:JFE262183 IVI262178:IVI262183 ILM262178:ILM262183 IBQ262178:IBQ262183 HRU262178:HRU262183 HHY262178:HHY262183 GYC262178:GYC262183 GOG262178:GOG262183 GEK262178:GEK262183 FUO262178:FUO262183 FKS262178:FKS262183 FAW262178:FAW262183 ERA262178:ERA262183 EHE262178:EHE262183 DXI262178:DXI262183 DNM262178:DNM262183 DDQ262178:DDQ262183 CTU262178:CTU262183 CJY262178:CJY262183 CAC262178:CAC262183 BQG262178:BQG262183 BGK262178:BGK262183 AWO262178:AWO262183 AMS262178:AMS262183 ACW262178:ACW262183 TA262178:TA262183 JE262178:JE262183 WVQ196642:WVQ196647 WLU196642:WLU196647 WBY196642:WBY196647 VSC196642:VSC196647 VIG196642:VIG196647 UYK196642:UYK196647 UOO196642:UOO196647 UES196642:UES196647 TUW196642:TUW196647 TLA196642:TLA196647 TBE196642:TBE196647 SRI196642:SRI196647 SHM196642:SHM196647 RXQ196642:RXQ196647 RNU196642:RNU196647 RDY196642:RDY196647 QUC196642:QUC196647 QKG196642:QKG196647 QAK196642:QAK196647 PQO196642:PQO196647 PGS196642:PGS196647 OWW196642:OWW196647 ONA196642:ONA196647 ODE196642:ODE196647 NTI196642:NTI196647 NJM196642:NJM196647 MZQ196642:MZQ196647 MPU196642:MPU196647 MFY196642:MFY196647 LWC196642:LWC196647 LMG196642:LMG196647 LCK196642:LCK196647 KSO196642:KSO196647 KIS196642:KIS196647 JYW196642:JYW196647 JPA196642:JPA196647 JFE196642:JFE196647 IVI196642:IVI196647 ILM196642:ILM196647 IBQ196642:IBQ196647 HRU196642:HRU196647 HHY196642:HHY196647 GYC196642:GYC196647 GOG196642:GOG196647 GEK196642:GEK196647 FUO196642:FUO196647 FKS196642:FKS196647 FAW196642:FAW196647 ERA196642:ERA196647 EHE196642:EHE196647 DXI196642:DXI196647 DNM196642:DNM196647 DDQ196642:DDQ196647 CTU196642:CTU196647 CJY196642:CJY196647 CAC196642:CAC196647 BQG196642:BQG196647 BGK196642:BGK196647 AWO196642:AWO196647 AMS196642:AMS196647 ACW196642:ACW196647 TA196642:TA196647 JE196642:JE196647 WVQ131106:WVQ131111 WLU131106:WLU131111 WBY131106:WBY131111 VSC131106:VSC131111 VIG131106:VIG131111 UYK131106:UYK131111 UOO131106:UOO131111 UES131106:UES131111 TUW131106:TUW131111 TLA131106:TLA131111 TBE131106:TBE131111 SRI131106:SRI131111 SHM131106:SHM131111 RXQ131106:RXQ131111 RNU131106:RNU131111 RDY131106:RDY131111 QUC131106:QUC131111 QKG131106:QKG131111 QAK131106:QAK131111 PQO131106:PQO131111 PGS131106:PGS131111 OWW131106:OWW131111 ONA131106:ONA131111 ODE131106:ODE131111 NTI131106:NTI131111 NJM131106:NJM131111 MZQ131106:MZQ131111 MPU131106:MPU131111 MFY131106:MFY131111 LWC131106:LWC131111 LMG131106:LMG131111 LCK131106:LCK131111 KSO131106:KSO131111 KIS131106:KIS131111 JYW131106:JYW131111 JPA131106:JPA131111 JFE131106:JFE131111 IVI131106:IVI131111 ILM131106:ILM131111 IBQ131106:IBQ131111 HRU131106:HRU131111 HHY131106:HHY131111 GYC131106:GYC131111 GOG131106:GOG131111 GEK131106:GEK131111 FUO131106:FUO131111 FKS131106:FKS131111 FAW131106:FAW131111 ERA131106:ERA131111 EHE131106:EHE131111 DXI131106:DXI131111 DNM131106:DNM131111 DDQ131106:DDQ131111 CTU131106:CTU131111 CJY131106:CJY131111 CAC131106:CAC131111 BQG131106:BQG131111 BGK131106:BGK131111 AWO131106:AWO131111 AMS131106:AMS131111 ACW131106:ACW131111 TA131106:TA131111 JE131106:JE131111 WVQ65570:WVQ65575 WLU65570:WLU65575 WBY65570:WBY65575 VSC65570:VSC65575 VIG65570:VIG65575 UYK65570:UYK65575 UOO65570:UOO65575 UES65570:UES65575 TUW65570:TUW65575 TLA65570:TLA65575 TBE65570:TBE65575 SRI65570:SRI65575 SHM65570:SHM65575 RXQ65570:RXQ65575 RNU65570:RNU65575 RDY65570:RDY65575 QUC65570:QUC65575 QKG65570:QKG65575 QAK65570:QAK65575 PQO65570:PQO65575 PGS65570:PGS65575 OWW65570:OWW65575 ONA65570:ONA65575 ODE65570:ODE65575 NTI65570:NTI65575 NJM65570:NJM65575 MZQ65570:MZQ65575 MPU65570:MPU65575 MFY65570:MFY65575 LWC65570:LWC65575 LMG65570:LMG65575 LCK65570:LCK65575 KSO65570:KSO65575 KIS65570:KIS65575 JYW65570:JYW65575 JPA65570:JPA65575 JFE65570:JFE65575 IVI65570:IVI65575 ILM65570:ILM65575 IBQ65570:IBQ65575 HRU65570:HRU65575 HHY65570:HHY65575 GYC65570:GYC65575 GOG65570:GOG65575 GEK65570:GEK65575 FUO65570:FUO65575 FKS65570:FKS65575 FAW65570:FAW65575 ERA65570:ERA65575 EHE65570:EHE65575 DXI65570:DXI65575 DNM65570:DNM65575 DDQ65570:DDQ65575 CTU65570:CTU65575 CJY65570:CJY65575 CAC65570:CAC65575 BQG65570:BQG65575 BGK65570:BGK65575 AWO65570:AWO65575 AMS65570:AMS65575 ACW65570:ACW65575 TA65570:TA65575 JE65570:JE65575 WVQ34:WVQ39 WLU34:WLU39 WBY34:WBY39 VSC34:VSC39 VIG34:VIG39 UYK34:UYK39 UOO34:UOO39 UES34:UES39 TUW34:TUW39 TLA34:TLA39 TBE34:TBE39 SRI34:SRI39 SHM34:SHM39 RXQ34:RXQ39 RNU34:RNU39 RDY34:RDY39 QUC34:QUC39 QKG34:QKG39 QAK34:QAK39 PQO34:PQO39 PGS34:PGS39 OWW34:OWW39 ONA34:ONA39 ODE34:ODE39 NTI34:NTI39 NJM34:NJM39 MZQ34:MZQ39 MPU34:MPU39 MFY34:MFY39 LWC34:LWC39 LMG34:LMG39 LCK34:LCK39 KSO34:KSO39 KIS34:KIS39 JYW34:JYW39 JPA34:JPA39 JFE34:JFE39 IVI34:IVI39 ILM34:ILM39 IBQ34:IBQ39 HRU34:HRU39 HHY34:HHY39 GYC34:GYC39 GOG34:GOG39 GEK34:GEK39 FUO34:FUO39 FKS34:FKS39 FAW34:FAW39 ERA34:ERA39 EHE34:EHE39 DXI34:DXI39 DNM34:DNM39 DDQ34:DDQ39 CTU34:CTU39 CJY34:CJY39 CAC34:CAC39 BQG34:BQG39 BGK34:BGK39 AWO34:AWO39 AMS34:AMS39 ACW34:ACW39 TA34:TA39 JE34:JE39 WVP983068:WVP983072 WLT983068:WLT983072 WBX983068:WBX983072 VSB983068:VSB983072 VIF983068:VIF983072 UYJ983068:UYJ983072 UON983068:UON983072 UER983068:UER983072 TUV983068:TUV983072 TKZ983068:TKZ983072 TBD983068:TBD983072 SRH983068:SRH983072 SHL983068:SHL983072 RXP983068:RXP983072 RNT983068:RNT983072 RDX983068:RDX983072 QUB983068:QUB983072 QKF983068:QKF983072 QAJ983068:QAJ983072 PQN983068:PQN983072 PGR983068:PGR983072 OWV983068:OWV983072 OMZ983068:OMZ983072 ODD983068:ODD983072 NTH983068:NTH983072 NJL983068:NJL983072 MZP983068:MZP983072 MPT983068:MPT983072 MFX983068:MFX983072 LWB983068:LWB983072 LMF983068:LMF983072 LCJ983068:LCJ983072 KSN983068:KSN983072 KIR983068:KIR983072 JYV983068:JYV983072 JOZ983068:JOZ983072 JFD983068:JFD983072 IVH983068:IVH983072 ILL983068:ILL983072 IBP983068:IBP983072 HRT983068:HRT983072 HHX983068:HHX983072 GYB983068:GYB983072 GOF983068:GOF983072 GEJ983068:GEJ983072 FUN983068:FUN983072 FKR983068:FKR983072 FAV983068:FAV983072 EQZ983068:EQZ983072 EHD983068:EHD983072 DXH983068:DXH983072 DNL983068:DNL983072 DDP983068:DDP983072 CTT983068:CTT983072 CJX983068:CJX983072 CAB983068:CAB983072 BQF983068:BQF983072 BGJ983068:BGJ983072 AWN983068:AWN983072 AMR983068:AMR983072 ACV983068:ACV983072 SZ983068:SZ983072 JD983068:JD983072 WVP917532:WVP917536 WLT917532:WLT917536 WBX917532:WBX917536 VSB917532:VSB917536 VIF917532:VIF917536 UYJ917532:UYJ917536 UON917532:UON917536 UER917532:UER917536 TUV917532:TUV917536 TKZ917532:TKZ917536 TBD917532:TBD917536 SRH917532:SRH917536 SHL917532:SHL917536 RXP917532:RXP917536 RNT917532:RNT917536 RDX917532:RDX917536 QUB917532:QUB917536 QKF917532:QKF917536 QAJ917532:QAJ917536 PQN917532:PQN917536 PGR917532:PGR917536 OWV917532:OWV917536 OMZ917532:OMZ917536 ODD917532:ODD917536 NTH917532:NTH917536 NJL917532:NJL917536 MZP917532:MZP917536 MPT917532:MPT917536 MFX917532:MFX917536 LWB917532:LWB917536 LMF917532:LMF917536 LCJ917532:LCJ917536 KSN917532:KSN917536 KIR917532:KIR917536 JYV917532:JYV917536 JOZ917532:JOZ917536 JFD917532:JFD917536 IVH917532:IVH917536 ILL917532:ILL917536 IBP917532:IBP917536 HRT917532:HRT917536 HHX917532:HHX917536 GYB917532:GYB917536 GOF917532:GOF917536 GEJ917532:GEJ917536 FUN917532:FUN917536 FKR917532:FKR917536 FAV917532:FAV917536 EQZ917532:EQZ917536 EHD917532:EHD917536 DXH917532:DXH917536 DNL917532:DNL917536 DDP917532:DDP917536 CTT917532:CTT917536 CJX917532:CJX917536 CAB917532:CAB917536 BQF917532:BQF917536 BGJ917532:BGJ917536 AWN917532:AWN917536 AMR917532:AMR917536 ACV917532:ACV917536 SZ917532:SZ917536 JD917532:JD917536 WVP851996:WVP852000 WLT851996:WLT852000 WBX851996:WBX852000 VSB851996:VSB852000 VIF851996:VIF852000 UYJ851996:UYJ852000 UON851996:UON852000 UER851996:UER852000 TUV851996:TUV852000 TKZ851996:TKZ852000 TBD851996:TBD852000 SRH851996:SRH852000 SHL851996:SHL852000 RXP851996:RXP852000 RNT851996:RNT852000 RDX851996:RDX852000 QUB851996:QUB852000 QKF851996:QKF852000 QAJ851996:QAJ852000 PQN851996:PQN852000 PGR851996:PGR852000 OWV851996:OWV852000 OMZ851996:OMZ852000 ODD851996:ODD852000 NTH851996:NTH852000 NJL851996:NJL852000 MZP851996:MZP852000 MPT851996:MPT852000 MFX851996:MFX852000 LWB851996:LWB852000 LMF851996:LMF852000 LCJ851996:LCJ852000 KSN851996:KSN852000 KIR851996:KIR852000 JYV851996:JYV852000 JOZ851996:JOZ852000 JFD851996:JFD852000 IVH851996:IVH852000 ILL851996:ILL852000 IBP851996:IBP852000 HRT851996:HRT852000 HHX851996:HHX852000 GYB851996:GYB852000 GOF851996:GOF852000 GEJ851996:GEJ852000 FUN851996:FUN852000 FKR851996:FKR852000 FAV851996:FAV852000 EQZ851996:EQZ852000 EHD851996:EHD852000 DXH851996:DXH852000 DNL851996:DNL852000 DDP851996:DDP852000 CTT851996:CTT852000 CJX851996:CJX852000 CAB851996:CAB852000 BQF851996:BQF852000 BGJ851996:BGJ852000 AWN851996:AWN852000 AMR851996:AMR852000 ACV851996:ACV852000 SZ851996:SZ852000 JD851996:JD852000 WVP786460:WVP786464 WLT786460:WLT786464 WBX786460:WBX786464 VSB786460:VSB786464 VIF786460:VIF786464 UYJ786460:UYJ786464 UON786460:UON786464 UER786460:UER786464 TUV786460:TUV786464 TKZ786460:TKZ786464 TBD786460:TBD786464 SRH786460:SRH786464 SHL786460:SHL786464 RXP786460:RXP786464 RNT786460:RNT786464 RDX786460:RDX786464 QUB786460:QUB786464 QKF786460:QKF786464 QAJ786460:QAJ786464 PQN786460:PQN786464 PGR786460:PGR786464 OWV786460:OWV786464 OMZ786460:OMZ786464 ODD786460:ODD786464 NTH786460:NTH786464 NJL786460:NJL786464 MZP786460:MZP786464 MPT786460:MPT786464 MFX786460:MFX786464 LWB786460:LWB786464 LMF786460:LMF786464 LCJ786460:LCJ786464 KSN786460:KSN786464 KIR786460:KIR786464 JYV786460:JYV786464 JOZ786460:JOZ786464 JFD786460:JFD786464 IVH786460:IVH786464 ILL786460:ILL786464 IBP786460:IBP786464 HRT786460:HRT786464 HHX786460:HHX786464 GYB786460:GYB786464 GOF786460:GOF786464 GEJ786460:GEJ786464 FUN786460:FUN786464 FKR786460:FKR786464 FAV786460:FAV786464 EQZ786460:EQZ786464 EHD786460:EHD786464 DXH786460:DXH786464 DNL786460:DNL786464 DDP786460:DDP786464 CTT786460:CTT786464 CJX786460:CJX786464 CAB786460:CAB786464 BQF786460:BQF786464 BGJ786460:BGJ786464 AWN786460:AWN786464 AMR786460:AMR786464 ACV786460:ACV786464 SZ786460:SZ786464 JD786460:JD786464 WVP720924:WVP720928 WLT720924:WLT720928 WBX720924:WBX720928 VSB720924:VSB720928 VIF720924:VIF720928 UYJ720924:UYJ720928 UON720924:UON720928 UER720924:UER720928 TUV720924:TUV720928 TKZ720924:TKZ720928 TBD720924:TBD720928 SRH720924:SRH720928 SHL720924:SHL720928 RXP720924:RXP720928 RNT720924:RNT720928 RDX720924:RDX720928 QUB720924:QUB720928 QKF720924:QKF720928 QAJ720924:QAJ720928 PQN720924:PQN720928 PGR720924:PGR720928 OWV720924:OWV720928 OMZ720924:OMZ720928 ODD720924:ODD720928 NTH720924:NTH720928 NJL720924:NJL720928 MZP720924:MZP720928 MPT720924:MPT720928 MFX720924:MFX720928 LWB720924:LWB720928 LMF720924:LMF720928 LCJ720924:LCJ720928 KSN720924:KSN720928 KIR720924:KIR720928 JYV720924:JYV720928 JOZ720924:JOZ720928 JFD720924:JFD720928 IVH720924:IVH720928 ILL720924:ILL720928 IBP720924:IBP720928 HRT720924:HRT720928 HHX720924:HHX720928 GYB720924:GYB720928 GOF720924:GOF720928 GEJ720924:GEJ720928 FUN720924:FUN720928 FKR720924:FKR720928 FAV720924:FAV720928 EQZ720924:EQZ720928 EHD720924:EHD720928 DXH720924:DXH720928 DNL720924:DNL720928 DDP720924:DDP720928 CTT720924:CTT720928 CJX720924:CJX720928 CAB720924:CAB720928 BQF720924:BQF720928 BGJ720924:BGJ720928 AWN720924:AWN720928 AMR720924:AMR720928 ACV720924:ACV720928 SZ720924:SZ720928 JD720924:JD720928 WVP655388:WVP655392 WLT655388:WLT655392 WBX655388:WBX655392 VSB655388:VSB655392 VIF655388:VIF655392 UYJ655388:UYJ655392 UON655388:UON655392 UER655388:UER655392 TUV655388:TUV655392 TKZ655388:TKZ655392 TBD655388:TBD655392 SRH655388:SRH655392 SHL655388:SHL655392 RXP655388:RXP655392 RNT655388:RNT655392 RDX655388:RDX655392 QUB655388:QUB655392 QKF655388:QKF655392 QAJ655388:QAJ655392 PQN655388:PQN655392 PGR655388:PGR655392 OWV655388:OWV655392 OMZ655388:OMZ655392 ODD655388:ODD655392 NTH655388:NTH655392 NJL655388:NJL655392 MZP655388:MZP655392 MPT655388:MPT655392 MFX655388:MFX655392 LWB655388:LWB655392 LMF655388:LMF655392 LCJ655388:LCJ655392 KSN655388:KSN655392 KIR655388:KIR655392 JYV655388:JYV655392 JOZ655388:JOZ655392 JFD655388:JFD655392 IVH655388:IVH655392 ILL655388:ILL655392 IBP655388:IBP655392 HRT655388:HRT655392 HHX655388:HHX655392 GYB655388:GYB655392 GOF655388:GOF655392 GEJ655388:GEJ655392 FUN655388:FUN655392 FKR655388:FKR655392 FAV655388:FAV655392 EQZ655388:EQZ655392 EHD655388:EHD655392 DXH655388:DXH655392 DNL655388:DNL655392 DDP655388:DDP655392 CTT655388:CTT655392 CJX655388:CJX655392 CAB655388:CAB655392 BQF655388:BQF655392 BGJ655388:BGJ655392 AWN655388:AWN655392 AMR655388:AMR655392 ACV655388:ACV655392 SZ655388:SZ655392 JD655388:JD655392 WVP589852:WVP589856 WLT589852:WLT589856 WBX589852:WBX589856 VSB589852:VSB589856 VIF589852:VIF589856 UYJ589852:UYJ589856 UON589852:UON589856 UER589852:UER589856 TUV589852:TUV589856 TKZ589852:TKZ589856 TBD589852:TBD589856 SRH589852:SRH589856 SHL589852:SHL589856 RXP589852:RXP589856 RNT589852:RNT589856 RDX589852:RDX589856 QUB589852:QUB589856 QKF589852:QKF589856 QAJ589852:QAJ589856 PQN589852:PQN589856 PGR589852:PGR589856 OWV589852:OWV589856 OMZ589852:OMZ589856 ODD589852:ODD589856 NTH589852:NTH589856 NJL589852:NJL589856 MZP589852:MZP589856 MPT589852:MPT589856 MFX589852:MFX589856 LWB589852:LWB589856 LMF589852:LMF589856 LCJ589852:LCJ589856 KSN589852:KSN589856 KIR589852:KIR589856 JYV589852:JYV589856 JOZ589852:JOZ589856 JFD589852:JFD589856 IVH589852:IVH589856 ILL589852:ILL589856 IBP589852:IBP589856 HRT589852:HRT589856 HHX589852:HHX589856 GYB589852:GYB589856 GOF589852:GOF589856 GEJ589852:GEJ589856 FUN589852:FUN589856 FKR589852:FKR589856 FAV589852:FAV589856 EQZ589852:EQZ589856 EHD589852:EHD589856 DXH589852:DXH589856 DNL589852:DNL589856 DDP589852:DDP589856 CTT589852:CTT589856 CJX589852:CJX589856 CAB589852:CAB589856 BQF589852:BQF589856 BGJ589852:BGJ589856 AWN589852:AWN589856 AMR589852:AMR589856 ACV589852:ACV589856 SZ589852:SZ589856 JD589852:JD589856 WVP524316:WVP524320 WLT524316:WLT524320 WBX524316:WBX524320 VSB524316:VSB524320 VIF524316:VIF524320 UYJ524316:UYJ524320 UON524316:UON524320 UER524316:UER524320 TUV524316:TUV524320 TKZ524316:TKZ524320 TBD524316:TBD524320 SRH524316:SRH524320 SHL524316:SHL524320 RXP524316:RXP524320 RNT524316:RNT524320 RDX524316:RDX524320 QUB524316:QUB524320 QKF524316:QKF524320 QAJ524316:QAJ524320 PQN524316:PQN524320 PGR524316:PGR524320 OWV524316:OWV524320 OMZ524316:OMZ524320 ODD524316:ODD524320 NTH524316:NTH524320 NJL524316:NJL524320 MZP524316:MZP524320 MPT524316:MPT524320 MFX524316:MFX524320 LWB524316:LWB524320 LMF524316:LMF524320 LCJ524316:LCJ524320 KSN524316:KSN524320 KIR524316:KIR524320 JYV524316:JYV524320 JOZ524316:JOZ524320 JFD524316:JFD524320 IVH524316:IVH524320 ILL524316:ILL524320 IBP524316:IBP524320 HRT524316:HRT524320 HHX524316:HHX524320 GYB524316:GYB524320 GOF524316:GOF524320 GEJ524316:GEJ524320 FUN524316:FUN524320 FKR524316:FKR524320 FAV524316:FAV524320 EQZ524316:EQZ524320 EHD524316:EHD524320 DXH524316:DXH524320 DNL524316:DNL524320 DDP524316:DDP524320 CTT524316:CTT524320 CJX524316:CJX524320 CAB524316:CAB524320 BQF524316:BQF524320 BGJ524316:BGJ524320 AWN524316:AWN524320 AMR524316:AMR524320 ACV524316:ACV524320 SZ524316:SZ524320 JD524316:JD524320 WVP458780:WVP458784 WLT458780:WLT458784 WBX458780:WBX458784 VSB458780:VSB458784 VIF458780:VIF458784 UYJ458780:UYJ458784 UON458780:UON458784 UER458780:UER458784 TUV458780:TUV458784 TKZ458780:TKZ458784 TBD458780:TBD458784 SRH458780:SRH458784 SHL458780:SHL458784 RXP458780:RXP458784 RNT458780:RNT458784 RDX458780:RDX458784 QUB458780:QUB458784 QKF458780:QKF458784 QAJ458780:QAJ458784 PQN458780:PQN458784 PGR458780:PGR458784 OWV458780:OWV458784 OMZ458780:OMZ458784 ODD458780:ODD458784 NTH458780:NTH458784 NJL458780:NJL458784 MZP458780:MZP458784 MPT458780:MPT458784 MFX458780:MFX458784 LWB458780:LWB458784 LMF458780:LMF458784 LCJ458780:LCJ458784 KSN458780:KSN458784 KIR458780:KIR458784 JYV458780:JYV458784 JOZ458780:JOZ458784 JFD458780:JFD458784 IVH458780:IVH458784 ILL458780:ILL458784 IBP458780:IBP458784 HRT458780:HRT458784 HHX458780:HHX458784 GYB458780:GYB458784 GOF458780:GOF458784 GEJ458780:GEJ458784 FUN458780:FUN458784 FKR458780:FKR458784 FAV458780:FAV458784 EQZ458780:EQZ458784 EHD458780:EHD458784 DXH458780:DXH458784 DNL458780:DNL458784 DDP458780:DDP458784 CTT458780:CTT458784 CJX458780:CJX458784 CAB458780:CAB458784 BQF458780:BQF458784 BGJ458780:BGJ458784 AWN458780:AWN458784 AMR458780:AMR458784 ACV458780:ACV458784 SZ458780:SZ458784 JD458780:JD458784 WVP393244:WVP393248 WLT393244:WLT393248 WBX393244:WBX393248 VSB393244:VSB393248 VIF393244:VIF393248 UYJ393244:UYJ393248 UON393244:UON393248 UER393244:UER393248 TUV393244:TUV393248 TKZ393244:TKZ393248 TBD393244:TBD393248 SRH393244:SRH393248 SHL393244:SHL393248 RXP393244:RXP393248 RNT393244:RNT393248 RDX393244:RDX393248 QUB393244:QUB393248 QKF393244:QKF393248 QAJ393244:QAJ393248 PQN393244:PQN393248 PGR393244:PGR393248 OWV393244:OWV393248 OMZ393244:OMZ393248 ODD393244:ODD393248 NTH393244:NTH393248 NJL393244:NJL393248 MZP393244:MZP393248 MPT393244:MPT393248 MFX393244:MFX393248 LWB393244:LWB393248 LMF393244:LMF393248 LCJ393244:LCJ393248 KSN393244:KSN393248 KIR393244:KIR393248 JYV393244:JYV393248 JOZ393244:JOZ393248 JFD393244:JFD393248 IVH393244:IVH393248 ILL393244:ILL393248 IBP393244:IBP393248 HRT393244:HRT393248 HHX393244:HHX393248 GYB393244:GYB393248 GOF393244:GOF393248 GEJ393244:GEJ393248 FUN393244:FUN393248 FKR393244:FKR393248 FAV393244:FAV393248 EQZ393244:EQZ393248 EHD393244:EHD393248 DXH393244:DXH393248 DNL393244:DNL393248 DDP393244:DDP393248 CTT393244:CTT393248 CJX393244:CJX393248 CAB393244:CAB393248 BQF393244:BQF393248 BGJ393244:BGJ393248 AWN393244:AWN393248 AMR393244:AMR393248 ACV393244:ACV393248 SZ393244:SZ393248 JD393244:JD393248 WVP327708:WVP327712 WLT327708:WLT327712 WBX327708:WBX327712 VSB327708:VSB327712 VIF327708:VIF327712 UYJ327708:UYJ327712 UON327708:UON327712 UER327708:UER327712 TUV327708:TUV327712 TKZ327708:TKZ327712 TBD327708:TBD327712 SRH327708:SRH327712 SHL327708:SHL327712 RXP327708:RXP327712 RNT327708:RNT327712 RDX327708:RDX327712 QUB327708:QUB327712 QKF327708:QKF327712 QAJ327708:QAJ327712 PQN327708:PQN327712 PGR327708:PGR327712 OWV327708:OWV327712 OMZ327708:OMZ327712 ODD327708:ODD327712 NTH327708:NTH327712 NJL327708:NJL327712 MZP327708:MZP327712 MPT327708:MPT327712 MFX327708:MFX327712 LWB327708:LWB327712 LMF327708:LMF327712 LCJ327708:LCJ327712 KSN327708:KSN327712 KIR327708:KIR327712 JYV327708:JYV327712 JOZ327708:JOZ327712 JFD327708:JFD327712 IVH327708:IVH327712 ILL327708:ILL327712 IBP327708:IBP327712 HRT327708:HRT327712 HHX327708:HHX327712 GYB327708:GYB327712 GOF327708:GOF327712 GEJ327708:GEJ327712 FUN327708:FUN327712 FKR327708:FKR327712 FAV327708:FAV327712 EQZ327708:EQZ327712 EHD327708:EHD327712 DXH327708:DXH327712 DNL327708:DNL327712 DDP327708:DDP327712 CTT327708:CTT327712 CJX327708:CJX327712 CAB327708:CAB327712 BQF327708:BQF327712 BGJ327708:BGJ327712 AWN327708:AWN327712 AMR327708:AMR327712 ACV327708:ACV327712 SZ327708:SZ327712 JD327708:JD327712 WVP262172:WVP262176 WLT262172:WLT262176 WBX262172:WBX262176 VSB262172:VSB262176 VIF262172:VIF262176 UYJ262172:UYJ262176 UON262172:UON262176 UER262172:UER262176 TUV262172:TUV262176 TKZ262172:TKZ262176 TBD262172:TBD262176 SRH262172:SRH262176 SHL262172:SHL262176 RXP262172:RXP262176 RNT262172:RNT262176 RDX262172:RDX262176 QUB262172:QUB262176 QKF262172:QKF262176 QAJ262172:QAJ262176 PQN262172:PQN262176 PGR262172:PGR262176 OWV262172:OWV262176 OMZ262172:OMZ262176 ODD262172:ODD262176 NTH262172:NTH262176 NJL262172:NJL262176 MZP262172:MZP262176 MPT262172:MPT262176 MFX262172:MFX262176 LWB262172:LWB262176 LMF262172:LMF262176 LCJ262172:LCJ262176 KSN262172:KSN262176 KIR262172:KIR262176 JYV262172:JYV262176 JOZ262172:JOZ262176 JFD262172:JFD262176 IVH262172:IVH262176 ILL262172:ILL262176 IBP262172:IBP262176 HRT262172:HRT262176 HHX262172:HHX262176 GYB262172:GYB262176 GOF262172:GOF262176 GEJ262172:GEJ262176 FUN262172:FUN262176 FKR262172:FKR262176 FAV262172:FAV262176 EQZ262172:EQZ262176 EHD262172:EHD262176 DXH262172:DXH262176 DNL262172:DNL262176 DDP262172:DDP262176 CTT262172:CTT262176 CJX262172:CJX262176 CAB262172:CAB262176 BQF262172:BQF262176 BGJ262172:BGJ262176 AWN262172:AWN262176 AMR262172:AMR262176 ACV262172:ACV262176 SZ262172:SZ262176 JD262172:JD262176 WVP196636:WVP196640 WLT196636:WLT196640 WBX196636:WBX196640 VSB196636:VSB196640 VIF196636:VIF196640 UYJ196636:UYJ196640 UON196636:UON196640 UER196636:UER196640 TUV196636:TUV196640 TKZ196636:TKZ196640 TBD196636:TBD196640 SRH196636:SRH196640 SHL196636:SHL196640 RXP196636:RXP196640 RNT196636:RNT196640 RDX196636:RDX196640 QUB196636:QUB196640 QKF196636:QKF196640 QAJ196636:QAJ196640 PQN196636:PQN196640 PGR196636:PGR196640 OWV196636:OWV196640 OMZ196636:OMZ196640 ODD196636:ODD196640 NTH196636:NTH196640 NJL196636:NJL196640 MZP196636:MZP196640 MPT196636:MPT196640 MFX196636:MFX196640 LWB196636:LWB196640 LMF196636:LMF196640 LCJ196636:LCJ196640 KSN196636:KSN196640 KIR196636:KIR196640 JYV196636:JYV196640 JOZ196636:JOZ196640 JFD196636:JFD196640 IVH196636:IVH196640 ILL196636:ILL196640 IBP196636:IBP196640 HRT196636:HRT196640 HHX196636:HHX196640 GYB196636:GYB196640 GOF196636:GOF196640 GEJ196636:GEJ196640 FUN196636:FUN196640 FKR196636:FKR196640 FAV196636:FAV196640 EQZ196636:EQZ196640 EHD196636:EHD196640 DXH196636:DXH196640 DNL196636:DNL196640 DDP196636:DDP196640 CTT196636:CTT196640 CJX196636:CJX196640 CAB196636:CAB196640 BQF196636:BQF196640 BGJ196636:BGJ196640 AWN196636:AWN196640 AMR196636:AMR196640 ACV196636:ACV196640 SZ196636:SZ196640 JD196636:JD196640 WVP131100:WVP131104 WLT131100:WLT131104 WBX131100:WBX131104 VSB131100:VSB131104 VIF131100:VIF131104 UYJ131100:UYJ131104 UON131100:UON131104 UER131100:UER131104 TUV131100:TUV131104 TKZ131100:TKZ131104 TBD131100:TBD131104 SRH131100:SRH131104 SHL131100:SHL131104 RXP131100:RXP131104 RNT131100:RNT131104 RDX131100:RDX131104 QUB131100:QUB131104 QKF131100:QKF131104 QAJ131100:QAJ131104 PQN131100:PQN131104 PGR131100:PGR131104 OWV131100:OWV131104 OMZ131100:OMZ131104 ODD131100:ODD131104 NTH131100:NTH131104 NJL131100:NJL131104 MZP131100:MZP131104 MPT131100:MPT131104 MFX131100:MFX131104 LWB131100:LWB131104 LMF131100:LMF131104 LCJ131100:LCJ131104 KSN131100:KSN131104 KIR131100:KIR131104 JYV131100:JYV131104 JOZ131100:JOZ131104 JFD131100:JFD131104 IVH131100:IVH131104 ILL131100:ILL131104 IBP131100:IBP131104 HRT131100:HRT131104 HHX131100:HHX131104 GYB131100:GYB131104 GOF131100:GOF131104 GEJ131100:GEJ131104 FUN131100:FUN131104 FKR131100:FKR131104 FAV131100:FAV131104 EQZ131100:EQZ131104 EHD131100:EHD131104 DXH131100:DXH131104 DNL131100:DNL131104 DDP131100:DDP131104 CTT131100:CTT131104 CJX131100:CJX131104 CAB131100:CAB131104 BQF131100:BQF131104 BGJ131100:BGJ131104 AWN131100:AWN131104 AMR131100:AMR131104 ACV131100:ACV131104 SZ131100:SZ131104 JD131100:JD131104 WVP65564:WVP65568 WLT65564:WLT65568 WBX65564:WBX65568 VSB65564:VSB65568 VIF65564:VIF65568 UYJ65564:UYJ65568 UON65564:UON65568 UER65564:UER65568 TUV65564:TUV65568 TKZ65564:TKZ65568 TBD65564:TBD65568 SRH65564:SRH65568 SHL65564:SHL65568 RXP65564:RXP65568 RNT65564:RNT65568 RDX65564:RDX65568 QUB65564:QUB65568 QKF65564:QKF65568 QAJ65564:QAJ65568 PQN65564:PQN65568 PGR65564:PGR65568 OWV65564:OWV65568 OMZ65564:OMZ65568 ODD65564:ODD65568 NTH65564:NTH65568 NJL65564:NJL65568 MZP65564:MZP65568 MPT65564:MPT65568 MFX65564:MFX65568 LWB65564:LWB65568 LMF65564:LMF65568 LCJ65564:LCJ65568 KSN65564:KSN65568 KIR65564:KIR65568 JYV65564:JYV65568 JOZ65564:JOZ65568 JFD65564:JFD65568 IVH65564:IVH65568 ILL65564:ILL65568 IBP65564:IBP65568 HRT65564:HRT65568 HHX65564:HHX65568 GYB65564:GYB65568 GOF65564:GOF65568 GEJ65564:GEJ65568 FUN65564:FUN65568 FKR65564:FKR65568 FAV65564:FAV65568 EQZ65564:EQZ65568 EHD65564:EHD65568 DXH65564:DXH65568 DNL65564:DNL65568 DDP65564:DDP65568 CTT65564:CTT65568 CJX65564:CJX65568 CAB65564:CAB65568 BQF65564:BQF65568 BGJ65564:BGJ65568 AWN65564:AWN65568 AMR65564:AMR65568 ACV65564:ACV65568 SZ65564:SZ65568 JD65564:JD65568 WVP29:WVP32 WVM27:WVM28 WLT29:WLT32 WLQ27:WLQ28 WBX29:WBX32 WBU27:WBU28 VSB29:VSB32 VRY27:VRY28 VIF29:VIF32 VIC27:VIC28 UYJ29:UYJ32 UYG27:UYG28 UON29:UON32 UOK27:UOK28 UER29:UER32 UEO27:UEO28 TUV29:TUV32 TUS27:TUS28 TKZ29:TKZ32 TKW27:TKW28 TBD29:TBD32 TBA27:TBA28 SRH29:SRH32 SRE27:SRE28 SHL29:SHL32 SHI27:SHI28 RXP29:RXP32 RXM27:RXM28 RNT29:RNT32 RNQ27:RNQ28 RDX29:RDX32 RDU27:RDU28 QUB29:QUB32 QTY27:QTY28 QKF29:QKF32 QKC27:QKC28 QAJ29:QAJ32 QAG27:QAG28 PQN29:PQN32 PQK27:PQK28 PGR29:PGR32 PGO27:PGO28 OWV29:OWV32 OWS27:OWS28 OMZ29:OMZ32 OMW27:OMW28 ODD29:ODD32 ODA27:ODA28 NTH29:NTH32 NTE27:NTE28 NJL29:NJL32 NJI27:NJI28 MZP29:MZP32 MZM27:MZM28 MPT29:MPT32 MPQ27:MPQ28 MFX29:MFX32 MFU27:MFU28 LWB29:LWB32 LVY27:LVY28 LMF29:LMF32 LMC27:LMC28 LCJ29:LCJ32 LCG27:LCG28 KSN29:KSN32 KSK27:KSK28 KIR29:KIR32 KIO27:KIO28 JYV29:JYV32 JYS27:JYS28 JOZ29:JOZ32 JOW27:JOW28 JFD29:JFD32 JFA27:JFA28 IVH29:IVH32 IVE27:IVE28 ILL29:ILL32 ILI27:ILI28 IBP29:IBP32 IBM27:IBM28 HRT29:HRT32 HRQ27:HRQ28 HHX29:HHX32 HHU27:HHU28 GYB29:GYB32 GXY27:GXY28 GOF29:GOF32 GOC27:GOC28 GEJ29:GEJ32 GEG27:GEG28 FUN29:FUN32 FUK27:FUK28 FKR29:FKR32 FKO27:FKO28 FAV29:FAV32 FAS27:FAS28 EQZ29:EQZ32 EQW27:EQW28 EHD29:EHD32 EHA27:EHA28 DXH29:DXH32 DXE27:DXE28 DNL29:DNL32 DNI27:DNI28 DDP29:DDP32 DDM27:DDM28 CTT29:CTT32 CTQ27:CTQ28 CJX29:CJX32 CJU27:CJU28 CAB29:CAB32 BZY27:BZY28 BQF29:BQF32 BQC27:BQC28 BGJ29:BGJ32 BGG27:BGG28 AWN29:AWN32 AWK27:AWK28 AMR29:AMR32 AMO27:AMO28 ACV29:ACV32 ACS27:ACS28 SZ29:SZ32 SW27:SW28 JD29:JD32 JA27:JA28 WVP983066 WLT983066 WBX983066 VSB983066 VIF983066 UYJ983066 UON983066 UER983066 TUV983066 TKZ983066 TBD983066 SRH983066 SHL983066 RXP983066 RNT983066 RDX983066 QUB983066 QKF983066 QAJ983066 PQN983066 PGR983066 OWV983066 OMZ983066 ODD983066 NTH983066 NJL983066 MZP983066 MPT983066 MFX983066 LWB983066 LMF983066 LCJ983066 KSN983066 KIR983066 JYV983066 JOZ983066 JFD983066 IVH983066 ILL983066 IBP983066 HRT983066 HHX983066 GYB983066 GOF983066 GEJ983066 FUN983066 FKR983066 FAV983066 EQZ983066 EHD983066 DXH983066 DNL983066 DDP983066 CTT983066 CJX983066 CAB983066 BQF983066 BGJ983066 AWN983066 AMR983066 ACV983066 SZ983066 JD983066 WVP917530 WLT917530 WBX917530 VSB917530 VIF917530 UYJ917530 UON917530 UER917530 TUV917530 TKZ917530 TBD917530 SRH917530 SHL917530 RXP917530 RNT917530 RDX917530 QUB917530 QKF917530 QAJ917530 PQN917530 PGR917530 OWV917530 OMZ917530 ODD917530 NTH917530 NJL917530 MZP917530 MPT917530 MFX917530 LWB917530 LMF917530 LCJ917530 KSN917530 KIR917530 JYV917530 JOZ917530 JFD917530 IVH917530 ILL917530 IBP917530 HRT917530 HHX917530 GYB917530 GOF917530 GEJ917530 FUN917530 FKR917530 FAV917530 EQZ917530 EHD917530 DXH917530 DNL917530 DDP917530 CTT917530 CJX917530 CAB917530 BQF917530 BGJ917530 AWN917530 AMR917530 ACV917530 SZ917530 JD917530 WVP851994 WLT851994 WBX851994 VSB851994 VIF851994 UYJ851994 UON851994 UER851994 TUV851994 TKZ851994 TBD851994 SRH851994 SHL851994 RXP851994 RNT851994 RDX851994 QUB851994 QKF851994 QAJ851994 PQN851994 PGR851994 OWV851994 OMZ851994 ODD851994 NTH851994 NJL851994 MZP851994 MPT851994 MFX851994 LWB851994 LMF851994 LCJ851994 KSN851994 KIR851994 JYV851994 JOZ851994 JFD851994 IVH851994 ILL851994 IBP851994 HRT851994 HHX851994 GYB851994 GOF851994 GEJ851994 FUN851994 FKR851994 FAV851994 EQZ851994 EHD851994 DXH851994 DNL851994 DDP851994 CTT851994 CJX851994 CAB851994 BQF851994 BGJ851994 AWN851994 AMR851994 ACV851994 SZ851994 JD851994 WVP786458 WLT786458 WBX786458 VSB786458 VIF786458 UYJ786458 UON786458 UER786458 TUV786458 TKZ786458 TBD786458 SRH786458 SHL786458 RXP786458 RNT786458 RDX786458 QUB786458 QKF786458 QAJ786458 PQN786458 PGR786458 OWV786458 OMZ786458 ODD786458 NTH786458 NJL786458 MZP786458 MPT786458 MFX786458 LWB786458 LMF786458 LCJ786458 KSN786458 KIR786458 JYV786458 JOZ786458 JFD786458 IVH786458 ILL786458 IBP786458 HRT786458 HHX786458 GYB786458 GOF786458 GEJ786458 FUN786458 FKR786458 FAV786458 EQZ786458 EHD786458 DXH786458 DNL786458 DDP786458 CTT786458 CJX786458 CAB786458 BQF786458 BGJ786458 AWN786458 AMR786458 ACV786458 SZ786458 JD786458 WVP720922 WLT720922 WBX720922 VSB720922 VIF720922 UYJ720922 UON720922 UER720922 TUV720922 TKZ720922 TBD720922 SRH720922 SHL720922 RXP720922 RNT720922 RDX720922 QUB720922 QKF720922 QAJ720922 PQN720922 PGR720922 OWV720922 OMZ720922 ODD720922 NTH720922 NJL720922 MZP720922 MPT720922 MFX720922 LWB720922 LMF720922 LCJ720922 KSN720922 KIR720922 JYV720922 JOZ720922 JFD720922 IVH720922 ILL720922 IBP720922 HRT720922 HHX720922 GYB720922 GOF720922 GEJ720922 FUN720922 FKR720922 FAV720922 EQZ720922 EHD720922 DXH720922 DNL720922 DDP720922 CTT720922 CJX720922 CAB720922 BQF720922 BGJ720922 AWN720922 AMR720922 ACV720922 SZ720922 JD720922 WVP655386 WLT655386 WBX655386 VSB655386 VIF655386 UYJ655386 UON655386 UER655386 TUV655386 TKZ655386 TBD655386 SRH655386 SHL655386 RXP655386 RNT655386 RDX655386 QUB655386 QKF655386 QAJ655386 PQN655386 PGR655386 OWV655386 OMZ655386 ODD655386 NTH655386 NJL655386 MZP655386 MPT655386 MFX655386 LWB655386 LMF655386 LCJ655386 KSN655386 KIR655386 JYV655386 JOZ655386 JFD655386 IVH655386 ILL655386 IBP655386 HRT655386 HHX655386 GYB655386 GOF655386 GEJ655386 FUN655386 FKR655386 FAV655386 EQZ655386 EHD655386 DXH655386 DNL655386 DDP655386 CTT655386 CJX655386 CAB655386 BQF655386 BGJ655386 AWN655386 AMR655386 ACV655386 SZ655386 JD655386 WVP589850 WLT589850 WBX589850 VSB589850 VIF589850 UYJ589850 UON589850 UER589850 TUV589850 TKZ589850 TBD589850 SRH589850 SHL589850 RXP589850 RNT589850 RDX589850 QUB589850 QKF589850 QAJ589850 PQN589850 PGR589850 OWV589850 OMZ589850 ODD589850 NTH589850 NJL589850 MZP589850 MPT589850 MFX589850 LWB589850 LMF589850 LCJ589850 KSN589850 KIR589850 JYV589850 JOZ589850 JFD589850 IVH589850 ILL589850 IBP589850 HRT589850 HHX589850 GYB589850 GOF589850 GEJ589850 FUN589850 FKR589850 FAV589850 EQZ589850 EHD589850 DXH589850 DNL589850 DDP589850 CTT589850 CJX589850 CAB589850 BQF589850 BGJ589850 AWN589850 AMR589850 ACV589850 SZ589850 JD589850 WVP524314 WLT524314 WBX524314 VSB524314 VIF524314 UYJ524314 UON524314 UER524314 TUV524314 TKZ524314 TBD524314 SRH524314 SHL524314 RXP524314 RNT524314 RDX524314 QUB524314 QKF524314 QAJ524314 PQN524314 PGR524314 OWV524314 OMZ524314 ODD524314 NTH524314 NJL524314 MZP524314 MPT524314 MFX524314 LWB524314 LMF524314 LCJ524314 KSN524314 KIR524314 JYV524314 JOZ524314 JFD524314 IVH524314 ILL524314 IBP524314 HRT524314 HHX524314 GYB524314 GOF524314 GEJ524314 FUN524314 FKR524314 FAV524314 EQZ524314 EHD524314 DXH524314 DNL524314 DDP524314 CTT524314 CJX524314 CAB524314 BQF524314 BGJ524314 AWN524314 AMR524314 ACV524314 SZ524314 JD524314 WVP458778 WLT458778 WBX458778 VSB458778 VIF458778 UYJ458778 UON458778 UER458778 TUV458778 TKZ458778 TBD458778 SRH458778 SHL458778 RXP458778 RNT458778 RDX458778 QUB458778 QKF458778 QAJ458778 PQN458778 PGR458778 OWV458778 OMZ458778 ODD458778 NTH458778 NJL458778 MZP458778 MPT458778 MFX458778 LWB458778 LMF458778 LCJ458778 KSN458778 KIR458778 JYV458778 JOZ458778 JFD458778 IVH458778 ILL458778 IBP458778 HRT458778 HHX458778 GYB458778 GOF458778 GEJ458778 FUN458778 FKR458778 FAV458778 EQZ458778 EHD458778 DXH458778 DNL458778 DDP458778 CTT458778 CJX458778 CAB458778 BQF458778 BGJ458778 AWN458778 AMR458778 ACV458778 SZ458778 JD458778 WVP393242 WLT393242 WBX393242 VSB393242 VIF393242 UYJ393242 UON393242 UER393242 TUV393242 TKZ393242 TBD393242 SRH393242 SHL393242 RXP393242 RNT393242 RDX393242 QUB393242 QKF393242 QAJ393242 PQN393242 PGR393242 OWV393242 OMZ393242 ODD393242 NTH393242 NJL393242 MZP393242 MPT393242 MFX393242 LWB393242 LMF393242 LCJ393242 KSN393242 KIR393242 JYV393242 JOZ393242 JFD393242 IVH393242 ILL393242 IBP393242 HRT393242 HHX393242 GYB393242 GOF393242 GEJ393242 FUN393242 FKR393242 FAV393242 EQZ393242 EHD393242 DXH393242 DNL393242 DDP393242 CTT393242 CJX393242 CAB393242 BQF393242 BGJ393242 AWN393242 AMR393242 ACV393242 SZ393242 JD393242 WVP327706 WLT327706 WBX327706 VSB327706 VIF327706 UYJ327706 UON327706 UER327706 TUV327706 TKZ327706 TBD327706 SRH327706 SHL327706 RXP327706 RNT327706 RDX327706 QUB327706 QKF327706 QAJ327706 PQN327706 PGR327706 OWV327706 OMZ327706 ODD327706 NTH327706 NJL327706 MZP327706 MPT327706 MFX327706 LWB327706 LMF327706 LCJ327706 KSN327706 KIR327706 JYV327706 JOZ327706 JFD327706 IVH327706 ILL327706 IBP327706 HRT327706 HHX327706 GYB327706 GOF327706 GEJ327706 FUN327706 FKR327706 FAV327706 EQZ327706 EHD327706 DXH327706 DNL327706 DDP327706 CTT327706 CJX327706 CAB327706 BQF327706 BGJ327706 AWN327706 AMR327706 ACV327706 SZ327706 JD327706 WVP262170 WLT262170 WBX262170 VSB262170 VIF262170 UYJ262170 UON262170 UER262170 TUV262170 TKZ262170 TBD262170 SRH262170 SHL262170 RXP262170 RNT262170 RDX262170 QUB262170 QKF262170 QAJ262170 PQN262170 PGR262170 OWV262170 OMZ262170 ODD262170 NTH262170 NJL262170 MZP262170 MPT262170 MFX262170 LWB262170 LMF262170 LCJ262170 KSN262170 KIR262170 JYV262170 JOZ262170 JFD262170 IVH262170 ILL262170 IBP262170 HRT262170 HHX262170 GYB262170 GOF262170 GEJ262170 FUN262170 FKR262170 FAV262170 EQZ262170 EHD262170 DXH262170 DNL262170 DDP262170 CTT262170 CJX262170 CAB262170 BQF262170 BGJ262170 AWN262170 AMR262170 ACV262170 SZ262170 JD262170 WVP196634 WLT196634 WBX196634 VSB196634 VIF196634 UYJ196634 UON196634 UER196634 TUV196634 TKZ196634 TBD196634 SRH196634 SHL196634 RXP196634 RNT196634 RDX196634 QUB196634 QKF196634 QAJ196634 PQN196634 PGR196634 OWV196634 OMZ196634 ODD196634 NTH196634 NJL196634 MZP196634 MPT196634 MFX196634 LWB196634 LMF196634 LCJ196634 KSN196634 KIR196634 JYV196634 JOZ196634 JFD196634 IVH196634 ILL196634 IBP196634 HRT196634 HHX196634 GYB196634 GOF196634 GEJ196634 FUN196634 FKR196634 FAV196634 EQZ196634 EHD196634 DXH196634 DNL196634 DDP196634 CTT196634 CJX196634 CAB196634 BQF196634 BGJ196634 AWN196634 AMR196634 ACV196634 SZ196634 JD196634 WVP131098 WLT131098 WBX131098 VSB131098 VIF131098 UYJ131098 UON131098 UER131098 TUV131098 TKZ131098 TBD131098 SRH131098 SHL131098 RXP131098 RNT131098 RDX131098 QUB131098 QKF131098 QAJ131098 PQN131098 PGR131098 OWV131098 OMZ131098 ODD131098 NTH131098 NJL131098 MZP131098 MPT131098 MFX131098 LWB131098 LMF131098 LCJ131098 KSN131098 KIR131098 JYV131098 JOZ131098 JFD131098 IVH131098 ILL131098 IBP131098 HRT131098 HHX131098 GYB131098 GOF131098 GEJ131098 FUN131098 FKR131098 FAV131098 EQZ131098 EHD131098 DXH131098 DNL131098 DDP131098 CTT131098 CJX131098 CAB131098 BQF131098 BGJ131098 AWN131098 AMR131098 ACV131098 SZ131098 JD131098 WVP65562 WLT65562 WBX65562 VSB65562 VIF65562 UYJ65562 UON65562 UER65562 TUV65562 TKZ65562 TBD65562 SRH65562 SHL65562 RXP65562 RNT65562 RDX65562 QUB65562 QKF65562 QAJ65562 PQN65562 PGR65562 OWV65562 OMZ65562 ODD65562 NTH65562 NJL65562 MZP65562 MPT65562 MFX65562 LWB65562 LMF65562 LCJ65562 KSN65562 KIR65562 JYV65562 JOZ65562 JFD65562 IVH65562 ILL65562 IBP65562 HRT65562 HHX65562 GYB65562 GOF65562 GEJ65562 FUN65562 FKR65562 FAV65562 EQZ65562 EHD65562 DXH65562 DNL65562 DDP65562 CTT65562 CJX65562 CAB65562 BQF65562 BGJ65562 AWN65562 AMR65562 ACV65562 SZ65562 JD65562 JA25 SW25 ACS25 AMO25 AWK25 BGG25 BQC25 BZY25 CJU25 CTQ25 DDM25 DNI25 DXE25 EHA25 EQW25 FAS25 FKO25 FUK25 GEG25 GOC25 GXY25 HHU25 HRQ25 IBM25 ILI25 IVE25 JFA25 JOW25 JYS25 KIO25 KSK25 LCG25 LMC25 LVY25 MFU25 MPQ25 MZM25 NJI25 NTE25 ODA25 OMW25 OWS25 PGO25 PQK25 QAG25 QKC25 QTY25 RDU25 RNQ25 RXM25 SHI25 SRE25 TBA25 TKW25 TUS25 UEO25 UOK25 UYG25 VIC25 VRY25 WBU25 WLQ25">
      <formula1>$N$42:$N$45</formula1>
    </dataValidation>
    <dataValidation type="list" allowBlank="1" showInputMessage="1" showErrorMessage="1" sqref="H31:H35 H65567:H65571 H131103:H131107 H196639:H196643 H262175:H262179 H327711:H327715 H393247:H393251 H458783:H458787 H524319:H524323 H589855:H589859 H655391:H655395 H720927:H720931 H786463:H786467 H851999:H852003 H917535:H917539 H983071:H983075 WVP983075:WVP983079 WLT983075:WLT983079 WBX983075:WBX983079 VSB983075:VSB983079 VIF983075:VIF983079 UYJ983075:UYJ983079 UON983075:UON983079 UER983075:UER983079 TUV983075:TUV983079 TKZ983075:TKZ983079 TBD983075:TBD983079 SRH983075:SRH983079 SHL983075:SHL983079 RXP983075:RXP983079 RNT983075:RNT983079 RDX983075:RDX983079 QUB983075:QUB983079 QKF983075:QKF983079 QAJ983075:QAJ983079 PQN983075:PQN983079 PGR983075:PGR983079 OWV983075:OWV983079 OMZ983075:OMZ983079 ODD983075:ODD983079 NTH983075:NTH983079 NJL983075:NJL983079 MZP983075:MZP983079 MPT983075:MPT983079 MFX983075:MFX983079 LWB983075:LWB983079 LMF983075:LMF983079 LCJ983075:LCJ983079 KSN983075:KSN983079 KIR983075:KIR983079 JYV983075:JYV983079 JOZ983075:JOZ983079 JFD983075:JFD983079 IVH983075:IVH983079 ILL983075:ILL983079 IBP983075:IBP983079 HRT983075:HRT983079 HHX983075:HHX983079 GYB983075:GYB983079 GOF983075:GOF983079 GEJ983075:GEJ983079 FUN983075:FUN983079 FKR983075:FKR983079 FAV983075:FAV983079 EQZ983075:EQZ983079 EHD983075:EHD983079 DXH983075:DXH983079 DNL983075:DNL983079 DDP983075:DDP983079 CTT983075:CTT983079 CJX983075:CJX983079 CAB983075:CAB983079 BQF983075:BQF983079 BGJ983075:BGJ983079 AWN983075:AWN983079 AMR983075:AMR983079 ACV983075:ACV983079 SZ983075:SZ983079 JD983075:JD983079 WVP917539:WVP917543 WLT917539:WLT917543 WBX917539:WBX917543 VSB917539:VSB917543 VIF917539:VIF917543 UYJ917539:UYJ917543 UON917539:UON917543 UER917539:UER917543 TUV917539:TUV917543 TKZ917539:TKZ917543 TBD917539:TBD917543 SRH917539:SRH917543 SHL917539:SHL917543 RXP917539:RXP917543 RNT917539:RNT917543 RDX917539:RDX917543 QUB917539:QUB917543 QKF917539:QKF917543 QAJ917539:QAJ917543 PQN917539:PQN917543 PGR917539:PGR917543 OWV917539:OWV917543 OMZ917539:OMZ917543 ODD917539:ODD917543 NTH917539:NTH917543 NJL917539:NJL917543 MZP917539:MZP917543 MPT917539:MPT917543 MFX917539:MFX917543 LWB917539:LWB917543 LMF917539:LMF917543 LCJ917539:LCJ917543 KSN917539:KSN917543 KIR917539:KIR917543 JYV917539:JYV917543 JOZ917539:JOZ917543 JFD917539:JFD917543 IVH917539:IVH917543 ILL917539:ILL917543 IBP917539:IBP917543 HRT917539:HRT917543 HHX917539:HHX917543 GYB917539:GYB917543 GOF917539:GOF917543 GEJ917539:GEJ917543 FUN917539:FUN917543 FKR917539:FKR917543 FAV917539:FAV917543 EQZ917539:EQZ917543 EHD917539:EHD917543 DXH917539:DXH917543 DNL917539:DNL917543 DDP917539:DDP917543 CTT917539:CTT917543 CJX917539:CJX917543 CAB917539:CAB917543 BQF917539:BQF917543 BGJ917539:BGJ917543 AWN917539:AWN917543 AMR917539:AMR917543 ACV917539:ACV917543 SZ917539:SZ917543 JD917539:JD917543 WVP852003:WVP852007 WLT852003:WLT852007 WBX852003:WBX852007 VSB852003:VSB852007 VIF852003:VIF852007 UYJ852003:UYJ852007 UON852003:UON852007 UER852003:UER852007 TUV852003:TUV852007 TKZ852003:TKZ852007 TBD852003:TBD852007 SRH852003:SRH852007 SHL852003:SHL852007 RXP852003:RXP852007 RNT852003:RNT852007 RDX852003:RDX852007 QUB852003:QUB852007 QKF852003:QKF852007 QAJ852003:QAJ852007 PQN852003:PQN852007 PGR852003:PGR852007 OWV852003:OWV852007 OMZ852003:OMZ852007 ODD852003:ODD852007 NTH852003:NTH852007 NJL852003:NJL852007 MZP852003:MZP852007 MPT852003:MPT852007 MFX852003:MFX852007 LWB852003:LWB852007 LMF852003:LMF852007 LCJ852003:LCJ852007 KSN852003:KSN852007 KIR852003:KIR852007 JYV852003:JYV852007 JOZ852003:JOZ852007 JFD852003:JFD852007 IVH852003:IVH852007 ILL852003:ILL852007 IBP852003:IBP852007 HRT852003:HRT852007 HHX852003:HHX852007 GYB852003:GYB852007 GOF852003:GOF852007 GEJ852003:GEJ852007 FUN852003:FUN852007 FKR852003:FKR852007 FAV852003:FAV852007 EQZ852003:EQZ852007 EHD852003:EHD852007 DXH852003:DXH852007 DNL852003:DNL852007 DDP852003:DDP852007 CTT852003:CTT852007 CJX852003:CJX852007 CAB852003:CAB852007 BQF852003:BQF852007 BGJ852003:BGJ852007 AWN852003:AWN852007 AMR852003:AMR852007 ACV852003:ACV852007 SZ852003:SZ852007 JD852003:JD852007 WVP786467:WVP786471 WLT786467:WLT786471 WBX786467:WBX786471 VSB786467:VSB786471 VIF786467:VIF786471 UYJ786467:UYJ786471 UON786467:UON786471 UER786467:UER786471 TUV786467:TUV786471 TKZ786467:TKZ786471 TBD786467:TBD786471 SRH786467:SRH786471 SHL786467:SHL786471 RXP786467:RXP786471 RNT786467:RNT786471 RDX786467:RDX786471 QUB786467:QUB786471 QKF786467:QKF786471 QAJ786467:QAJ786471 PQN786467:PQN786471 PGR786467:PGR786471 OWV786467:OWV786471 OMZ786467:OMZ786471 ODD786467:ODD786471 NTH786467:NTH786471 NJL786467:NJL786471 MZP786467:MZP786471 MPT786467:MPT786471 MFX786467:MFX786471 LWB786467:LWB786471 LMF786467:LMF786471 LCJ786467:LCJ786471 KSN786467:KSN786471 KIR786467:KIR786471 JYV786467:JYV786471 JOZ786467:JOZ786471 JFD786467:JFD786471 IVH786467:IVH786471 ILL786467:ILL786471 IBP786467:IBP786471 HRT786467:HRT786471 HHX786467:HHX786471 GYB786467:GYB786471 GOF786467:GOF786471 GEJ786467:GEJ786471 FUN786467:FUN786471 FKR786467:FKR786471 FAV786467:FAV786471 EQZ786467:EQZ786471 EHD786467:EHD786471 DXH786467:DXH786471 DNL786467:DNL786471 DDP786467:DDP786471 CTT786467:CTT786471 CJX786467:CJX786471 CAB786467:CAB786471 BQF786467:BQF786471 BGJ786467:BGJ786471 AWN786467:AWN786471 AMR786467:AMR786471 ACV786467:ACV786471 SZ786467:SZ786471 JD786467:JD786471 WVP720931:WVP720935 WLT720931:WLT720935 WBX720931:WBX720935 VSB720931:VSB720935 VIF720931:VIF720935 UYJ720931:UYJ720935 UON720931:UON720935 UER720931:UER720935 TUV720931:TUV720935 TKZ720931:TKZ720935 TBD720931:TBD720935 SRH720931:SRH720935 SHL720931:SHL720935 RXP720931:RXP720935 RNT720931:RNT720935 RDX720931:RDX720935 QUB720931:QUB720935 QKF720931:QKF720935 QAJ720931:QAJ720935 PQN720931:PQN720935 PGR720931:PGR720935 OWV720931:OWV720935 OMZ720931:OMZ720935 ODD720931:ODD720935 NTH720931:NTH720935 NJL720931:NJL720935 MZP720931:MZP720935 MPT720931:MPT720935 MFX720931:MFX720935 LWB720931:LWB720935 LMF720931:LMF720935 LCJ720931:LCJ720935 KSN720931:KSN720935 KIR720931:KIR720935 JYV720931:JYV720935 JOZ720931:JOZ720935 JFD720931:JFD720935 IVH720931:IVH720935 ILL720931:ILL720935 IBP720931:IBP720935 HRT720931:HRT720935 HHX720931:HHX720935 GYB720931:GYB720935 GOF720931:GOF720935 GEJ720931:GEJ720935 FUN720931:FUN720935 FKR720931:FKR720935 FAV720931:FAV720935 EQZ720931:EQZ720935 EHD720931:EHD720935 DXH720931:DXH720935 DNL720931:DNL720935 DDP720931:DDP720935 CTT720931:CTT720935 CJX720931:CJX720935 CAB720931:CAB720935 BQF720931:BQF720935 BGJ720931:BGJ720935 AWN720931:AWN720935 AMR720931:AMR720935 ACV720931:ACV720935 SZ720931:SZ720935 JD720931:JD720935 WVP655395:WVP655399 WLT655395:WLT655399 WBX655395:WBX655399 VSB655395:VSB655399 VIF655395:VIF655399 UYJ655395:UYJ655399 UON655395:UON655399 UER655395:UER655399 TUV655395:TUV655399 TKZ655395:TKZ655399 TBD655395:TBD655399 SRH655395:SRH655399 SHL655395:SHL655399 RXP655395:RXP655399 RNT655395:RNT655399 RDX655395:RDX655399 QUB655395:QUB655399 QKF655395:QKF655399 QAJ655395:QAJ655399 PQN655395:PQN655399 PGR655395:PGR655399 OWV655395:OWV655399 OMZ655395:OMZ655399 ODD655395:ODD655399 NTH655395:NTH655399 NJL655395:NJL655399 MZP655395:MZP655399 MPT655395:MPT655399 MFX655395:MFX655399 LWB655395:LWB655399 LMF655395:LMF655399 LCJ655395:LCJ655399 KSN655395:KSN655399 KIR655395:KIR655399 JYV655395:JYV655399 JOZ655395:JOZ655399 JFD655395:JFD655399 IVH655395:IVH655399 ILL655395:ILL655399 IBP655395:IBP655399 HRT655395:HRT655399 HHX655395:HHX655399 GYB655395:GYB655399 GOF655395:GOF655399 GEJ655395:GEJ655399 FUN655395:FUN655399 FKR655395:FKR655399 FAV655395:FAV655399 EQZ655395:EQZ655399 EHD655395:EHD655399 DXH655395:DXH655399 DNL655395:DNL655399 DDP655395:DDP655399 CTT655395:CTT655399 CJX655395:CJX655399 CAB655395:CAB655399 BQF655395:BQF655399 BGJ655395:BGJ655399 AWN655395:AWN655399 AMR655395:AMR655399 ACV655395:ACV655399 SZ655395:SZ655399 JD655395:JD655399 WVP589859:WVP589863 WLT589859:WLT589863 WBX589859:WBX589863 VSB589859:VSB589863 VIF589859:VIF589863 UYJ589859:UYJ589863 UON589859:UON589863 UER589859:UER589863 TUV589859:TUV589863 TKZ589859:TKZ589863 TBD589859:TBD589863 SRH589859:SRH589863 SHL589859:SHL589863 RXP589859:RXP589863 RNT589859:RNT589863 RDX589859:RDX589863 QUB589859:QUB589863 QKF589859:QKF589863 QAJ589859:QAJ589863 PQN589859:PQN589863 PGR589859:PGR589863 OWV589859:OWV589863 OMZ589859:OMZ589863 ODD589859:ODD589863 NTH589859:NTH589863 NJL589859:NJL589863 MZP589859:MZP589863 MPT589859:MPT589863 MFX589859:MFX589863 LWB589859:LWB589863 LMF589859:LMF589863 LCJ589859:LCJ589863 KSN589859:KSN589863 KIR589859:KIR589863 JYV589859:JYV589863 JOZ589859:JOZ589863 JFD589859:JFD589863 IVH589859:IVH589863 ILL589859:ILL589863 IBP589859:IBP589863 HRT589859:HRT589863 HHX589859:HHX589863 GYB589859:GYB589863 GOF589859:GOF589863 GEJ589859:GEJ589863 FUN589859:FUN589863 FKR589859:FKR589863 FAV589859:FAV589863 EQZ589859:EQZ589863 EHD589859:EHD589863 DXH589859:DXH589863 DNL589859:DNL589863 DDP589859:DDP589863 CTT589859:CTT589863 CJX589859:CJX589863 CAB589859:CAB589863 BQF589859:BQF589863 BGJ589859:BGJ589863 AWN589859:AWN589863 AMR589859:AMR589863 ACV589859:ACV589863 SZ589859:SZ589863 JD589859:JD589863 WVP524323:WVP524327 WLT524323:WLT524327 WBX524323:WBX524327 VSB524323:VSB524327 VIF524323:VIF524327 UYJ524323:UYJ524327 UON524323:UON524327 UER524323:UER524327 TUV524323:TUV524327 TKZ524323:TKZ524327 TBD524323:TBD524327 SRH524323:SRH524327 SHL524323:SHL524327 RXP524323:RXP524327 RNT524323:RNT524327 RDX524323:RDX524327 QUB524323:QUB524327 QKF524323:QKF524327 QAJ524323:QAJ524327 PQN524323:PQN524327 PGR524323:PGR524327 OWV524323:OWV524327 OMZ524323:OMZ524327 ODD524323:ODD524327 NTH524323:NTH524327 NJL524323:NJL524327 MZP524323:MZP524327 MPT524323:MPT524327 MFX524323:MFX524327 LWB524323:LWB524327 LMF524323:LMF524327 LCJ524323:LCJ524327 KSN524323:KSN524327 KIR524323:KIR524327 JYV524323:JYV524327 JOZ524323:JOZ524327 JFD524323:JFD524327 IVH524323:IVH524327 ILL524323:ILL524327 IBP524323:IBP524327 HRT524323:HRT524327 HHX524323:HHX524327 GYB524323:GYB524327 GOF524323:GOF524327 GEJ524323:GEJ524327 FUN524323:FUN524327 FKR524323:FKR524327 FAV524323:FAV524327 EQZ524323:EQZ524327 EHD524323:EHD524327 DXH524323:DXH524327 DNL524323:DNL524327 DDP524323:DDP524327 CTT524323:CTT524327 CJX524323:CJX524327 CAB524323:CAB524327 BQF524323:BQF524327 BGJ524323:BGJ524327 AWN524323:AWN524327 AMR524323:AMR524327 ACV524323:ACV524327 SZ524323:SZ524327 JD524323:JD524327 WVP458787:WVP458791 WLT458787:WLT458791 WBX458787:WBX458791 VSB458787:VSB458791 VIF458787:VIF458791 UYJ458787:UYJ458791 UON458787:UON458791 UER458787:UER458791 TUV458787:TUV458791 TKZ458787:TKZ458791 TBD458787:TBD458791 SRH458787:SRH458791 SHL458787:SHL458791 RXP458787:RXP458791 RNT458787:RNT458791 RDX458787:RDX458791 QUB458787:QUB458791 QKF458787:QKF458791 QAJ458787:QAJ458791 PQN458787:PQN458791 PGR458787:PGR458791 OWV458787:OWV458791 OMZ458787:OMZ458791 ODD458787:ODD458791 NTH458787:NTH458791 NJL458787:NJL458791 MZP458787:MZP458791 MPT458787:MPT458791 MFX458787:MFX458791 LWB458787:LWB458791 LMF458787:LMF458791 LCJ458787:LCJ458791 KSN458787:KSN458791 KIR458787:KIR458791 JYV458787:JYV458791 JOZ458787:JOZ458791 JFD458787:JFD458791 IVH458787:IVH458791 ILL458787:ILL458791 IBP458787:IBP458791 HRT458787:HRT458791 HHX458787:HHX458791 GYB458787:GYB458791 GOF458787:GOF458791 GEJ458787:GEJ458791 FUN458787:FUN458791 FKR458787:FKR458791 FAV458787:FAV458791 EQZ458787:EQZ458791 EHD458787:EHD458791 DXH458787:DXH458791 DNL458787:DNL458791 DDP458787:DDP458791 CTT458787:CTT458791 CJX458787:CJX458791 CAB458787:CAB458791 BQF458787:BQF458791 BGJ458787:BGJ458791 AWN458787:AWN458791 AMR458787:AMR458791 ACV458787:ACV458791 SZ458787:SZ458791 JD458787:JD458791 WVP393251:WVP393255 WLT393251:WLT393255 WBX393251:WBX393255 VSB393251:VSB393255 VIF393251:VIF393255 UYJ393251:UYJ393255 UON393251:UON393255 UER393251:UER393255 TUV393251:TUV393255 TKZ393251:TKZ393255 TBD393251:TBD393255 SRH393251:SRH393255 SHL393251:SHL393255 RXP393251:RXP393255 RNT393251:RNT393255 RDX393251:RDX393255 QUB393251:QUB393255 QKF393251:QKF393255 QAJ393251:QAJ393255 PQN393251:PQN393255 PGR393251:PGR393255 OWV393251:OWV393255 OMZ393251:OMZ393255 ODD393251:ODD393255 NTH393251:NTH393255 NJL393251:NJL393255 MZP393251:MZP393255 MPT393251:MPT393255 MFX393251:MFX393255 LWB393251:LWB393255 LMF393251:LMF393255 LCJ393251:LCJ393255 KSN393251:KSN393255 KIR393251:KIR393255 JYV393251:JYV393255 JOZ393251:JOZ393255 JFD393251:JFD393255 IVH393251:IVH393255 ILL393251:ILL393255 IBP393251:IBP393255 HRT393251:HRT393255 HHX393251:HHX393255 GYB393251:GYB393255 GOF393251:GOF393255 GEJ393251:GEJ393255 FUN393251:FUN393255 FKR393251:FKR393255 FAV393251:FAV393255 EQZ393251:EQZ393255 EHD393251:EHD393255 DXH393251:DXH393255 DNL393251:DNL393255 DDP393251:DDP393255 CTT393251:CTT393255 CJX393251:CJX393255 CAB393251:CAB393255 BQF393251:BQF393255 BGJ393251:BGJ393255 AWN393251:AWN393255 AMR393251:AMR393255 ACV393251:ACV393255 SZ393251:SZ393255 JD393251:JD393255 WVP327715:WVP327719 WLT327715:WLT327719 WBX327715:WBX327719 VSB327715:VSB327719 VIF327715:VIF327719 UYJ327715:UYJ327719 UON327715:UON327719 UER327715:UER327719 TUV327715:TUV327719 TKZ327715:TKZ327719 TBD327715:TBD327719 SRH327715:SRH327719 SHL327715:SHL327719 RXP327715:RXP327719 RNT327715:RNT327719 RDX327715:RDX327719 QUB327715:QUB327719 QKF327715:QKF327719 QAJ327715:QAJ327719 PQN327715:PQN327719 PGR327715:PGR327719 OWV327715:OWV327719 OMZ327715:OMZ327719 ODD327715:ODD327719 NTH327715:NTH327719 NJL327715:NJL327719 MZP327715:MZP327719 MPT327715:MPT327719 MFX327715:MFX327719 LWB327715:LWB327719 LMF327715:LMF327719 LCJ327715:LCJ327719 KSN327715:KSN327719 KIR327715:KIR327719 JYV327715:JYV327719 JOZ327715:JOZ327719 JFD327715:JFD327719 IVH327715:IVH327719 ILL327715:ILL327719 IBP327715:IBP327719 HRT327715:HRT327719 HHX327715:HHX327719 GYB327715:GYB327719 GOF327715:GOF327719 GEJ327715:GEJ327719 FUN327715:FUN327719 FKR327715:FKR327719 FAV327715:FAV327719 EQZ327715:EQZ327719 EHD327715:EHD327719 DXH327715:DXH327719 DNL327715:DNL327719 DDP327715:DDP327719 CTT327715:CTT327719 CJX327715:CJX327719 CAB327715:CAB327719 BQF327715:BQF327719 BGJ327715:BGJ327719 AWN327715:AWN327719 AMR327715:AMR327719 ACV327715:ACV327719 SZ327715:SZ327719 JD327715:JD327719 WVP262179:WVP262183 WLT262179:WLT262183 WBX262179:WBX262183 VSB262179:VSB262183 VIF262179:VIF262183 UYJ262179:UYJ262183 UON262179:UON262183 UER262179:UER262183 TUV262179:TUV262183 TKZ262179:TKZ262183 TBD262179:TBD262183 SRH262179:SRH262183 SHL262179:SHL262183 RXP262179:RXP262183 RNT262179:RNT262183 RDX262179:RDX262183 QUB262179:QUB262183 QKF262179:QKF262183 QAJ262179:QAJ262183 PQN262179:PQN262183 PGR262179:PGR262183 OWV262179:OWV262183 OMZ262179:OMZ262183 ODD262179:ODD262183 NTH262179:NTH262183 NJL262179:NJL262183 MZP262179:MZP262183 MPT262179:MPT262183 MFX262179:MFX262183 LWB262179:LWB262183 LMF262179:LMF262183 LCJ262179:LCJ262183 KSN262179:KSN262183 KIR262179:KIR262183 JYV262179:JYV262183 JOZ262179:JOZ262183 JFD262179:JFD262183 IVH262179:IVH262183 ILL262179:ILL262183 IBP262179:IBP262183 HRT262179:HRT262183 HHX262179:HHX262183 GYB262179:GYB262183 GOF262179:GOF262183 GEJ262179:GEJ262183 FUN262179:FUN262183 FKR262179:FKR262183 FAV262179:FAV262183 EQZ262179:EQZ262183 EHD262179:EHD262183 DXH262179:DXH262183 DNL262179:DNL262183 DDP262179:DDP262183 CTT262179:CTT262183 CJX262179:CJX262183 CAB262179:CAB262183 BQF262179:BQF262183 BGJ262179:BGJ262183 AWN262179:AWN262183 AMR262179:AMR262183 ACV262179:ACV262183 SZ262179:SZ262183 JD262179:JD262183 WVP196643:WVP196647 WLT196643:WLT196647 WBX196643:WBX196647 VSB196643:VSB196647 VIF196643:VIF196647 UYJ196643:UYJ196647 UON196643:UON196647 UER196643:UER196647 TUV196643:TUV196647 TKZ196643:TKZ196647 TBD196643:TBD196647 SRH196643:SRH196647 SHL196643:SHL196647 RXP196643:RXP196647 RNT196643:RNT196647 RDX196643:RDX196647 QUB196643:QUB196647 QKF196643:QKF196647 QAJ196643:QAJ196647 PQN196643:PQN196647 PGR196643:PGR196647 OWV196643:OWV196647 OMZ196643:OMZ196647 ODD196643:ODD196647 NTH196643:NTH196647 NJL196643:NJL196647 MZP196643:MZP196647 MPT196643:MPT196647 MFX196643:MFX196647 LWB196643:LWB196647 LMF196643:LMF196647 LCJ196643:LCJ196647 KSN196643:KSN196647 KIR196643:KIR196647 JYV196643:JYV196647 JOZ196643:JOZ196647 JFD196643:JFD196647 IVH196643:IVH196647 ILL196643:ILL196647 IBP196643:IBP196647 HRT196643:HRT196647 HHX196643:HHX196647 GYB196643:GYB196647 GOF196643:GOF196647 GEJ196643:GEJ196647 FUN196643:FUN196647 FKR196643:FKR196647 FAV196643:FAV196647 EQZ196643:EQZ196647 EHD196643:EHD196647 DXH196643:DXH196647 DNL196643:DNL196647 DDP196643:DDP196647 CTT196643:CTT196647 CJX196643:CJX196647 CAB196643:CAB196647 BQF196643:BQF196647 BGJ196643:BGJ196647 AWN196643:AWN196647 AMR196643:AMR196647 ACV196643:ACV196647 SZ196643:SZ196647 JD196643:JD196647 WVP131107:WVP131111 WLT131107:WLT131111 WBX131107:WBX131111 VSB131107:VSB131111 VIF131107:VIF131111 UYJ131107:UYJ131111 UON131107:UON131111 UER131107:UER131111 TUV131107:TUV131111 TKZ131107:TKZ131111 TBD131107:TBD131111 SRH131107:SRH131111 SHL131107:SHL131111 RXP131107:RXP131111 RNT131107:RNT131111 RDX131107:RDX131111 QUB131107:QUB131111 QKF131107:QKF131111 QAJ131107:QAJ131111 PQN131107:PQN131111 PGR131107:PGR131111 OWV131107:OWV131111 OMZ131107:OMZ131111 ODD131107:ODD131111 NTH131107:NTH131111 NJL131107:NJL131111 MZP131107:MZP131111 MPT131107:MPT131111 MFX131107:MFX131111 LWB131107:LWB131111 LMF131107:LMF131111 LCJ131107:LCJ131111 KSN131107:KSN131111 KIR131107:KIR131111 JYV131107:JYV131111 JOZ131107:JOZ131111 JFD131107:JFD131111 IVH131107:IVH131111 ILL131107:ILL131111 IBP131107:IBP131111 HRT131107:HRT131111 HHX131107:HHX131111 GYB131107:GYB131111 GOF131107:GOF131111 GEJ131107:GEJ131111 FUN131107:FUN131111 FKR131107:FKR131111 FAV131107:FAV131111 EQZ131107:EQZ131111 EHD131107:EHD131111 DXH131107:DXH131111 DNL131107:DNL131111 DDP131107:DDP131111 CTT131107:CTT131111 CJX131107:CJX131111 CAB131107:CAB131111 BQF131107:BQF131111 BGJ131107:BGJ131111 AWN131107:AWN131111 AMR131107:AMR131111 ACV131107:ACV131111 SZ131107:SZ131111 JD131107:JD131111 WVP65571:WVP65575 WLT65571:WLT65575 WBX65571:WBX65575 VSB65571:VSB65575 VIF65571:VIF65575 UYJ65571:UYJ65575 UON65571:UON65575 UER65571:UER65575 TUV65571:TUV65575 TKZ65571:TKZ65575 TBD65571:TBD65575 SRH65571:SRH65575 SHL65571:SHL65575 RXP65571:RXP65575 RNT65571:RNT65575 RDX65571:RDX65575 QUB65571:QUB65575 QKF65571:QKF65575 QAJ65571:QAJ65575 PQN65571:PQN65575 PGR65571:PGR65575 OWV65571:OWV65575 OMZ65571:OMZ65575 ODD65571:ODD65575 NTH65571:NTH65575 NJL65571:NJL65575 MZP65571:MZP65575 MPT65571:MPT65575 MFX65571:MFX65575 LWB65571:LWB65575 LMF65571:LMF65575 LCJ65571:LCJ65575 KSN65571:KSN65575 KIR65571:KIR65575 JYV65571:JYV65575 JOZ65571:JOZ65575 JFD65571:JFD65575 IVH65571:IVH65575 ILL65571:ILL65575 IBP65571:IBP65575 HRT65571:HRT65575 HHX65571:HHX65575 GYB65571:GYB65575 GOF65571:GOF65575 GEJ65571:GEJ65575 FUN65571:FUN65575 FKR65571:FKR65575 FAV65571:FAV65575 EQZ65571:EQZ65575 EHD65571:EHD65575 DXH65571:DXH65575 DNL65571:DNL65575 DDP65571:DDP65575 CTT65571:CTT65575 CJX65571:CJX65575 CAB65571:CAB65575 BQF65571:BQF65575 BGJ65571:BGJ65575 AWN65571:AWN65575 AMR65571:AMR65575 ACV65571:ACV65575 SZ65571:SZ65575 JD65571:JD65575 WVP35:WVP39 WLT35:WLT39 WBX35:WBX39 VSB35:VSB39 VIF35:VIF39 UYJ35:UYJ39 UON35:UON39 UER35:UER39 TUV35:TUV39 TKZ35:TKZ39 TBD35:TBD39 SRH35:SRH39 SHL35:SHL39 RXP35:RXP39 RNT35:RNT39 RDX35:RDX39 QUB35:QUB39 QKF35:QKF39 QAJ35:QAJ39 PQN35:PQN39 PGR35:PGR39 OWV35:OWV39 OMZ35:OMZ39 ODD35:ODD39 NTH35:NTH39 NJL35:NJL39 MZP35:MZP39 MPT35:MPT39 MFX35:MFX39 LWB35:LWB39 LMF35:LMF39 LCJ35:LCJ39 KSN35:KSN39 KIR35:KIR39 JYV35:JYV39 JOZ35:JOZ39 JFD35:JFD39 IVH35:IVH39 ILL35:ILL39 IBP35:IBP39 HRT35:HRT39 HHX35:HHX39 GYB35:GYB39 GOF35:GOF39 GEJ35:GEJ39 FUN35:FUN39 FKR35:FKR39 FAV35:FAV39 EQZ35:EQZ39 EHD35:EHD39 DXH35:DXH39 DNL35:DNL39 DDP35:DDP39 CTT35:CTT39 CJX35:CJX39 CAB35:CAB39 BQF35:BQF39 BGJ35:BGJ39 AWN35:AWN39 AMR35:AMR39 ACV35:ACV39 SZ35:SZ39 JD35:JD39">
      <formula1>$P$65:$P$68</formula1>
    </dataValidation>
  </dataValidations>
  <hyperlinks>
    <hyperlink ref="A1" location="'T&amp;V TOC'!A1" display="TOC"/>
  </hyperlinks>
  <pageMargins left="0.25" right="0.25" top="0.75" bottom="0.75" header="0.3" footer="0.3"/>
  <pageSetup scale="47" orientation="portrait" r:id="rId1"/>
  <headerFooter alignWithMargins="0"/>
  <colBreaks count="1" manualBreakCount="1">
    <brk id="10" max="31" man="1"/>
  </colBreaks>
  <legacyDrawingHF r:id="rId2"/>
</worksheet>
</file>

<file path=xl/worksheets/sheet39.xml><?xml version="1.0" encoding="utf-8"?>
<worksheet xmlns="http://schemas.openxmlformats.org/spreadsheetml/2006/main" xmlns:r="http://schemas.openxmlformats.org/officeDocument/2006/relationships">
  <sheetPr codeName="Sheet14">
    <tabColor theme="9" tint="-0.249977111117893"/>
    <pageSetUpPr autoPageBreaks="0"/>
  </sheetPr>
  <dimension ref="B1:O56"/>
  <sheetViews>
    <sheetView showGridLines="0" showZeros="0" showOutlineSymbols="0" workbookViewId="0">
      <selection activeCell="C32" sqref="C32"/>
    </sheetView>
  </sheetViews>
  <sheetFormatPr defaultRowHeight="12.75"/>
  <cols>
    <col min="1" max="1" width="2.28515625" style="263" customWidth="1"/>
    <col min="2" max="2" width="22.85546875" style="263" customWidth="1"/>
    <col min="3" max="3" width="11.140625" style="263" customWidth="1"/>
    <col min="4" max="4" width="11.7109375" style="264" customWidth="1"/>
    <col min="5" max="5" width="12.28515625" style="264" customWidth="1"/>
    <col min="6" max="6" width="10.7109375" style="264" customWidth="1"/>
    <col min="7" max="7" width="12.5703125" style="264" customWidth="1"/>
    <col min="8" max="8" width="9.42578125" style="264" customWidth="1"/>
    <col min="9" max="9" width="12.28515625" style="263" customWidth="1"/>
    <col min="10" max="10" width="3.7109375" style="263" customWidth="1"/>
    <col min="11" max="11" width="12.42578125" style="263" hidden="1" customWidth="1"/>
    <col min="12" max="12" width="11.5703125" style="263" hidden="1" customWidth="1"/>
    <col min="13" max="15" width="0" style="263" hidden="1" customWidth="1"/>
    <col min="16" max="20" width="9.140625" style="263"/>
    <col min="21" max="21" width="5.7109375" style="263" customWidth="1"/>
    <col min="22" max="25" width="9.140625" style="263"/>
    <col min="26" max="26" width="5.7109375" style="263" customWidth="1"/>
    <col min="27" max="30" width="9.140625" style="263"/>
    <col min="31" max="31" width="5.7109375" style="263" customWidth="1"/>
    <col min="32" max="16384" width="9.140625" style="263"/>
  </cols>
  <sheetData>
    <row r="1" spans="2:12" ht="13.5" customHeight="1" thickBot="1"/>
    <row r="2" spans="2:12" ht="15.6" customHeight="1">
      <c r="B2" s="2654" t="s">
        <v>2672</v>
      </c>
      <c r="C2" s="2655"/>
      <c r="D2" s="2655"/>
      <c r="E2" s="2655"/>
      <c r="F2" s="2655"/>
      <c r="G2" s="2655"/>
      <c r="H2" s="2655"/>
      <c r="I2" s="2656"/>
    </row>
    <row r="3" spans="2:12" ht="15.75" thickBot="1">
      <c r="B3" s="2657" t="s">
        <v>2671</v>
      </c>
      <c r="C3" s="2658"/>
      <c r="D3" s="2658"/>
      <c r="E3" s="2658"/>
      <c r="F3" s="2658"/>
      <c r="G3" s="2658"/>
      <c r="H3" s="2658"/>
      <c r="I3" s="2659"/>
    </row>
    <row r="4" spans="2:12" ht="5.0999999999999996" customHeight="1" thickBot="1">
      <c r="B4" s="381"/>
      <c r="C4" s="381"/>
      <c r="D4" s="380"/>
      <c r="E4" s="380"/>
      <c r="F4" s="380"/>
      <c r="G4" s="380"/>
      <c r="H4" s="380"/>
    </row>
    <row r="5" spans="2:12" ht="17.100000000000001" customHeight="1">
      <c r="B5" s="379"/>
      <c r="C5" s="378"/>
      <c r="D5" s="377"/>
      <c r="E5" s="377"/>
      <c r="F5" s="377"/>
      <c r="G5" s="377"/>
      <c r="H5" s="377"/>
      <c r="I5" s="376"/>
    </row>
    <row r="6" spans="2:12" ht="17.100000000000001" customHeight="1">
      <c r="B6" s="375"/>
      <c r="C6" s="374"/>
      <c r="D6" s="373"/>
      <c r="E6" s="373"/>
      <c r="F6" s="373"/>
      <c r="G6" s="373"/>
      <c r="H6" s="373"/>
      <c r="I6" s="372"/>
    </row>
    <row r="7" spans="2:12" ht="17.100000000000001" customHeight="1">
      <c r="B7" s="375"/>
      <c r="C7" s="374"/>
      <c r="D7" s="373"/>
      <c r="E7" s="373"/>
      <c r="F7" s="373"/>
      <c r="G7" s="373"/>
      <c r="H7" s="373"/>
      <c r="I7" s="372"/>
    </row>
    <row r="8" spans="2:12" ht="8.25" customHeight="1" thickBot="1">
      <c r="B8" s="371"/>
      <c r="C8" s="370"/>
      <c r="D8" s="369"/>
      <c r="E8" s="369"/>
      <c r="F8" s="369"/>
      <c r="G8" s="369"/>
      <c r="H8" s="369"/>
      <c r="I8" s="368"/>
    </row>
    <row r="9" spans="2:12" ht="4.5" customHeight="1" thickBot="1">
      <c r="B9" s="367"/>
      <c r="C9" s="367"/>
      <c r="D9" s="366"/>
      <c r="E9" s="366"/>
      <c r="F9" s="366"/>
      <c r="G9" s="366"/>
      <c r="H9" s="366"/>
    </row>
    <row r="10" spans="2:12" s="333" customFormat="1" ht="17.100000000000001" customHeight="1" thickBot="1">
      <c r="B10" s="303" t="s">
        <v>2670</v>
      </c>
      <c r="C10" s="365"/>
      <c r="D10" s="365"/>
      <c r="E10" s="365"/>
      <c r="F10" s="365"/>
      <c r="G10" s="365"/>
      <c r="H10" s="364"/>
      <c r="I10" s="363" t="s">
        <v>2669</v>
      </c>
    </row>
    <row r="11" spans="2:12" s="333" customFormat="1" ht="0.75" customHeight="1" thickBot="1">
      <c r="B11" s="362"/>
      <c r="C11" s="359"/>
      <c r="D11" s="358"/>
      <c r="E11" s="358"/>
      <c r="F11" s="358"/>
      <c r="G11" s="358"/>
      <c r="H11" s="352"/>
      <c r="I11" s="361"/>
    </row>
    <row r="12" spans="2:12" s="333" customFormat="1" ht="17.25" customHeight="1" thickBot="1">
      <c r="B12" s="350" t="s">
        <v>2668</v>
      </c>
      <c r="C12" s="2660">
        <f>'Reporting Summary'!D16</f>
        <v>0</v>
      </c>
      <c r="D12" s="2661"/>
      <c r="E12" s="2661"/>
      <c r="F12" s="2662"/>
      <c r="G12" s="313"/>
      <c r="H12" s="352"/>
      <c r="I12" s="360">
        <v>38398</v>
      </c>
    </row>
    <row r="13" spans="2:12" s="333" customFormat="1" ht="4.5" customHeight="1">
      <c r="B13" s="350"/>
      <c r="C13" s="359"/>
      <c r="D13" s="358"/>
      <c r="E13" s="358"/>
      <c r="F13" s="358"/>
      <c r="G13" s="358"/>
      <c r="H13" s="352"/>
      <c r="I13" s="335"/>
    </row>
    <row r="14" spans="2:12" s="333" customFormat="1" ht="17.100000000000001" customHeight="1">
      <c r="B14" s="350" t="s">
        <v>2667</v>
      </c>
      <c r="C14" s="478">
        <f>'Basic Info'!C32:D32</f>
        <v>0</v>
      </c>
      <c r="D14" s="352"/>
      <c r="E14" s="337"/>
      <c r="F14" s="337"/>
      <c r="G14" s="354"/>
      <c r="H14" s="354"/>
      <c r="I14" s="335"/>
      <c r="K14" s="263" t="s">
        <v>2666</v>
      </c>
    </row>
    <row r="15" spans="2:12" s="333" customFormat="1" ht="5.25" customHeight="1">
      <c r="B15" s="350"/>
      <c r="C15" s="357"/>
      <c r="D15" s="352"/>
      <c r="E15" s="356"/>
      <c r="F15" s="355"/>
      <c r="G15" s="355"/>
      <c r="H15" s="355"/>
      <c r="I15" s="335"/>
    </row>
    <row r="16" spans="2:12" s="333" customFormat="1" ht="17.100000000000001" customHeight="1">
      <c r="B16" s="350" t="s">
        <v>2665</v>
      </c>
      <c r="C16" s="477" t="e">
        <f>+'ZipCode Map'!H5</f>
        <v>#N/A</v>
      </c>
      <c r="D16" s="354"/>
      <c r="E16" s="354"/>
      <c r="F16" s="353"/>
      <c r="G16" s="352"/>
      <c r="H16" s="352"/>
      <c r="I16" s="335"/>
      <c r="K16" s="263" t="s">
        <v>2664</v>
      </c>
      <c r="L16" s="333">
        <v>1053</v>
      </c>
    </row>
    <row r="17" spans="2:15" s="333" customFormat="1" ht="27" customHeight="1">
      <c r="B17" s="350"/>
      <c r="C17" s="476"/>
      <c r="D17" s="476"/>
      <c r="E17" s="476"/>
      <c r="F17" s="476"/>
      <c r="G17" s="476"/>
      <c r="H17" s="346"/>
      <c r="I17" s="335"/>
      <c r="K17" s="333" t="s">
        <v>2658</v>
      </c>
      <c r="L17" s="263" t="s">
        <v>2657</v>
      </c>
      <c r="M17" s="351"/>
      <c r="N17" s="349"/>
      <c r="O17" s="334"/>
    </row>
    <row r="18" spans="2:15" s="333" customFormat="1" ht="25.15" customHeight="1">
      <c r="B18" s="350"/>
      <c r="C18" s="476" t="s">
        <v>2663</v>
      </c>
      <c r="D18" s="476" t="s">
        <v>2662</v>
      </c>
      <c r="E18" s="476" t="s">
        <v>2661</v>
      </c>
      <c r="F18" s="476" t="s">
        <v>2660</v>
      </c>
      <c r="G18" s="476" t="s">
        <v>2659</v>
      </c>
      <c r="H18" s="346"/>
      <c r="I18" s="335"/>
      <c r="K18" s="333" t="s">
        <v>2656</v>
      </c>
      <c r="L18" s="333">
        <v>695</v>
      </c>
      <c r="M18" s="349"/>
      <c r="N18" s="349"/>
      <c r="O18" s="334"/>
    </row>
    <row r="19" spans="2:15" s="333" customFormat="1" ht="17.100000000000001" customHeight="1">
      <c r="B19" s="350" t="s">
        <v>898</v>
      </c>
      <c r="C19" s="348">
        <f>'Basic Info'!C11</f>
        <v>0</v>
      </c>
      <c r="D19" s="348">
        <f>'Basic Info'!C11</f>
        <v>0</v>
      </c>
      <c r="E19" s="348">
        <f>IF('Basic Info'!D11="Heated-Only",0,'Basic Info'!C11)</f>
        <v>0</v>
      </c>
      <c r="F19" s="348">
        <f>SUM('Basic Info'!C4:C8)</f>
        <v>0</v>
      </c>
      <c r="G19" s="348">
        <f>'Basic Info'!C4+'Basic Info'!C5+2*'Basic Info'!C6+3*'Basic Info'!C7+4*'Basic Info'!C8</f>
        <v>0</v>
      </c>
      <c r="H19" s="346"/>
      <c r="I19" s="335"/>
      <c r="K19" s="333" t="s">
        <v>2655</v>
      </c>
      <c r="L19" s="333">
        <v>80000</v>
      </c>
      <c r="O19" s="334"/>
    </row>
    <row r="20" spans="2:15" s="333" customFormat="1" ht="17.100000000000001" customHeight="1">
      <c r="B20" s="350" t="s">
        <v>2654</v>
      </c>
      <c r="C20" s="348">
        <f>SUM('Basic Info'!C12:C21)</f>
        <v>0</v>
      </c>
      <c r="D20" s="339" t="s">
        <v>2651</v>
      </c>
      <c r="E20" s="346"/>
      <c r="F20" s="346"/>
      <c r="G20" s="346"/>
      <c r="H20" s="346"/>
      <c r="I20" s="335"/>
      <c r="K20" s="263" t="s">
        <v>2653</v>
      </c>
      <c r="L20" s="342">
        <f>L19/L18</f>
        <v>115.10791366906474</v>
      </c>
      <c r="N20" s="263"/>
      <c r="O20" s="334"/>
    </row>
    <row r="21" spans="2:15" s="333" customFormat="1" ht="17.100000000000001" customHeight="1">
      <c r="B21" s="350" t="s">
        <v>2652</v>
      </c>
      <c r="C21" s="347">
        <f>'Basic Info'!C23</f>
        <v>0</v>
      </c>
      <c r="D21" s="339" t="s">
        <v>2651</v>
      </c>
      <c r="E21" s="346"/>
      <c r="F21" s="346"/>
      <c r="G21" s="346"/>
      <c r="H21" s="346"/>
      <c r="I21" s="335"/>
      <c r="K21" s="333" t="s">
        <v>2650</v>
      </c>
      <c r="L21" s="333">
        <v>1428</v>
      </c>
      <c r="O21" s="334"/>
    </row>
    <row r="22" spans="2:15" s="333" customFormat="1" ht="17.100000000000001" customHeight="1">
      <c r="B22" s="350" t="s">
        <v>2194</v>
      </c>
      <c r="C22" s="347">
        <f>IF('Basic Info'!C27="Under Ground Garage",'Basic Info'!C22,0)</f>
        <v>0</v>
      </c>
      <c r="D22" s="339" t="s">
        <v>2649</v>
      </c>
      <c r="E22" s="344"/>
      <c r="F22" s="346"/>
      <c r="G22" s="346"/>
      <c r="H22" s="346"/>
      <c r="I22" s="335"/>
      <c r="K22" s="333" t="s">
        <v>2648</v>
      </c>
      <c r="L22" s="333">
        <v>61322</v>
      </c>
      <c r="O22" s="334"/>
    </row>
    <row r="23" spans="2:15" s="333" customFormat="1" ht="17.100000000000001" customHeight="1">
      <c r="B23" s="350" t="s">
        <v>2195</v>
      </c>
      <c r="C23" s="347">
        <f>IF('Basic Info'!C28="Above Ground Garage",'Basic Info'!C22,0)</f>
        <v>0</v>
      </c>
      <c r="D23" s="339" t="s">
        <v>2645</v>
      </c>
      <c r="E23" s="344"/>
      <c r="F23" s="346"/>
      <c r="G23" s="346"/>
      <c r="H23" s="346"/>
      <c r="I23" s="335"/>
      <c r="K23" s="333" t="s">
        <v>2647</v>
      </c>
      <c r="L23" s="342">
        <f>L20*L21</f>
        <v>164374.10071942446</v>
      </c>
      <c r="M23" s="263" t="s">
        <v>2646</v>
      </c>
      <c r="O23" s="334"/>
    </row>
    <row r="24" spans="2:15" s="333" customFormat="1" ht="17.100000000000001" customHeight="1">
      <c r="B24" s="350" t="s">
        <v>2196</v>
      </c>
      <c r="C24" s="347">
        <f>IF('Basic Info'!C37="Parking Lot",'Basic Info'!C22,0)</f>
        <v>0</v>
      </c>
      <c r="D24" s="339" t="s">
        <v>2645</v>
      </c>
      <c r="E24" s="344"/>
      <c r="F24" s="337"/>
      <c r="G24" s="337"/>
      <c r="H24" s="336"/>
      <c r="I24" s="335"/>
      <c r="K24" s="343" t="s">
        <v>2644</v>
      </c>
      <c r="L24" s="342">
        <f>L20*L22</f>
        <v>7058647.4820143878</v>
      </c>
      <c r="M24" s="263" t="s">
        <v>2643</v>
      </c>
      <c r="N24" s="334"/>
      <c r="O24" s="334"/>
    </row>
    <row r="25" spans="2:15" s="333" customFormat="1" ht="17.100000000000001" customHeight="1">
      <c r="B25" s="341" t="s">
        <v>2642</v>
      </c>
      <c r="C25" s="340">
        <f>SUM(C19:C21)</f>
        <v>0</v>
      </c>
      <c r="D25" s="339" t="s">
        <v>2641</v>
      </c>
      <c r="E25" s="338"/>
      <c r="F25" s="337"/>
      <c r="G25" s="337"/>
      <c r="H25" s="336"/>
      <c r="I25" s="335"/>
      <c r="K25" s="263" t="s">
        <v>2640</v>
      </c>
      <c r="M25" s="263"/>
      <c r="N25" s="334"/>
      <c r="O25" s="334"/>
    </row>
    <row r="26" spans="2:15" ht="7.5" customHeight="1" thickBot="1">
      <c r="B26" s="2663"/>
      <c r="C26" s="2664"/>
      <c r="D26" s="2664"/>
      <c r="E26" s="2664"/>
      <c r="F26" s="2664"/>
      <c r="G26" s="2665"/>
      <c r="H26" s="2665"/>
      <c r="I26" s="2666"/>
      <c r="M26" s="332"/>
      <c r="N26" s="332"/>
      <c r="O26" s="332"/>
    </row>
    <row r="27" spans="2:15" s="270" customFormat="1" ht="5.0999999999999996" customHeight="1" thickBot="1">
      <c r="B27" s="274"/>
      <c r="C27" s="273"/>
      <c r="D27" s="272"/>
      <c r="E27" s="272"/>
      <c r="F27" s="272"/>
      <c r="G27" s="272"/>
      <c r="H27" s="271"/>
      <c r="M27" s="298"/>
      <c r="N27" s="298"/>
      <c r="O27" s="298"/>
    </row>
    <row r="28" spans="2:15" s="270" customFormat="1" ht="17.100000000000001" customHeight="1">
      <c r="B28" s="303" t="s">
        <v>2639</v>
      </c>
      <c r="C28" s="302"/>
      <c r="D28" s="301"/>
      <c r="E28" s="301"/>
      <c r="F28" s="301"/>
      <c r="G28" s="301"/>
      <c r="H28" s="300"/>
      <c r="I28" s="331"/>
      <c r="M28" s="298"/>
      <c r="N28" s="298"/>
      <c r="O28" s="298"/>
    </row>
    <row r="29" spans="2:15" s="270" customFormat="1" ht="14.25" customHeight="1">
      <c r="B29" s="284"/>
      <c r="C29" s="297" t="s">
        <v>1485</v>
      </c>
      <c r="D29" s="297" t="s">
        <v>2197</v>
      </c>
      <c r="E29" s="297" t="s">
        <v>2587</v>
      </c>
      <c r="F29" s="297" t="s">
        <v>2198</v>
      </c>
      <c r="G29" s="297" t="s">
        <v>2199</v>
      </c>
      <c r="H29" s="318"/>
      <c r="I29" s="312"/>
      <c r="K29" s="326" t="s">
        <v>2638</v>
      </c>
      <c r="L29" s="326" t="s">
        <v>2637</v>
      </c>
      <c r="M29" s="326" t="s">
        <v>2638</v>
      </c>
      <c r="N29" s="326" t="s">
        <v>2637</v>
      </c>
      <c r="O29" s="325" t="s">
        <v>2636</v>
      </c>
    </row>
    <row r="30" spans="2:15" s="270" customFormat="1" ht="17.100000000000001" customHeight="1">
      <c r="B30" s="329" t="s">
        <v>2635</v>
      </c>
      <c r="C30" s="297" t="s">
        <v>1896</v>
      </c>
      <c r="D30" s="296" t="s">
        <v>1896</v>
      </c>
      <c r="E30" s="319"/>
      <c r="F30" s="319"/>
      <c r="G30" s="319"/>
      <c r="H30" s="318"/>
      <c r="I30" s="312"/>
      <c r="K30" s="330" t="s">
        <v>2634</v>
      </c>
      <c r="L30" s="330" t="s">
        <v>2632</v>
      </c>
      <c r="M30" s="330" t="s">
        <v>2633</v>
      </c>
      <c r="N30" s="330" t="s">
        <v>2632</v>
      </c>
      <c r="O30" s="330" t="s">
        <v>2632</v>
      </c>
    </row>
    <row r="31" spans="2:15" s="270" customFormat="1" ht="5.25" customHeight="1">
      <c r="B31" s="329"/>
      <c r="C31" s="328"/>
      <c r="D31" s="327"/>
      <c r="E31" s="327"/>
      <c r="F31" s="327"/>
      <c r="G31" s="327"/>
      <c r="H31" s="318"/>
      <c r="I31" s="312"/>
      <c r="K31" s="326"/>
      <c r="L31" s="326"/>
      <c r="M31" s="325"/>
      <c r="N31" s="325"/>
      <c r="O31" s="325"/>
    </row>
    <row r="32" spans="2:15" s="270" customFormat="1" ht="17.100000000000001" customHeight="1">
      <c r="B32" s="284" t="s">
        <v>2200</v>
      </c>
      <c r="C32" s="315" t="e">
        <f>'Reporting Summary'!D127/1000</f>
        <v>#DIV/0!</v>
      </c>
      <c r="D32" s="315" t="e">
        <f>'Reporting Summary'!C127/1000</f>
        <v>#DIV/0!</v>
      </c>
      <c r="E32" s="315"/>
      <c r="F32" s="315"/>
      <c r="G32" s="314"/>
      <c r="H32" s="318" t="s">
        <v>2631</v>
      </c>
      <c r="I32" s="324"/>
      <c r="K32" s="323" t="e">
        <f>0.08*C32</f>
        <v>#DIV/0!</v>
      </c>
      <c r="L32" s="321" t="e">
        <f>K32/(C19)</f>
        <v>#DIV/0!</v>
      </c>
      <c r="M32" s="322" t="e">
        <f>8*D32/1000</f>
        <v>#DIV/0!</v>
      </c>
      <c r="N32" s="321" t="e">
        <f>M32/(C19)</f>
        <v>#DIV/0!</v>
      </c>
      <c r="O32" s="320" t="e">
        <f>L32+N32</f>
        <v>#DIV/0!</v>
      </c>
    </row>
    <row r="33" spans="2:15" s="270" customFormat="1" ht="1.9" customHeight="1">
      <c r="B33" s="284"/>
      <c r="C33" s="283"/>
      <c r="D33" s="319"/>
      <c r="E33" s="319"/>
      <c r="F33" s="319"/>
      <c r="G33" s="319"/>
      <c r="H33" s="318"/>
      <c r="I33" s="312"/>
      <c r="M33" s="305"/>
      <c r="N33" s="311"/>
      <c r="O33" s="311"/>
    </row>
    <row r="34" spans="2:15" s="270" customFormat="1" ht="17.100000000000001" customHeight="1">
      <c r="B34" s="284"/>
      <c r="C34" s="297" t="s">
        <v>1485</v>
      </c>
      <c r="D34" s="297"/>
      <c r="E34" s="297" t="s">
        <v>2587</v>
      </c>
      <c r="F34" s="297" t="s">
        <v>2198</v>
      </c>
      <c r="G34" s="297" t="s">
        <v>2199</v>
      </c>
      <c r="H34" s="318"/>
      <c r="I34" s="312"/>
      <c r="M34" s="305"/>
      <c r="N34" s="311"/>
      <c r="O34" s="311"/>
    </row>
    <row r="35" spans="2:15" s="270" customFormat="1" ht="17.100000000000001" customHeight="1">
      <c r="B35" s="284" t="s">
        <v>2630</v>
      </c>
      <c r="C35" s="317" t="e">
        <f>C32*1000/3412*'Reporting Summary'!C114</f>
        <v>#DIV/0!</v>
      </c>
      <c r="D35" s="316" t="e">
        <f>D32/100*'Reporting Summary'!C115</f>
        <v>#DIV/0!</v>
      </c>
      <c r="E35" s="315"/>
      <c r="F35" s="315"/>
      <c r="G35" s="314"/>
      <c r="H35" s="313" t="s">
        <v>2629</v>
      </c>
      <c r="I35" s="312"/>
      <c r="M35" s="305"/>
      <c r="N35" s="311"/>
      <c r="O35" s="311"/>
    </row>
    <row r="36" spans="2:15" s="270" customFormat="1" ht="8.25" customHeight="1" thickBot="1">
      <c r="B36" s="310"/>
      <c r="C36" s="309"/>
      <c r="D36" s="308"/>
      <c r="E36" s="308"/>
      <c r="F36" s="308"/>
      <c r="G36" s="308"/>
      <c r="H36" s="307"/>
      <c r="I36" s="306"/>
      <c r="M36" s="305"/>
      <c r="N36" s="304"/>
      <c r="O36" s="304"/>
    </row>
    <row r="37" spans="2:15" s="270" customFormat="1" ht="5.0999999999999996" customHeight="1" thickBot="1">
      <c r="B37" s="274"/>
      <c r="C37" s="273"/>
      <c r="D37" s="272"/>
      <c r="E37" s="272"/>
      <c r="F37" s="272"/>
      <c r="G37" s="272"/>
      <c r="H37" s="271"/>
      <c r="M37" s="298"/>
      <c r="N37" s="298"/>
      <c r="O37" s="298"/>
    </row>
    <row r="38" spans="2:15" s="270" customFormat="1" ht="16.5" customHeight="1">
      <c r="B38" s="303" t="s">
        <v>2628</v>
      </c>
      <c r="C38" s="302"/>
      <c r="D38" s="301"/>
      <c r="E38" s="301"/>
      <c r="F38" s="301"/>
      <c r="G38" s="301"/>
      <c r="H38" s="300"/>
      <c r="I38" s="299"/>
      <c r="M38" s="298"/>
      <c r="N38" s="298"/>
      <c r="O38" s="298"/>
    </row>
    <row r="39" spans="2:15" s="270" customFormat="1" ht="12.6" customHeight="1">
      <c r="B39" s="284"/>
      <c r="C39" s="297"/>
      <c r="D39" s="2668" t="s">
        <v>2627</v>
      </c>
      <c r="E39" s="2668"/>
      <c r="F39" s="289" t="s">
        <v>2201</v>
      </c>
      <c r="G39" s="2669" t="s">
        <v>2626</v>
      </c>
      <c r="H39" s="2669"/>
      <c r="I39" s="2652" t="s">
        <v>2625</v>
      </c>
      <c r="J39" s="286"/>
      <c r="K39" s="286"/>
      <c r="M39" s="298"/>
      <c r="N39" s="298"/>
      <c r="O39" s="298"/>
    </row>
    <row r="40" spans="2:15" s="270" customFormat="1" ht="5.0999999999999996" customHeight="1">
      <c r="B40" s="284"/>
      <c r="C40" s="297"/>
      <c r="D40" s="297"/>
      <c r="E40" s="297"/>
      <c r="F40" s="289"/>
      <c r="G40" s="296"/>
      <c r="H40" s="296"/>
      <c r="I40" s="2653"/>
      <c r="J40" s="286"/>
      <c r="K40" s="286"/>
    </row>
    <row r="41" spans="2:15" s="270" customFormat="1" ht="17.100000000000001" customHeight="1">
      <c r="B41" s="284"/>
      <c r="C41" s="283" t="s">
        <v>2624</v>
      </c>
      <c r="D41" s="2650">
        <v>75</v>
      </c>
      <c r="E41" s="2651"/>
      <c r="F41" s="289">
        <v>50</v>
      </c>
      <c r="G41" s="2667" t="e">
        <f ca="1">+'Worksheet - Design - Baseline'!F12</f>
        <v>#DIV/0!</v>
      </c>
      <c r="H41" s="2651"/>
      <c r="I41" s="2653"/>
      <c r="J41" s="286"/>
      <c r="K41" s="286"/>
    </row>
    <row r="42" spans="2:15" s="270" customFormat="1" ht="5.0999999999999996" customHeight="1">
      <c r="B42" s="284"/>
      <c r="C42" s="283"/>
      <c r="D42" s="282"/>
      <c r="E42" s="282"/>
      <c r="F42" s="289"/>
      <c r="G42" s="282"/>
      <c r="H42" s="293"/>
      <c r="I42" s="2653"/>
      <c r="J42" s="286"/>
      <c r="K42" s="286"/>
    </row>
    <row r="43" spans="2:15" s="270" customFormat="1" ht="17.100000000000001" customHeight="1">
      <c r="B43" s="284"/>
      <c r="C43" s="283" t="s">
        <v>2623</v>
      </c>
      <c r="D43" s="2670" t="e">
        <f>IF(SUM(C32:G32)&lt;0.1,"",'Worksheet - Design - Baseline'!F14)</f>
        <v>#DIV/0!</v>
      </c>
      <c r="E43" s="2671"/>
      <c r="F43" s="15" t="e">
        <f>IF(SUM(C32:G32)&lt;0.1,"",+'Worksheet - Design - Baseline'!F25)</f>
        <v>#DIV/0!</v>
      </c>
      <c r="G43" s="2670" t="e">
        <f ca="1">(+C32*'Side Calcs - Baseline'!K4+D32*'Side Calcs - Baseline'!O4+E32*'Side Calcs - Baseline'!S4+F32*'Side Calcs - Baseline'!W4+G32*'Side Calcs - Baseline'!AA4)</f>
        <v>#DIV/0!</v>
      </c>
      <c r="H43" s="2671"/>
      <c r="I43" s="16" t="e">
        <f ca="1">G43-D43</f>
        <v>#DIV/0!</v>
      </c>
      <c r="J43" s="295"/>
      <c r="K43" s="294"/>
    </row>
    <row r="44" spans="2:15" s="270" customFormat="1" ht="5.0999999999999996" customHeight="1">
      <c r="B44" s="284"/>
      <c r="C44" s="283"/>
      <c r="D44" s="281"/>
      <c r="E44" s="281"/>
      <c r="F44" s="15"/>
      <c r="G44" s="281"/>
      <c r="H44" s="281"/>
      <c r="I44" s="287"/>
      <c r="J44" s="295"/>
      <c r="K44" s="294"/>
    </row>
    <row r="45" spans="2:15" s="270" customFormat="1" ht="16.5" customHeight="1">
      <c r="B45" s="284"/>
      <c r="C45" s="283" t="s">
        <v>2622</v>
      </c>
      <c r="D45" s="2674" t="e">
        <f>D43/C25</f>
        <v>#DIV/0!</v>
      </c>
      <c r="E45" s="2675"/>
      <c r="F45" s="289"/>
      <c r="G45" s="2674" t="e">
        <f ca="1">G43/C25</f>
        <v>#DIV/0!</v>
      </c>
      <c r="H45" s="2675"/>
      <c r="I45" s="287"/>
      <c r="J45" s="286"/>
      <c r="K45" s="286"/>
    </row>
    <row r="46" spans="2:15" s="270" customFormat="1" ht="5.0999999999999996" customHeight="1">
      <c r="B46" s="284"/>
      <c r="C46" s="283"/>
      <c r="D46" s="282"/>
      <c r="E46" s="282"/>
      <c r="F46" s="289"/>
      <c r="G46" s="282"/>
      <c r="H46" s="293"/>
      <c r="I46" s="287"/>
      <c r="J46" s="286"/>
      <c r="K46" s="286"/>
    </row>
    <row r="47" spans="2:15" s="270" customFormat="1" ht="16.5" customHeight="1">
      <c r="B47" s="284"/>
      <c r="C47" s="284" t="s">
        <v>2621</v>
      </c>
      <c r="D47" s="2672" t="e">
        <f>IF(SUM(C35:G35)&lt;0.1,"",+G47*('Worksheet - Design - Baseline'!H54/'Worksheet - Design - Baseline'!K54))</f>
        <v>#DIV/0!</v>
      </c>
      <c r="E47" s="2673"/>
      <c r="F47" s="292" t="e">
        <f>IF(SUM(C35:G35)&lt;0.1,"",+G47*('Worksheet - Design - Baseline'!J54/'Worksheet - Design - Baseline'!K54))</f>
        <v>#DIV/0!</v>
      </c>
      <c r="G47" s="2672" t="e">
        <f>SUM(C35:G35)/C25</f>
        <v>#DIV/0!</v>
      </c>
      <c r="H47" s="2673"/>
      <c r="I47" s="291"/>
      <c r="J47" s="290"/>
      <c r="K47" s="286"/>
    </row>
    <row r="48" spans="2:15" s="270" customFormat="1" ht="6" customHeight="1">
      <c r="B48" s="284"/>
      <c r="C48" s="283"/>
      <c r="D48" s="282"/>
      <c r="E48" s="282"/>
      <c r="F48" s="289"/>
      <c r="G48" s="288"/>
      <c r="H48" s="288"/>
      <c r="I48" s="287"/>
      <c r="J48" s="286"/>
      <c r="K48" s="286"/>
    </row>
    <row r="49" spans="2:11" s="270" customFormat="1" ht="17.100000000000001" customHeight="1">
      <c r="B49" s="284"/>
      <c r="C49" s="283" t="s">
        <v>2620</v>
      </c>
      <c r="D49" s="2670" t="e">
        <f>IF(SUM(C35:G35)&lt;0.1,"",+G49*('Worksheet - Design - Baseline'!H54/'Worksheet - Design - Baseline'!K54))</f>
        <v>#DIV/0!</v>
      </c>
      <c r="E49" s="2671"/>
      <c r="F49" s="15" t="e">
        <f>IF(SUM(C35:G35)&lt;0.1,"",+G49*('Worksheet - Design - Baseline'!J54/'Worksheet - Design - Baseline'!K54))</f>
        <v>#DIV/0!</v>
      </c>
      <c r="G49" s="2670" t="e">
        <f>SUM(C35:G35)</f>
        <v>#DIV/0!</v>
      </c>
      <c r="H49" s="2671"/>
      <c r="I49" s="16"/>
      <c r="J49" s="285"/>
      <c r="K49" s="285"/>
    </row>
    <row r="50" spans="2:11" s="270" customFormat="1" ht="8.25" customHeight="1">
      <c r="B50" s="284"/>
      <c r="C50" s="283"/>
      <c r="D50" s="281"/>
      <c r="E50" s="281"/>
      <c r="F50" s="282"/>
      <c r="G50" s="281"/>
      <c r="H50" s="281"/>
      <c r="I50" s="280"/>
    </row>
    <row r="51" spans="2:11" s="270" customFormat="1" ht="1.1499999999999999" customHeight="1" thickBot="1">
      <c r="B51" s="279"/>
      <c r="C51" s="278"/>
      <c r="D51" s="277"/>
      <c r="E51" s="277"/>
      <c r="F51" s="277"/>
      <c r="G51" s="277"/>
      <c r="H51" s="276"/>
      <c r="I51" s="275"/>
    </row>
    <row r="52" spans="2:11" s="270" customFormat="1" ht="5.25" customHeight="1">
      <c r="B52" s="274"/>
      <c r="C52" s="273"/>
      <c r="D52" s="272"/>
      <c r="E52" s="272"/>
      <c r="F52" s="272"/>
      <c r="G52" s="272"/>
      <c r="H52" s="271"/>
    </row>
    <row r="53" spans="2:11" ht="17.100000000000001" hidden="1" customHeight="1">
      <c r="B53" s="269" t="s">
        <v>2619</v>
      </c>
      <c r="C53" s="268" t="s">
        <v>2618</v>
      </c>
      <c r="D53" s="267"/>
      <c r="E53" s="267"/>
      <c r="F53" s="267" t="s">
        <v>2617</v>
      </c>
      <c r="G53" s="267"/>
      <c r="H53" s="267"/>
      <c r="I53" s="267"/>
    </row>
    <row r="54" spans="2:11" hidden="1">
      <c r="D54" s="263"/>
      <c r="E54" s="263"/>
      <c r="F54" s="266"/>
      <c r="G54" s="266"/>
      <c r="H54" s="266"/>
    </row>
    <row r="55" spans="2:11">
      <c r="B55" s="265" t="s">
        <v>2616</v>
      </c>
      <c r="C55" s="265"/>
      <c r="D55" s="265"/>
      <c r="E55" s="265"/>
      <c r="F55" s="265"/>
      <c r="G55" s="265"/>
      <c r="H55" s="265"/>
      <c r="I55" s="265"/>
    </row>
    <row r="56" spans="2:11">
      <c r="B56" s="265"/>
      <c r="C56" s="265"/>
      <c r="D56" s="265"/>
      <c r="E56" s="265"/>
      <c r="F56" s="265"/>
      <c r="G56" s="265"/>
      <c r="H56" s="265"/>
      <c r="I56" s="265"/>
    </row>
  </sheetData>
  <mergeCells count="17">
    <mergeCell ref="D49:E49"/>
    <mergeCell ref="G49:H49"/>
    <mergeCell ref="G43:H43"/>
    <mergeCell ref="G47:H47"/>
    <mergeCell ref="D43:E43"/>
    <mergeCell ref="D47:E47"/>
    <mergeCell ref="D45:E45"/>
    <mergeCell ref="G45:H45"/>
    <mergeCell ref="D41:E41"/>
    <mergeCell ref="I39:I42"/>
    <mergeCell ref="B2:I2"/>
    <mergeCell ref="B3:I3"/>
    <mergeCell ref="C12:F12"/>
    <mergeCell ref="B26:I26"/>
    <mergeCell ref="G41:H41"/>
    <mergeCell ref="D39:E39"/>
    <mergeCell ref="G39:H39"/>
  </mergeCells>
  <hyperlinks>
    <hyperlink ref="C53" r:id="rId1" display="http://www.epa.gov/buildings/label"/>
    <hyperlink ref="H17:H18" location="Help!B29" display="Number of floors"/>
  </hyperlinks>
  <printOptions horizontalCentered="1"/>
  <pageMargins left="0.5" right="0.5" top="1" bottom="0.25" header="0.5" footer="0.5"/>
  <pageSetup scale="87" orientation="portrait" r:id="rId2"/>
  <headerFooter alignWithMargins="0"/>
  <drawing r:id="rId3"/>
  <legacyDrawing r:id="rId4"/>
</worksheet>
</file>

<file path=xl/worksheets/sheet4.xml><?xml version="1.0" encoding="utf-8"?>
<worksheet xmlns="http://schemas.openxmlformats.org/spreadsheetml/2006/main" xmlns:r="http://schemas.openxmlformats.org/officeDocument/2006/relationships">
  <sheetPr codeName="Sheet5"/>
  <dimension ref="A2:A49"/>
  <sheetViews>
    <sheetView workbookViewId="0">
      <selection activeCell="A6" sqref="A6"/>
    </sheetView>
  </sheetViews>
  <sheetFormatPr defaultRowHeight="12.75"/>
  <cols>
    <col min="1" max="1" width="22.5703125" customWidth="1"/>
  </cols>
  <sheetData>
    <row r="2" spans="1:1" ht="76.5">
      <c r="A2" s="404" t="s">
        <v>2700</v>
      </c>
    </row>
    <row r="3" spans="1:1" ht="76.5">
      <c r="A3" s="404" t="s">
        <v>2870</v>
      </c>
    </row>
    <row r="4" spans="1:1" ht="25.5">
      <c r="A4" s="1872" t="s">
        <v>4610</v>
      </c>
    </row>
    <row r="5" spans="1:1" ht="38.25">
      <c r="A5" s="1872" t="s">
        <v>4611</v>
      </c>
    </row>
    <row r="8" spans="1:1">
      <c r="A8" s="9"/>
    </row>
    <row r="9" spans="1:1">
      <c r="A9" s="9"/>
    </row>
    <row r="10" spans="1:1">
      <c r="A10" s="9"/>
    </row>
    <row r="11" spans="1:1">
      <c r="A11" s="9"/>
    </row>
    <row r="12" spans="1:1">
      <c r="A12" s="9"/>
    </row>
    <row r="13" spans="1:1">
      <c r="A13" s="9"/>
    </row>
    <row r="14" spans="1:1">
      <c r="A14" s="9"/>
    </row>
    <row r="15" spans="1:1">
      <c r="A15" s="9"/>
    </row>
    <row r="16" spans="1:1">
      <c r="A16" s="9"/>
    </row>
    <row r="17" spans="1:1">
      <c r="A17" s="9"/>
    </row>
    <row r="18" spans="1:1">
      <c r="A18" s="9"/>
    </row>
    <row r="19" spans="1:1">
      <c r="A19" s="9"/>
    </row>
    <row r="20" spans="1:1">
      <c r="A20" s="9"/>
    </row>
    <row r="21" spans="1:1">
      <c r="A21" s="9"/>
    </row>
    <row r="22" spans="1:1">
      <c r="A22" s="9"/>
    </row>
    <row r="23" spans="1:1">
      <c r="A23" s="9"/>
    </row>
    <row r="24" spans="1:1">
      <c r="A24" s="9"/>
    </row>
    <row r="25" spans="1:1">
      <c r="A25" s="9"/>
    </row>
    <row r="26" spans="1:1">
      <c r="A26" s="9"/>
    </row>
    <row r="27" spans="1:1">
      <c r="A27" s="9"/>
    </row>
    <row r="28" spans="1:1">
      <c r="A28" s="9"/>
    </row>
    <row r="29" spans="1:1">
      <c r="A29" s="9"/>
    </row>
    <row r="30" spans="1:1">
      <c r="A30" s="9"/>
    </row>
    <row r="31" spans="1:1">
      <c r="A31" s="9"/>
    </row>
    <row r="32" spans="1:1">
      <c r="A32" s="9"/>
    </row>
    <row r="33" spans="1:1">
      <c r="A33" s="9"/>
    </row>
    <row r="34" spans="1:1">
      <c r="A34" s="9"/>
    </row>
    <row r="35" spans="1:1">
      <c r="A35" s="9"/>
    </row>
    <row r="36" spans="1:1">
      <c r="A36" s="9"/>
    </row>
    <row r="37" spans="1:1">
      <c r="A37" s="9"/>
    </row>
    <row r="38" spans="1:1">
      <c r="A38" s="9"/>
    </row>
    <row r="39" spans="1:1">
      <c r="A39" s="9"/>
    </row>
    <row r="40" spans="1:1">
      <c r="A40" s="9"/>
    </row>
    <row r="41" spans="1:1">
      <c r="A41" s="9"/>
    </row>
    <row r="42" spans="1:1">
      <c r="A42" s="9"/>
    </row>
    <row r="43" spans="1:1">
      <c r="A43" s="9"/>
    </row>
    <row r="44" spans="1:1">
      <c r="A44" s="9"/>
    </row>
    <row r="45" spans="1:1">
      <c r="A45" s="9"/>
    </row>
    <row r="46" spans="1:1">
      <c r="A46" s="9"/>
    </row>
    <row r="47" spans="1:1">
      <c r="A47" s="9"/>
    </row>
    <row r="48" spans="1:1">
      <c r="A48" s="9"/>
    </row>
    <row r="49" spans="1:1">
      <c r="A49" s="9"/>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sheetPr codeName="Sheet16">
    <tabColor theme="9" tint="-0.249977111117893"/>
    <pageSetUpPr autoPageBreaks="0" fitToPage="1"/>
  </sheetPr>
  <dimension ref="B1:O56"/>
  <sheetViews>
    <sheetView showGridLines="0" showZeros="0" showOutlineSymbols="0" workbookViewId="0"/>
  </sheetViews>
  <sheetFormatPr defaultRowHeight="12.75"/>
  <cols>
    <col min="1" max="1" width="2.7109375" style="263" customWidth="1"/>
    <col min="2" max="2" width="22.85546875" style="263" customWidth="1"/>
    <col min="3" max="3" width="11.140625" style="263" customWidth="1"/>
    <col min="4" max="4" width="11.7109375" style="264" customWidth="1"/>
    <col min="5" max="5" width="12.28515625" style="264" customWidth="1"/>
    <col min="6" max="6" width="10.7109375" style="264" customWidth="1"/>
    <col min="7" max="7" width="12.5703125" style="264" customWidth="1"/>
    <col min="8" max="8" width="9.42578125" style="264" customWidth="1"/>
    <col min="9" max="9" width="12.28515625" style="263" customWidth="1"/>
    <col min="10" max="10" width="3.7109375" style="263" customWidth="1"/>
    <col min="11" max="11" width="12.42578125" style="263" hidden="1" customWidth="1"/>
    <col min="12" max="12" width="11.5703125" style="263" hidden="1" customWidth="1"/>
    <col min="13" max="15" width="0" style="263" hidden="1" customWidth="1"/>
    <col min="16" max="20" width="9.140625" style="263"/>
    <col min="21" max="21" width="5.7109375" style="263" customWidth="1"/>
    <col min="22" max="25" width="9.140625" style="263"/>
    <col min="26" max="26" width="5.7109375" style="263" customWidth="1"/>
    <col min="27" max="30" width="9.140625" style="263"/>
    <col min="31" max="31" width="5.7109375" style="263" customWidth="1"/>
    <col min="32" max="16384" width="9.140625" style="263"/>
  </cols>
  <sheetData>
    <row r="1" spans="2:12" ht="13.5" thickBot="1"/>
    <row r="2" spans="2:12" ht="15.6" customHeight="1">
      <c r="B2" s="2654" t="s">
        <v>2672</v>
      </c>
      <c r="C2" s="2655"/>
      <c r="D2" s="2655"/>
      <c r="E2" s="2655"/>
      <c r="F2" s="2655"/>
      <c r="G2" s="2655"/>
      <c r="H2" s="2655"/>
      <c r="I2" s="2656"/>
    </row>
    <row r="3" spans="2:12" ht="15.75" thickBot="1">
      <c r="B3" s="2657" t="s">
        <v>2671</v>
      </c>
      <c r="C3" s="2658"/>
      <c r="D3" s="2658"/>
      <c r="E3" s="2658"/>
      <c r="F3" s="2658"/>
      <c r="G3" s="2658"/>
      <c r="H3" s="2658"/>
      <c r="I3" s="2659"/>
    </row>
    <row r="4" spans="2:12" ht="5.0999999999999996" customHeight="1" thickBot="1">
      <c r="B4" s="381"/>
      <c r="C4" s="381"/>
      <c r="D4" s="380"/>
      <c r="E4" s="380"/>
      <c r="F4" s="380"/>
      <c r="G4" s="380"/>
      <c r="H4" s="380"/>
    </row>
    <row r="5" spans="2:12" ht="17.100000000000001" customHeight="1">
      <c r="B5" s="379"/>
      <c r="C5" s="378"/>
      <c r="D5" s="377"/>
      <c r="E5" s="377"/>
      <c r="F5" s="377"/>
      <c r="G5" s="377"/>
      <c r="H5" s="377"/>
      <c r="I5" s="376"/>
    </row>
    <row r="6" spans="2:12" ht="17.100000000000001" customHeight="1">
      <c r="B6" s="375"/>
      <c r="C6" s="374"/>
      <c r="D6" s="373"/>
      <c r="E6" s="373"/>
      <c r="F6" s="373"/>
      <c r="G6" s="373"/>
      <c r="H6" s="373"/>
      <c r="I6" s="372"/>
    </row>
    <row r="7" spans="2:12" ht="17.100000000000001" customHeight="1">
      <c r="B7" s="375"/>
      <c r="C7" s="374"/>
      <c r="D7" s="373"/>
      <c r="E7" s="373"/>
      <c r="F7" s="373"/>
      <c r="G7" s="373"/>
      <c r="H7" s="373"/>
      <c r="I7" s="372"/>
    </row>
    <row r="8" spans="2:12" ht="8.25" customHeight="1" thickBot="1">
      <c r="B8" s="371"/>
      <c r="C8" s="370"/>
      <c r="D8" s="369"/>
      <c r="E8" s="369"/>
      <c r="F8" s="369"/>
      <c r="G8" s="369"/>
      <c r="H8" s="369"/>
      <c r="I8" s="368"/>
    </row>
    <row r="9" spans="2:12" ht="5.0999999999999996" customHeight="1" thickBot="1">
      <c r="B9" s="367"/>
      <c r="C9" s="367"/>
      <c r="D9" s="366"/>
      <c r="E9" s="366"/>
      <c r="F9" s="366"/>
      <c r="G9" s="366"/>
      <c r="H9" s="366"/>
    </row>
    <row r="10" spans="2:12" s="333" customFormat="1" ht="17.100000000000001" customHeight="1" thickBot="1">
      <c r="B10" s="303" t="s">
        <v>2670</v>
      </c>
      <c r="C10" s="365"/>
      <c r="D10" s="365"/>
      <c r="E10" s="365"/>
      <c r="F10" s="365"/>
      <c r="G10" s="365"/>
      <c r="H10" s="364"/>
      <c r="I10" s="363" t="s">
        <v>2669</v>
      </c>
    </row>
    <row r="11" spans="2:12" s="333" customFormat="1" ht="0.75" customHeight="1" thickBot="1">
      <c r="B11" s="362"/>
      <c r="C11" s="359"/>
      <c r="D11" s="358"/>
      <c r="E11" s="358"/>
      <c r="F11" s="358"/>
      <c r="G11" s="358"/>
      <c r="H11" s="352"/>
      <c r="I11" s="361"/>
    </row>
    <row r="12" spans="2:12" s="333" customFormat="1" ht="17.25" customHeight="1" thickBot="1">
      <c r="B12" s="350" t="s">
        <v>2668</v>
      </c>
      <c r="C12" s="2660">
        <f>'RECS - Baseline'!C12:F12</f>
        <v>0</v>
      </c>
      <c r="D12" s="2661"/>
      <c r="E12" s="2661"/>
      <c r="F12" s="2662"/>
      <c r="G12" s="313"/>
      <c r="H12" s="352"/>
      <c r="I12" s="360">
        <v>38398</v>
      </c>
    </row>
    <row r="13" spans="2:12" s="333" customFormat="1" ht="4.5" customHeight="1">
      <c r="B13" s="350"/>
      <c r="C13" s="359"/>
      <c r="D13" s="358"/>
      <c r="E13" s="358"/>
      <c r="F13" s="358"/>
      <c r="G13" s="358"/>
      <c r="H13" s="352"/>
      <c r="I13" s="335"/>
    </row>
    <row r="14" spans="2:12" s="333" customFormat="1" ht="17.100000000000001" customHeight="1">
      <c r="B14" s="350" t="s">
        <v>2667</v>
      </c>
      <c r="C14" s="382">
        <f>'RECS - Baseline'!C14</f>
        <v>0</v>
      </c>
      <c r="D14" s="352"/>
      <c r="E14" s="337"/>
      <c r="F14" s="337"/>
      <c r="G14" s="354"/>
      <c r="H14" s="354"/>
      <c r="I14" s="335"/>
      <c r="K14" s="263" t="s">
        <v>2666</v>
      </c>
    </row>
    <row r="15" spans="2:12" s="333" customFormat="1" ht="5.25" customHeight="1">
      <c r="B15" s="350"/>
      <c r="C15" s="357"/>
      <c r="D15" s="352"/>
      <c r="E15" s="356"/>
      <c r="F15" s="355"/>
      <c r="G15" s="355"/>
      <c r="H15" s="355"/>
      <c r="I15" s="335"/>
    </row>
    <row r="16" spans="2:12" s="333" customFormat="1" ht="17.100000000000001" customHeight="1">
      <c r="B16" s="350" t="s">
        <v>2665</v>
      </c>
      <c r="C16" s="354" t="e">
        <f>'RECS - Baseline'!C16</f>
        <v>#N/A</v>
      </c>
      <c r="D16" s="354"/>
      <c r="E16" s="354"/>
      <c r="F16" s="353"/>
      <c r="G16" s="352"/>
      <c r="H16" s="352"/>
      <c r="I16" s="335"/>
      <c r="K16" s="263" t="s">
        <v>2664</v>
      </c>
      <c r="L16" s="333">
        <v>1053</v>
      </c>
    </row>
    <row r="17" spans="2:15" s="333" customFormat="1" ht="27" customHeight="1">
      <c r="B17" s="350"/>
      <c r="C17" s="476"/>
      <c r="D17" s="476"/>
      <c r="E17" s="476"/>
      <c r="F17" s="476"/>
      <c r="G17" s="476"/>
      <c r="H17" s="346"/>
      <c r="I17" s="335"/>
      <c r="K17" s="333" t="s">
        <v>2658</v>
      </c>
      <c r="L17" s="263" t="s">
        <v>2657</v>
      </c>
      <c r="M17" s="351"/>
      <c r="N17" s="349"/>
      <c r="O17" s="334"/>
    </row>
    <row r="18" spans="2:15" s="333" customFormat="1" ht="25.15" customHeight="1">
      <c r="B18" s="350"/>
      <c r="C18" s="476" t="s">
        <v>2663</v>
      </c>
      <c r="D18" s="476" t="s">
        <v>2662</v>
      </c>
      <c r="E18" s="476" t="s">
        <v>2661</v>
      </c>
      <c r="F18" s="476" t="s">
        <v>2660</v>
      </c>
      <c r="G18" s="476" t="s">
        <v>2659</v>
      </c>
      <c r="H18" s="346"/>
      <c r="I18" s="335"/>
      <c r="K18" s="333" t="s">
        <v>2656</v>
      </c>
      <c r="L18" s="333">
        <v>695</v>
      </c>
      <c r="M18" s="349"/>
      <c r="N18" s="349"/>
      <c r="O18" s="334"/>
    </row>
    <row r="19" spans="2:15" s="333" customFormat="1" ht="17.100000000000001" customHeight="1">
      <c r="B19" s="350" t="s">
        <v>898</v>
      </c>
      <c r="C19" s="348">
        <f>'RECS - Baseline'!C19</f>
        <v>0</v>
      </c>
      <c r="D19" s="348">
        <f>'RECS - Baseline'!D19</f>
        <v>0</v>
      </c>
      <c r="E19" s="348">
        <f>'RECS - Baseline'!E19</f>
        <v>0</v>
      </c>
      <c r="F19" s="348">
        <f>'RECS - Baseline'!F19</f>
        <v>0</v>
      </c>
      <c r="G19" s="348">
        <f>'RECS - Baseline'!G19</f>
        <v>0</v>
      </c>
      <c r="H19" s="346"/>
      <c r="I19" s="335"/>
      <c r="K19" s="333" t="s">
        <v>2655</v>
      </c>
      <c r="L19" s="333">
        <v>80000</v>
      </c>
      <c r="O19" s="334"/>
    </row>
    <row r="20" spans="2:15" s="333" customFormat="1" ht="17.100000000000001" customHeight="1">
      <c r="B20" s="350" t="s">
        <v>2654</v>
      </c>
      <c r="C20" s="348">
        <f>'RECS - Baseline'!C20</f>
        <v>0</v>
      </c>
      <c r="D20" s="339" t="s">
        <v>2651</v>
      </c>
      <c r="E20" s="346"/>
      <c r="F20" s="346"/>
      <c r="G20" s="346"/>
      <c r="H20" s="346"/>
      <c r="I20" s="335"/>
      <c r="K20" s="263" t="s">
        <v>2653</v>
      </c>
      <c r="L20" s="342">
        <f>L19/L18</f>
        <v>115.10791366906474</v>
      </c>
      <c r="N20" s="263"/>
      <c r="O20" s="334"/>
    </row>
    <row r="21" spans="2:15" s="333" customFormat="1" ht="17.100000000000001" customHeight="1">
      <c r="B21" s="350" t="s">
        <v>2652</v>
      </c>
      <c r="C21" s="347">
        <f>'RECS - Baseline'!C21</f>
        <v>0</v>
      </c>
      <c r="D21" s="339" t="s">
        <v>2651</v>
      </c>
      <c r="E21" s="346"/>
      <c r="F21" s="346"/>
      <c r="G21" s="346"/>
      <c r="H21" s="346"/>
      <c r="I21" s="335"/>
      <c r="K21" s="333" t="s">
        <v>2650</v>
      </c>
      <c r="L21" s="333">
        <v>1428</v>
      </c>
      <c r="O21" s="334"/>
    </row>
    <row r="22" spans="2:15" s="333" customFormat="1" ht="17.100000000000001" customHeight="1">
      <c r="B22" s="350" t="s">
        <v>2194</v>
      </c>
      <c r="C22" s="347">
        <f>'RECS - Baseline'!C22</f>
        <v>0</v>
      </c>
      <c r="D22" s="339" t="s">
        <v>2649</v>
      </c>
      <c r="E22" s="344"/>
      <c r="F22" s="346"/>
      <c r="G22" s="346"/>
      <c r="H22" s="346"/>
      <c r="I22" s="335"/>
      <c r="K22" s="333" t="s">
        <v>2648</v>
      </c>
      <c r="L22" s="333">
        <v>61322</v>
      </c>
      <c r="O22" s="334"/>
    </row>
    <row r="23" spans="2:15" s="333" customFormat="1" ht="17.100000000000001" customHeight="1">
      <c r="B23" s="350" t="s">
        <v>2195</v>
      </c>
      <c r="C23" s="347">
        <f>'RECS - Baseline'!C23</f>
        <v>0</v>
      </c>
      <c r="D23" s="339" t="s">
        <v>2645</v>
      </c>
      <c r="E23" s="344"/>
      <c r="F23" s="346"/>
      <c r="G23" s="346"/>
      <c r="H23" s="346"/>
      <c r="I23" s="335"/>
      <c r="K23" s="333" t="s">
        <v>2647</v>
      </c>
      <c r="L23" s="342">
        <f>L20*L21</f>
        <v>164374.10071942446</v>
      </c>
      <c r="M23" s="263" t="s">
        <v>2646</v>
      </c>
      <c r="O23" s="334"/>
    </row>
    <row r="24" spans="2:15" s="333" customFormat="1" ht="17.100000000000001" customHeight="1" thickBot="1">
      <c r="B24" s="350" t="s">
        <v>2196</v>
      </c>
      <c r="C24" s="345">
        <f>'RECS - Baseline'!C24</f>
        <v>0</v>
      </c>
      <c r="D24" s="339" t="s">
        <v>2645</v>
      </c>
      <c r="E24" s="344"/>
      <c r="F24" s="337"/>
      <c r="G24" s="337"/>
      <c r="H24" s="336"/>
      <c r="I24" s="335"/>
      <c r="K24" s="343" t="s">
        <v>2644</v>
      </c>
      <c r="L24" s="342">
        <f>L20*L22</f>
        <v>7058647.4820143878</v>
      </c>
      <c r="M24" s="263" t="s">
        <v>2643</v>
      </c>
      <c r="N24" s="334"/>
      <c r="O24" s="334"/>
    </row>
    <row r="25" spans="2:15" s="333" customFormat="1" ht="17.100000000000001" customHeight="1" thickTop="1">
      <c r="B25" s="341" t="s">
        <v>2642</v>
      </c>
      <c r="C25" s="340">
        <f>SUM(C19:C21)</f>
        <v>0</v>
      </c>
      <c r="D25" s="339" t="s">
        <v>2641</v>
      </c>
      <c r="E25" s="338"/>
      <c r="F25" s="337"/>
      <c r="G25" s="337"/>
      <c r="H25" s="336"/>
      <c r="I25" s="335"/>
      <c r="K25" s="263" t="s">
        <v>2640</v>
      </c>
      <c r="M25" s="263"/>
      <c r="N25" s="334"/>
      <c r="O25" s="334"/>
    </row>
    <row r="26" spans="2:15" ht="7.5" customHeight="1" thickBot="1">
      <c r="B26" s="2663"/>
      <c r="C26" s="2664"/>
      <c r="D26" s="2664"/>
      <c r="E26" s="2664"/>
      <c r="F26" s="2664"/>
      <c r="G26" s="2665"/>
      <c r="H26" s="2665"/>
      <c r="I26" s="2666"/>
      <c r="M26" s="332"/>
      <c r="N26" s="332"/>
      <c r="O26" s="332"/>
    </row>
    <row r="27" spans="2:15" s="270" customFormat="1" ht="5.0999999999999996" customHeight="1" thickBot="1">
      <c r="B27" s="274"/>
      <c r="C27" s="273"/>
      <c r="D27" s="272"/>
      <c r="E27" s="272"/>
      <c r="F27" s="272"/>
      <c r="G27" s="272"/>
      <c r="H27" s="271"/>
      <c r="M27" s="298"/>
      <c r="N27" s="298"/>
      <c r="O27" s="298"/>
    </row>
    <row r="28" spans="2:15" s="270" customFormat="1" ht="17.100000000000001" customHeight="1">
      <c r="B28" s="303" t="s">
        <v>2639</v>
      </c>
      <c r="C28" s="302"/>
      <c r="D28" s="301"/>
      <c r="E28" s="301"/>
      <c r="F28" s="301"/>
      <c r="G28" s="301"/>
      <c r="H28" s="300"/>
      <c r="I28" s="331"/>
      <c r="M28" s="298"/>
      <c r="N28" s="298"/>
      <c r="O28" s="298"/>
    </row>
    <row r="29" spans="2:15" s="270" customFormat="1" ht="14.25" customHeight="1">
      <c r="B29" s="284"/>
      <c r="C29" s="297" t="s">
        <v>1485</v>
      </c>
      <c r="D29" s="297" t="s">
        <v>2197</v>
      </c>
      <c r="E29" s="297" t="s">
        <v>2587</v>
      </c>
      <c r="F29" s="297" t="s">
        <v>2198</v>
      </c>
      <c r="G29" s="297" t="s">
        <v>2199</v>
      </c>
      <c r="H29" s="318"/>
      <c r="I29" s="312"/>
      <c r="K29" s="326" t="s">
        <v>2638</v>
      </c>
      <c r="L29" s="326" t="s">
        <v>2637</v>
      </c>
      <c r="M29" s="326" t="s">
        <v>2638</v>
      </c>
      <c r="N29" s="326" t="s">
        <v>2637</v>
      </c>
      <c r="O29" s="325" t="s">
        <v>2636</v>
      </c>
    </row>
    <row r="30" spans="2:15" s="270" customFormat="1" ht="17.100000000000001" customHeight="1">
      <c r="B30" s="329" t="s">
        <v>2635</v>
      </c>
      <c r="C30" s="297" t="s">
        <v>1896</v>
      </c>
      <c r="D30" s="296" t="s">
        <v>1896</v>
      </c>
      <c r="E30" s="319"/>
      <c r="F30" s="319"/>
      <c r="G30" s="319"/>
      <c r="H30" s="318"/>
      <c r="I30" s="312"/>
      <c r="K30" s="330" t="s">
        <v>2634</v>
      </c>
      <c r="L30" s="330" t="s">
        <v>2632</v>
      </c>
      <c r="M30" s="330" t="s">
        <v>2633</v>
      </c>
      <c r="N30" s="330" t="s">
        <v>2632</v>
      </c>
      <c r="O30" s="330" t="s">
        <v>2632</v>
      </c>
    </row>
    <row r="31" spans="2:15" s="270" customFormat="1" ht="5.25" customHeight="1">
      <c r="B31" s="329"/>
      <c r="C31" s="328"/>
      <c r="D31" s="327"/>
      <c r="E31" s="327"/>
      <c r="F31" s="327"/>
      <c r="G31" s="327"/>
      <c r="H31" s="318"/>
      <c r="I31" s="312"/>
      <c r="K31" s="326"/>
      <c r="L31" s="326"/>
      <c r="M31" s="325"/>
      <c r="N31" s="325"/>
      <c r="O31" s="325"/>
    </row>
    <row r="32" spans="2:15" s="270" customFormat="1" ht="17.100000000000001" customHeight="1">
      <c r="B32" s="284" t="s">
        <v>2200</v>
      </c>
      <c r="C32" s="315">
        <f>'Reporting Summary'!H127/1000</f>
        <v>0</v>
      </c>
      <c r="D32" s="315">
        <f>'Reporting Summary'!G127/1000</f>
        <v>0</v>
      </c>
      <c r="E32" s="315"/>
      <c r="F32" s="315"/>
      <c r="G32" s="314"/>
      <c r="H32" s="318" t="s">
        <v>2631</v>
      </c>
      <c r="I32" s="324"/>
      <c r="K32" s="323">
        <f>0.08*C32</f>
        <v>0</v>
      </c>
      <c r="L32" s="321" t="e">
        <f>K32/(C19)</f>
        <v>#DIV/0!</v>
      </c>
      <c r="M32" s="322">
        <f>8*D32/1000</f>
        <v>0</v>
      </c>
      <c r="N32" s="321" t="e">
        <f>M32/(C19)</f>
        <v>#DIV/0!</v>
      </c>
      <c r="O32" s="320" t="e">
        <f>L32+N32</f>
        <v>#DIV/0!</v>
      </c>
    </row>
    <row r="33" spans="2:15" s="270" customFormat="1" ht="1.9" customHeight="1">
      <c r="B33" s="284"/>
      <c r="C33" s="283"/>
      <c r="D33" s="319"/>
      <c r="E33" s="319"/>
      <c r="F33" s="319"/>
      <c r="G33" s="319"/>
      <c r="H33" s="318"/>
      <c r="I33" s="312"/>
      <c r="M33" s="305"/>
      <c r="N33" s="311"/>
      <c r="O33" s="311"/>
    </row>
    <row r="34" spans="2:15" s="270" customFormat="1" ht="17.100000000000001" customHeight="1">
      <c r="B34" s="284"/>
      <c r="C34" s="297" t="s">
        <v>1485</v>
      </c>
      <c r="D34" s="297" t="s">
        <v>2197</v>
      </c>
      <c r="E34" s="297" t="s">
        <v>2587</v>
      </c>
      <c r="F34" s="297" t="s">
        <v>2198</v>
      </c>
      <c r="G34" s="297" t="s">
        <v>2199</v>
      </c>
      <c r="H34" s="318"/>
      <c r="I34" s="312"/>
      <c r="M34" s="305"/>
      <c r="N34" s="311"/>
      <c r="O34" s="311"/>
    </row>
    <row r="35" spans="2:15" s="270" customFormat="1" ht="17.100000000000001" customHeight="1">
      <c r="B35" s="284" t="s">
        <v>2630</v>
      </c>
      <c r="C35" s="317">
        <f>C32*1000/3412*'Reporting Summary'!C114</f>
        <v>0</v>
      </c>
      <c r="D35" s="316">
        <f>D32/100*'Reporting Summary'!C115</f>
        <v>0</v>
      </c>
      <c r="E35" s="315"/>
      <c r="F35" s="315"/>
      <c r="G35" s="314"/>
      <c r="H35" s="313" t="s">
        <v>2629</v>
      </c>
      <c r="I35" s="312"/>
      <c r="M35" s="305"/>
      <c r="N35" s="311"/>
      <c r="O35" s="311"/>
    </row>
    <row r="36" spans="2:15" s="270" customFormat="1" ht="8.25" customHeight="1" thickBot="1">
      <c r="B36" s="310"/>
      <c r="C36" s="309"/>
      <c r="D36" s="308"/>
      <c r="E36" s="308"/>
      <c r="F36" s="308"/>
      <c r="G36" s="308"/>
      <c r="H36" s="307"/>
      <c r="I36" s="306"/>
      <c r="M36" s="305"/>
      <c r="N36" s="304"/>
      <c r="O36" s="304"/>
    </row>
    <row r="37" spans="2:15" s="270" customFormat="1" ht="5.0999999999999996" customHeight="1" thickBot="1">
      <c r="B37" s="274"/>
      <c r="C37" s="273"/>
      <c r="D37" s="272"/>
      <c r="E37" s="272"/>
      <c r="F37" s="272"/>
      <c r="G37" s="272"/>
      <c r="H37" s="271"/>
      <c r="M37" s="298"/>
      <c r="N37" s="298"/>
      <c r="O37" s="298"/>
    </row>
    <row r="38" spans="2:15" s="270" customFormat="1" ht="16.5" customHeight="1">
      <c r="B38" s="303" t="s">
        <v>2628</v>
      </c>
      <c r="C38" s="302"/>
      <c r="D38" s="301"/>
      <c r="E38" s="301"/>
      <c r="F38" s="301"/>
      <c r="G38" s="301"/>
      <c r="H38" s="300"/>
      <c r="I38" s="299"/>
      <c r="M38" s="298"/>
      <c r="N38" s="298"/>
      <c r="O38" s="298"/>
    </row>
    <row r="39" spans="2:15" s="270" customFormat="1" ht="12.6" customHeight="1">
      <c r="B39" s="284"/>
      <c r="C39" s="297"/>
      <c r="D39" s="2668" t="s">
        <v>2627</v>
      </c>
      <c r="E39" s="2668"/>
      <c r="F39" s="289" t="s">
        <v>2201</v>
      </c>
      <c r="G39" s="2669" t="s">
        <v>2626</v>
      </c>
      <c r="H39" s="2669"/>
      <c r="I39" s="2652" t="s">
        <v>2625</v>
      </c>
      <c r="J39" s="286"/>
      <c r="K39" s="286"/>
      <c r="M39" s="298"/>
      <c r="N39" s="298"/>
      <c r="O39" s="298"/>
    </row>
    <row r="40" spans="2:15" s="270" customFormat="1" ht="5.0999999999999996" customHeight="1">
      <c r="B40" s="284"/>
      <c r="C40" s="297"/>
      <c r="D40" s="297"/>
      <c r="E40" s="297"/>
      <c r="F40" s="289"/>
      <c r="G40" s="296"/>
      <c r="H40" s="296"/>
      <c r="I40" s="2653"/>
      <c r="J40" s="286"/>
      <c r="K40" s="286"/>
    </row>
    <row r="41" spans="2:15" s="270" customFormat="1" ht="17.100000000000001" customHeight="1">
      <c r="B41" s="284"/>
      <c r="C41" s="283" t="s">
        <v>2624</v>
      </c>
      <c r="D41" s="2650">
        <v>75</v>
      </c>
      <c r="E41" s="2651"/>
      <c r="F41" s="289">
        <v>50</v>
      </c>
      <c r="G41" s="2667" t="e">
        <f ca="1">+'Worksheet - Design - Proposed'!F12</f>
        <v>#DIV/0!</v>
      </c>
      <c r="H41" s="2651"/>
      <c r="I41" s="2653"/>
      <c r="J41" s="286"/>
      <c r="K41" s="286"/>
    </row>
    <row r="42" spans="2:15" s="270" customFormat="1" ht="5.0999999999999996" customHeight="1">
      <c r="B42" s="284"/>
      <c r="C42" s="283"/>
      <c r="D42" s="282"/>
      <c r="E42" s="282"/>
      <c r="F42" s="289"/>
      <c r="G42" s="282"/>
      <c r="H42" s="293"/>
      <c r="I42" s="2653"/>
      <c r="J42" s="286"/>
      <c r="K42" s="286"/>
    </row>
    <row r="43" spans="2:15" s="270" customFormat="1" ht="17.100000000000001" customHeight="1">
      <c r="B43" s="284"/>
      <c r="C43" s="283" t="s">
        <v>2623</v>
      </c>
      <c r="D43" s="2670" t="str">
        <f>IF(SUM(C32:G32)&lt;0.1,"",+'Worksheet - Design - Proposed'!F14)</f>
        <v/>
      </c>
      <c r="E43" s="2671"/>
      <c r="F43" s="15" t="str">
        <f>IF(SUM(C32:G32)&lt;0.1,"",+'Worksheet - Design - Proposed'!F25)</f>
        <v/>
      </c>
      <c r="G43" s="2670">
        <f ca="1">(+C32*'Side Calcs - Proposed'!K4+D32*'Side Calcs - Proposed'!O4+E32*'Side Calcs - Proposed'!S4+F32*'Side Calcs - Proposed'!W4+G32*'Side Calcs - Proposed'!AA4)</f>
        <v>0</v>
      </c>
      <c r="H43" s="2671"/>
      <c r="I43" s="16" t="e">
        <f ca="1">G43-D43</f>
        <v>#VALUE!</v>
      </c>
      <c r="J43" s="295"/>
      <c r="K43" s="294"/>
    </row>
    <row r="44" spans="2:15" s="270" customFormat="1" ht="5.0999999999999996" customHeight="1">
      <c r="B44" s="284"/>
      <c r="C44" s="283"/>
      <c r="D44" s="281"/>
      <c r="E44" s="281"/>
      <c r="F44" s="15"/>
      <c r="G44" s="281"/>
      <c r="H44" s="281"/>
      <c r="I44" s="287"/>
      <c r="J44" s="295"/>
      <c r="K44" s="294"/>
    </row>
    <row r="45" spans="2:15" s="270" customFormat="1" ht="16.5" customHeight="1">
      <c r="B45" s="284"/>
      <c r="C45" s="283" t="s">
        <v>2622</v>
      </c>
      <c r="D45" s="2674" t="e">
        <f>D43/C25</f>
        <v>#VALUE!</v>
      </c>
      <c r="E45" s="2675"/>
      <c r="F45" s="289"/>
      <c r="G45" s="2674" t="e">
        <f ca="1">G43/C25</f>
        <v>#DIV/0!</v>
      </c>
      <c r="H45" s="2675"/>
      <c r="I45" s="287"/>
      <c r="J45" s="286"/>
      <c r="K45" s="286"/>
    </row>
    <row r="46" spans="2:15" s="270" customFormat="1" ht="5.0999999999999996" customHeight="1">
      <c r="B46" s="284"/>
      <c r="C46" s="283"/>
      <c r="D46" s="282"/>
      <c r="E46" s="282"/>
      <c r="F46" s="289"/>
      <c r="G46" s="282"/>
      <c r="H46" s="293"/>
      <c r="I46" s="287"/>
      <c r="J46" s="286"/>
      <c r="K46" s="286"/>
    </row>
    <row r="47" spans="2:15" s="270" customFormat="1" ht="16.5" customHeight="1">
      <c r="B47" s="284"/>
      <c r="C47" s="284" t="s">
        <v>2621</v>
      </c>
      <c r="D47" s="2672" t="str">
        <f>IF(SUM(C35:G35)&lt;0.1,"",+G47*('Worksheet - Design - Proposed'!H54/'Worksheet - Design - Proposed'!K54))</f>
        <v/>
      </c>
      <c r="E47" s="2673"/>
      <c r="F47" s="292" t="str">
        <f>IF(SUM(C35:G35)&lt;0.1,"",+G47*('Worksheet - Design - Proposed'!J54/'Worksheet - Design - Proposed'!K54))</f>
        <v/>
      </c>
      <c r="G47" s="2672" t="e">
        <f>SUM(C35:G35)/C25</f>
        <v>#DIV/0!</v>
      </c>
      <c r="H47" s="2673"/>
      <c r="I47" s="291"/>
      <c r="J47" s="290"/>
      <c r="K47" s="286"/>
    </row>
    <row r="48" spans="2:15" s="270" customFormat="1" ht="6" customHeight="1">
      <c r="B48" s="284"/>
      <c r="C48" s="283"/>
      <c r="D48" s="282"/>
      <c r="E48" s="282"/>
      <c r="F48" s="289"/>
      <c r="G48" s="288"/>
      <c r="H48" s="288"/>
      <c r="I48" s="287"/>
      <c r="J48" s="286"/>
      <c r="K48" s="286"/>
    </row>
    <row r="49" spans="2:11" s="270" customFormat="1" ht="17.100000000000001" customHeight="1">
      <c r="B49" s="284"/>
      <c r="C49" s="283" t="s">
        <v>2620</v>
      </c>
      <c r="D49" s="2670" t="str">
        <f>IF(SUM(C35:G35)&lt;0.1,"",+G49*('Worksheet - Design - Proposed'!H54/'Worksheet - Design - Proposed'!K54))</f>
        <v/>
      </c>
      <c r="E49" s="2671"/>
      <c r="F49" s="15" t="str">
        <f>IF(SUM(C35:G35)&lt;0.1,"",+G49*('Worksheet - Design - Proposed'!J54/'Worksheet - Design - Proposed'!K54))</f>
        <v/>
      </c>
      <c r="G49" s="2670">
        <f>SUM(C35:G35)</f>
        <v>0</v>
      </c>
      <c r="H49" s="2671"/>
      <c r="I49" s="16"/>
      <c r="J49" s="285"/>
      <c r="K49" s="285"/>
    </row>
    <row r="50" spans="2:11" s="270" customFormat="1" ht="8.25" customHeight="1">
      <c r="B50" s="284"/>
      <c r="C50" s="283"/>
      <c r="D50" s="281"/>
      <c r="E50" s="281"/>
      <c r="F50" s="282"/>
      <c r="G50" s="281"/>
      <c r="H50" s="281"/>
      <c r="I50" s="280"/>
    </row>
    <row r="51" spans="2:11" s="270" customFormat="1" ht="1.1499999999999999" customHeight="1" thickBot="1">
      <c r="B51" s="279"/>
      <c r="C51" s="278"/>
      <c r="D51" s="277"/>
      <c r="E51" s="277"/>
      <c r="F51" s="277"/>
      <c r="G51" s="277"/>
      <c r="H51" s="276"/>
      <c r="I51" s="275"/>
    </row>
    <row r="52" spans="2:11" s="270" customFormat="1" ht="5.25" customHeight="1">
      <c r="B52" s="274"/>
      <c r="C52" s="273"/>
      <c r="D52" s="272"/>
      <c r="E52" s="272"/>
      <c r="F52" s="272"/>
      <c r="G52" s="272"/>
      <c r="H52" s="271"/>
    </row>
    <row r="53" spans="2:11" ht="17.100000000000001" hidden="1" customHeight="1">
      <c r="B53" s="269" t="s">
        <v>2619</v>
      </c>
      <c r="C53" s="268" t="s">
        <v>2618</v>
      </c>
      <c r="D53" s="267"/>
      <c r="E53" s="267"/>
      <c r="F53" s="267" t="s">
        <v>2617</v>
      </c>
      <c r="G53" s="267"/>
      <c r="H53" s="267"/>
      <c r="I53" s="267"/>
    </row>
    <row r="54" spans="2:11" hidden="1">
      <c r="D54" s="263"/>
      <c r="E54" s="263"/>
      <c r="F54" s="266"/>
      <c r="G54" s="266"/>
      <c r="H54" s="266"/>
    </row>
    <row r="55" spans="2:11">
      <c r="B55" s="265" t="s">
        <v>2616</v>
      </c>
      <c r="C55" s="265"/>
      <c r="D55" s="265"/>
      <c r="E55" s="265"/>
      <c r="F55" s="265"/>
      <c r="G55" s="265"/>
      <c r="H55" s="265"/>
      <c r="I55" s="265"/>
    </row>
    <row r="56" spans="2:11">
      <c r="B56" s="265"/>
      <c r="C56" s="265"/>
      <c r="D56" s="265"/>
      <c r="E56" s="265"/>
      <c r="F56" s="265"/>
      <c r="G56" s="265"/>
      <c r="H56" s="265"/>
      <c r="I56" s="265"/>
    </row>
  </sheetData>
  <mergeCells count="17">
    <mergeCell ref="D49:E49"/>
    <mergeCell ref="G49:H49"/>
    <mergeCell ref="G43:H43"/>
    <mergeCell ref="G47:H47"/>
    <mergeCell ref="D43:E43"/>
    <mergeCell ref="D47:E47"/>
    <mergeCell ref="D45:E45"/>
    <mergeCell ref="G45:H45"/>
    <mergeCell ref="D41:E41"/>
    <mergeCell ref="I39:I42"/>
    <mergeCell ref="B2:I2"/>
    <mergeCell ref="B3:I3"/>
    <mergeCell ref="C12:F12"/>
    <mergeCell ref="B26:I26"/>
    <mergeCell ref="G41:H41"/>
    <mergeCell ref="D39:E39"/>
    <mergeCell ref="G39:H39"/>
  </mergeCells>
  <hyperlinks>
    <hyperlink ref="C53" r:id="rId1" display="http://www.epa.gov/buildings/label"/>
    <hyperlink ref="H17:H18" location="Help!B29" display="Number of floors"/>
  </hyperlinks>
  <printOptions horizontalCentered="1"/>
  <pageMargins left="0.5" right="0.5" top="1" bottom="0.25" header="0.5" footer="0.5"/>
  <pageSetup scale="87" orientation="portrait" r:id="rId2"/>
  <headerFooter alignWithMargins="0"/>
  <drawing r:id="rId3"/>
  <legacyDrawing r:id="rId4"/>
</worksheet>
</file>

<file path=xl/worksheets/sheet41.xml><?xml version="1.0" encoding="utf-8"?>
<worksheet xmlns="http://schemas.openxmlformats.org/spreadsheetml/2006/main" xmlns:r="http://schemas.openxmlformats.org/officeDocument/2006/relationships">
  <sheetPr codeName="Sheet161" enableFormatConditionsCalculation="0">
    <tabColor indexed="44"/>
  </sheetPr>
  <dimension ref="A1:C16"/>
  <sheetViews>
    <sheetView showGridLines="0" workbookViewId="0">
      <selection activeCell="N45" sqref="N45"/>
    </sheetView>
  </sheetViews>
  <sheetFormatPr defaultRowHeight="15"/>
  <cols>
    <col min="1" max="1" width="33.5703125" style="241" customWidth="1"/>
    <col min="2" max="2" width="31.28515625" style="241" customWidth="1"/>
    <col min="3" max="3" width="23.5703125" style="241" customWidth="1"/>
    <col min="4" max="4" width="9.140625" style="241"/>
    <col min="5" max="5" width="34.7109375" style="241" customWidth="1"/>
    <col min="6" max="6" width="34.42578125" style="241" customWidth="1"/>
    <col min="7" max="16384" width="9.140625" style="241"/>
  </cols>
  <sheetData>
    <row r="1" spans="1:3" ht="15.75" thickBot="1">
      <c r="A1" s="2676" t="s">
        <v>882</v>
      </c>
      <c r="B1" s="2677"/>
    </row>
    <row r="2" spans="1:3">
      <c r="A2" s="242" t="s">
        <v>883</v>
      </c>
      <c r="B2" s="243" t="s">
        <v>884</v>
      </c>
    </row>
    <row r="3" spans="1:3">
      <c r="A3" s="244" t="s">
        <v>885</v>
      </c>
      <c r="B3" s="245">
        <v>1.6</v>
      </c>
    </row>
    <row r="4" spans="1:3">
      <c r="A4" s="244" t="s">
        <v>886</v>
      </c>
      <c r="B4" s="245">
        <v>1</v>
      </c>
    </row>
    <row r="5" spans="1:3">
      <c r="A5" s="244" t="s">
        <v>887</v>
      </c>
      <c r="B5" s="245">
        <v>2.5</v>
      </c>
    </row>
    <row r="6" spans="1:3">
      <c r="A6" s="244" t="s">
        <v>888</v>
      </c>
      <c r="B6" s="245">
        <v>2.5</v>
      </c>
    </row>
    <row r="7" spans="1:3" ht="15.75" thickBot="1">
      <c r="A7" s="246" t="s">
        <v>889</v>
      </c>
      <c r="B7" s="247">
        <v>2.5</v>
      </c>
    </row>
    <row r="9" spans="1:3" ht="15.75" thickBot="1"/>
    <row r="10" spans="1:3" ht="15.75" thickBot="1">
      <c r="A10" s="2676" t="s">
        <v>890</v>
      </c>
      <c r="B10" s="2678"/>
      <c r="C10" s="2677"/>
    </row>
    <row r="11" spans="1:3">
      <c r="A11" s="242" t="s">
        <v>891</v>
      </c>
      <c r="B11" s="248" t="s">
        <v>892</v>
      </c>
      <c r="C11" s="243" t="s">
        <v>893</v>
      </c>
    </row>
    <row r="12" spans="1:3">
      <c r="A12" s="249" t="s">
        <v>1208</v>
      </c>
      <c r="B12" s="250" t="s">
        <v>894</v>
      </c>
      <c r="C12" s="251">
        <v>5</v>
      </c>
    </row>
    <row r="13" spans="1:3">
      <c r="A13" s="252" t="s">
        <v>1209</v>
      </c>
      <c r="B13" s="250" t="s">
        <v>894</v>
      </c>
      <c r="C13" s="253" t="s">
        <v>894</v>
      </c>
    </row>
    <row r="14" spans="1:3">
      <c r="A14" s="249" t="s">
        <v>879</v>
      </c>
      <c r="B14" s="250">
        <v>450</v>
      </c>
      <c r="C14" s="251">
        <v>0.75</v>
      </c>
    </row>
    <row r="15" spans="1:3">
      <c r="A15" s="249" t="s">
        <v>880</v>
      </c>
      <c r="B15" s="250">
        <v>15</v>
      </c>
      <c r="C15" s="251">
        <v>5</v>
      </c>
    </row>
    <row r="16" spans="1:3" ht="15.75" thickBot="1">
      <c r="A16" s="254" t="s">
        <v>881</v>
      </c>
      <c r="B16" s="255">
        <v>60</v>
      </c>
      <c r="C16" s="256">
        <v>4</v>
      </c>
    </row>
  </sheetData>
  <mergeCells count="2">
    <mergeCell ref="A1:B1"/>
    <mergeCell ref="A10:C10"/>
  </mergeCells>
  <phoneticPr fontId="47" type="noConversion"/>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sheetPr codeName="Sheet18">
    <pageSetUpPr fitToPage="1"/>
  </sheetPr>
  <dimension ref="A1:T915"/>
  <sheetViews>
    <sheetView topLeftCell="A49" zoomScale="75" zoomScaleNormal="100" workbookViewId="0">
      <selection activeCell="N45" sqref="N45"/>
    </sheetView>
  </sheetViews>
  <sheetFormatPr defaultColWidth="11.42578125" defaultRowHeight="12.75"/>
  <cols>
    <col min="1" max="1" width="9.140625" customWidth="1"/>
    <col min="2" max="2" width="11.28515625" style="147" bestFit="1" customWidth="1"/>
    <col min="3" max="3" width="15.7109375" style="148" bestFit="1" customWidth="1"/>
    <col min="4" max="4" width="6" style="147" customWidth="1"/>
    <col min="5" max="5" width="21.85546875" style="148" customWidth="1"/>
    <col min="6" max="6" width="3.5703125" style="148" customWidth="1"/>
    <col min="7" max="7" width="12.7109375" style="148" customWidth="1"/>
    <col min="8" max="8" width="20.140625" style="148" customWidth="1"/>
    <col min="9" max="9" width="29.5703125" style="148" customWidth="1"/>
    <col min="10" max="12" width="7.5703125" style="148" customWidth="1"/>
    <col min="13" max="13" width="18.5703125" style="148" customWidth="1"/>
    <col min="14" max="14" width="7.5703125" style="148" customWidth="1"/>
    <col min="15" max="15" width="18.28515625" style="148" customWidth="1"/>
    <col min="16" max="16" width="28.7109375" style="184" customWidth="1"/>
    <col min="17" max="17" width="5.7109375" style="147" customWidth="1"/>
    <col min="18" max="18" width="14" style="185" customWidth="1"/>
    <col min="19" max="19" width="5.140625" style="148" customWidth="1"/>
    <col min="20" max="20" width="6" style="148" customWidth="1"/>
    <col min="21" max="16384" width="11.42578125" style="148"/>
  </cols>
  <sheetData>
    <row r="1" spans="1:20" ht="15.75">
      <c r="B1" s="142" t="s">
        <v>243</v>
      </c>
      <c r="C1" s="143" t="s">
        <v>243</v>
      </c>
      <c r="D1" s="144"/>
      <c r="E1" s="145" t="s">
        <v>243</v>
      </c>
      <c r="F1" s="146"/>
      <c r="G1" s="146"/>
      <c r="H1" s="146"/>
      <c r="I1" s="2679" t="s">
        <v>244</v>
      </c>
      <c r="J1" s="2680"/>
      <c r="K1" s="2680"/>
      <c r="L1" s="2681"/>
      <c r="M1" s="2683" t="s">
        <v>245</v>
      </c>
      <c r="N1" s="2683"/>
      <c r="O1" s="2684"/>
      <c r="P1" s="2682"/>
      <c r="Q1" s="2682"/>
      <c r="R1" s="2682"/>
    </row>
    <row r="2" spans="1:20" ht="16.5" thickBot="1">
      <c r="A2" s="148"/>
      <c r="B2" s="149" t="s">
        <v>246</v>
      </c>
      <c r="C2" s="150" t="s">
        <v>247</v>
      </c>
      <c r="D2" s="151"/>
      <c r="E2" s="152" t="s">
        <v>248</v>
      </c>
      <c r="F2" s="153"/>
      <c r="G2" s="153"/>
      <c r="H2" s="153"/>
      <c r="I2" s="154" t="s">
        <v>249</v>
      </c>
      <c r="J2" s="155" t="s">
        <v>250</v>
      </c>
      <c r="K2" s="155" t="s">
        <v>49</v>
      </c>
      <c r="L2" s="156" t="s">
        <v>50</v>
      </c>
      <c r="M2" s="157" t="s">
        <v>251</v>
      </c>
      <c r="N2" s="155" t="s">
        <v>250</v>
      </c>
      <c r="O2" s="158" t="s">
        <v>252</v>
      </c>
      <c r="P2" s="159"/>
      <c r="Q2" s="160"/>
      <c r="R2" s="161"/>
    </row>
    <row r="3" spans="1:20" ht="15.75">
      <c r="A3" s="148"/>
      <c r="B3" s="162"/>
      <c r="C3" s="163"/>
      <c r="D3" s="164"/>
      <c r="E3" s="165"/>
      <c r="F3" s="163"/>
      <c r="G3" s="163"/>
      <c r="H3" s="163"/>
      <c r="I3" s="162"/>
      <c r="J3" s="164"/>
      <c r="K3" s="164"/>
      <c r="L3" s="166"/>
      <c r="M3" s="167"/>
      <c r="N3" s="164"/>
      <c r="O3" s="168"/>
      <c r="P3" s="159"/>
      <c r="Q3" s="160"/>
      <c r="R3" s="161"/>
    </row>
    <row r="4" spans="1:20" s="169" customFormat="1" ht="15.75">
      <c r="A4" s="169" t="s">
        <v>253</v>
      </c>
      <c r="B4" s="170" t="e">
        <f>LOOKUP(#REF!,H6:H906,B6:B906)</f>
        <v>#REF!</v>
      </c>
      <c r="C4" s="171"/>
      <c r="D4" s="171"/>
      <c r="E4" s="172"/>
      <c r="F4" s="171"/>
      <c r="G4" s="171"/>
      <c r="H4" s="171" t="e">
        <f>LOOKUP(#REF!,H6:H906)</f>
        <v>#REF!</v>
      </c>
      <c r="I4" s="170"/>
      <c r="J4" s="171"/>
      <c r="K4" s="171"/>
      <c r="L4" s="172"/>
      <c r="M4" s="171"/>
      <c r="N4" s="171"/>
      <c r="O4" s="172"/>
      <c r="P4" s="173"/>
      <c r="Q4" s="173"/>
      <c r="R4" s="173"/>
    </row>
    <row r="5" spans="1:20" ht="15.75">
      <c r="A5" s="148"/>
      <c r="B5" s="162"/>
      <c r="C5" s="163"/>
      <c r="D5" s="164"/>
      <c r="E5" s="165"/>
      <c r="F5" s="163"/>
      <c r="G5" s="163"/>
      <c r="H5" s="163"/>
      <c r="I5" s="162"/>
      <c r="J5" s="164"/>
      <c r="K5" s="164"/>
      <c r="L5" s="166"/>
      <c r="M5" s="167"/>
      <c r="N5" s="164"/>
      <c r="O5" s="168"/>
      <c r="P5" s="159"/>
      <c r="Q5" s="160"/>
      <c r="R5" s="161"/>
    </row>
    <row r="6" spans="1:20" ht="12">
      <c r="A6" s="148"/>
      <c r="B6" s="174" t="s">
        <v>254</v>
      </c>
      <c r="C6" s="175" t="s">
        <v>255</v>
      </c>
      <c r="D6" s="176" t="s">
        <v>256</v>
      </c>
      <c r="E6" s="177" t="s">
        <v>257</v>
      </c>
      <c r="F6" s="175">
        <f t="shared" ref="F6:F69" si="0">LEN(E6)</f>
        <v>10</v>
      </c>
      <c r="G6" s="175" t="str">
        <f t="shared" ref="G6:G69" si="1">MID(E6,2,F6-2)</f>
        <v>Aberdeen</v>
      </c>
      <c r="H6" s="175" t="str">
        <f t="shared" ref="H6:H69" si="2">CONCATENATE(G6,", ",+D6)</f>
        <v>Aberdeen, SD</v>
      </c>
      <c r="I6" s="178" t="s">
        <v>258</v>
      </c>
      <c r="J6" s="27" t="s">
        <v>256</v>
      </c>
      <c r="K6" s="27">
        <v>633</v>
      </c>
      <c r="L6" s="179">
        <v>8446</v>
      </c>
      <c r="M6" s="180" t="s">
        <v>259</v>
      </c>
      <c r="N6" s="181" t="s">
        <v>260</v>
      </c>
      <c r="O6" s="182" t="s">
        <v>261</v>
      </c>
      <c r="P6" s="159"/>
      <c r="Q6" s="160"/>
      <c r="R6" s="161"/>
    </row>
    <row r="7" spans="1:20" ht="12">
      <c r="A7" s="148"/>
      <c r="B7" s="174" t="s">
        <v>262</v>
      </c>
      <c r="C7" s="175" t="s">
        <v>263</v>
      </c>
      <c r="D7" s="176" t="s">
        <v>264</v>
      </c>
      <c r="E7" s="177" t="s">
        <v>265</v>
      </c>
      <c r="F7" s="175">
        <f t="shared" si="0"/>
        <v>9</v>
      </c>
      <c r="G7" s="175" t="str">
        <f t="shared" si="1"/>
        <v>Abilene</v>
      </c>
      <c r="H7" s="175" t="str">
        <f t="shared" si="2"/>
        <v>Abilene, TX</v>
      </c>
      <c r="I7" s="178" t="s">
        <v>266</v>
      </c>
      <c r="J7" s="27" t="s">
        <v>264</v>
      </c>
      <c r="K7" s="27">
        <v>2451</v>
      </c>
      <c r="L7" s="179">
        <v>2584</v>
      </c>
      <c r="M7" s="180" t="s">
        <v>267</v>
      </c>
      <c r="N7" s="181" t="s">
        <v>264</v>
      </c>
      <c r="O7" s="182" t="s">
        <v>268</v>
      </c>
      <c r="P7" s="26"/>
      <c r="Q7" s="27"/>
      <c r="R7" s="183"/>
      <c r="S7" s="27"/>
      <c r="T7" s="27"/>
    </row>
    <row r="8" spans="1:20" ht="12">
      <c r="A8" s="148"/>
      <c r="B8" s="174" t="s">
        <v>269</v>
      </c>
      <c r="C8" s="175" t="s">
        <v>263</v>
      </c>
      <c r="D8" s="176" t="s">
        <v>264</v>
      </c>
      <c r="E8" s="177" t="s">
        <v>265</v>
      </c>
      <c r="F8" s="175">
        <f t="shared" si="0"/>
        <v>9</v>
      </c>
      <c r="G8" s="175" t="str">
        <f t="shared" si="1"/>
        <v>Abilene</v>
      </c>
      <c r="H8" s="175" t="str">
        <f t="shared" si="2"/>
        <v>Abilene, TX</v>
      </c>
      <c r="I8" s="178" t="s">
        <v>266</v>
      </c>
      <c r="J8" s="27" t="s">
        <v>264</v>
      </c>
      <c r="K8" s="27">
        <v>2451</v>
      </c>
      <c r="L8" s="179">
        <v>2584</v>
      </c>
      <c r="M8" s="180" t="s">
        <v>267</v>
      </c>
      <c r="N8" s="181" t="s">
        <v>264</v>
      </c>
      <c r="O8" s="182" t="s">
        <v>268</v>
      </c>
    </row>
    <row r="9" spans="1:20" ht="12">
      <c r="A9" s="148"/>
      <c r="B9" s="186" t="s">
        <v>270</v>
      </c>
      <c r="C9" s="175" t="s">
        <v>271</v>
      </c>
      <c r="D9" s="176" t="s">
        <v>272</v>
      </c>
      <c r="E9" s="177" t="s">
        <v>273</v>
      </c>
      <c r="F9" s="175">
        <f t="shared" si="0"/>
        <v>9</v>
      </c>
      <c r="G9" s="175" t="str">
        <f t="shared" si="1"/>
        <v>Acworth</v>
      </c>
      <c r="H9" s="175" t="str">
        <f t="shared" si="2"/>
        <v>Acworth, NH</v>
      </c>
      <c r="I9" s="178" t="s">
        <v>274</v>
      </c>
      <c r="J9" s="27" t="s">
        <v>272</v>
      </c>
      <c r="K9" s="27">
        <v>328</v>
      </c>
      <c r="L9" s="179">
        <v>7554</v>
      </c>
      <c r="M9" s="180" t="s">
        <v>275</v>
      </c>
      <c r="N9" s="181" t="s">
        <v>272</v>
      </c>
      <c r="O9" s="182" t="s">
        <v>276</v>
      </c>
    </row>
    <row r="10" spans="1:20" ht="12">
      <c r="A10" s="148"/>
      <c r="B10" s="174" t="s">
        <v>277</v>
      </c>
      <c r="C10" s="175" t="s">
        <v>263</v>
      </c>
      <c r="D10" s="176" t="s">
        <v>264</v>
      </c>
      <c r="E10" s="177" t="s">
        <v>278</v>
      </c>
      <c r="F10" s="175">
        <f t="shared" si="0"/>
        <v>8</v>
      </c>
      <c r="G10" s="175" t="str">
        <f t="shared" si="1"/>
        <v>Adrian</v>
      </c>
      <c r="H10" s="175" t="str">
        <f t="shared" si="2"/>
        <v>Adrian, TX</v>
      </c>
      <c r="I10" s="178" t="s">
        <v>279</v>
      </c>
      <c r="J10" s="27" t="s">
        <v>264</v>
      </c>
      <c r="K10" s="27">
        <v>1354</v>
      </c>
      <c r="L10" s="179">
        <v>4258</v>
      </c>
      <c r="M10" s="180" t="s">
        <v>280</v>
      </c>
      <c r="N10" s="181" t="s">
        <v>264</v>
      </c>
      <c r="O10" s="182" t="s">
        <v>281</v>
      </c>
    </row>
    <row r="11" spans="1:20" ht="12">
      <c r="A11" s="148"/>
      <c r="B11" s="174" t="s">
        <v>282</v>
      </c>
      <c r="C11" s="175" t="s">
        <v>283</v>
      </c>
      <c r="D11" s="176" t="s">
        <v>284</v>
      </c>
      <c r="E11" s="177" t="s">
        <v>285</v>
      </c>
      <c r="F11" s="175">
        <f t="shared" si="0"/>
        <v>7</v>
      </c>
      <c r="G11" s="175" t="str">
        <f t="shared" si="1"/>
        <v>Aiken</v>
      </c>
      <c r="H11" s="175" t="str">
        <f t="shared" si="2"/>
        <v>Aiken, SC</v>
      </c>
      <c r="I11" s="178" t="s">
        <v>286</v>
      </c>
      <c r="J11" s="27" t="s">
        <v>284</v>
      </c>
      <c r="K11" s="27">
        <v>1966</v>
      </c>
      <c r="L11" s="179">
        <v>2649</v>
      </c>
      <c r="M11" s="178" t="s">
        <v>287</v>
      </c>
      <c r="N11" s="27" t="s">
        <v>284</v>
      </c>
      <c r="O11" s="182" t="s">
        <v>288</v>
      </c>
      <c r="S11" s="160"/>
      <c r="T11" s="160"/>
    </row>
    <row r="12" spans="1:20" ht="12">
      <c r="A12" s="148"/>
      <c r="B12" s="174" t="s">
        <v>289</v>
      </c>
      <c r="C12" s="175" t="s">
        <v>290</v>
      </c>
      <c r="D12" s="176" t="s">
        <v>291</v>
      </c>
      <c r="E12" s="177" t="s">
        <v>389</v>
      </c>
      <c r="F12" s="175">
        <f t="shared" si="0"/>
        <v>9</v>
      </c>
      <c r="G12" s="175" t="str">
        <f t="shared" si="1"/>
        <v>Aimwell</v>
      </c>
      <c r="H12" s="175" t="str">
        <f t="shared" si="2"/>
        <v>Aimwell, LA</v>
      </c>
      <c r="I12" s="178" t="s">
        <v>390</v>
      </c>
      <c r="J12" s="27" t="s">
        <v>291</v>
      </c>
      <c r="K12" s="27">
        <v>2368</v>
      </c>
      <c r="L12" s="179">
        <v>2264</v>
      </c>
      <c r="M12" s="180" t="s">
        <v>391</v>
      </c>
      <c r="N12" s="181" t="s">
        <v>291</v>
      </c>
      <c r="O12" s="182" t="s">
        <v>392</v>
      </c>
      <c r="S12" s="27"/>
      <c r="T12" s="27"/>
    </row>
    <row r="13" spans="1:20" ht="12">
      <c r="A13" s="148"/>
      <c r="B13" s="174" t="s">
        <v>393</v>
      </c>
      <c r="C13" s="175" t="s">
        <v>394</v>
      </c>
      <c r="D13" s="176" t="s">
        <v>395</v>
      </c>
      <c r="E13" s="177" t="s">
        <v>396</v>
      </c>
      <c r="F13" s="175">
        <f t="shared" si="0"/>
        <v>7</v>
      </c>
      <c r="G13" s="175" t="str">
        <f t="shared" si="1"/>
        <v>Akron</v>
      </c>
      <c r="H13" s="175" t="str">
        <f t="shared" si="2"/>
        <v>Akron, OH</v>
      </c>
      <c r="I13" s="178" t="s">
        <v>397</v>
      </c>
      <c r="J13" s="27" t="s">
        <v>395</v>
      </c>
      <c r="K13" s="27">
        <v>625</v>
      </c>
      <c r="L13" s="179">
        <v>6160</v>
      </c>
      <c r="M13" s="180" t="s">
        <v>398</v>
      </c>
      <c r="N13" s="181" t="s">
        <v>395</v>
      </c>
      <c r="O13" s="182" t="s">
        <v>399</v>
      </c>
      <c r="S13" s="27"/>
      <c r="T13" s="27"/>
    </row>
    <row r="14" spans="1:20" ht="12">
      <c r="A14" s="148"/>
      <c r="B14" s="174" t="s">
        <v>400</v>
      </c>
      <c r="C14" s="175" t="s">
        <v>394</v>
      </c>
      <c r="D14" s="176" t="s">
        <v>395</v>
      </c>
      <c r="E14" s="177" t="s">
        <v>396</v>
      </c>
      <c r="F14" s="175">
        <f t="shared" si="0"/>
        <v>7</v>
      </c>
      <c r="G14" s="175" t="str">
        <f t="shared" si="1"/>
        <v>Akron</v>
      </c>
      <c r="H14" s="175" t="str">
        <f t="shared" si="2"/>
        <v>Akron, OH</v>
      </c>
      <c r="I14" s="178" t="s">
        <v>397</v>
      </c>
      <c r="J14" s="27" t="s">
        <v>395</v>
      </c>
      <c r="K14" s="27">
        <v>625</v>
      </c>
      <c r="L14" s="179">
        <v>6160</v>
      </c>
      <c r="M14" s="180" t="s">
        <v>398</v>
      </c>
      <c r="N14" s="181" t="s">
        <v>395</v>
      </c>
      <c r="O14" s="182" t="s">
        <v>399</v>
      </c>
      <c r="S14" s="27"/>
      <c r="T14" s="27"/>
    </row>
    <row r="15" spans="1:20" ht="12">
      <c r="A15" s="148"/>
      <c r="B15" s="174" t="s">
        <v>401</v>
      </c>
      <c r="C15" s="175" t="s">
        <v>402</v>
      </c>
      <c r="D15" s="176" t="s">
        <v>403</v>
      </c>
      <c r="E15" s="177" t="s">
        <v>404</v>
      </c>
      <c r="F15" s="175">
        <f t="shared" si="0"/>
        <v>9</v>
      </c>
      <c r="G15" s="175" t="str">
        <f t="shared" si="1"/>
        <v>Alamosa</v>
      </c>
      <c r="H15" s="175" t="str">
        <f t="shared" si="2"/>
        <v>Alamosa, CO</v>
      </c>
      <c r="I15" s="178" t="s">
        <v>405</v>
      </c>
      <c r="J15" s="27" t="s">
        <v>403</v>
      </c>
      <c r="K15" s="27">
        <v>62</v>
      </c>
      <c r="L15" s="179">
        <v>8749</v>
      </c>
      <c r="M15" s="178" t="s">
        <v>406</v>
      </c>
      <c r="N15" s="27" t="s">
        <v>403</v>
      </c>
      <c r="O15" s="182" t="s">
        <v>407</v>
      </c>
      <c r="S15" s="27"/>
      <c r="T15" s="27"/>
    </row>
    <row r="16" spans="1:20" ht="12">
      <c r="A16" s="148"/>
      <c r="B16" s="174" t="s">
        <v>408</v>
      </c>
      <c r="C16" s="175" t="s">
        <v>409</v>
      </c>
      <c r="D16" s="176" t="s">
        <v>410</v>
      </c>
      <c r="E16" s="177" t="s">
        <v>411</v>
      </c>
      <c r="F16" s="175">
        <f t="shared" si="0"/>
        <v>8</v>
      </c>
      <c r="G16" s="175" t="str">
        <f t="shared" si="1"/>
        <v>Albany</v>
      </c>
      <c r="H16" s="175" t="str">
        <f t="shared" si="2"/>
        <v>Albany, GA</v>
      </c>
      <c r="I16" s="178" t="s">
        <v>412</v>
      </c>
      <c r="J16" s="27" t="s">
        <v>410</v>
      </c>
      <c r="K16" s="27">
        <v>2284</v>
      </c>
      <c r="L16" s="179">
        <v>2261</v>
      </c>
      <c r="M16" s="180" t="s">
        <v>413</v>
      </c>
      <c r="N16" s="181" t="s">
        <v>410</v>
      </c>
      <c r="O16" s="182" t="s">
        <v>414</v>
      </c>
      <c r="S16" s="27"/>
      <c r="T16" s="27"/>
    </row>
    <row r="17" spans="1:20" ht="12">
      <c r="A17" s="148"/>
      <c r="B17" s="174" t="s">
        <v>415</v>
      </c>
      <c r="C17" s="175" t="s">
        <v>416</v>
      </c>
      <c r="D17" s="176" t="s">
        <v>417</v>
      </c>
      <c r="E17" s="177" t="s">
        <v>411</v>
      </c>
      <c r="F17" s="175">
        <f t="shared" si="0"/>
        <v>8</v>
      </c>
      <c r="G17" s="175" t="str">
        <f t="shared" si="1"/>
        <v>Albany</v>
      </c>
      <c r="H17" s="175" t="str">
        <f t="shared" si="2"/>
        <v>Albany, NY</v>
      </c>
      <c r="I17" s="178" t="s">
        <v>418</v>
      </c>
      <c r="J17" s="27" t="s">
        <v>417</v>
      </c>
      <c r="K17" s="27">
        <v>507</v>
      </c>
      <c r="L17" s="179">
        <v>6894</v>
      </c>
      <c r="M17" s="180" t="s">
        <v>419</v>
      </c>
      <c r="N17" s="181" t="s">
        <v>417</v>
      </c>
      <c r="O17" s="182" t="s">
        <v>420</v>
      </c>
      <c r="S17" s="27"/>
      <c r="T17" s="27"/>
    </row>
    <row r="18" spans="1:20" ht="12">
      <c r="A18" s="148"/>
      <c r="B18" s="174" t="s">
        <v>421</v>
      </c>
      <c r="C18" s="175" t="s">
        <v>416</v>
      </c>
      <c r="D18" s="176" t="s">
        <v>417</v>
      </c>
      <c r="E18" s="177" t="s">
        <v>411</v>
      </c>
      <c r="F18" s="175">
        <f t="shared" si="0"/>
        <v>8</v>
      </c>
      <c r="G18" s="175" t="str">
        <f t="shared" si="1"/>
        <v>Albany</v>
      </c>
      <c r="H18" s="175" t="str">
        <f t="shared" si="2"/>
        <v>Albany, NY</v>
      </c>
      <c r="I18" s="178" t="s">
        <v>418</v>
      </c>
      <c r="J18" s="27" t="s">
        <v>417</v>
      </c>
      <c r="K18" s="27">
        <v>507</v>
      </c>
      <c r="L18" s="179">
        <v>6894</v>
      </c>
      <c r="M18" s="180" t="s">
        <v>419</v>
      </c>
      <c r="N18" s="181" t="s">
        <v>417</v>
      </c>
      <c r="O18" s="182" t="s">
        <v>420</v>
      </c>
      <c r="S18" s="27"/>
      <c r="T18" s="27"/>
    </row>
    <row r="19" spans="1:20" ht="12">
      <c r="A19" s="148"/>
      <c r="B19" s="174" t="s">
        <v>422</v>
      </c>
      <c r="C19" s="175" t="s">
        <v>416</v>
      </c>
      <c r="D19" s="176" t="s">
        <v>417</v>
      </c>
      <c r="E19" s="177" t="s">
        <v>411</v>
      </c>
      <c r="F19" s="175">
        <f t="shared" si="0"/>
        <v>8</v>
      </c>
      <c r="G19" s="175" t="str">
        <f t="shared" si="1"/>
        <v>Albany</v>
      </c>
      <c r="H19" s="175" t="str">
        <f t="shared" si="2"/>
        <v>Albany, NY</v>
      </c>
      <c r="I19" s="178" t="s">
        <v>418</v>
      </c>
      <c r="J19" s="27" t="s">
        <v>417</v>
      </c>
      <c r="K19" s="27">
        <v>507</v>
      </c>
      <c r="L19" s="179">
        <v>6894</v>
      </c>
      <c r="M19" s="180" t="s">
        <v>419</v>
      </c>
      <c r="N19" s="181" t="s">
        <v>417</v>
      </c>
      <c r="O19" s="182" t="s">
        <v>420</v>
      </c>
      <c r="S19" s="27"/>
      <c r="T19" s="27"/>
    </row>
    <row r="20" spans="1:20" ht="12">
      <c r="A20" s="148"/>
      <c r="B20" s="174" t="s">
        <v>423</v>
      </c>
      <c r="C20" s="175" t="s">
        <v>424</v>
      </c>
      <c r="D20" s="176" t="s">
        <v>425</v>
      </c>
      <c r="E20" s="177" t="s">
        <v>426</v>
      </c>
      <c r="F20" s="175">
        <f t="shared" si="0"/>
        <v>13</v>
      </c>
      <c r="G20" s="175" t="str">
        <f t="shared" si="1"/>
        <v>Albuquerque</v>
      </c>
      <c r="H20" s="175" t="str">
        <f t="shared" si="2"/>
        <v>Albuquerque, NM</v>
      </c>
      <c r="I20" s="178" t="s">
        <v>427</v>
      </c>
      <c r="J20" s="27" t="s">
        <v>425</v>
      </c>
      <c r="K20" s="27">
        <v>1244</v>
      </c>
      <c r="L20" s="179">
        <v>4425</v>
      </c>
      <c r="M20" s="180" t="s">
        <v>428</v>
      </c>
      <c r="N20" s="181" t="s">
        <v>425</v>
      </c>
      <c r="O20" s="182" t="s">
        <v>429</v>
      </c>
      <c r="S20" s="27"/>
      <c r="T20" s="27"/>
    </row>
    <row r="21" spans="1:20" ht="12">
      <c r="A21" s="148"/>
      <c r="B21" s="174" t="s">
        <v>430</v>
      </c>
      <c r="C21" s="175" t="s">
        <v>424</v>
      </c>
      <c r="D21" s="176" t="s">
        <v>425</v>
      </c>
      <c r="E21" s="177" t="s">
        <v>426</v>
      </c>
      <c r="F21" s="175">
        <f t="shared" si="0"/>
        <v>13</v>
      </c>
      <c r="G21" s="175" t="str">
        <f t="shared" si="1"/>
        <v>Albuquerque</v>
      </c>
      <c r="H21" s="175" t="str">
        <f t="shared" si="2"/>
        <v>Albuquerque, NM</v>
      </c>
      <c r="I21" s="178" t="s">
        <v>427</v>
      </c>
      <c r="J21" s="27" t="s">
        <v>425</v>
      </c>
      <c r="K21" s="27">
        <v>1244</v>
      </c>
      <c r="L21" s="179">
        <v>4425</v>
      </c>
      <c r="M21" s="180" t="s">
        <v>428</v>
      </c>
      <c r="N21" s="181" t="s">
        <v>425</v>
      </c>
      <c r="O21" s="182" t="s">
        <v>429</v>
      </c>
      <c r="S21" s="27"/>
      <c r="T21" s="27"/>
    </row>
    <row r="22" spans="1:20" ht="12">
      <c r="A22" s="148"/>
      <c r="B22" s="174" t="s">
        <v>431</v>
      </c>
      <c r="C22" s="175" t="s">
        <v>290</v>
      </c>
      <c r="D22" s="176" t="s">
        <v>291</v>
      </c>
      <c r="E22" s="177" t="s">
        <v>432</v>
      </c>
      <c r="F22" s="175">
        <f t="shared" si="0"/>
        <v>12</v>
      </c>
      <c r="G22" s="175" t="str">
        <f t="shared" si="1"/>
        <v>Alexandria</v>
      </c>
      <c r="H22" s="175" t="str">
        <f t="shared" si="2"/>
        <v>Alexandria, LA</v>
      </c>
      <c r="I22" s="178" t="s">
        <v>390</v>
      </c>
      <c r="J22" s="27" t="s">
        <v>291</v>
      </c>
      <c r="K22" s="27">
        <v>2368</v>
      </c>
      <c r="L22" s="179">
        <v>2264</v>
      </c>
      <c r="M22" s="180" t="s">
        <v>391</v>
      </c>
      <c r="N22" s="181" t="s">
        <v>291</v>
      </c>
      <c r="O22" s="182" t="s">
        <v>392</v>
      </c>
      <c r="S22" s="27"/>
      <c r="T22" s="27"/>
    </row>
    <row r="23" spans="1:20" ht="12">
      <c r="A23" s="148"/>
      <c r="B23" s="174" t="s">
        <v>433</v>
      </c>
      <c r="C23" s="175" t="s">
        <v>434</v>
      </c>
      <c r="D23" s="176" t="s">
        <v>435</v>
      </c>
      <c r="E23" s="177" t="s">
        <v>432</v>
      </c>
      <c r="F23" s="175">
        <f t="shared" si="0"/>
        <v>12</v>
      </c>
      <c r="G23" s="175" t="str">
        <f t="shared" si="1"/>
        <v>Alexandria</v>
      </c>
      <c r="H23" s="175" t="str">
        <f t="shared" si="2"/>
        <v>Alexandria, VA</v>
      </c>
      <c r="I23" s="178" t="s">
        <v>436</v>
      </c>
      <c r="J23" s="27" t="s">
        <v>437</v>
      </c>
      <c r="K23" s="27">
        <v>1549</v>
      </c>
      <c r="L23" s="179">
        <v>4047</v>
      </c>
      <c r="M23" s="180" t="s">
        <v>438</v>
      </c>
      <c r="N23" s="181" t="s">
        <v>439</v>
      </c>
      <c r="O23" s="182" t="s">
        <v>440</v>
      </c>
      <c r="S23" s="27"/>
      <c r="T23" s="27"/>
    </row>
    <row r="24" spans="1:20" ht="12">
      <c r="A24" s="148"/>
      <c r="B24" s="174" t="s">
        <v>441</v>
      </c>
      <c r="C24" s="175" t="s">
        <v>442</v>
      </c>
      <c r="D24" s="176" t="s">
        <v>443</v>
      </c>
      <c r="E24" s="177" t="s">
        <v>444</v>
      </c>
      <c r="F24" s="175">
        <f t="shared" si="0"/>
        <v>10</v>
      </c>
      <c r="G24" s="175" t="str">
        <f t="shared" si="1"/>
        <v>Alhambra</v>
      </c>
      <c r="H24" s="175" t="str">
        <f t="shared" si="2"/>
        <v>Alhambra, CA</v>
      </c>
      <c r="I24" s="178" t="s">
        <v>445</v>
      </c>
      <c r="J24" s="27" t="s">
        <v>443</v>
      </c>
      <c r="K24" s="27">
        <v>1537</v>
      </c>
      <c r="L24" s="179">
        <v>1154</v>
      </c>
      <c r="M24" s="178" t="s">
        <v>446</v>
      </c>
      <c r="N24" s="27" t="s">
        <v>443</v>
      </c>
      <c r="O24" s="182" t="s">
        <v>447</v>
      </c>
      <c r="S24" s="27"/>
      <c r="T24" s="27"/>
    </row>
    <row r="25" spans="1:20" ht="12">
      <c r="A25" s="148"/>
      <c r="B25" s="174" t="s">
        <v>448</v>
      </c>
      <c r="C25" s="175" t="s">
        <v>449</v>
      </c>
      <c r="D25" s="176" t="s">
        <v>450</v>
      </c>
      <c r="E25" s="177" t="s">
        <v>451</v>
      </c>
      <c r="F25" s="175">
        <f t="shared" si="0"/>
        <v>11</v>
      </c>
      <c r="G25" s="175" t="str">
        <f t="shared" si="1"/>
        <v>Allentown</v>
      </c>
      <c r="H25" s="175" t="str">
        <f t="shared" si="2"/>
        <v>Allentown, PA</v>
      </c>
      <c r="I25" s="178" t="s">
        <v>452</v>
      </c>
      <c r="J25" s="27" t="s">
        <v>450</v>
      </c>
      <c r="K25" s="27">
        <v>773</v>
      </c>
      <c r="L25" s="179">
        <v>5785</v>
      </c>
      <c r="M25" s="178" t="s">
        <v>453</v>
      </c>
      <c r="N25" s="27" t="s">
        <v>450</v>
      </c>
      <c r="O25" s="182" t="s">
        <v>454</v>
      </c>
      <c r="S25" s="27"/>
      <c r="T25" s="27"/>
    </row>
    <row r="26" spans="1:20" ht="12">
      <c r="A26" s="148"/>
      <c r="B26" s="174" t="s">
        <v>455</v>
      </c>
      <c r="C26" s="175" t="s">
        <v>456</v>
      </c>
      <c r="D26" s="176" t="s">
        <v>457</v>
      </c>
      <c r="E26" s="177" t="s">
        <v>458</v>
      </c>
      <c r="F26" s="175">
        <f t="shared" si="0"/>
        <v>10</v>
      </c>
      <c r="G26" s="175" t="str">
        <f t="shared" si="1"/>
        <v>Alliance</v>
      </c>
      <c r="H26" s="175" t="str">
        <f t="shared" si="2"/>
        <v>Alliance, NE</v>
      </c>
      <c r="I26" s="178" t="s">
        <v>459</v>
      </c>
      <c r="J26" s="27" t="s">
        <v>256</v>
      </c>
      <c r="K26" s="27">
        <v>611</v>
      </c>
      <c r="L26" s="179">
        <v>7301</v>
      </c>
      <c r="M26" s="180" t="s">
        <v>460</v>
      </c>
      <c r="N26" s="181" t="s">
        <v>256</v>
      </c>
      <c r="O26" s="182" t="s">
        <v>461</v>
      </c>
      <c r="S26" s="27"/>
      <c r="T26" s="27"/>
    </row>
    <row r="27" spans="1:20" ht="12">
      <c r="A27" s="148"/>
      <c r="B27" s="174" t="s">
        <v>462</v>
      </c>
      <c r="C27" s="175" t="s">
        <v>449</v>
      </c>
      <c r="D27" s="176" t="s">
        <v>450</v>
      </c>
      <c r="E27" s="177" t="s">
        <v>463</v>
      </c>
      <c r="F27" s="175">
        <f t="shared" si="0"/>
        <v>9</v>
      </c>
      <c r="G27" s="175" t="str">
        <f t="shared" si="1"/>
        <v>Altoona</v>
      </c>
      <c r="H27" s="175" t="str">
        <f t="shared" si="2"/>
        <v>Altoona, PA</v>
      </c>
      <c r="I27" s="178" t="s">
        <v>464</v>
      </c>
      <c r="J27" s="27" t="s">
        <v>450</v>
      </c>
      <c r="K27" s="27">
        <v>654</v>
      </c>
      <c r="L27" s="179">
        <v>5968</v>
      </c>
      <c r="M27" s="180" t="s">
        <v>465</v>
      </c>
      <c r="N27" s="181" t="s">
        <v>450</v>
      </c>
      <c r="O27" s="182" t="s">
        <v>466</v>
      </c>
      <c r="S27" s="27"/>
      <c r="T27" s="27"/>
    </row>
    <row r="28" spans="1:20" ht="12">
      <c r="A28" s="148"/>
      <c r="B28" s="174" t="s">
        <v>467</v>
      </c>
      <c r="C28" s="175" t="s">
        <v>263</v>
      </c>
      <c r="D28" s="176" t="s">
        <v>264</v>
      </c>
      <c r="E28" s="177" t="s">
        <v>468</v>
      </c>
      <c r="F28" s="175">
        <f t="shared" si="0"/>
        <v>10</v>
      </c>
      <c r="G28" s="175" t="str">
        <f t="shared" si="1"/>
        <v>Amarillo</v>
      </c>
      <c r="H28" s="175" t="str">
        <f t="shared" si="2"/>
        <v>Amarillo, TX</v>
      </c>
      <c r="I28" s="178" t="s">
        <v>279</v>
      </c>
      <c r="J28" s="27" t="s">
        <v>264</v>
      </c>
      <c r="K28" s="27">
        <v>1354</v>
      </c>
      <c r="L28" s="179">
        <v>4258</v>
      </c>
      <c r="M28" s="180" t="s">
        <v>280</v>
      </c>
      <c r="N28" s="181" t="s">
        <v>264</v>
      </c>
      <c r="O28" s="182" t="s">
        <v>281</v>
      </c>
      <c r="S28" s="27"/>
      <c r="T28" s="27"/>
    </row>
    <row r="29" spans="1:20" ht="12">
      <c r="A29" s="148"/>
      <c r="B29" s="174" t="s">
        <v>469</v>
      </c>
      <c r="C29" s="175" t="s">
        <v>442</v>
      </c>
      <c r="D29" s="176" t="s">
        <v>443</v>
      </c>
      <c r="E29" s="177" t="s">
        <v>470</v>
      </c>
      <c r="F29" s="175">
        <f t="shared" si="0"/>
        <v>9</v>
      </c>
      <c r="G29" s="175" t="str">
        <f t="shared" si="1"/>
        <v>Anaheim</v>
      </c>
      <c r="H29" s="175" t="str">
        <f t="shared" si="2"/>
        <v>Anaheim, CA</v>
      </c>
      <c r="I29" s="178" t="s">
        <v>471</v>
      </c>
      <c r="J29" s="27" t="s">
        <v>443</v>
      </c>
      <c r="K29" s="27">
        <v>1201</v>
      </c>
      <c r="L29" s="179">
        <v>1430</v>
      </c>
      <c r="M29" s="178" t="s">
        <v>446</v>
      </c>
      <c r="N29" s="27" t="s">
        <v>443</v>
      </c>
      <c r="O29" s="182" t="s">
        <v>447</v>
      </c>
    </row>
    <row r="30" spans="1:20" ht="12">
      <c r="A30" s="148"/>
      <c r="B30" s="174" t="s">
        <v>472</v>
      </c>
      <c r="C30" s="175" t="s">
        <v>473</v>
      </c>
      <c r="D30" s="176" t="s">
        <v>474</v>
      </c>
      <c r="E30" s="177" t="s">
        <v>475</v>
      </c>
      <c r="F30" s="175">
        <f t="shared" si="0"/>
        <v>11</v>
      </c>
      <c r="G30" s="175" t="str">
        <f t="shared" si="1"/>
        <v>Anchorage</v>
      </c>
      <c r="H30" s="175" t="str">
        <f t="shared" si="2"/>
        <v>Anchorage, AK</v>
      </c>
      <c r="I30" s="178" t="s">
        <v>476</v>
      </c>
      <c r="J30" s="27" t="s">
        <v>474</v>
      </c>
      <c r="K30" s="27">
        <v>0</v>
      </c>
      <c r="L30" s="179">
        <v>10570</v>
      </c>
      <c r="M30" s="178" t="s">
        <v>477</v>
      </c>
      <c r="N30" s="27" t="s">
        <v>474</v>
      </c>
      <c r="O30" s="187" t="s">
        <v>478</v>
      </c>
      <c r="S30" s="27"/>
      <c r="T30" s="27"/>
    </row>
    <row r="31" spans="1:20" ht="12">
      <c r="A31" s="148"/>
      <c r="B31" s="174" t="s">
        <v>479</v>
      </c>
      <c r="C31" s="175" t="s">
        <v>473</v>
      </c>
      <c r="D31" s="176" t="s">
        <v>474</v>
      </c>
      <c r="E31" s="177" t="s">
        <v>475</v>
      </c>
      <c r="F31" s="175">
        <f t="shared" si="0"/>
        <v>11</v>
      </c>
      <c r="G31" s="175" t="str">
        <f t="shared" si="1"/>
        <v>Anchorage</v>
      </c>
      <c r="H31" s="175" t="str">
        <f t="shared" si="2"/>
        <v>Anchorage, AK</v>
      </c>
      <c r="I31" s="178" t="s">
        <v>476</v>
      </c>
      <c r="J31" s="27" t="s">
        <v>474</v>
      </c>
      <c r="K31" s="27">
        <v>0</v>
      </c>
      <c r="L31" s="179">
        <v>10570</v>
      </c>
      <c r="M31" s="178" t="s">
        <v>477</v>
      </c>
      <c r="N31" s="27" t="s">
        <v>474</v>
      </c>
      <c r="O31" s="187" t="s">
        <v>478</v>
      </c>
    </row>
    <row r="32" spans="1:20" ht="12">
      <c r="A32" s="148"/>
      <c r="B32" s="174" t="s">
        <v>480</v>
      </c>
      <c r="C32" s="175" t="s">
        <v>481</v>
      </c>
      <c r="D32" s="176" t="s">
        <v>482</v>
      </c>
      <c r="E32" s="177" t="s">
        <v>483</v>
      </c>
      <c r="F32" s="175">
        <f t="shared" si="0"/>
        <v>9</v>
      </c>
      <c r="G32" s="175" t="str">
        <f t="shared" si="1"/>
        <v>Andrews</v>
      </c>
      <c r="H32" s="175" t="str">
        <f t="shared" si="2"/>
        <v>Andrews, NC</v>
      </c>
      <c r="I32" s="178" t="s">
        <v>484</v>
      </c>
      <c r="J32" s="27" t="s">
        <v>485</v>
      </c>
      <c r="K32" s="27">
        <v>1266</v>
      </c>
      <c r="L32" s="179">
        <v>3937</v>
      </c>
      <c r="M32" s="180" t="s">
        <v>486</v>
      </c>
      <c r="N32" s="181" t="s">
        <v>485</v>
      </c>
      <c r="O32" s="182" t="s">
        <v>487</v>
      </c>
      <c r="S32" s="27"/>
      <c r="T32" s="27"/>
    </row>
    <row r="33" spans="1:20" ht="12">
      <c r="A33" s="148"/>
      <c r="B33" s="174" t="s">
        <v>488</v>
      </c>
      <c r="C33" s="175" t="s">
        <v>489</v>
      </c>
      <c r="D33" s="176" t="s">
        <v>490</v>
      </c>
      <c r="E33" s="177" t="s">
        <v>491</v>
      </c>
      <c r="F33" s="175">
        <f t="shared" si="0"/>
        <v>11</v>
      </c>
      <c r="G33" s="175" t="str">
        <f t="shared" si="1"/>
        <v>Ann Arbor</v>
      </c>
      <c r="H33" s="175" t="str">
        <f t="shared" si="2"/>
        <v>Ann Arbor, MI</v>
      </c>
      <c r="I33" s="178" t="s">
        <v>492</v>
      </c>
      <c r="J33" s="27" t="s">
        <v>490</v>
      </c>
      <c r="K33" s="27">
        <v>626</v>
      </c>
      <c r="L33" s="179">
        <v>6569</v>
      </c>
      <c r="M33" s="178" t="s">
        <v>493</v>
      </c>
      <c r="N33" s="27" t="s">
        <v>490</v>
      </c>
      <c r="O33" s="182" t="s">
        <v>494</v>
      </c>
      <c r="S33" s="27"/>
      <c r="T33" s="27"/>
    </row>
    <row r="34" spans="1:20" ht="12">
      <c r="A34" s="148"/>
      <c r="B34" s="174" t="s">
        <v>495</v>
      </c>
      <c r="C34" s="175" t="s">
        <v>496</v>
      </c>
      <c r="D34" s="176" t="s">
        <v>439</v>
      </c>
      <c r="E34" s="177" t="s">
        <v>497</v>
      </c>
      <c r="F34" s="175">
        <f t="shared" si="0"/>
        <v>11</v>
      </c>
      <c r="G34" s="175" t="str">
        <f t="shared" si="1"/>
        <v>Annapolis</v>
      </c>
      <c r="H34" s="175" t="str">
        <f t="shared" si="2"/>
        <v>Annapolis, MD</v>
      </c>
      <c r="I34" s="178" t="s">
        <v>498</v>
      </c>
      <c r="J34" s="27" t="s">
        <v>439</v>
      </c>
      <c r="K34" s="27">
        <v>1137</v>
      </c>
      <c r="L34" s="179">
        <v>4707</v>
      </c>
      <c r="M34" s="180" t="s">
        <v>499</v>
      </c>
      <c r="N34" s="181" t="s">
        <v>439</v>
      </c>
      <c r="O34" s="182" t="s">
        <v>500</v>
      </c>
    </row>
    <row r="35" spans="1:20" ht="12">
      <c r="A35" s="148"/>
      <c r="B35" s="174" t="s">
        <v>501</v>
      </c>
      <c r="C35" s="175" t="s">
        <v>502</v>
      </c>
      <c r="D35" s="176" t="s">
        <v>503</v>
      </c>
      <c r="E35" s="177" t="s">
        <v>504</v>
      </c>
      <c r="F35" s="175">
        <f t="shared" si="0"/>
        <v>10</v>
      </c>
      <c r="G35" s="175" t="str">
        <f t="shared" si="1"/>
        <v>Anniston</v>
      </c>
      <c r="H35" s="175" t="str">
        <f t="shared" si="2"/>
        <v>Anniston, AL</v>
      </c>
      <c r="I35" s="178" t="s">
        <v>505</v>
      </c>
      <c r="J35" s="27" t="s">
        <v>503</v>
      </c>
      <c r="K35" s="27">
        <v>1797</v>
      </c>
      <c r="L35" s="179">
        <v>2918</v>
      </c>
      <c r="M35" s="180" t="s">
        <v>506</v>
      </c>
      <c r="N35" s="181" t="s">
        <v>503</v>
      </c>
      <c r="O35" s="182" t="s">
        <v>507</v>
      </c>
      <c r="S35" s="27"/>
      <c r="T35" s="27"/>
    </row>
    <row r="36" spans="1:20" ht="12">
      <c r="A36" s="148"/>
      <c r="B36" s="174" t="s">
        <v>508</v>
      </c>
      <c r="C36" s="175" t="s">
        <v>509</v>
      </c>
      <c r="D36" s="176" t="s">
        <v>510</v>
      </c>
      <c r="E36" s="177" t="s">
        <v>511</v>
      </c>
      <c r="F36" s="175">
        <f t="shared" si="0"/>
        <v>9</v>
      </c>
      <c r="G36" s="175" t="str">
        <f t="shared" si="1"/>
        <v>Ardmore</v>
      </c>
      <c r="H36" s="175" t="str">
        <f t="shared" si="2"/>
        <v>Ardmore, OK</v>
      </c>
      <c r="I36" s="178" t="s">
        <v>512</v>
      </c>
      <c r="J36" s="27" t="s">
        <v>264</v>
      </c>
      <c r="K36" s="27">
        <v>2603</v>
      </c>
      <c r="L36" s="179">
        <v>2407</v>
      </c>
      <c r="M36" s="180" t="s">
        <v>513</v>
      </c>
      <c r="N36" s="181" t="s">
        <v>264</v>
      </c>
      <c r="O36" s="182" t="s">
        <v>514</v>
      </c>
      <c r="S36" s="27"/>
      <c r="T36" s="27"/>
    </row>
    <row r="37" spans="1:20" ht="12">
      <c r="A37" s="148"/>
      <c r="B37" s="174" t="s">
        <v>515</v>
      </c>
      <c r="C37" s="175" t="s">
        <v>434</v>
      </c>
      <c r="D37" s="176" t="s">
        <v>435</v>
      </c>
      <c r="E37" s="177" t="s">
        <v>516</v>
      </c>
      <c r="F37" s="175">
        <f t="shared" si="0"/>
        <v>11</v>
      </c>
      <c r="G37" s="175" t="str">
        <f t="shared" si="1"/>
        <v>Arlington</v>
      </c>
      <c r="H37" s="175" t="str">
        <f t="shared" si="2"/>
        <v>Arlington, VA</v>
      </c>
      <c r="I37" s="178" t="s">
        <v>436</v>
      </c>
      <c r="J37" s="27" t="s">
        <v>437</v>
      </c>
      <c r="K37" s="27">
        <v>1549</v>
      </c>
      <c r="L37" s="179">
        <v>4047</v>
      </c>
      <c r="M37" s="180" t="s">
        <v>438</v>
      </c>
      <c r="N37" s="181" t="s">
        <v>439</v>
      </c>
      <c r="O37" s="182" t="s">
        <v>440</v>
      </c>
    </row>
    <row r="38" spans="1:20" ht="12">
      <c r="A38" s="148"/>
      <c r="B38" s="174" t="s">
        <v>517</v>
      </c>
      <c r="C38" s="175" t="s">
        <v>481</v>
      </c>
      <c r="D38" s="176" t="s">
        <v>482</v>
      </c>
      <c r="E38" s="177" t="s">
        <v>518</v>
      </c>
      <c r="F38" s="175">
        <f t="shared" si="0"/>
        <v>11</v>
      </c>
      <c r="G38" s="175" t="str">
        <f t="shared" si="1"/>
        <v>Asheville</v>
      </c>
      <c r="H38" s="175" t="str">
        <f t="shared" si="2"/>
        <v>Asheville, NC</v>
      </c>
      <c r="I38" s="178" t="s">
        <v>519</v>
      </c>
      <c r="J38" s="27" t="s">
        <v>485</v>
      </c>
      <c r="K38" s="27">
        <v>972</v>
      </c>
      <c r="L38" s="179">
        <v>4406</v>
      </c>
      <c r="M38" s="180" t="s">
        <v>520</v>
      </c>
      <c r="N38" s="181" t="s">
        <v>482</v>
      </c>
      <c r="O38" s="182" t="s">
        <v>521</v>
      </c>
      <c r="S38" s="27"/>
      <c r="T38" s="27"/>
    </row>
    <row r="39" spans="1:20" ht="12">
      <c r="A39" s="148"/>
      <c r="B39" s="174" t="s">
        <v>522</v>
      </c>
      <c r="C39" s="175" t="s">
        <v>481</v>
      </c>
      <c r="D39" s="176" t="s">
        <v>482</v>
      </c>
      <c r="E39" s="177" t="s">
        <v>518</v>
      </c>
      <c r="F39" s="175">
        <f t="shared" si="0"/>
        <v>11</v>
      </c>
      <c r="G39" s="175" t="str">
        <f t="shared" si="1"/>
        <v>Asheville</v>
      </c>
      <c r="H39" s="175" t="str">
        <f t="shared" si="2"/>
        <v>Asheville, NC</v>
      </c>
      <c r="I39" s="178" t="s">
        <v>523</v>
      </c>
      <c r="J39" s="27" t="s">
        <v>482</v>
      </c>
      <c r="K39" s="27">
        <v>787</v>
      </c>
      <c r="L39" s="179">
        <v>4308</v>
      </c>
      <c r="M39" s="180" t="s">
        <v>520</v>
      </c>
      <c r="N39" s="181" t="s">
        <v>482</v>
      </c>
      <c r="O39" s="182" t="s">
        <v>521</v>
      </c>
    </row>
    <row r="40" spans="1:20" ht="12">
      <c r="A40" s="148"/>
      <c r="B40" s="174" t="s">
        <v>524</v>
      </c>
      <c r="C40" s="175" t="s">
        <v>525</v>
      </c>
      <c r="D40" s="176" t="s">
        <v>526</v>
      </c>
      <c r="E40" s="177" t="s">
        <v>527</v>
      </c>
      <c r="F40" s="175">
        <f t="shared" si="0"/>
        <v>9</v>
      </c>
      <c r="G40" s="175" t="str">
        <f t="shared" si="1"/>
        <v>Ashland</v>
      </c>
      <c r="H40" s="175" t="str">
        <f t="shared" si="2"/>
        <v>Ashland, KY</v>
      </c>
      <c r="I40" s="178" t="s">
        <v>1525</v>
      </c>
      <c r="J40" s="27" t="s">
        <v>526</v>
      </c>
      <c r="K40" s="27">
        <v>1140</v>
      </c>
      <c r="L40" s="179">
        <v>4783</v>
      </c>
      <c r="M40" s="180" t="s">
        <v>1526</v>
      </c>
      <c r="N40" s="181" t="s">
        <v>526</v>
      </c>
      <c r="O40" s="182" t="s">
        <v>1527</v>
      </c>
      <c r="S40" s="27"/>
      <c r="T40" s="27"/>
    </row>
    <row r="41" spans="1:20" ht="12">
      <c r="A41" s="148"/>
      <c r="B41" s="174" t="s">
        <v>1528</v>
      </c>
      <c r="C41" s="175" t="s">
        <v>525</v>
      </c>
      <c r="D41" s="176" t="s">
        <v>526</v>
      </c>
      <c r="E41" s="177" t="s">
        <v>527</v>
      </c>
      <c r="F41" s="175">
        <f t="shared" si="0"/>
        <v>9</v>
      </c>
      <c r="G41" s="175" t="str">
        <f t="shared" si="1"/>
        <v>Ashland</v>
      </c>
      <c r="H41" s="175" t="str">
        <f t="shared" si="2"/>
        <v>Ashland, KY</v>
      </c>
      <c r="I41" s="178" t="s">
        <v>1529</v>
      </c>
      <c r="J41" s="27" t="s">
        <v>1530</v>
      </c>
      <c r="K41" s="27">
        <v>1005</v>
      </c>
      <c r="L41" s="179">
        <v>4665</v>
      </c>
      <c r="M41" s="180" t="s">
        <v>1531</v>
      </c>
      <c r="N41" s="181" t="s">
        <v>1530</v>
      </c>
      <c r="O41" s="182" t="s">
        <v>1532</v>
      </c>
    </row>
    <row r="42" spans="1:20" ht="12">
      <c r="A42" s="148"/>
      <c r="B42" s="174" t="s">
        <v>1533</v>
      </c>
      <c r="C42" s="175" t="s">
        <v>409</v>
      </c>
      <c r="D42" s="176" t="s">
        <v>410</v>
      </c>
      <c r="E42" s="177" t="s">
        <v>1534</v>
      </c>
      <c r="F42" s="175">
        <f t="shared" si="0"/>
        <v>8</v>
      </c>
      <c r="G42" s="175" t="str">
        <f t="shared" si="1"/>
        <v>Athens</v>
      </c>
      <c r="H42" s="175" t="str">
        <f t="shared" si="2"/>
        <v>Athens, GA</v>
      </c>
      <c r="I42" s="178" t="s">
        <v>1535</v>
      </c>
      <c r="J42" s="27" t="s">
        <v>410</v>
      </c>
      <c r="K42" s="27">
        <v>1709</v>
      </c>
      <c r="L42" s="179">
        <v>2893</v>
      </c>
      <c r="M42" s="178" t="s">
        <v>1536</v>
      </c>
      <c r="N42" s="27" t="s">
        <v>410</v>
      </c>
      <c r="O42" s="182" t="s">
        <v>1537</v>
      </c>
      <c r="S42" s="27"/>
      <c r="T42" s="27"/>
    </row>
    <row r="43" spans="1:20" ht="12">
      <c r="A43" s="148"/>
      <c r="B43" s="174" t="s">
        <v>1538</v>
      </c>
      <c r="C43" s="175" t="s">
        <v>394</v>
      </c>
      <c r="D43" s="176" t="s">
        <v>395</v>
      </c>
      <c r="E43" s="177" t="s">
        <v>1534</v>
      </c>
      <c r="F43" s="175">
        <f t="shared" si="0"/>
        <v>8</v>
      </c>
      <c r="G43" s="175" t="str">
        <f t="shared" si="1"/>
        <v>Athens</v>
      </c>
      <c r="H43" s="175" t="str">
        <f t="shared" si="2"/>
        <v>Athens, OH</v>
      </c>
      <c r="I43" s="178" t="s">
        <v>1539</v>
      </c>
      <c r="J43" s="27" t="s">
        <v>395</v>
      </c>
      <c r="K43" s="27">
        <v>797</v>
      </c>
      <c r="L43" s="179">
        <v>5708</v>
      </c>
      <c r="M43" s="180" t="s">
        <v>413</v>
      </c>
      <c r="N43" s="181" t="s">
        <v>395</v>
      </c>
      <c r="O43" s="182" t="s">
        <v>1540</v>
      </c>
    </row>
    <row r="44" spans="1:20" ht="12">
      <c r="A44" s="148"/>
      <c r="B44" s="174" t="s">
        <v>1541</v>
      </c>
      <c r="C44" s="175" t="s">
        <v>409</v>
      </c>
      <c r="D44" s="176" t="s">
        <v>410</v>
      </c>
      <c r="E44" s="177" t="s">
        <v>1542</v>
      </c>
      <c r="F44" s="175">
        <f t="shared" si="0"/>
        <v>9</v>
      </c>
      <c r="G44" s="175" t="str">
        <f t="shared" si="1"/>
        <v>Atlanta</v>
      </c>
      <c r="H44" s="175" t="str">
        <f t="shared" si="2"/>
        <v>Atlanta, GA</v>
      </c>
      <c r="I44" s="178" t="s">
        <v>1543</v>
      </c>
      <c r="J44" s="27" t="s">
        <v>410</v>
      </c>
      <c r="K44" s="27">
        <v>1667</v>
      </c>
      <c r="L44" s="179">
        <v>2991</v>
      </c>
      <c r="M44" s="178" t="s">
        <v>1536</v>
      </c>
      <c r="N44" s="27" t="s">
        <v>410</v>
      </c>
      <c r="O44" s="182" t="s">
        <v>1537</v>
      </c>
      <c r="S44" s="27"/>
      <c r="T44" s="27"/>
    </row>
    <row r="45" spans="1:20" ht="12">
      <c r="A45" s="148"/>
      <c r="B45" s="174" t="s">
        <v>1544</v>
      </c>
      <c r="C45" s="175" t="s">
        <v>409</v>
      </c>
      <c r="D45" s="176" t="s">
        <v>410</v>
      </c>
      <c r="E45" s="177" t="s">
        <v>1542</v>
      </c>
      <c r="F45" s="175">
        <f t="shared" si="0"/>
        <v>9</v>
      </c>
      <c r="G45" s="175" t="str">
        <f t="shared" si="1"/>
        <v>Atlanta</v>
      </c>
      <c r="H45" s="175" t="str">
        <f t="shared" si="2"/>
        <v>Atlanta, GA</v>
      </c>
      <c r="I45" s="178" t="s">
        <v>1543</v>
      </c>
      <c r="J45" s="27" t="s">
        <v>410</v>
      </c>
      <c r="K45" s="27">
        <v>1667</v>
      </c>
      <c r="L45" s="179">
        <v>2991</v>
      </c>
      <c r="M45" s="178" t="s">
        <v>1536</v>
      </c>
      <c r="N45" s="27" t="s">
        <v>410</v>
      </c>
      <c r="O45" s="182" t="s">
        <v>1537</v>
      </c>
    </row>
    <row r="46" spans="1:20" ht="12">
      <c r="A46" s="148"/>
      <c r="B46" s="174" t="s">
        <v>1545</v>
      </c>
      <c r="C46" s="175" t="s">
        <v>409</v>
      </c>
      <c r="D46" s="176" t="s">
        <v>410</v>
      </c>
      <c r="E46" s="177" t="s">
        <v>1542</v>
      </c>
      <c r="F46" s="175">
        <f t="shared" si="0"/>
        <v>9</v>
      </c>
      <c r="G46" s="175" t="str">
        <f t="shared" si="1"/>
        <v>Atlanta</v>
      </c>
      <c r="H46" s="175" t="str">
        <f t="shared" si="2"/>
        <v>Atlanta, GA</v>
      </c>
      <c r="I46" s="178" t="s">
        <v>1543</v>
      </c>
      <c r="J46" s="27" t="s">
        <v>410</v>
      </c>
      <c r="K46" s="27">
        <v>1667</v>
      </c>
      <c r="L46" s="179">
        <v>2991</v>
      </c>
      <c r="M46" s="178" t="s">
        <v>1536</v>
      </c>
      <c r="N46" s="27" t="s">
        <v>410</v>
      </c>
      <c r="O46" s="182" t="s">
        <v>1537</v>
      </c>
      <c r="S46" s="27"/>
      <c r="T46" s="27"/>
    </row>
    <row r="47" spans="1:20" ht="12">
      <c r="A47" s="148"/>
      <c r="B47" s="174" t="s">
        <v>1546</v>
      </c>
      <c r="C47" s="175" t="s">
        <v>409</v>
      </c>
      <c r="D47" s="176" t="s">
        <v>410</v>
      </c>
      <c r="E47" s="177" t="s">
        <v>1542</v>
      </c>
      <c r="F47" s="175">
        <f t="shared" si="0"/>
        <v>9</v>
      </c>
      <c r="G47" s="175" t="str">
        <f t="shared" si="1"/>
        <v>Atlanta</v>
      </c>
      <c r="H47" s="175" t="str">
        <f t="shared" si="2"/>
        <v>Atlanta, GA</v>
      </c>
      <c r="I47" s="178" t="s">
        <v>1543</v>
      </c>
      <c r="J47" s="27" t="s">
        <v>410</v>
      </c>
      <c r="K47" s="27">
        <v>1667</v>
      </c>
      <c r="L47" s="179">
        <v>2991</v>
      </c>
      <c r="M47" s="178" t="s">
        <v>1536</v>
      </c>
      <c r="N47" s="27" t="s">
        <v>410</v>
      </c>
      <c r="O47" s="182" t="s">
        <v>1537</v>
      </c>
    </row>
    <row r="48" spans="1:20" ht="12">
      <c r="A48" s="148"/>
      <c r="B48" s="186" t="s">
        <v>1547</v>
      </c>
      <c r="C48" s="175" t="s">
        <v>1548</v>
      </c>
      <c r="D48" s="176" t="s">
        <v>1549</v>
      </c>
      <c r="E48" s="177" t="s">
        <v>1550</v>
      </c>
      <c r="F48" s="175">
        <f t="shared" si="0"/>
        <v>15</v>
      </c>
      <c r="G48" s="175" t="str">
        <f t="shared" si="1"/>
        <v>Atlantic City</v>
      </c>
      <c r="H48" s="175" t="str">
        <f t="shared" si="2"/>
        <v>Atlantic City, NJ</v>
      </c>
      <c r="I48" s="178" t="s">
        <v>1551</v>
      </c>
      <c r="J48" s="27" t="s">
        <v>1549</v>
      </c>
      <c r="K48" s="27">
        <v>826</v>
      </c>
      <c r="L48" s="179">
        <v>5169</v>
      </c>
      <c r="M48" s="180" t="s">
        <v>1552</v>
      </c>
      <c r="N48" s="181" t="s">
        <v>1549</v>
      </c>
      <c r="O48" s="182" t="s">
        <v>1553</v>
      </c>
    </row>
    <row r="49" spans="1:20" ht="12">
      <c r="A49" s="148"/>
      <c r="B49" s="186" t="s">
        <v>1554</v>
      </c>
      <c r="C49" s="175" t="s">
        <v>1555</v>
      </c>
      <c r="D49" s="176" t="s">
        <v>1556</v>
      </c>
      <c r="E49" s="177" t="s">
        <v>1557</v>
      </c>
      <c r="F49" s="175">
        <f t="shared" si="0"/>
        <v>8</v>
      </c>
      <c r="G49" s="175" t="str">
        <f t="shared" si="1"/>
        <v>Auburn</v>
      </c>
      <c r="H49" s="175" t="str">
        <f t="shared" si="2"/>
        <v>Auburn, ME</v>
      </c>
      <c r="I49" s="178" t="s">
        <v>1558</v>
      </c>
      <c r="J49" s="27" t="s">
        <v>1556</v>
      </c>
      <c r="K49" s="27">
        <v>268</v>
      </c>
      <c r="L49" s="179">
        <v>7378</v>
      </c>
      <c r="M49" s="180" t="s">
        <v>1559</v>
      </c>
      <c r="N49" s="181" t="s">
        <v>1556</v>
      </c>
      <c r="O49" s="182" t="s">
        <v>1560</v>
      </c>
      <c r="S49" s="27"/>
      <c r="T49" s="27"/>
    </row>
    <row r="50" spans="1:20" ht="12">
      <c r="A50" s="148"/>
      <c r="B50" s="174" t="s">
        <v>1561</v>
      </c>
      <c r="C50" s="175" t="s">
        <v>409</v>
      </c>
      <c r="D50" s="176" t="s">
        <v>410</v>
      </c>
      <c r="E50" s="177" t="s">
        <v>1562</v>
      </c>
      <c r="F50" s="175">
        <f t="shared" si="0"/>
        <v>9</v>
      </c>
      <c r="G50" s="175" t="str">
        <f t="shared" si="1"/>
        <v>Augusta</v>
      </c>
      <c r="H50" s="175" t="str">
        <f t="shared" si="2"/>
        <v>Augusta, GA</v>
      </c>
      <c r="I50" s="178" t="s">
        <v>1535</v>
      </c>
      <c r="J50" s="27" t="s">
        <v>410</v>
      </c>
      <c r="K50" s="27">
        <v>1709</v>
      </c>
      <c r="L50" s="179">
        <v>2893</v>
      </c>
      <c r="M50" s="178" t="s">
        <v>287</v>
      </c>
      <c r="N50" s="27" t="s">
        <v>284</v>
      </c>
      <c r="O50" s="182" t="s">
        <v>288</v>
      </c>
      <c r="S50" s="27"/>
      <c r="T50" s="27"/>
    </row>
    <row r="51" spans="1:20" ht="12">
      <c r="A51" s="148"/>
      <c r="B51" s="174" t="s">
        <v>1563</v>
      </c>
      <c r="C51" s="175" t="s">
        <v>409</v>
      </c>
      <c r="D51" s="176" t="s">
        <v>410</v>
      </c>
      <c r="E51" s="177" t="s">
        <v>1562</v>
      </c>
      <c r="F51" s="175">
        <f t="shared" si="0"/>
        <v>9</v>
      </c>
      <c r="G51" s="175" t="str">
        <f t="shared" si="1"/>
        <v>Augusta</v>
      </c>
      <c r="H51" s="175" t="str">
        <f t="shared" si="2"/>
        <v>Augusta, GA</v>
      </c>
      <c r="I51" s="178" t="s">
        <v>1564</v>
      </c>
      <c r="J51" s="27" t="s">
        <v>410</v>
      </c>
      <c r="K51" s="27">
        <v>1948</v>
      </c>
      <c r="L51" s="179">
        <v>2565</v>
      </c>
      <c r="M51" s="178" t="s">
        <v>287</v>
      </c>
      <c r="N51" s="27" t="s">
        <v>284</v>
      </c>
      <c r="O51" s="182" t="s">
        <v>288</v>
      </c>
      <c r="S51" s="27"/>
      <c r="T51" s="27"/>
    </row>
    <row r="52" spans="1:20" ht="12">
      <c r="A52" s="148"/>
      <c r="B52" s="186" t="s">
        <v>1565</v>
      </c>
      <c r="C52" s="175" t="s">
        <v>1555</v>
      </c>
      <c r="D52" s="176" t="s">
        <v>1556</v>
      </c>
      <c r="E52" s="177" t="s">
        <v>1562</v>
      </c>
      <c r="F52" s="175">
        <f t="shared" si="0"/>
        <v>9</v>
      </c>
      <c r="G52" s="175" t="str">
        <f t="shared" si="1"/>
        <v>Augusta</v>
      </c>
      <c r="H52" s="175" t="str">
        <f t="shared" si="2"/>
        <v>Augusta, ME</v>
      </c>
      <c r="I52" s="178" t="s">
        <v>1558</v>
      </c>
      <c r="J52" s="27" t="s">
        <v>1556</v>
      </c>
      <c r="K52" s="27">
        <v>268</v>
      </c>
      <c r="L52" s="179">
        <v>7378</v>
      </c>
      <c r="M52" s="180" t="s">
        <v>1559</v>
      </c>
      <c r="N52" s="181" t="s">
        <v>1556</v>
      </c>
      <c r="O52" s="182" t="s">
        <v>1560</v>
      </c>
      <c r="S52" s="27"/>
      <c r="T52" s="27"/>
    </row>
    <row r="53" spans="1:20" ht="12">
      <c r="A53" s="148"/>
      <c r="B53" s="174" t="s">
        <v>1566</v>
      </c>
      <c r="C53" s="175" t="s">
        <v>263</v>
      </c>
      <c r="D53" s="176" t="s">
        <v>264</v>
      </c>
      <c r="E53" s="177" t="s">
        <v>1567</v>
      </c>
      <c r="F53" s="175">
        <f t="shared" si="0"/>
        <v>8</v>
      </c>
      <c r="G53" s="175" t="str">
        <f t="shared" si="1"/>
        <v>Austin</v>
      </c>
      <c r="H53" s="175" t="str">
        <f t="shared" si="2"/>
        <v>Austin, TX</v>
      </c>
      <c r="I53" s="178" t="s">
        <v>1568</v>
      </c>
      <c r="J53" s="27" t="s">
        <v>264</v>
      </c>
      <c r="K53" s="27">
        <v>2996</v>
      </c>
      <c r="L53" s="179">
        <v>1644</v>
      </c>
      <c r="M53" s="180" t="s">
        <v>1569</v>
      </c>
      <c r="N53" s="181" t="s">
        <v>264</v>
      </c>
      <c r="O53" s="182" t="s">
        <v>1570</v>
      </c>
      <c r="S53" s="27"/>
      <c r="T53" s="27"/>
    </row>
    <row r="54" spans="1:20" ht="12">
      <c r="A54" s="148"/>
      <c r="B54" s="174" t="s">
        <v>1571</v>
      </c>
      <c r="C54" s="175" t="s">
        <v>263</v>
      </c>
      <c r="D54" s="176" t="s">
        <v>264</v>
      </c>
      <c r="E54" s="177" t="s">
        <v>1567</v>
      </c>
      <c r="F54" s="175">
        <f t="shared" si="0"/>
        <v>8</v>
      </c>
      <c r="G54" s="175" t="str">
        <f t="shared" si="1"/>
        <v>Austin</v>
      </c>
      <c r="H54" s="175" t="str">
        <f t="shared" si="2"/>
        <v>Austin, TX</v>
      </c>
      <c r="I54" s="178" t="s">
        <v>1572</v>
      </c>
      <c r="J54" s="27" t="s">
        <v>264</v>
      </c>
      <c r="K54" s="27">
        <v>3016</v>
      </c>
      <c r="L54" s="179">
        <v>1688</v>
      </c>
      <c r="M54" s="180" t="s">
        <v>1569</v>
      </c>
      <c r="N54" s="181" t="s">
        <v>264</v>
      </c>
      <c r="O54" s="182" t="s">
        <v>1570</v>
      </c>
      <c r="S54" s="27"/>
      <c r="T54" s="27"/>
    </row>
    <row r="55" spans="1:20" ht="12">
      <c r="A55" s="148"/>
      <c r="B55" s="174" t="s">
        <v>1573</v>
      </c>
      <c r="C55" s="175" t="s">
        <v>442</v>
      </c>
      <c r="D55" s="176" t="s">
        <v>443</v>
      </c>
      <c r="E55" s="177" t="s">
        <v>1574</v>
      </c>
      <c r="F55" s="175">
        <f t="shared" si="0"/>
        <v>13</v>
      </c>
      <c r="G55" s="175" t="str">
        <f t="shared" si="1"/>
        <v>Bakersfield</v>
      </c>
      <c r="H55" s="175" t="str">
        <f t="shared" si="2"/>
        <v>Bakersfield, CA</v>
      </c>
      <c r="I55" s="178" t="s">
        <v>1575</v>
      </c>
      <c r="J55" s="27" t="s">
        <v>443</v>
      </c>
      <c r="K55" s="27">
        <v>2365</v>
      </c>
      <c r="L55" s="179">
        <v>2182</v>
      </c>
      <c r="M55" s="178" t="s">
        <v>1576</v>
      </c>
      <c r="N55" s="27" t="s">
        <v>443</v>
      </c>
      <c r="O55" s="182" t="s">
        <v>1577</v>
      </c>
      <c r="S55" s="27"/>
      <c r="T55" s="27"/>
    </row>
    <row r="56" spans="1:20" ht="12">
      <c r="A56" s="148"/>
      <c r="B56" s="174" t="s">
        <v>1578</v>
      </c>
      <c r="C56" s="175" t="s">
        <v>442</v>
      </c>
      <c r="D56" s="176" t="s">
        <v>443</v>
      </c>
      <c r="E56" s="177" t="s">
        <v>1579</v>
      </c>
      <c r="F56" s="175">
        <f t="shared" si="0"/>
        <v>21</v>
      </c>
      <c r="G56" s="175" t="str">
        <f t="shared" si="1"/>
        <v>Bakersfield/Visalia</v>
      </c>
      <c r="H56" s="175" t="str">
        <f t="shared" si="2"/>
        <v>Bakersfield/Visalia, CA</v>
      </c>
      <c r="I56" s="178" t="s">
        <v>1580</v>
      </c>
      <c r="J56" s="27" t="s">
        <v>443</v>
      </c>
      <c r="K56" s="27">
        <v>1967</v>
      </c>
      <c r="L56" s="179">
        <v>2556</v>
      </c>
      <c r="M56" s="178" t="s">
        <v>1576</v>
      </c>
      <c r="N56" s="27" t="s">
        <v>443</v>
      </c>
      <c r="O56" s="182" t="s">
        <v>1577</v>
      </c>
      <c r="S56" s="27"/>
      <c r="T56" s="27"/>
    </row>
    <row r="57" spans="1:20" ht="12">
      <c r="A57" s="148"/>
      <c r="B57" s="174" t="s">
        <v>1581</v>
      </c>
      <c r="C57" s="175" t="s">
        <v>496</v>
      </c>
      <c r="D57" s="176" t="s">
        <v>439</v>
      </c>
      <c r="E57" s="177" t="s">
        <v>1582</v>
      </c>
      <c r="F57" s="175">
        <f t="shared" si="0"/>
        <v>11</v>
      </c>
      <c r="G57" s="175" t="str">
        <f t="shared" si="1"/>
        <v>Baltimore</v>
      </c>
      <c r="H57" s="175" t="str">
        <f t="shared" si="2"/>
        <v>Baltimore, MD</v>
      </c>
      <c r="I57" s="178" t="s">
        <v>498</v>
      </c>
      <c r="J57" s="27" t="s">
        <v>439</v>
      </c>
      <c r="K57" s="27">
        <v>1137</v>
      </c>
      <c r="L57" s="179">
        <v>4707</v>
      </c>
      <c r="M57" s="180" t="s">
        <v>499</v>
      </c>
      <c r="N57" s="181" t="s">
        <v>439</v>
      </c>
      <c r="O57" s="182" t="s">
        <v>500</v>
      </c>
    </row>
    <row r="58" spans="1:20" ht="12">
      <c r="A58" s="148"/>
      <c r="B58" s="174" t="s">
        <v>1583</v>
      </c>
      <c r="C58" s="175" t="s">
        <v>496</v>
      </c>
      <c r="D58" s="176" t="s">
        <v>439</v>
      </c>
      <c r="E58" s="177" t="s">
        <v>1582</v>
      </c>
      <c r="F58" s="175">
        <f t="shared" si="0"/>
        <v>11</v>
      </c>
      <c r="G58" s="175" t="str">
        <f t="shared" si="1"/>
        <v>Baltimore</v>
      </c>
      <c r="H58" s="175" t="str">
        <f t="shared" si="2"/>
        <v>Baltimore, MD</v>
      </c>
      <c r="I58" s="178" t="s">
        <v>498</v>
      </c>
      <c r="J58" s="27" t="s">
        <v>439</v>
      </c>
      <c r="K58" s="27">
        <v>1137</v>
      </c>
      <c r="L58" s="179">
        <v>4707</v>
      </c>
      <c r="M58" s="180" t="s">
        <v>499</v>
      </c>
      <c r="N58" s="181" t="s">
        <v>439</v>
      </c>
      <c r="O58" s="182" t="s">
        <v>500</v>
      </c>
      <c r="S58" s="27"/>
      <c r="T58" s="27"/>
    </row>
    <row r="59" spans="1:20" ht="12">
      <c r="A59" s="148"/>
      <c r="B59" s="174" t="s">
        <v>1584</v>
      </c>
      <c r="C59" s="175" t="s">
        <v>496</v>
      </c>
      <c r="D59" s="176" t="s">
        <v>439</v>
      </c>
      <c r="E59" s="177" t="s">
        <v>1582</v>
      </c>
      <c r="F59" s="175">
        <f t="shared" si="0"/>
        <v>11</v>
      </c>
      <c r="G59" s="175" t="str">
        <f t="shared" si="1"/>
        <v>Baltimore</v>
      </c>
      <c r="H59" s="175" t="str">
        <f t="shared" si="2"/>
        <v>Baltimore, MD</v>
      </c>
      <c r="I59" s="178" t="s">
        <v>498</v>
      </c>
      <c r="J59" s="27" t="s">
        <v>439</v>
      </c>
      <c r="K59" s="27">
        <v>1137</v>
      </c>
      <c r="L59" s="179">
        <v>4707</v>
      </c>
      <c r="M59" s="180" t="s">
        <v>499</v>
      </c>
      <c r="N59" s="181" t="s">
        <v>439</v>
      </c>
      <c r="O59" s="182" t="s">
        <v>500</v>
      </c>
    </row>
    <row r="60" spans="1:20" ht="12">
      <c r="A60" s="148"/>
      <c r="B60" s="174" t="s">
        <v>1585</v>
      </c>
      <c r="C60" s="175" t="s">
        <v>496</v>
      </c>
      <c r="D60" s="176" t="s">
        <v>439</v>
      </c>
      <c r="E60" s="177" t="s">
        <v>1582</v>
      </c>
      <c r="F60" s="175">
        <f t="shared" si="0"/>
        <v>11</v>
      </c>
      <c r="G60" s="175" t="str">
        <f t="shared" si="1"/>
        <v>Baltimore</v>
      </c>
      <c r="H60" s="175" t="str">
        <f t="shared" si="2"/>
        <v>Baltimore, MD</v>
      </c>
      <c r="I60" s="178" t="s">
        <v>498</v>
      </c>
      <c r="J60" s="27" t="s">
        <v>439</v>
      </c>
      <c r="K60" s="27">
        <v>1137</v>
      </c>
      <c r="L60" s="179">
        <v>4707</v>
      </c>
      <c r="M60" s="180" t="s">
        <v>499</v>
      </c>
      <c r="N60" s="181" t="s">
        <v>439</v>
      </c>
      <c r="O60" s="182" t="s">
        <v>500</v>
      </c>
    </row>
    <row r="61" spans="1:20" ht="12">
      <c r="A61" s="148"/>
      <c r="B61" s="186" t="s">
        <v>1586</v>
      </c>
      <c r="C61" s="175" t="s">
        <v>1555</v>
      </c>
      <c r="D61" s="176" t="s">
        <v>1556</v>
      </c>
      <c r="E61" s="177" t="s">
        <v>1587</v>
      </c>
      <c r="F61" s="175">
        <f t="shared" si="0"/>
        <v>8</v>
      </c>
      <c r="G61" s="175" t="str">
        <f t="shared" si="1"/>
        <v>Bangor</v>
      </c>
      <c r="H61" s="175" t="str">
        <f t="shared" si="2"/>
        <v>Bangor, ME</v>
      </c>
      <c r="I61" s="178" t="s">
        <v>1558</v>
      </c>
      <c r="J61" s="27" t="s">
        <v>1556</v>
      </c>
      <c r="K61" s="27">
        <v>268</v>
      </c>
      <c r="L61" s="179">
        <v>7378</v>
      </c>
      <c r="M61" s="180" t="s">
        <v>1559</v>
      </c>
      <c r="N61" s="181" t="s">
        <v>1556</v>
      </c>
      <c r="O61" s="182" t="s">
        <v>1560</v>
      </c>
    </row>
    <row r="62" spans="1:20" ht="12">
      <c r="A62" s="148"/>
      <c r="B62" s="174" t="s">
        <v>1588</v>
      </c>
      <c r="C62" s="175" t="s">
        <v>1589</v>
      </c>
      <c r="D62" s="176" t="s">
        <v>1590</v>
      </c>
      <c r="E62" s="177" t="s">
        <v>1591</v>
      </c>
      <c r="F62" s="175">
        <f t="shared" si="0"/>
        <v>12</v>
      </c>
      <c r="G62" s="175" t="str">
        <f t="shared" si="1"/>
        <v>Batesville</v>
      </c>
      <c r="H62" s="175" t="str">
        <f t="shared" si="2"/>
        <v>Batesville, AR</v>
      </c>
      <c r="I62" s="178" t="s">
        <v>1592</v>
      </c>
      <c r="J62" s="27" t="s">
        <v>1590</v>
      </c>
      <c r="K62" s="27">
        <v>1916</v>
      </c>
      <c r="L62" s="179">
        <v>3228</v>
      </c>
      <c r="M62" s="178" t="s">
        <v>1593</v>
      </c>
      <c r="N62" s="27" t="s">
        <v>1590</v>
      </c>
      <c r="O62" s="182" t="s">
        <v>1594</v>
      </c>
    </row>
    <row r="63" spans="1:20" ht="12">
      <c r="A63" s="148"/>
      <c r="B63" s="186" t="s">
        <v>1595</v>
      </c>
      <c r="C63" s="175" t="s">
        <v>1555</v>
      </c>
      <c r="D63" s="176" t="s">
        <v>1556</v>
      </c>
      <c r="E63" s="177" t="s">
        <v>1596</v>
      </c>
      <c r="F63" s="175">
        <f t="shared" si="0"/>
        <v>6</v>
      </c>
      <c r="G63" s="175" t="str">
        <f t="shared" si="1"/>
        <v>Bath</v>
      </c>
      <c r="H63" s="175" t="str">
        <f t="shared" si="2"/>
        <v>Bath, ME</v>
      </c>
      <c r="I63" s="178" t="s">
        <v>1558</v>
      </c>
      <c r="J63" s="27" t="s">
        <v>1556</v>
      </c>
      <c r="K63" s="27">
        <v>268</v>
      </c>
      <c r="L63" s="179">
        <v>7378</v>
      </c>
      <c r="M63" s="180" t="s">
        <v>1559</v>
      </c>
      <c r="N63" s="181" t="s">
        <v>1556</v>
      </c>
      <c r="O63" s="182" t="s">
        <v>1560</v>
      </c>
    </row>
    <row r="64" spans="1:20" ht="12">
      <c r="A64" s="148"/>
      <c r="B64" s="174" t="s">
        <v>1597</v>
      </c>
      <c r="C64" s="175" t="s">
        <v>290</v>
      </c>
      <c r="D64" s="176" t="s">
        <v>291</v>
      </c>
      <c r="E64" s="177" t="s">
        <v>1598</v>
      </c>
      <c r="F64" s="175">
        <f t="shared" si="0"/>
        <v>13</v>
      </c>
      <c r="G64" s="175" t="str">
        <f t="shared" si="1"/>
        <v>Baton Rouge</v>
      </c>
      <c r="H64" s="175" t="str">
        <f t="shared" si="2"/>
        <v>Baton Rouge, LA</v>
      </c>
      <c r="I64" s="178" t="s">
        <v>1599</v>
      </c>
      <c r="J64" s="27" t="s">
        <v>291</v>
      </c>
      <c r="K64" s="27">
        <v>2690</v>
      </c>
      <c r="L64" s="179">
        <v>1669</v>
      </c>
      <c r="M64" s="180" t="s">
        <v>1600</v>
      </c>
      <c r="N64" s="181" t="s">
        <v>291</v>
      </c>
      <c r="O64" s="182" t="s">
        <v>1601</v>
      </c>
    </row>
    <row r="65" spans="1:20" ht="12">
      <c r="A65" s="148"/>
      <c r="B65" s="174" t="s">
        <v>1602</v>
      </c>
      <c r="C65" s="175" t="s">
        <v>290</v>
      </c>
      <c r="D65" s="176" t="s">
        <v>291</v>
      </c>
      <c r="E65" s="177" t="s">
        <v>1598</v>
      </c>
      <c r="F65" s="175">
        <f t="shared" si="0"/>
        <v>13</v>
      </c>
      <c r="G65" s="175" t="str">
        <f t="shared" si="1"/>
        <v>Baton Rouge</v>
      </c>
      <c r="H65" s="175" t="str">
        <f t="shared" si="2"/>
        <v>Baton Rouge, LA</v>
      </c>
      <c r="I65" s="178" t="s">
        <v>1599</v>
      </c>
      <c r="J65" s="27" t="s">
        <v>291</v>
      </c>
      <c r="K65" s="27">
        <v>2690</v>
      </c>
      <c r="L65" s="179">
        <v>1669</v>
      </c>
      <c r="M65" s="180" t="s">
        <v>1600</v>
      </c>
      <c r="N65" s="181" t="s">
        <v>291</v>
      </c>
      <c r="O65" s="182" t="s">
        <v>1601</v>
      </c>
    </row>
    <row r="66" spans="1:20" ht="12">
      <c r="A66" s="148"/>
      <c r="B66" s="174" t="s">
        <v>1603</v>
      </c>
      <c r="C66" s="175" t="s">
        <v>525</v>
      </c>
      <c r="D66" s="176" t="s">
        <v>526</v>
      </c>
      <c r="E66" s="177" t="s">
        <v>1604</v>
      </c>
      <c r="F66" s="175">
        <f t="shared" si="0"/>
        <v>8</v>
      </c>
      <c r="G66" s="175" t="str">
        <f t="shared" si="1"/>
        <v>Baxter</v>
      </c>
      <c r="H66" s="175" t="str">
        <f t="shared" si="2"/>
        <v>Baxter, KY</v>
      </c>
      <c r="I66" s="178" t="s">
        <v>519</v>
      </c>
      <c r="J66" s="27" t="s">
        <v>485</v>
      </c>
      <c r="K66" s="27">
        <v>972</v>
      </c>
      <c r="L66" s="179">
        <v>4406</v>
      </c>
      <c r="M66" s="180" t="s">
        <v>486</v>
      </c>
      <c r="N66" s="181" t="s">
        <v>485</v>
      </c>
      <c r="O66" s="182" t="s">
        <v>487</v>
      </c>
    </row>
    <row r="67" spans="1:20" ht="12">
      <c r="A67" s="148"/>
      <c r="B67" s="174" t="s">
        <v>1605</v>
      </c>
      <c r="C67" s="175" t="s">
        <v>283</v>
      </c>
      <c r="D67" s="176" t="s">
        <v>284</v>
      </c>
      <c r="E67" s="177" t="s">
        <v>1606</v>
      </c>
      <c r="F67" s="175">
        <f t="shared" si="0"/>
        <v>10</v>
      </c>
      <c r="G67" s="175" t="str">
        <f t="shared" si="1"/>
        <v>Beaufort</v>
      </c>
      <c r="H67" s="175" t="str">
        <f t="shared" si="2"/>
        <v>Beaufort, SC</v>
      </c>
      <c r="I67" s="178" t="s">
        <v>1607</v>
      </c>
      <c r="J67" s="27" t="s">
        <v>410</v>
      </c>
      <c r="K67" s="27">
        <v>2365</v>
      </c>
      <c r="L67" s="179">
        <v>1847</v>
      </c>
      <c r="M67" s="180" t="s">
        <v>1608</v>
      </c>
      <c r="N67" s="181" t="s">
        <v>410</v>
      </c>
      <c r="O67" s="182" t="s">
        <v>1609</v>
      </c>
    </row>
    <row r="68" spans="1:20" ht="12">
      <c r="A68" s="148"/>
      <c r="B68" s="174" t="s">
        <v>1610</v>
      </c>
      <c r="C68" s="175" t="s">
        <v>263</v>
      </c>
      <c r="D68" s="176" t="s">
        <v>264</v>
      </c>
      <c r="E68" s="177" t="s">
        <v>1611</v>
      </c>
      <c r="F68" s="175">
        <f t="shared" si="0"/>
        <v>10</v>
      </c>
      <c r="G68" s="175" t="str">
        <f t="shared" si="1"/>
        <v>Beaumont</v>
      </c>
      <c r="H68" s="175" t="str">
        <f t="shared" si="2"/>
        <v>Beaumont, TX</v>
      </c>
      <c r="I68" s="178" t="s">
        <v>1612</v>
      </c>
      <c r="J68" s="27" t="s">
        <v>264</v>
      </c>
      <c r="K68" s="27">
        <v>2764</v>
      </c>
      <c r="L68" s="179">
        <v>1499</v>
      </c>
      <c r="M68" s="180" t="s">
        <v>1613</v>
      </c>
      <c r="N68" s="181" t="s">
        <v>264</v>
      </c>
      <c r="O68" s="182" t="s">
        <v>1614</v>
      </c>
    </row>
    <row r="69" spans="1:20" ht="12">
      <c r="A69" s="148"/>
      <c r="B69" s="174" t="s">
        <v>1615</v>
      </c>
      <c r="C69" s="175" t="s">
        <v>263</v>
      </c>
      <c r="D69" s="176" t="s">
        <v>264</v>
      </c>
      <c r="E69" s="177" t="s">
        <v>1611</v>
      </c>
      <c r="F69" s="175">
        <f t="shared" si="0"/>
        <v>10</v>
      </c>
      <c r="G69" s="175" t="str">
        <f t="shared" si="1"/>
        <v>Beaumont</v>
      </c>
      <c r="H69" s="175" t="str">
        <f t="shared" si="2"/>
        <v>Beaumont, TX</v>
      </c>
      <c r="I69" s="178" t="s">
        <v>1612</v>
      </c>
      <c r="J69" s="27" t="s">
        <v>264</v>
      </c>
      <c r="K69" s="27">
        <v>2764</v>
      </c>
      <c r="L69" s="179">
        <v>1499</v>
      </c>
      <c r="M69" s="180" t="s">
        <v>1613</v>
      </c>
      <c r="N69" s="181" t="s">
        <v>264</v>
      </c>
      <c r="O69" s="182" t="s">
        <v>1614</v>
      </c>
    </row>
    <row r="70" spans="1:20" ht="12">
      <c r="A70" s="148"/>
      <c r="B70" s="174" t="s">
        <v>1616</v>
      </c>
      <c r="C70" s="175" t="s">
        <v>1617</v>
      </c>
      <c r="D70" s="176" t="s">
        <v>1530</v>
      </c>
      <c r="E70" s="177" t="s">
        <v>1618</v>
      </c>
      <c r="F70" s="175">
        <f t="shared" ref="F70:F133" si="3">LEN(E70)</f>
        <v>9</v>
      </c>
      <c r="G70" s="175" t="str">
        <f t="shared" ref="G70:G133" si="4">MID(E70,2,F70-2)</f>
        <v>Beckley</v>
      </c>
      <c r="H70" s="175" t="str">
        <f t="shared" ref="H70:H133" si="5">CONCATENATE(G70,", ",+D70)</f>
        <v>Beckley, WV</v>
      </c>
      <c r="I70" s="178" t="s">
        <v>1619</v>
      </c>
      <c r="J70" s="27" t="s">
        <v>1530</v>
      </c>
      <c r="K70" s="27">
        <v>463</v>
      </c>
      <c r="L70" s="179">
        <v>5558</v>
      </c>
      <c r="M70" s="180" t="s">
        <v>1531</v>
      </c>
      <c r="N70" s="181" t="s">
        <v>1530</v>
      </c>
      <c r="O70" s="182" t="s">
        <v>1532</v>
      </c>
    </row>
    <row r="71" spans="1:20" ht="12">
      <c r="A71" s="148"/>
      <c r="B71" s="174" t="s">
        <v>1620</v>
      </c>
      <c r="C71" s="175" t="s">
        <v>1617</v>
      </c>
      <c r="D71" s="176" t="s">
        <v>1530</v>
      </c>
      <c r="E71" s="177" t="s">
        <v>1618</v>
      </c>
      <c r="F71" s="175">
        <f t="shared" si="3"/>
        <v>9</v>
      </c>
      <c r="G71" s="175" t="str">
        <f t="shared" si="4"/>
        <v>Beckley</v>
      </c>
      <c r="H71" s="175" t="str">
        <f t="shared" si="5"/>
        <v>Beckley, WV</v>
      </c>
      <c r="I71" s="178" t="s">
        <v>1619</v>
      </c>
      <c r="J71" s="27" t="s">
        <v>1530</v>
      </c>
      <c r="K71" s="27">
        <v>463</v>
      </c>
      <c r="L71" s="179">
        <v>5558</v>
      </c>
      <c r="M71" s="180" t="s">
        <v>1531</v>
      </c>
      <c r="N71" s="181" t="s">
        <v>1530</v>
      </c>
      <c r="O71" s="182" t="s">
        <v>1532</v>
      </c>
    </row>
    <row r="72" spans="1:20" ht="12">
      <c r="A72" s="148"/>
      <c r="B72" s="186" t="s">
        <v>1621</v>
      </c>
      <c r="C72" s="175" t="s">
        <v>1622</v>
      </c>
      <c r="D72" s="176" t="s">
        <v>1623</v>
      </c>
      <c r="E72" s="177" t="s">
        <v>1624</v>
      </c>
      <c r="F72" s="175">
        <f t="shared" si="3"/>
        <v>15</v>
      </c>
      <c r="G72" s="175" t="str">
        <f t="shared" si="4"/>
        <v>Bellows Falls</v>
      </c>
      <c r="H72" s="175" t="str">
        <f t="shared" si="5"/>
        <v>Bellows Falls, VT</v>
      </c>
      <c r="I72" s="178" t="s">
        <v>274</v>
      </c>
      <c r="J72" s="27" t="s">
        <v>272</v>
      </c>
      <c r="K72" s="27">
        <v>328</v>
      </c>
      <c r="L72" s="179">
        <v>7554</v>
      </c>
      <c r="M72" s="180" t="s">
        <v>275</v>
      </c>
      <c r="N72" s="181" t="s">
        <v>272</v>
      </c>
      <c r="O72" s="182" t="s">
        <v>276</v>
      </c>
    </row>
    <row r="73" spans="1:20" ht="12">
      <c r="A73" s="148"/>
      <c r="B73" s="174" t="s">
        <v>1625</v>
      </c>
      <c r="C73" s="175" t="s">
        <v>1626</v>
      </c>
      <c r="D73" s="176" t="s">
        <v>1627</v>
      </c>
      <c r="E73" s="177" t="s">
        <v>1628</v>
      </c>
      <c r="F73" s="175">
        <f t="shared" si="3"/>
        <v>9</v>
      </c>
      <c r="G73" s="175" t="str">
        <f t="shared" si="4"/>
        <v>Bemidji</v>
      </c>
      <c r="H73" s="175" t="str">
        <f t="shared" si="5"/>
        <v>Bemidji, MN</v>
      </c>
      <c r="I73" s="178" t="s">
        <v>1629</v>
      </c>
      <c r="J73" s="27" t="s">
        <v>1627</v>
      </c>
      <c r="K73" s="27">
        <v>249</v>
      </c>
      <c r="L73" s="179">
        <v>10487</v>
      </c>
      <c r="M73" s="180" t="s">
        <v>1630</v>
      </c>
      <c r="N73" s="181" t="s">
        <v>1627</v>
      </c>
      <c r="O73" s="182" t="s">
        <v>1631</v>
      </c>
    </row>
    <row r="74" spans="1:20" ht="12">
      <c r="A74" s="148"/>
      <c r="B74" s="174" t="s">
        <v>1632</v>
      </c>
      <c r="C74" s="175" t="s">
        <v>1633</v>
      </c>
      <c r="D74" s="176" t="s">
        <v>1634</v>
      </c>
      <c r="E74" s="177" t="s">
        <v>1635</v>
      </c>
      <c r="F74" s="175">
        <f t="shared" si="3"/>
        <v>6</v>
      </c>
      <c r="G74" s="175" t="str">
        <f t="shared" si="4"/>
        <v>Bend</v>
      </c>
      <c r="H74" s="175" t="str">
        <f t="shared" si="5"/>
        <v>Bend, OR</v>
      </c>
      <c r="I74" s="178" t="s">
        <v>1636</v>
      </c>
      <c r="J74" s="27" t="s">
        <v>1634</v>
      </c>
      <c r="K74" s="27">
        <v>202</v>
      </c>
      <c r="L74" s="179">
        <v>7785</v>
      </c>
      <c r="M74" s="180" t="s">
        <v>1637</v>
      </c>
      <c r="N74" s="181" t="s">
        <v>1638</v>
      </c>
      <c r="O74" s="182" t="s">
        <v>1639</v>
      </c>
      <c r="S74" s="27"/>
      <c r="T74" s="27"/>
    </row>
    <row r="75" spans="1:20" ht="12">
      <c r="A75" s="148"/>
      <c r="B75" s="186" t="s">
        <v>1640</v>
      </c>
      <c r="C75" s="175" t="s">
        <v>1622</v>
      </c>
      <c r="D75" s="176" t="s">
        <v>1623</v>
      </c>
      <c r="E75" s="177" t="s">
        <v>1641</v>
      </c>
      <c r="F75" s="175">
        <f t="shared" si="3"/>
        <v>12</v>
      </c>
      <c r="G75" s="175" t="str">
        <f t="shared" si="4"/>
        <v>Bennington</v>
      </c>
      <c r="H75" s="175" t="str">
        <f t="shared" si="5"/>
        <v>Bennington, VT</v>
      </c>
      <c r="I75" s="178" t="s">
        <v>418</v>
      </c>
      <c r="J75" s="27" t="s">
        <v>417</v>
      </c>
      <c r="K75" s="27">
        <v>507</v>
      </c>
      <c r="L75" s="179">
        <v>6894</v>
      </c>
      <c r="M75" s="180" t="s">
        <v>419</v>
      </c>
      <c r="N75" s="181" t="s">
        <v>417</v>
      </c>
      <c r="O75" s="182" t="s">
        <v>420</v>
      </c>
    </row>
    <row r="76" spans="1:20" ht="12">
      <c r="A76" s="148"/>
      <c r="B76" s="174" t="s">
        <v>1418</v>
      </c>
      <c r="C76" s="175" t="s">
        <v>442</v>
      </c>
      <c r="D76" s="176" t="s">
        <v>443</v>
      </c>
      <c r="E76" s="177" t="s">
        <v>1419</v>
      </c>
      <c r="F76" s="175">
        <f t="shared" si="3"/>
        <v>10</v>
      </c>
      <c r="G76" s="175" t="str">
        <f t="shared" si="4"/>
        <v>Berkeley</v>
      </c>
      <c r="H76" s="175" t="str">
        <f t="shared" si="5"/>
        <v>Berkeley, CA</v>
      </c>
      <c r="I76" s="178" t="s">
        <v>1420</v>
      </c>
      <c r="J76" s="27" t="s">
        <v>443</v>
      </c>
      <c r="K76" s="27">
        <v>145</v>
      </c>
      <c r="L76" s="179">
        <v>3016</v>
      </c>
      <c r="M76" s="178" t="s">
        <v>1421</v>
      </c>
      <c r="N76" s="27" t="s">
        <v>443</v>
      </c>
      <c r="O76" s="182" t="s">
        <v>1422</v>
      </c>
    </row>
    <row r="77" spans="1:20" ht="12">
      <c r="A77" s="148"/>
      <c r="B77" s="174" t="s">
        <v>1423</v>
      </c>
      <c r="C77" s="175" t="s">
        <v>424</v>
      </c>
      <c r="D77" s="176" t="s">
        <v>425</v>
      </c>
      <c r="E77" s="177" t="s">
        <v>1424</v>
      </c>
      <c r="F77" s="175">
        <f t="shared" si="3"/>
        <v>12</v>
      </c>
      <c r="G77" s="175" t="str">
        <f t="shared" si="4"/>
        <v>Bernalillo</v>
      </c>
      <c r="H77" s="175" t="str">
        <f t="shared" si="5"/>
        <v>Bernalillo, NM</v>
      </c>
      <c r="I77" s="178" t="s">
        <v>427</v>
      </c>
      <c r="J77" s="27" t="s">
        <v>425</v>
      </c>
      <c r="K77" s="27">
        <v>1244</v>
      </c>
      <c r="L77" s="179">
        <v>4425</v>
      </c>
      <c r="M77" s="180" t="s">
        <v>428</v>
      </c>
      <c r="N77" s="181" t="s">
        <v>425</v>
      </c>
      <c r="O77" s="182" t="s">
        <v>429</v>
      </c>
    </row>
    <row r="78" spans="1:20" ht="12">
      <c r="A78" s="148"/>
      <c r="B78" s="174" t="s">
        <v>1425</v>
      </c>
      <c r="C78" s="175" t="s">
        <v>1426</v>
      </c>
      <c r="D78" s="176" t="s">
        <v>1427</v>
      </c>
      <c r="E78" s="177" t="s">
        <v>1428</v>
      </c>
      <c r="F78" s="175">
        <f t="shared" si="3"/>
        <v>10</v>
      </c>
      <c r="G78" s="175" t="str">
        <f t="shared" si="4"/>
        <v>Billings</v>
      </c>
      <c r="H78" s="175" t="str">
        <f t="shared" si="5"/>
        <v>Billings, MT</v>
      </c>
      <c r="I78" s="178" t="s">
        <v>1429</v>
      </c>
      <c r="J78" s="27" t="s">
        <v>1427</v>
      </c>
      <c r="K78" s="27">
        <v>652</v>
      </c>
      <c r="L78" s="179">
        <v>7164</v>
      </c>
      <c r="M78" s="180" t="s">
        <v>1430</v>
      </c>
      <c r="N78" s="181" t="s">
        <v>1427</v>
      </c>
      <c r="O78" s="182" t="s">
        <v>1431</v>
      </c>
    </row>
    <row r="79" spans="1:20" ht="12">
      <c r="A79" s="148"/>
      <c r="B79" s="174" t="s">
        <v>1432</v>
      </c>
      <c r="C79" s="175" t="s">
        <v>1426</v>
      </c>
      <c r="D79" s="176" t="s">
        <v>1427</v>
      </c>
      <c r="E79" s="177" t="s">
        <v>1428</v>
      </c>
      <c r="F79" s="175">
        <f t="shared" si="3"/>
        <v>10</v>
      </c>
      <c r="G79" s="175" t="str">
        <f t="shared" si="4"/>
        <v>Billings</v>
      </c>
      <c r="H79" s="175" t="str">
        <f t="shared" si="5"/>
        <v>Billings, MT</v>
      </c>
      <c r="I79" s="178" t="s">
        <v>1429</v>
      </c>
      <c r="J79" s="27" t="s">
        <v>1427</v>
      </c>
      <c r="K79" s="27">
        <v>652</v>
      </c>
      <c r="L79" s="179">
        <v>7164</v>
      </c>
      <c r="M79" s="180" t="s">
        <v>1430</v>
      </c>
      <c r="N79" s="181" t="s">
        <v>1427</v>
      </c>
      <c r="O79" s="182" t="s">
        <v>1431</v>
      </c>
    </row>
    <row r="80" spans="1:20" ht="12">
      <c r="A80" s="148"/>
      <c r="B80" s="174" t="s">
        <v>1433</v>
      </c>
      <c r="C80" s="175" t="s">
        <v>416</v>
      </c>
      <c r="D80" s="176" t="s">
        <v>417</v>
      </c>
      <c r="E80" s="177" t="s">
        <v>1434</v>
      </c>
      <c r="F80" s="175">
        <f t="shared" si="3"/>
        <v>12</v>
      </c>
      <c r="G80" s="175" t="str">
        <f t="shared" si="4"/>
        <v>Binghamton</v>
      </c>
      <c r="H80" s="175" t="str">
        <f t="shared" si="5"/>
        <v>Binghamton, NY</v>
      </c>
      <c r="I80" s="178" t="s">
        <v>418</v>
      </c>
      <c r="J80" s="27" t="s">
        <v>417</v>
      </c>
      <c r="K80" s="27">
        <v>507</v>
      </c>
      <c r="L80" s="179">
        <v>6894</v>
      </c>
      <c r="M80" s="180" t="s">
        <v>419</v>
      </c>
      <c r="N80" s="181" t="s">
        <v>417</v>
      </c>
      <c r="O80" s="182" t="s">
        <v>420</v>
      </c>
      <c r="S80" s="27"/>
      <c r="T80" s="27"/>
    </row>
    <row r="81" spans="1:20" ht="12">
      <c r="A81" s="148"/>
      <c r="B81" s="174" t="s">
        <v>1435</v>
      </c>
      <c r="C81" s="175" t="s">
        <v>416</v>
      </c>
      <c r="D81" s="176" t="s">
        <v>417</v>
      </c>
      <c r="E81" s="177" t="s">
        <v>1434</v>
      </c>
      <c r="F81" s="175">
        <f t="shared" si="3"/>
        <v>12</v>
      </c>
      <c r="G81" s="175" t="str">
        <f t="shared" si="4"/>
        <v>Binghamton</v>
      </c>
      <c r="H81" s="175" t="str">
        <f t="shared" si="5"/>
        <v>Binghamton, NY</v>
      </c>
      <c r="I81" s="178" t="s">
        <v>418</v>
      </c>
      <c r="J81" s="27" t="s">
        <v>417</v>
      </c>
      <c r="K81" s="27">
        <v>507</v>
      </c>
      <c r="L81" s="179">
        <v>6894</v>
      </c>
      <c r="M81" s="180" t="s">
        <v>419</v>
      </c>
      <c r="N81" s="181" t="s">
        <v>417</v>
      </c>
      <c r="O81" s="182" t="s">
        <v>420</v>
      </c>
    </row>
    <row r="82" spans="1:20" ht="12">
      <c r="A82" s="148"/>
      <c r="B82" s="174" t="s">
        <v>1436</v>
      </c>
      <c r="C82" s="175" t="s">
        <v>416</v>
      </c>
      <c r="D82" s="176" t="s">
        <v>417</v>
      </c>
      <c r="E82" s="177" t="s">
        <v>1434</v>
      </c>
      <c r="F82" s="175">
        <f t="shared" si="3"/>
        <v>12</v>
      </c>
      <c r="G82" s="175" t="str">
        <f t="shared" si="4"/>
        <v>Binghamton</v>
      </c>
      <c r="H82" s="175" t="str">
        <f t="shared" si="5"/>
        <v>Binghamton, NY</v>
      </c>
      <c r="I82" s="178" t="s">
        <v>1437</v>
      </c>
      <c r="J82" s="27" t="s">
        <v>417</v>
      </c>
      <c r="K82" s="27">
        <v>337</v>
      </c>
      <c r="L82" s="179">
        <v>7273</v>
      </c>
      <c r="M82" s="180" t="s">
        <v>1438</v>
      </c>
      <c r="N82" s="181" t="s">
        <v>450</v>
      </c>
      <c r="O82" s="182" t="s">
        <v>1439</v>
      </c>
    </row>
    <row r="83" spans="1:20" ht="12">
      <c r="A83" s="148"/>
      <c r="B83" s="174" t="s">
        <v>1440</v>
      </c>
      <c r="C83" s="175" t="s">
        <v>502</v>
      </c>
      <c r="D83" s="176" t="s">
        <v>503</v>
      </c>
      <c r="E83" s="177" t="s">
        <v>1441</v>
      </c>
      <c r="F83" s="175">
        <f t="shared" si="3"/>
        <v>12</v>
      </c>
      <c r="G83" s="175" t="str">
        <f t="shared" si="4"/>
        <v>Birmingham</v>
      </c>
      <c r="H83" s="175" t="str">
        <f t="shared" si="5"/>
        <v>Birmingham, AL</v>
      </c>
      <c r="I83" s="178" t="s">
        <v>505</v>
      </c>
      <c r="J83" s="27" t="s">
        <v>503</v>
      </c>
      <c r="K83" s="27">
        <v>1797</v>
      </c>
      <c r="L83" s="179">
        <v>2918</v>
      </c>
      <c r="M83" s="180" t="s">
        <v>506</v>
      </c>
      <c r="N83" s="181" t="s">
        <v>503</v>
      </c>
      <c r="O83" s="182" t="s">
        <v>507</v>
      </c>
    </row>
    <row r="84" spans="1:20" ht="12">
      <c r="A84" s="148"/>
      <c r="B84" s="174" t="s">
        <v>1442</v>
      </c>
      <c r="C84" s="175" t="s">
        <v>502</v>
      </c>
      <c r="D84" s="176" t="s">
        <v>503</v>
      </c>
      <c r="E84" s="177" t="s">
        <v>1441</v>
      </c>
      <c r="F84" s="175">
        <f t="shared" si="3"/>
        <v>12</v>
      </c>
      <c r="G84" s="175" t="str">
        <f t="shared" si="4"/>
        <v>Birmingham</v>
      </c>
      <c r="H84" s="175" t="str">
        <f t="shared" si="5"/>
        <v>Birmingham, AL</v>
      </c>
      <c r="I84" s="178" t="s">
        <v>505</v>
      </c>
      <c r="J84" s="27" t="s">
        <v>503</v>
      </c>
      <c r="K84" s="27">
        <v>1797</v>
      </c>
      <c r="L84" s="179">
        <v>2918</v>
      </c>
      <c r="M84" s="180" t="s">
        <v>506</v>
      </c>
      <c r="N84" s="181" t="s">
        <v>503</v>
      </c>
      <c r="O84" s="182" t="s">
        <v>507</v>
      </c>
    </row>
    <row r="85" spans="1:20" ht="12">
      <c r="A85" s="148"/>
      <c r="B85" s="174" t="s">
        <v>1443</v>
      </c>
      <c r="C85" s="175" t="s">
        <v>502</v>
      </c>
      <c r="D85" s="176" t="s">
        <v>503</v>
      </c>
      <c r="E85" s="177" t="s">
        <v>1441</v>
      </c>
      <c r="F85" s="175">
        <f t="shared" si="3"/>
        <v>12</v>
      </c>
      <c r="G85" s="175" t="str">
        <f t="shared" si="4"/>
        <v>Birmingham</v>
      </c>
      <c r="H85" s="175" t="str">
        <f t="shared" si="5"/>
        <v>Birmingham, AL</v>
      </c>
      <c r="I85" s="178" t="s">
        <v>505</v>
      </c>
      <c r="J85" s="27" t="s">
        <v>503</v>
      </c>
      <c r="K85" s="27">
        <v>1797</v>
      </c>
      <c r="L85" s="179">
        <v>2918</v>
      </c>
      <c r="M85" s="180" t="s">
        <v>506</v>
      </c>
      <c r="N85" s="181" t="s">
        <v>503</v>
      </c>
      <c r="O85" s="182" t="s">
        <v>507</v>
      </c>
      <c r="S85" s="27"/>
      <c r="T85" s="27"/>
    </row>
    <row r="86" spans="1:20" ht="12">
      <c r="A86" s="148"/>
      <c r="B86" s="174" t="s">
        <v>1444</v>
      </c>
      <c r="C86" s="175" t="s">
        <v>1445</v>
      </c>
      <c r="D86" s="176" t="s">
        <v>260</v>
      </c>
      <c r="E86" s="177" t="s">
        <v>1446</v>
      </c>
      <c r="F86" s="175">
        <f t="shared" si="3"/>
        <v>10</v>
      </c>
      <c r="G86" s="175" t="str">
        <f t="shared" si="4"/>
        <v>Bismarck</v>
      </c>
      <c r="H86" s="175" t="str">
        <f t="shared" si="5"/>
        <v>Bismarck, ND</v>
      </c>
      <c r="I86" s="178" t="s">
        <v>1643</v>
      </c>
      <c r="J86" s="27" t="s">
        <v>260</v>
      </c>
      <c r="K86" s="27">
        <v>488</v>
      </c>
      <c r="L86" s="179">
        <v>8968</v>
      </c>
      <c r="M86" s="180" t="s">
        <v>1644</v>
      </c>
      <c r="N86" s="181" t="s">
        <v>260</v>
      </c>
      <c r="O86" s="182" t="s">
        <v>1645</v>
      </c>
    </row>
    <row r="87" spans="1:20" ht="12">
      <c r="A87" s="148"/>
      <c r="B87" s="174" t="s">
        <v>1646</v>
      </c>
      <c r="C87" s="175" t="s">
        <v>1647</v>
      </c>
      <c r="D87" s="176" t="s">
        <v>1648</v>
      </c>
      <c r="E87" s="177" t="s">
        <v>1649</v>
      </c>
      <c r="F87" s="175">
        <f t="shared" si="3"/>
        <v>13</v>
      </c>
      <c r="G87" s="175" t="str">
        <f t="shared" si="4"/>
        <v>Bloomington</v>
      </c>
      <c r="H87" s="175" t="str">
        <f t="shared" si="5"/>
        <v>Bloomington, IL</v>
      </c>
      <c r="I87" s="178" t="s">
        <v>1650</v>
      </c>
      <c r="J87" s="27" t="s">
        <v>1648</v>
      </c>
      <c r="K87" s="27">
        <v>1141</v>
      </c>
      <c r="L87" s="179">
        <v>5688</v>
      </c>
      <c r="M87" s="178" t="s">
        <v>1651</v>
      </c>
      <c r="N87" s="27" t="s">
        <v>1648</v>
      </c>
      <c r="O87" s="182" t="s">
        <v>2278</v>
      </c>
    </row>
    <row r="88" spans="1:20" ht="12">
      <c r="A88" s="148"/>
      <c r="B88" s="174" t="s">
        <v>2279</v>
      </c>
      <c r="C88" s="175" t="s">
        <v>2280</v>
      </c>
      <c r="D88" s="176" t="s">
        <v>2281</v>
      </c>
      <c r="E88" s="177" t="s">
        <v>1649</v>
      </c>
      <c r="F88" s="175">
        <f t="shared" si="3"/>
        <v>13</v>
      </c>
      <c r="G88" s="175" t="str">
        <f t="shared" si="4"/>
        <v>Bloomington</v>
      </c>
      <c r="H88" s="175" t="str">
        <f t="shared" si="5"/>
        <v>Bloomington, IN</v>
      </c>
      <c r="I88" s="178" t="s">
        <v>2282</v>
      </c>
      <c r="J88" s="27" t="s">
        <v>2281</v>
      </c>
      <c r="K88" s="27">
        <v>1014</v>
      </c>
      <c r="L88" s="179">
        <v>5615</v>
      </c>
      <c r="M88" s="178" t="s">
        <v>2283</v>
      </c>
      <c r="N88" s="27" t="s">
        <v>2281</v>
      </c>
      <c r="O88" s="182" t="s">
        <v>2284</v>
      </c>
    </row>
    <row r="89" spans="1:20" ht="12">
      <c r="A89" s="148"/>
      <c r="B89" s="174" t="s">
        <v>2285</v>
      </c>
      <c r="C89" s="175" t="s">
        <v>1617</v>
      </c>
      <c r="D89" s="176" t="s">
        <v>1530</v>
      </c>
      <c r="E89" s="177" t="s">
        <v>2286</v>
      </c>
      <c r="F89" s="175">
        <f t="shared" si="3"/>
        <v>11</v>
      </c>
      <c r="G89" s="175" t="str">
        <f t="shared" si="4"/>
        <v>Bluefield</v>
      </c>
      <c r="H89" s="175" t="str">
        <f t="shared" si="5"/>
        <v>Bluefield, WV</v>
      </c>
      <c r="I89" s="178" t="s">
        <v>2287</v>
      </c>
      <c r="J89" s="27" t="s">
        <v>435</v>
      </c>
      <c r="K89" s="27">
        <v>1052</v>
      </c>
      <c r="L89" s="179">
        <v>4360</v>
      </c>
      <c r="M89" s="180" t="s">
        <v>2288</v>
      </c>
      <c r="N89" s="181" t="s">
        <v>435</v>
      </c>
      <c r="O89" s="182" t="s">
        <v>2289</v>
      </c>
    </row>
    <row r="90" spans="1:20" ht="12">
      <c r="A90" s="148"/>
      <c r="B90" s="174" t="s">
        <v>2290</v>
      </c>
      <c r="C90" s="175" t="s">
        <v>2291</v>
      </c>
      <c r="D90" s="176" t="s">
        <v>2292</v>
      </c>
      <c r="E90" s="177" t="s">
        <v>2293</v>
      </c>
      <c r="F90" s="175">
        <f t="shared" si="3"/>
        <v>7</v>
      </c>
      <c r="G90" s="175" t="str">
        <f t="shared" si="4"/>
        <v>Boise</v>
      </c>
      <c r="H90" s="175" t="str">
        <f t="shared" si="5"/>
        <v>Boise, ID</v>
      </c>
      <c r="I90" s="178" t="s">
        <v>2294</v>
      </c>
      <c r="J90" s="27" t="s">
        <v>2292</v>
      </c>
      <c r="K90" s="27">
        <v>754</v>
      </c>
      <c r="L90" s="179">
        <v>5861</v>
      </c>
      <c r="M90" s="180" t="s">
        <v>2295</v>
      </c>
      <c r="N90" s="181" t="s">
        <v>2292</v>
      </c>
      <c r="O90" s="182" t="s">
        <v>2296</v>
      </c>
    </row>
    <row r="91" spans="1:20" ht="12">
      <c r="A91" s="148"/>
      <c r="B91" s="174" t="s">
        <v>2297</v>
      </c>
      <c r="C91" s="175" t="s">
        <v>2291</v>
      </c>
      <c r="D91" s="176" t="s">
        <v>2292</v>
      </c>
      <c r="E91" s="177" t="s">
        <v>2293</v>
      </c>
      <c r="F91" s="175">
        <f t="shared" si="3"/>
        <v>7</v>
      </c>
      <c r="G91" s="175" t="str">
        <f t="shared" si="4"/>
        <v>Boise</v>
      </c>
      <c r="H91" s="175" t="str">
        <f t="shared" si="5"/>
        <v>Boise, ID</v>
      </c>
      <c r="I91" s="178" t="s">
        <v>2294</v>
      </c>
      <c r="J91" s="27" t="s">
        <v>2292</v>
      </c>
      <c r="K91" s="27">
        <v>754</v>
      </c>
      <c r="L91" s="179">
        <v>5861</v>
      </c>
      <c r="M91" s="180" t="s">
        <v>2295</v>
      </c>
      <c r="N91" s="181" t="s">
        <v>2292</v>
      </c>
      <c r="O91" s="182" t="s">
        <v>2296</v>
      </c>
    </row>
    <row r="92" spans="1:20" ht="12">
      <c r="A92" s="148"/>
      <c r="B92" s="186" t="s">
        <v>2298</v>
      </c>
      <c r="C92" s="175" t="s">
        <v>2299</v>
      </c>
      <c r="D92" s="176" t="s">
        <v>2300</v>
      </c>
      <c r="E92" s="177" t="s">
        <v>2301</v>
      </c>
      <c r="F92" s="175">
        <f t="shared" si="3"/>
        <v>8</v>
      </c>
      <c r="G92" s="175" t="str">
        <f t="shared" si="4"/>
        <v>Boston</v>
      </c>
      <c r="H92" s="175" t="str">
        <f t="shared" si="5"/>
        <v>Boston, MA</v>
      </c>
      <c r="I92" s="178" t="s">
        <v>649</v>
      </c>
      <c r="J92" s="27" t="s">
        <v>2300</v>
      </c>
      <c r="K92" s="27">
        <v>333</v>
      </c>
      <c r="L92" s="179">
        <v>6979</v>
      </c>
      <c r="M92" s="180" t="s">
        <v>650</v>
      </c>
      <c r="N92" s="181" t="s">
        <v>2300</v>
      </c>
      <c r="O92" s="182" t="s">
        <v>651</v>
      </c>
    </row>
    <row r="93" spans="1:20" ht="12">
      <c r="A93" s="148"/>
      <c r="B93" s="186" t="s">
        <v>652</v>
      </c>
      <c r="C93" s="175" t="s">
        <v>2299</v>
      </c>
      <c r="D93" s="176" t="s">
        <v>2300</v>
      </c>
      <c r="E93" s="177" t="s">
        <v>2301</v>
      </c>
      <c r="F93" s="175">
        <f t="shared" si="3"/>
        <v>8</v>
      </c>
      <c r="G93" s="175" t="str">
        <f t="shared" si="4"/>
        <v>Boston</v>
      </c>
      <c r="H93" s="175" t="str">
        <f t="shared" si="5"/>
        <v>Boston, MA</v>
      </c>
      <c r="I93" s="178" t="s">
        <v>653</v>
      </c>
      <c r="J93" s="27" t="s">
        <v>2300</v>
      </c>
      <c r="K93" s="27">
        <v>678</v>
      </c>
      <c r="L93" s="179">
        <v>5641</v>
      </c>
      <c r="M93" s="180" t="s">
        <v>650</v>
      </c>
      <c r="N93" s="181" t="s">
        <v>2300</v>
      </c>
      <c r="O93" s="182" t="s">
        <v>651</v>
      </c>
    </row>
    <row r="94" spans="1:20" ht="12">
      <c r="A94" s="148"/>
      <c r="B94" s="186" t="s">
        <v>654</v>
      </c>
      <c r="C94" s="175" t="s">
        <v>2299</v>
      </c>
      <c r="D94" s="176" t="s">
        <v>2300</v>
      </c>
      <c r="E94" s="177" t="s">
        <v>2301</v>
      </c>
      <c r="F94" s="175">
        <f t="shared" si="3"/>
        <v>8</v>
      </c>
      <c r="G94" s="175" t="str">
        <f t="shared" si="4"/>
        <v>Boston</v>
      </c>
      <c r="H94" s="175" t="str">
        <f t="shared" si="5"/>
        <v>Boston, MA</v>
      </c>
      <c r="I94" s="178" t="s">
        <v>653</v>
      </c>
      <c r="J94" s="27" t="s">
        <v>2300</v>
      </c>
      <c r="K94" s="27">
        <v>678</v>
      </c>
      <c r="L94" s="179">
        <v>5641</v>
      </c>
      <c r="M94" s="180" t="s">
        <v>650</v>
      </c>
      <c r="N94" s="181" t="s">
        <v>2300</v>
      </c>
      <c r="O94" s="182" t="s">
        <v>651</v>
      </c>
    </row>
    <row r="95" spans="1:20" ht="12">
      <c r="A95" s="148"/>
      <c r="B95" s="174" t="s">
        <v>655</v>
      </c>
      <c r="C95" s="175" t="s">
        <v>402</v>
      </c>
      <c r="D95" s="176" t="s">
        <v>403</v>
      </c>
      <c r="E95" s="177" t="s">
        <v>656</v>
      </c>
      <c r="F95" s="175">
        <f t="shared" si="3"/>
        <v>9</v>
      </c>
      <c r="G95" s="175" t="str">
        <f t="shared" si="4"/>
        <v>Boulder</v>
      </c>
      <c r="H95" s="175" t="str">
        <f t="shared" si="5"/>
        <v>Boulder, CO</v>
      </c>
      <c r="I95" s="178" t="s">
        <v>657</v>
      </c>
      <c r="J95" s="27" t="s">
        <v>403</v>
      </c>
      <c r="K95" s="27">
        <v>679</v>
      </c>
      <c r="L95" s="179">
        <v>6020</v>
      </c>
      <c r="M95" s="180" t="s">
        <v>658</v>
      </c>
      <c r="N95" s="181" t="s">
        <v>403</v>
      </c>
      <c r="O95" s="182" t="s">
        <v>659</v>
      </c>
    </row>
    <row r="96" spans="1:20" ht="12">
      <c r="A96" s="148"/>
      <c r="B96" s="174" t="s">
        <v>660</v>
      </c>
      <c r="C96" s="175" t="s">
        <v>525</v>
      </c>
      <c r="D96" s="176" t="s">
        <v>526</v>
      </c>
      <c r="E96" s="177" t="s">
        <v>661</v>
      </c>
      <c r="F96" s="175">
        <f t="shared" si="3"/>
        <v>15</v>
      </c>
      <c r="G96" s="175" t="str">
        <f t="shared" si="4"/>
        <v>Bowling Green</v>
      </c>
      <c r="H96" s="175" t="str">
        <f t="shared" si="5"/>
        <v>Bowling Green, KY</v>
      </c>
      <c r="I96" s="178" t="s">
        <v>662</v>
      </c>
      <c r="J96" s="27" t="s">
        <v>526</v>
      </c>
      <c r="K96" s="27">
        <v>1288</v>
      </c>
      <c r="L96" s="179">
        <v>4514</v>
      </c>
      <c r="M96" s="180" t="s">
        <v>663</v>
      </c>
      <c r="N96" s="181" t="s">
        <v>526</v>
      </c>
      <c r="O96" s="182" t="s">
        <v>664</v>
      </c>
    </row>
    <row r="97" spans="1:20" ht="12">
      <c r="A97" s="148"/>
      <c r="B97" s="174" t="s">
        <v>665</v>
      </c>
      <c r="C97" s="175" t="s">
        <v>394</v>
      </c>
      <c r="D97" s="176" t="s">
        <v>395</v>
      </c>
      <c r="E97" s="177" t="s">
        <v>661</v>
      </c>
      <c r="F97" s="175">
        <f t="shared" si="3"/>
        <v>15</v>
      </c>
      <c r="G97" s="175" t="str">
        <f t="shared" si="4"/>
        <v>Bowling Green</v>
      </c>
      <c r="H97" s="175" t="str">
        <f t="shared" si="5"/>
        <v>Bowling Green, OH</v>
      </c>
      <c r="I97" s="178" t="s">
        <v>666</v>
      </c>
      <c r="J97" s="27" t="s">
        <v>395</v>
      </c>
      <c r="K97" s="27">
        <v>610</v>
      </c>
      <c r="L97" s="179">
        <v>6579</v>
      </c>
      <c r="M97" s="180" t="s">
        <v>667</v>
      </c>
      <c r="N97" s="181" t="s">
        <v>395</v>
      </c>
      <c r="O97" s="182" t="s">
        <v>668</v>
      </c>
    </row>
    <row r="98" spans="1:20" ht="12">
      <c r="A98" s="148"/>
      <c r="B98" s="174" t="s">
        <v>669</v>
      </c>
      <c r="C98" s="175" t="s">
        <v>670</v>
      </c>
      <c r="D98" s="176" t="s">
        <v>671</v>
      </c>
      <c r="E98" s="177" t="s">
        <v>672</v>
      </c>
      <c r="F98" s="175">
        <f t="shared" si="3"/>
        <v>11</v>
      </c>
      <c r="G98" s="175" t="str">
        <f t="shared" si="4"/>
        <v>Bradenton</v>
      </c>
      <c r="H98" s="175" t="str">
        <f t="shared" si="5"/>
        <v>Bradenton, FL</v>
      </c>
      <c r="I98" s="178" t="s">
        <v>673</v>
      </c>
      <c r="J98" s="27" t="s">
        <v>671</v>
      </c>
      <c r="K98" s="27">
        <v>3427</v>
      </c>
      <c r="L98" s="179">
        <v>725</v>
      </c>
      <c r="M98" s="178" t="s">
        <v>674</v>
      </c>
      <c r="N98" s="27" t="s">
        <v>671</v>
      </c>
      <c r="O98" s="182" t="s">
        <v>675</v>
      </c>
    </row>
    <row r="99" spans="1:20" ht="12">
      <c r="A99" s="148"/>
      <c r="B99" s="174" t="s">
        <v>676</v>
      </c>
      <c r="C99" s="175" t="s">
        <v>449</v>
      </c>
      <c r="D99" s="176" t="s">
        <v>450</v>
      </c>
      <c r="E99" s="177" t="s">
        <v>677</v>
      </c>
      <c r="F99" s="175">
        <f t="shared" si="3"/>
        <v>10</v>
      </c>
      <c r="G99" s="175" t="str">
        <f t="shared" si="4"/>
        <v>Bradford</v>
      </c>
      <c r="H99" s="175" t="str">
        <f t="shared" si="5"/>
        <v>Bradford, PA</v>
      </c>
      <c r="I99" s="178" t="s">
        <v>678</v>
      </c>
      <c r="J99" s="27" t="s">
        <v>450</v>
      </c>
      <c r="K99" s="27">
        <v>550</v>
      </c>
      <c r="L99" s="179">
        <v>6279</v>
      </c>
      <c r="M99" s="180" t="s">
        <v>679</v>
      </c>
      <c r="N99" s="181" t="s">
        <v>450</v>
      </c>
      <c r="O99" s="182" t="s">
        <v>680</v>
      </c>
    </row>
    <row r="100" spans="1:20" ht="12">
      <c r="A100" s="148"/>
      <c r="B100" s="174" t="s">
        <v>681</v>
      </c>
      <c r="C100" s="175" t="s">
        <v>1626</v>
      </c>
      <c r="D100" s="176" t="s">
        <v>1627</v>
      </c>
      <c r="E100" s="177" t="s">
        <v>682</v>
      </c>
      <c r="F100" s="175">
        <f t="shared" si="3"/>
        <v>10</v>
      </c>
      <c r="G100" s="175" t="str">
        <f t="shared" si="4"/>
        <v>Brainerd</v>
      </c>
      <c r="H100" s="175" t="str">
        <f t="shared" si="5"/>
        <v>Brainerd, MN</v>
      </c>
      <c r="I100" s="178" t="s">
        <v>683</v>
      </c>
      <c r="J100" s="27" t="s">
        <v>1627</v>
      </c>
      <c r="K100" s="27">
        <v>415</v>
      </c>
      <c r="L100" s="179">
        <v>8928</v>
      </c>
      <c r="M100" s="178" t="s">
        <v>684</v>
      </c>
      <c r="N100" s="27" t="s">
        <v>1627</v>
      </c>
      <c r="O100" s="182" t="s">
        <v>685</v>
      </c>
    </row>
    <row r="101" spans="1:20" ht="12">
      <c r="A101" s="148"/>
      <c r="B101" s="186" t="s">
        <v>686</v>
      </c>
      <c r="C101" s="175" t="s">
        <v>1622</v>
      </c>
      <c r="D101" s="176" t="s">
        <v>1623</v>
      </c>
      <c r="E101" s="177" t="s">
        <v>687</v>
      </c>
      <c r="F101" s="175">
        <f t="shared" si="3"/>
        <v>13</v>
      </c>
      <c r="G101" s="175" t="str">
        <f t="shared" si="4"/>
        <v>Brattleboro</v>
      </c>
      <c r="H101" s="175" t="str">
        <f t="shared" si="5"/>
        <v>Brattleboro, VT</v>
      </c>
      <c r="I101" s="178" t="s">
        <v>649</v>
      </c>
      <c r="J101" s="27" t="s">
        <v>2300</v>
      </c>
      <c r="K101" s="27">
        <v>333</v>
      </c>
      <c r="L101" s="179">
        <v>6979</v>
      </c>
      <c r="M101" s="180" t="s">
        <v>419</v>
      </c>
      <c r="N101" s="181" t="s">
        <v>417</v>
      </c>
      <c r="O101" s="182" t="s">
        <v>420</v>
      </c>
    </row>
    <row r="102" spans="1:20" ht="12">
      <c r="A102" s="148"/>
      <c r="B102" s="186" t="s">
        <v>688</v>
      </c>
      <c r="C102" s="175" t="s">
        <v>689</v>
      </c>
      <c r="D102" s="176" t="s">
        <v>690</v>
      </c>
      <c r="E102" s="177" t="s">
        <v>691</v>
      </c>
      <c r="F102" s="175">
        <f t="shared" si="3"/>
        <v>12</v>
      </c>
      <c r="G102" s="175" t="str">
        <f t="shared" si="4"/>
        <v>Bridgeport</v>
      </c>
      <c r="H102" s="175" t="str">
        <f t="shared" si="5"/>
        <v>Bridgeport, CT</v>
      </c>
      <c r="I102" s="178" t="s">
        <v>692</v>
      </c>
      <c r="J102" s="27" t="s">
        <v>690</v>
      </c>
      <c r="K102" s="27">
        <v>724</v>
      </c>
      <c r="L102" s="179">
        <v>5537</v>
      </c>
      <c r="M102" s="178" t="s">
        <v>693</v>
      </c>
      <c r="N102" s="27" t="s">
        <v>690</v>
      </c>
      <c r="O102" s="182" t="s">
        <v>694</v>
      </c>
    </row>
    <row r="103" spans="1:20" ht="12">
      <c r="A103" s="148"/>
      <c r="B103" s="174" t="s">
        <v>695</v>
      </c>
      <c r="C103" s="175" t="s">
        <v>434</v>
      </c>
      <c r="D103" s="176" t="s">
        <v>435</v>
      </c>
      <c r="E103" s="177" t="s">
        <v>696</v>
      </c>
      <c r="F103" s="175">
        <f t="shared" si="3"/>
        <v>9</v>
      </c>
      <c r="G103" s="175" t="str">
        <f t="shared" si="4"/>
        <v>Bristol</v>
      </c>
      <c r="H103" s="175" t="str">
        <f t="shared" si="5"/>
        <v>Bristol, VA</v>
      </c>
      <c r="I103" s="178" t="s">
        <v>2287</v>
      </c>
      <c r="J103" s="27" t="s">
        <v>435</v>
      </c>
      <c r="K103" s="27">
        <v>1052</v>
      </c>
      <c r="L103" s="179">
        <v>4360</v>
      </c>
      <c r="M103" s="180" t="s">
        <v>2288</v>
      </c>
      <c r="N103" s="181" t="s">
        <v>435</v>
      </c>
      <c r="O103" s="182" t="s">
        <v>2289</v>
      </c>
    </row>
    <row r="104" spans="1:20" ht="12">
      <c r="A104" s="148"/>
      <c r="B104" s="186" t="s">
        <v>697</v>
      </c>
      <c r="C104" s="175" t="s">
        <v>2299</v>
      </c>
      <c r="D104" s="176" t="s">
        <v>2300</v>
      </c>
      <c r="E104" s="177" t="s">
        <v>2268</v>
      </c>
      <c r="F104" s="175">
        <f t="shared" si="3"/>
        <v>10</v>
      </c>
      <c r="G104" s="175" t="str">
        <f t="shared" si="4"/>
        <v>Brockton</v>
      </c>
      <c r="H104" s="175" t="str">
        <f t="shared" si="5"/>
        <v>Brockton, MA</v>
      </c>
      <c r="I104" s="178" t="s">
        <v>2269</v>
      </c>
      <c r="J104" s="27" t="s">
        <v>2270</v>
      </c>
      <c r="K104" s="27">
        <v>606</v>
      </c>
      <c r="L104" s="179">
        <v>5884</v>
      </c>
      <c r="M104" s="180" t="s">
        <v>2271</v>
      </c>
      <c r="N104" s="181" t="s">
        <v>2270</v>
      </c>
      <c r="O104" s="182" t="s">
        <v>2272</v>
      </c>
    </row>
    <row r="105" spans="1:20" ht="12">
      <c r="A105" s="148"/>
      <c r="B105" s="186" t="s">
        <v>2273</v>
      </c>
      <c r="C105" s="175" t="s">
        <v>2299</v>
      </c>
      <c r="D105" s="176" t="s">
        <v>2300</v>
      </c>
      <c r="E105" s="177" t="s">
        <v>2268</v>
      </c>
      <c r="F105" s="175">
        <f t="shared" si="3"/>
        <v>10</v>
      </c>
      <c r="G105" s="175" t="str">
        <f t="shared" si="4"/>
        <v>Brockton</v>
      </c>
      <c r="H105" s="175" t="str">
        <f t="shared" si="5"/>
        <v>Brockton, MA</v>
      </c>
      <c r="I105" s="178" t="s">
        <v>653</v>
      </c>
      <c r="J105" s="27" t="s">
        <v>2300</v>
      </c>
      <c r="K105" s="27">
        <v>678</v>
      </c>
      <c r="L105" s="179">
        <v>5641</v>
      </c>
      <c r="M105" s="180" t="s">
        <v>650</v>
      </c>
      <c r="N105" s="181" t="s">
        <v>2300</v>
      </c>
      <c r="O105" s="182" t="s">
        <v>651</v>
      </c>
    </row>
    <row r="106" spans="1:20" ht="12">
      <c r="A106" s="148"/>
      <c r="B106" s="174" t="s">
        <v>2274</v>
      </c>
      <c r="C106" s="175" t="s">
        <v>416</v>
      </c>
      <c r="D106" s="176" t="s">
        <v>417</v>
      </c>
      <c r="E106" s="177" t="s">
        <v>2275</v>
      </c>
      <c r="F106" s="175">
        <f t="shared" si="3"/>
        <v>7</v>
      </c>
      <c r="G106" s="175" t="str">
        <f t="shared" si="4"/>
        <v>Bronx</v>
      </c>
      <c r="H106" s="175" t="str">
        <f t="shared" si="5"/>
        <v>Bronx, NY</v>
      </c>
      <c r="I106" s="178" t="s">
        <v>2276</v>
      </c>
      <c r="J106" s="27" t="s">
        <v>417</v>
      </c>
      <c r="K106" s="27">
        <v>1052</v>
      </c>
      <c r="L106" s="179">
        <v>4910</v>
      </c>
      <c r="M106" s="180" t="s">
        <v>2277</v>
      </c>
      <c r="N106" s="181" t="s">
        <v>417</v>
      </c>
      <c r="O106" s="182" t="s">
        <v>1298</v>
      </c>
    </row>
    <row r="107" spans="1:20" ht="12">
      <c r="A107" s="148"/>
      <c r="B107" s="174" t="s">
        <v>1299</v>
      </c>
      <c r="C107" s="175" t="s">
        <v>416</v>
      </c>
      <c r="D107" s="176" t="s">
        <v>417</v>
      </c>
      <c r="E107" s="177" t="s">
        <v>1300</v>
      </c>
      <c r="F107" s="175">
        <f t="shared" si="3"/>
        <v>10</v>
      </c>
      <c r="G107" s="175" t="str">
        <f t="shared" si="4"/>
        <v>Brooklyn</v>
      </c>
      <c r="H107" s="175" t="str">
        <f t="shared" si="5"/>
        <v>Brooklyn, NY</v>
      </c>
      <c r="I107" s="178" t="s">
        <v>2276</v>
      </c>
      <c r="J107" s="27" t="s">
        <v>417</v>
      </c>
      <c r="K107" s="27">
        <v>1052</v>
      </c>
      <c r="L107" s="179">
        <v>4910</v>
      </c>
      <c r="M107" s="180" t="s">
        <v>2277</v>
      </c>
      <c r="N107" s="181" t="s">
        <v>417</v>
      </c>
      <c r="O107" s="182" t="s">
        <v>1298</v>
      </c>
    </row>
    <row r="108" spans="1:20" ht="12">
      <c r="A108" s="148"/>
      <c r="B108" s="174" t="s">
        <v>1301</v>
      </c>
      <c r="C108" s="175" t="s">
        <v>263</v>
      </c>
      <c r="D108" s="176" t="s">
        <v>264</v>
      </c>
      <c r="E108" s="177" t="s">
        <v>1302</v>
      </c>
      <c r="F108" s="175">
        <f t="shared" si="3"/>
        <v>13</v>
      </c>
      <c r="G108" s="175" t="str">
        <f t="shared" si="4"/>
        <v>Brownsville</v>
      </c>
      <c r="H108" s="175" t="str">
        <f t="shared" si="5"/>
        <v>Brownsville, TX</v>
      </c>
      <c r="I108" s="178" t="s">
        <v>1303</v>
      </c>
      <c r="J108" s="27" t="s">
        <v>264</v>
      </c>
      <c r="K108" s="27">
        <v>3888</v>
      </c>
      <c r="L108" s="179">
        <v>635</v>
      </c>
      <c r="M108" s="180" t="s">
        <v>1304</v>
      </c>
      <c r="N108" s="181" t="s">
        <v>264</v>
      </c>
      <c r="O108" s="182" t="s">
        <v>1305</v>
      </c>
    </row>
    <row r="109" spans="1:20" ht="12">
      <c r="A109" s="148"/>
      <c r="B109" s="174" t="s">
        <v>1306</v>
      </c>
      <c r="C109" s="175" t="s">
        <v>263</v>
      </c>
      <c r="D109" s="176" t="s">
        <v>264</v>
      </c>
      <c r="E109" s="177" t="s">
        <v>1307</v>
      </c>
      <c r="F109" s="175">
        <f t="shared" si="3"/>
        <v>11</v>
      </c>
      <c r="G109" s="175" t="str">
        <f t="shared" si="4"/>
        <v>Brownwood</v>
      </c>
      <c r="H109" s="175" t="str">
        <f t="shared" si="5"/>
        <v>Brownwood, TX</v>
      </c>
      <c r="I109" s="178" t="s">
        <v>266</v>
      </c>
      <c r="J109" s="27" t="s">
        <v>264</v>
      </c>
      <c r="K109" s="27">
        <v>2451</v>
      </c>
      <c r="L109" s="179">
        <v>2584</v>
      </c>
      <c r="M109" s="180" t="s">
        <v>267</v>
      </c>
      <c r="N109" s="181" t="s">
        <v>264</v>
      </c>
      <c r="O109" s="182" t="s">
        <v>268</v>
      </c>
    </row>
    <row r="110" spans="1:20" ht="12">
      <c r="A110" s="148"/>
      <c r="B110" s="174" t="s">
        <v>1308</v>
      </c>
      <c r="C110" s="175" t="s">
        <v>263</v>
      </c>
      <c r="D110" s="176" t="s">
        <v>264</v>
      </c>
      <c r="E110" s="177" t="s">
        <v>1309</v>
      </c>
      <c r="F110" s="175">
        <f t="shared" si="3"/>
        <v>7</v>
      </c>
      <c r="G110" s="175" t="str">
        <f t="shared" si="4"/>
        <v>Bryan</v>
      </c>
      <c r="H110" s="175" t="str">
        <f t="shared" si="5"/>
        <v>Bryan, TX</v>
      </c>
      <c r="I110" s="178" t="s">
        <v>1572</v>
      </c>
      <c r="J110" s="27" t="s">
        <v>264</v>
      </c>
      <c r="K110" s="27">
        <v>3016</v>
      </c>
      <c r="L110" s="179">
        <v>1688</v>
      </c>
      <c r="M110" s="180" t="s">
        <v>1569</v>
      </c>
      <c r="N110" s="181" t="s">
        <v>264</v>
      </c>
      <c r="O110" s="182" t="s">
        <v>1570</v>
      </c>
    </row>
    <row r="111" spans="1:20" ht="12">
      <c r="A111" s="148"/>
      <c r="B111" s="174" t="s">
        <v>1310</v>
      </c>
      <c r="C111" s="175" t="s">
        <v>1311</v>
      </c>
      <c r="D111" s="176" t="s">
        <v>1312</v>
      </c>
      <c r="E111" s="177" t="s">
        <v>1313</v>
      </c>
      <c r="F111" s="175">
        <f t="shared" si="3"/>
        <v>14</v>
      </c>
      <c r="G111" s="175" t="str">
        <f t="shared" si="4"/>
        <v>Buckeye/Yuma</v>
      </c>
      <c r="H111" s="175" t="str">
        <f t="shared" si="5"/>
        <v>Buckeye/Yuma, AZ</v>
      </c>
      <c r="I111" s="178" t="s">
        <v>1314</v>
      </c>
      <c r="J111" s="27" t="s">
        <v>1312</v>
      </c>
      <c r="K111" s="27">
        <v>4305</v>
      </c>
      <c r="L111" s="179">
        <v>927</v>
      </c>
      <c r="M111" s="178" t="s">
        <v>1315</v>
      </c>
      <c r="N111" s="27" t="s">
        <v>1312</v>
      </c>
      <c r="O111" s="182" t="s">
        <v>1316</v>
      </c>
    </row>
    <row r="112" spans="1:20" ht="12">
      <c r="A112" s="148"/>
      <c r="B112" s="174" t="s">
        <v>1317</v>
      </c>
      <c r="C112" s="175" t="s">
        <v>1617</v>
      </c>
      <c r="D112" s="176" t="s">
        <v>1530</v>
      </c>
      <c r="E112" s="177" t="s">
        <v>1318</v>
      </c>
      <c r="F112" s="175">
        <f t="shared" si="3"/>
        <v>12</v>
      </c>
      <c r="G112" s="175" t="str">
        <f t="shared" si="4"/>
        <v>Buckhannon</v>
      </c>
      <c r="H112" s="175" t="str">
        <f t="shared" si="5"/>
        <v>Buckhannon, WV</v>
      </c>
      <c r="I112" s="178" t="s">
        <v>1319</v>
      </c>
      <c r="J112" s="27" t="s">
        <v>1530</v>
      </c>
      <c r="K112" s="27">
        <v>1031</v>
      </c>
      <c r="L112" s="179">
        <v>4646</v>
      </c>
      <c r="M112" s="180" t="s">
        <v>1531</v>
      </c>
      <c r="N112" s="181" t="s">
        <v>1530</v>
      </c>
      <c r="O112" s="182" t="s">
        <v>1532</v>
      </c>
      <c r="S112" s="27"/>
      <c r="T112" s="27"/>
    </row>
    <row r="113" spans="1:20" ht="12">
      <c r="A113" s="148"/>
      <c r="B113" s="174" t="s">
        <v>1320</v>
      </c>
      <c r="C113" s="175" t="s">
        <v>416</v>
      </c>
      <c r="D113" s="176" t="s">
        <v>417</v>
      </c>
      <c r="E113" s="177" t="s">
        <v>1321</v>
      </c>
      <c r="F113" s="175">
        <f t="shared" si="3"/>
        <v>9</v>
      </c>
      <c r="G113" s="175" t="str">
        <f t="shared" si="4"/>
        <v>Buffalo</v>
      </c>
      <c r="H113" s="175" t="str">
        <f t="shared" si="5"/>
        <v>Buffalo, NY</v>
      </c>
      <c r="I113" s="178" t="s">
        <v>678</v>
      </c>
      <c r="J113" s="27" t="s">
        <v>450</v>
      </c>
      <c r="K113" s="27">
        <v>550</v>
      </c>
      <c r="L113" s="179">
        <v>6279</v>
      </c>
      <c r="M113" s="180" t="s">
        <v>679</v>
      </c>
      <c r="N113" s="181" t="s">
        <v>450</v>
      </c>
      <c r="O113" s="182" t="s">
        <v>680</v>
      </c>
    </row>
    <row r="114" spans="1:20" ht="12">
      <c r="A114" s="148"/>
      <c r="B114" s="174" t="s">
        <v>1322</v>
      </c>
      <c r="C114" s="175" t="s">
        <v>416</v>
      </c>
      <c r="D114" s="176" t="s">
        <v>417</v>
      </c>
      <c r="E114" s="177" t="s">
        <v>1321</v>
      </c>
      <c r="F114" s="175">
        <f t="shared" si="3"/>
        <v>9</v>
      </c>
      <c r="G114" s="175" t="str">
        <f t="shared" si="4"/>
        <v>Buffalo</v>
      </c>
      <c r="H114" s="175" t="str">
        <f t="shared" si="5"/>
        <v>Buffalo, NY</v>
      </c>
      <c r="I114" s="178" t="s">
        <v>1323</v>
      </c>
      <c r="J114" s="27" t="s">
        <v>417</v>
      </c>
      <c r="K114" s="27">
        <v>425</v>
      </c>
      <c r="L114" s="179">
        <v>6734</v>
      </c>
      <c r="M114" s="180" t="s">
        <v>1324</v>
      </c>
      <c r="N114" s="181" t="s">
        <v>417</v>
      </c>
      <c r="O114" s="182" t="s">
        <v>1325</v>
      </c>
    </row>
    <row r="115" spans="1:20" ht="12">
      <c r="A115" s="148"/>
      <c r="B115" s="174" t="s">
        <v>1326</v>
      </c>
      <c r="C115" s="175" t="s">
        <v>416</v>
      </c>
      <c r="D115" s="176" t="s">
        <v>417</v>
      </c>
      <c r="E115" s="177" t="s">
        <v>1321</v>
      </c>
      <c r="F115" s="175">
        <f t="shared" si="3"/>
        <v>9</v>
      </c>
      <c r="G115" s="175" t="str">
        <f t="shared" si="4"/>
        <v>Buffalo</v>
      </c>
      <c r="H115" s="175" t="str">
        <f t="shared" si="5"/>
        <v>Buffalo, NY</v>
      </c>
      <c r="I115" s="178" t="s">
        <v>1327</v>
      </c>
      <c r="J115" s="27" t="s">
        <v>417</v>
      </c>
      <c r="K115" s="27">
        <v>477</v>
      </c>
      <c r="L115" s="179">
        <v>6747</v>
      </c>
      <c r="M115" s="180" t="s">
        <v>1328</v>
      </c>
      <c r="N115" s="181" t="s">
        <v>417</v>
      </c>
      <c r="O115" s="182" t="s">
        <v>1329</v>
      </c>
    </row>
    <row r="116" spans="1:20" ht="12">
      <c r="A116" s="148"/>
      <c r="B116" s="174" t="s">
        <v>1330</v>
      </c>
      <c r="C116" s="175" t="s">
        <v>442</v>
      </c>
      <c r="D116" s="176" t="s">
        <v>443</v>
      </c>
      <c r="E116" s="177" t="s">
        <v>1331</v>
      </c>
      <c r="F116" s="175">
        <f t="shared" si="3"/>
        <v>9</v>
      </c>
      <c r="G116" s="175" t="str">
        <f t="shared" si="4"/>
        <v>Burbank</v>
      </c>
      <c r="H116" s="175" t="str">
        <f t="shared" si="5"/>
        <v>Burbank, CA</v>
      </c>
      <c r="I116" s="178" t="s">
        <v>445</v>
      </c>
      <c r="J116" s="27" t="s">
        <v>443</v>
      </c>
      <c r="K116" s="27">
        <v>1537</v>
      </c>
      <c r="L116" s="179">
        <v>1154</v>
      </c>
      <c r="M116" s="178" t="s">
        <v>446</v>
      </c>
      <c r="N116" s="27" t="s">
        <v>443</v>
      </c>
      <c r="O116" s="182" t="s">
        <v>447</v>
      </c>
    </row>
    <row r="117" spans="1:20" ht="12">
      <c r="A117" s="148"/>
      <c r="B117" s="174" t="s">
        <v>1332</v>
      </c>
      <c r="C117" s="175" t="s">
        <v>1333</v>
      </c>
      <c r="D117" s="176" t="s">
        <v>1334</v>
      </c>
      <c r="E117" s="177" t="s">
        <v>1335</v>
      </c>
      <c r="F117" s="175">
        <f t="shared" si="3"/>
        <v>12</v>
      </c>
      <c r="G117" s="175" t="str">
        <f t="shared" si="4"/>
        <v>Burlington</v>
      </c>
      <c r="H117" s="175" t="str">
        <f t="shared" si="5"/>
        <v>Burlington, IA</v>
      </c>
      <c r="I117" s="178" t="s">
        <v>1336</v>
      </c>
      <c r="J117" s="27" t="s">
        <v>1648</v>
      </c>
      <c r="K117" s="27">
        <v>911</v>
      </c>
      <c r="L117" s="179">
        <v>6474</v>
      </c>
      <c r="M117" s="180" t="s">
        <v>1337</v>
      </c>
      <c r="N117" s="181" t="s">
        <v>1334</v>
      </c>
      <c r="O117" s="182" t="s">
        <v>1338</v>
      </c>
    </row>
    <row r="118" spans="1:20" ht="12">
      <c r="A118" s="148"/>
      <c r="B118" s="186" t="s">
        <v>1339</v>
      </c>
      <c r="C118" s="175" t="s">
        <v>1622</v>
      </c>
      <c r="D118" s="176" t="s">
        <v>1623</v>
      </c>
      <c r="E118" s="177" t="s">
        <v>1335</v>
      </c>
      <c r="F118" s="175">
        <f t="shared" si="3"/>
        <v>12</v>
      </c>
      <c r="G118" s="175" t="str">
        <f t="shared" si="4"/>
        <v>Burlington</v>
      </c>
      <c r="H118" s="175" t="str">
        <f t="shared" si="5"/>
        <v>Burlington, VT</v>
      </c>
      <c r="I118" s="178" t="s">
        <v>1340</v>
      </c>
      <c r="J118" s="27" t="s">
        <v>1623</v>
      </c>
      <c r="K118" s="27">
        <v>388</v>
      </c>
      <c r="L118" s="179">
        <v>7771</v>
      </c>
      <c r="M118" s="180" t="s">
        <v>1341</v>
      </c>
      <c r="N118" s="181" t="s">
        <v>1623</v>
      </c>
      <c r="O118" s="182" t="s">
        <v>1342</v>
      </c>
    </row>
    <row r="119" spans="1:20" ht="12">
      <c r="A119" s="148"/>
      <c r="B119" s="174" t="s">
        <v>1343</v>
      </c>
      <c r="C119" s="175" t="s">
        <v>502</v>
      </c>
      <c r="D119" s="176" t="s">
        <v>503</v>
      </c>
      <c r="E119" s="177" t="s">
        <v>1344</v>
      </c>
      <c r="F119" s="175">
        <f t="shared" si="3"/>
        <v>8</v>
      </c>
      <c r="G119" s="175" t="str">
        <f t="shared" si="4"/>
        <v>Butler</v>
      </c>
      <c r="H119" s="175" t="str">
        <f t="shared" si="5"/>
        <v>Butler, AL</v>
      </c>
      <c r="I119" s="178" t="s">
        <v>1345</v>
      </c>
      <c r="J119" s="27" t="s">
        <v>1346</v>
      </c>
      <c r="K119" s="27">
        <v>2138</v>
      </c>
      <c r="L119" s="179">
        <v>2444</v>
      </c>
      <c r="M119" s="180" t="s">
        <v>1347</v>
      </c>
      <c r="N119" s="181" t="s">
        <v>1346</v>
      </c>
      <c r="O119" s="182" t="s">
        <v>1348</v>
      </c>
    </row>
    <row r="120" spans="1:20" ht="12">
      <c r="A120" s="148"/>
      <c r="B120" s="174" t="s">
        <v>1349</v>
      </c>
      <c r="C120" s="175" t="s">
        <v>449</v>
      </c>
      <c r="D120" s="176" t="s">
        <v>450</v>
      </c>
      <c r="E120" s="177" t="s">
        <v>1344</v>
      </c>
      <c r="F120" s="175">
        <f t="shared" si="3"/>
        <v>8</v>
      </c>
      <c r="G120" s="175" t="str">
        <f t="shared" si="4"/>
        <v>Butler</v>
      </c>
      <c r="H120" s="175" t="str">
        <f t="shared" si="5"/>
        <v>Butler, PA</v>
      </c>
      <c r="I120" s="178" t="s">
        <v>1350</v>
      </c>
      <c r="J120" s="27" t="s">
        <v>395</v>
      </c>
      <c r="K120" s="27">
        <v>497</v>
      </c>
      <c r="L120" s="179">
        <v>6544</v>
      </c>
      <c r="M120" s="180" t="s">
        <v>1351</v>
      </c>
      <c r="N120" s="181" t="s">
        <v>395</v>
      </c>
      <c r="O120" s="182" t="s">
        <v>1352</v>
      </c>
    </row>
    <row r="121" spans="1:20" ht="12">
      <c r="A121" s="148"/>
      <c r="B121" s="174" t="s">
        <v>1353</v>
      </c>
      <c r="C121" s="175" t="s">
        <v>1426</v>
      </c>
      <c r="D121" s="176" t="s">
        <v>1427</v>
      </c>
      <c r="E121" s="177" t="s">
        <v>1354</v>
      </c>
      <c r="F121" s="175">
        <f t="shared" si="3"/>
        <v>7</v>
      </c>
      <c r="G121" s="175" t="str">
        <f t="shared" si="4"/>
        <v>Butte</v>
      </c>
      <c r="H121" s="175" t="str">
        <f t="shared" si="5"/>
        <v>Butte, MT</v>
      </c>
      <c r="I121" s="178" t="s">
        <v>1355</v>
      </c>
      <c r="J121" s="27" t="s">
        <v>1427</v>
      </c>
      <c r="K121" s="27">
        <v>280</v>
      </c>
      <c r="L121" s="179">
        <v>7792</v>
      </c>
      <c r="M121" s="180" t="s">
        <v>1356</v>
      </c>
      <c r="N121" s="181" t="s">
        <v>1427</v>
      </c>
      <c r="O121" s="182" t="s">
        <v>1357</v>
      </c>
    </row>
    <row r="122" spans="1:20" ht="12">
      <c r="A122" s="148"/>
      <c r="B122" s="186" t="s">
        <v>1358</v>
      </c>
      <c r="C122" s="175" t="s">
        <v>2299</v>
      </c>
      <c r="D122" s="176" t="s">
        <v>2300</v>
      </c>
      <c r="E122" s="177" t="s">
        <v>1359</v>
      </c>
      <c r="F122" s="175">
        <f t="shared" si="3"/>
        <v>14</v>
      </c>
      <c r="G122" s="175" t="str">
        <f t="shared" si="4"/>
        <v>Buzzards Bay</v>
      </c>
      <c r="H122" s="175" t="str">
        <f t="shared" si="5"/>
        <v>Buzzards Bay, MA</v>
      </c>
      <c r="I122" s="178" t="s">
        <v>2269</v>
      </c>
      <c r="J122" s="27" t="s">
        <v>2270</v>
      </c>
      <c r="K122" s="27">
        <v>606</v>
      </c>
      <c r="L122" s="179">
        <v>5884</v>
      </c>
      <c r="M122" s="180" t="s">
        <v>2271</v>
      </c>
      <c r="N122" s="181" t="s">
        <v>2270</v>
      </c>
      <c r="O122" s="182" t="s">
        <v>2272</v>
      </c>
      <c r="S122" s="27"/>
      <c r="T122" s="27"/>
    </row>
    <row r="123" spans="1:20" ht="12">
      <c r="A123" s="148"/>
      <c r="B123" s="174" t="s">
        <v>1360</v>
      </c>
      <c r="C123" s="175" t="s">
        <v>1589</v>
      </c>
      <c r="D123" s="176" t="s">
        <v>1590</v>
      </c>
      <c r="E123" s="177" t="s">
        <v>1361</v>
      </c>
      <c r="F123" s="175">
        <f t="shared" si="3"/>
        <v>8</v>
      </c>
      <c r="G123" s="175" t="str">
        <f t="shared" si="4"/>
        <v>Camden</v>
      </c>
      <c r="H123" s="175" t="str">
        <f t="shared" si="5"/>
        <v>Camden, AR</v>
      </c>
      <c r="I123" s="178" t="s">
        <v>1362</v>
      </c>
      <c r="J123" s="27" t="s">
        <v>1590</v>
      </c>
      <c r="K123" s="27">
        <v>2005</v>
      </c>
      <c r="L123" s="179">
        <v>3155</v>
      </c>
      <c r="M123" s="178" t="s">
        <v>1593</v>
      </c>
      <c r="N123" s="27" t="s">
        <v>1590</v>
      </c>
      <c r="O123" s="182" t="s">
        <v>1594</v>
      </c>
      <c r="S123" s="27"/>
      <c r="T123" s="27"/>
    </row>
    <row r="124" spans="1:20" ht="12">
      <c r="A124" s="148"/>
      <c r="B124" s="186" t="s">
        <v>1363</v>
      </c>
      <c r="C124" s="175" t="s">
        <v>1548</v>
      </c>
      <c r="D124" s="176" t="s">
        <v>1549</v>
      </c>
      <c r="E124" s="177" t="s">
        <v>1361</v>
      </c>
      <c r="F124" s="175">
        <f t="shared" si="3"/>
        <v>8</v>
      </c>
      <c r="G124" s="175" t="str">
        <f t="shared" si="4"/>
        <v>Camden</v>
      </c>
      <c r="H124" s="175" t="str">
        <f t="shared" si="5"/>
        <v>Camden, NJ</v>
      </c>
      <c r="I124" s="178" t="s">
        <v>1364</v>
      </c>
      <c r="J124" s="27" t="s">
        <v>450</v>
      </c>
      <c r="K124" s="27">
        <v>1101</v>
      </c>
      <c r="L124" s="179">
        <v>4954</v>
      </c>
      <c r="M124" s="180" t="s">
        <v>1365</v>
      </c>
      <c r="N124" s="181" t="s">
        <v>450</v>
      </c>
      <c r="O124" s="182" t="s">
        <v>1366</v>
      </c>
    </row>
    <row r="125" spans="1:20" ht="12">
      <c r="A125" s="148"/>
      <c r="B125" s="174" t="s">
        <v>1367</v>
      </c>
      <c r="C125" s="175" t="s">
        <v>525</v>
      </c>
      <c r="D125" s="176" t="s">
        <v>526</v>
      </c>
      <c r="E125" s="177" t="s">
        <v>1368</v>
      </c>
      <c r="F125" s="175">
        <f t="shared" si="3"/>
        <v>9</v>
      </c>
      <c r="G125" s="175" t="str">
        <f t="shared" si="4"/>
        <v>Campton</v>
      </c>
      <c r="H125" s="175" t="str">
        <f t="shared" si="5"/>
        <v>Campton, KY</v>
      </c>
      <c r="I125" s="178" t="s">
        <v>1369</v>
      </c>
      <c r="J125" s="27" t="s">
        <v>526</v>
      </c>
      <c r="K125" s="27">
        <v>1033</v>
      </c>
      <c r="L125" s="179">
        <v>4393</v>
      </c>
      <c r="M125" s="180" t="s">
        <v>1526</v>
      </c>
      <c r="N125" s="181" t="s">
        <v>526</v>
      </c>
      <c r="O125" s="182" t="s">
        <v>1527</v>
      </c>
    </row>
    <row r="126" spans="1:20" ht="12">
      <c r="A126" s="148"/>
      <c r="B126" s="174" t="s">
        <v>1370</v>
      </c>
      <c r="C126" s="175" t="s">
        <v>525</v>
      </c>
      <c r="D126" s="176" t="s">
        <v>526</v>
      </c>
      <c r="E126" s="177" t="s">
        <v>1368</v>
      </c>
      <c r="F126" s="175">
        <f t="shared" si="3"/>
        <v>9</v>
      </c>
      <c r="G126" s="175" t="str">
        <f t="shared" si="4"/>
        <v>Campton</v>
      </c>
      <c r="H126" s="175" t="str">
        <f t="shared" si="5"/>
        <v>Campton, KY</v>
      </c>
      <c r="I126" s="178" t="s">
        <v>1525</v>
      </c>
      <c r="J126" s="27" t="s">
        <v>526</v>
      </c>
      <c r="K126" s="27">
        <v>1140</v>
      </c>
      <c r="L126" s="179">
        <v>4783</v>
      </c>
      <c r="M126" s="180" t="s">
        <v>1526</v>
      </c>
      <c r="N126" s="181" t="s">
        <v>526</v>
      </c>
      <c r="O126" s="182" t="s">
        <v>1527</v>
      </c>
    </row>
    <row r="127" spans="1:20" ht="12">
      <c r="A127" s="148"/>
      <c r="B127" s="186" t="s">
        <v>1371</v>
      </c>
      <c r="C127" s="175" t="s">
        <v>1622</v>
      </c>
      <c r="D127" s="176" t="s">
        <v>1623</v>
      </c>
      <c r="E127" s="177" t="s">
        <v>1372</v>
      </c>
      <c r="F127" s="175">
        <f t="shared" si="3"/>
        <v>8</v>
      </c>
      <c r="G127" s="175" t="str">
        <f t="shared" si="4"/>
        <v>Canaan</v>
      </c>
      <c r="H127" s="175" t="str">
        <f t="shared" si="5"/>
        <v>Canaan, VT</v>
      </c>
      <c r="I127" s="178" t="s">
        <v>1340</v>
      </c>
      <c r="J127" s="27" t="s">
        <v>1623</v>
      </c>
      <c r="K127" s="27">
        <v>388</v>
      </c>
      <c r="L127" s="179">
        <v>7771</v>
      </c>
      <c r="M127" s="180" t="s">
        <v>1341</v>
      </c>
      <c r="N127" s="181" t="s">
        <v>1623</v>
      </c>
      <c r="O127" s="182" t="s">
        <v>1342</v>
      </c>
    </row>
    <row r="128" spans="1:20" ht="12">
      <c r="A128" s="148"/>
      <c r="B128" s="174" t="s">
        <v>1373</v>
      </c>
      <c r="C128" s="175" t="s">
        <v>394</v>
      </c>
      <c r="D128" s="176" t="s">
        <v>395</v>
      </c>
      <c r="E128" s="177" t="s">
        <v>1374</v>
      </c>
      <c r="F128" s="175">
        <f t="shared" si="3"/>
        <v>8</v>
      </c>
      <c r="G128" s="175" t="str">
        <f t="shared" si="4"/>
        <v>Canton</v>
      </c>
      <c r="H128" s="175" t="str">
        <f t="shared" si="5"/>
        <v>Canton, OH</v>
      </c>
      <c r="I128" s="178" t="s">
        <v>397</v>
      </c>
      <c r="J128" s="27" t="s">
        <v>395</v>
      </c>
      <c r="K128" s="27">
        <v>625</v>
      </c>
      <c r="L128" s="179">
        <v>6160</v>
      </c>
      <c r="M128" s="180" t="s">
        <v>398</v>
      </c>
      <c r="N128" s="181" t="s">
        <v>395</v>
      </c>
      <c r="O128" s="182" t="s">
        <v>399</v>
      </c>
    </row>
    <row r="129" spans="1:20" ht="12">
      <c r="A129" s="148"/>
      <c r="B129" s="174" t="s">
        <v>1375</v>
      </c>
      <c r="C129" s="175" t="s">
        <v>394</v>
      </c>
      <c r="D129" s="176" t="s">
        <v>395</v>
      </c>
      <c r="E129" s="177" t="s">
        <v>1374</v>
      </c>
      <c r="F129" s="175">
        <f t="shared" si="3"/>
        <v>8</v>
      </c>
      <c r="G129" s="175" t="str">
        <f t="shared" si="4"/>
        <v>Canton</v>
      </c>
      <c r="H129" s="175" t="str">
        <f t="shared" si="5"/>
        <v>Canton, OH</v>
      </c>
      <c r="I129" s="178" t="s">
        <v>397</v>
      </c>
      <c r="J129" s="27" t="s">
        <v>395</v>
      </c>
      <c r="K129" s="27">
        <v>625</v>
      </c>
      <c r="L129" s="179">
        <v>6160</v>
      </c>
      <c r="M129" s="180" t="s">
        <v>398</v>
      </c>
      <c r="N129" s="181" t="s">
        <v>395</v>
      </c>
      <c r="O129" s="182" t="s">
        <v>399</v>
      </c>
    </row>
    <row r="130" spans="1:20" ht="12">
      <c r="A130" s="148"/>
      <c r="B130" s="174" t="s">
        <v>1376</v>
      </c>
      <c r="C130" s="175" t="s">
        <v>1377</v>
      </c>
      <c r="D130" s="176" t="s">
        <v>1378</v>
      </c>
      <c r="E130" s="177" t="s">
        <v>1379</v>
      </c>
      <c r="F130" s="175">
        <f t="shared" si="3"/>
        <v>16</v>
      </c>
      <c r="G130" s="175" t="str">
        <f t="shared" si="4"/>
        <v>Cape Girardeau</v>
      </c>
      <c r="H130" s="175" t="str">
        <f t="shared" si="5"/>
        <v>Cape Girardeau, MO</v>
      </c>
      <c r="I130" s="178" t="s">
        <v>1380</v>
      </c>
      <c r="J130" s="27" t="s">
        <v>1378</v>
      </c>
      <c r="K130" s="27">
        <v>1534</v>
      </c>
      <c r="L130" s="179">
        <v>4758</v>
      </c>
      <c r="M130" s="178" t="s">
        <v>1381</v>
      </c>
      <c r="N130" s="27" t="s">
        <v>1378</v>
      </c>
      <c r="O130" s="182" t="s">
        <v>1382</v>
      </c>
    </row>
    <row r="131" spans="1:20" ht="12">
      <c r="A131" s="148"/>
      <c r="B131" s="174" t="s">
        <v>1383</v>
      </c>
      <c r="C131" s="175" t="s">
        <v>1647</v>
      </c>
      <c r="D131" s="176" t="s">
        <v>1648</v>
      </c>
      <c r="E131" s="177" t="s">
        <v>1384</v>
      </c>
      <c r="F131" s="175">
        <f t="shared" si="3"/>
        <v>12</v>
      </c>
      <c r="G131" s="175" t="str">
        <f t="shared" si="4"/>
        <v>Carbondale</v>
      </c>
      <c r="H131" s="175" t="str">
        <f t="shared" si="5"/>
        <v>Carbondale, IL</v>
      </c>
      <c r="I131" s="178" t="s">
        <v>1385</v>
      </c>
      <c r="J131" s="27" t="s">
        <v>2281</v>
      </c>
      <c r="K131" s="27">
        <v>1376</v>
      </c>
      <c r="L131" s="179">
        <v>4708</v>
      </c>
      <c r="M131" s="178" t="s">
        <v>1386</v>
      </c>
      <c r="N131" s="27" t="s">
        <v>2281</v>
      </c>
      <c r="O131" s="182" t="s">
        <v>1387</v>
      </c>
      <c r="S131" s="27"/>
      <c r="T131" s="27"/>
    </row>
    <row r="132" spans="1:20" ht="12">
      <c r="A132" s="148"/>
      <c r="B132" s="186" t="s">
        <v>1388</v>
      </c>
      <c r="C132" s="175" t="s">
        <v>1555</v>
      </c>
      <c r="D132" s="176" t="s">
        <v>1556</v>
      </c>
      <c r="E132" s="177" t="s">
        <v>1389</v>
      </c>
      <c r="F132" s="175">
        <f t="shared" si="3"/>
        <v>9</v>
      </c>
      <c r="G132" s="175" t="str">
        <f t="shared" si="4"/>
        <v>Caribou</v>
      </c>
      <c r="H132" s="175" t="str">
        <f t="shared" si="5"/>
        <v>Caribou, ME</v>
      </c>
      <c r="I132" s="178" t="s">
        <v>1390</v>
      </c>
      <c r="J132" s="27" t="s">
        <v>1556</v>
      </c>
      <c r="K132" s="27">
        <v>131</v>
      </c>
      <c r="L132" s="179">
        <v>9651</v>
      </c>
      <c r="M132" s="180" t="s">
        <v>1391</v>
      </c>
      <c r="N132" s="181" t="s">
        <v>1556</v>
      </c>
      <c r="O132" s="182" t="s">
        <v>1392</v>
      </c>
    </row>
    <row r="133" spans="1:20" ht="12">
      <c r="A133" s="148"/>
      <c r="B133" s="174" t="s">
        <v>1393</v>
      </c>
      <c r="C133" s="175" t="s">
        <v>424</v>
      </c>
      <c r="D133" s="176" t="s">
        <v>425</v>
      </c>
      <c r="E133" s="177" t="s">
        <v>1394</v>
      </c>
      <c r="F133" s="175">
        <f t="shared" si="3"/>
        <v>11</v>
      </c>
      <c r="G133" s="175" t="str">
        <f t="shared" si="4"/>
        <v>Carrizozo</v>
      </c>
      <c r="H133" s="175" t="str">
        <f t="shared" si="5"/>
        <v>Carrizozo, NM</v>
      </c>
      <c r="I133" s="178" t="s">
        <v>427</v>
      </c>
      <c r="J133" s="27" t="s">
        <v>425</v>
      </c>
      <c r="K133" s="27">
        <v>1244</v>
      </c>
      <c r="L133" s="179">
        <v>4425</v>
      </c>
      <c r="M133" s="180" t="s">
        <v>428</v>
      </c>
      <c r="N133" s="181" t="s">
        <v>425</v>
      </c>
      <c r="O133" s="182" t="s">
        <v>429</v>
      </c>
    </row>
    <row r="134" spans="1:20" ht="12">
      <c r="A134" s="148"/>
      <c r="B134" s="174" t="s">
        <v>1395</v>
      </c>
      <c r="C134" s="175" t="s">
        <v>1333</v>
      </c>
      <c r="D134" s="176" t="s">
        <v>1334</v>
      </c>
      <c r="E134" s="177" t="s">
        <v>1396</v>
      </c>
      <c r="F134" s="175">
        <f t="shared" ref="F134:F197" si="6">LEN(E134)</f>
        <v>9</v>
      </c>
      <c r="G134" s="175" t="str">
        <f t="shared" ref="G134:G197" si="7">MID(E134,2,F134-2)</f>
        <v>Carroll</v>
      </c>
      <c r="H134" s="175" t="str">
        <f t="shared" ref="H134:H197" si="8">CONCATENATE(G134,", ",+D134)</f>
        <v>Carroll, IA</v>
      </c>
      <c r="I134" s="178" t="s">
        <v>1397</v>
      </c>
      <c r="J134" s="27" t="s">
        <v>1334</v>
      </c>
      <c r="K134" s="27">
        <v>907</v>
      </c>
      <c r="L134" s="179">
        <v>6893</v>
      </c>
      <c r="M134" s="178" t="s">
        <v>1398</v>
      </c>
      <c r="N134" s="27" t="s">
        <v>1334</v>
      </c>
      <c r="O134" s="182" t="s">
        <v>1399</v>
      </c>
    </row>
    <row r="135" spans="1:20" ht="12">
      <c r="A135" s="148"/>
      <c r="B135" s="174" t="s">
        <v>1400</v>
      </c>
      <c r="C135" s="175" t="s">
        <v>1401</v>
      </c>
      <c r="D135" s="176" t="s">
        <v>1402</v>
      </c>
      <c r="E135" s="177" t="s">
        <v>1403</v>
      </c>
      <c r="F135" s="175">
        <f t="shared" si="6"/>
        <v>13</v>
      </c>
      <c r="G135" s="175" t="str">
        <f t="shared" si="7"/>
        <v>Carson City</v>
      </c>
      <c r="H135" s="175" t="str">
        <f t="shared" si="8"/>
        <v>Carson City, NV</v>
      </c>
      <c r="I135" s="178" t="s">
        <v>1404</v>
      </c>
      <c r="J135" s="27" t="s">
        <v>1402</v>
      </c>
      <c r="K135" s="27">
        <v>508</v>
      </c>
      <c r="L135" s="179">
        <v>5674</v>
      </c>
      <c r="M135" s="180" t="s">
        <v>1405</v>
      </c>
      <c r="N135" s="181" t="s">
        <v>1402</v>
      </c>
      <c r="O135" s="182" t="s">
        <v>1406</v>
      </c>
    </row>
    <row r="136" spans="1:20" ht="12">
      <c r="A136" s="148"/>
      <c r="B136" s="174" t="s">
        <v>1407</v>
      </c>
      <c r="C136" s="175" t="s">
        <v>1311</v>
      </c>
      <c r="D136" s="176" t="s">
        <v>1312</v>
      </c>
      <c r="E136" s="177" t="s">
        <v>1408</v>
      </c>
      <c r="F136" s="175">
        <f t="shared" si="6"/>
        <v>13</v>
      </c>
      <c r="G136" s="175" t="str">
        <f t="shared" si="7"/>
        <v>Casa Grande</v>
      </c>
      <c r="H136" s="175" t="str">
        <f t="shared" si="8"/>
        <v>Casa Grande, AZ</v>
      </c>
      <c r="I136" s="178" t="s">
        <v>1409</v>
      </c>
      <c r="J136" s="27" t="s">
        <v>1312</v>
      </c>
      <c r="K136" s="27">
        <v>2954</v>
      </c>
      <c r="L136" s="179">
        <v>1678</v>
      </c>
      <c r="M136" s="178" t="s">
        <v>1410</v>
      </c>
      <c r="N136" s="27" t="s">
        <v>1312</v>
      </c>
      <c r="O136" s="182" t="s">
        <v>1411</v>
      </c>
    </row>
    <row r="137" spans="1:20" ht="12">
      <c r="A137" s="148"/>
      <c r="B137" s="174" t="s">
        <v>1412</v>
      </c>
      <c r="C137" s="175" t="s">
        <v>1413</v>
      </c>
      <c r="D137" s="176" t="s">
        <v>1414</v>
      </c>
      <c r="E137" s="177" t="s">
        <v>1415</v>
      </c>
      <c r="F137" s="175">
        <f t="shared" si="6"/>
        <v>8</v>
      </c>
      <c r="G137" s="175" t="str">
        <f t="shared" si="7"/>
        <v>Casper</v>
      </c>
      <c r="H137" s="175" t="str">
        <f t="shared" si="8"/>
        <v>Casper, WY</v>
      </c>
      <c r="I137" s="178" t="s">
        <v>1416</v>
      </c>
      <c r="J137" s="27" t="s">
        <v>1414</v>
      </c>
      <c r="K137" s="27">
        <v>439</v>
      </c>
      <c r="L137" s="179">
        <v>7804</v>
      </c>
      <c r="M137" s="180" t="s">
        <v>1417</v>
      </c>
      <c r="N137" s="181" t="s">
        <v>1414</v>
      </c>
      <c r="O137" s="182" t="s">
        <v>2315</v>
      </c>
    </row>
    <row r="138" spans="1:20" ht="12">
      <c r="A138" s="148"/>
      <c r="B138" s="174" t="s">
        <v>2316</v>
      </c>
      <c r="C138" s="175" t="s">
        <v>1333</v>
      </c>
      <c r="D138" s="176" t="s">
        <v>1334</v>
      </c>
      <c r="E138" s="177" t="s">
        <v>2317</v>
      </c>
      <c r="F138" s="175">
        <f t="shared" si="6"/>
        <v>14</v>
      </c>
      <c r="G138" s="175" t="str">
        <f t="shared" si="7"/>
        <v>Cedar Rapids</v>
      </c>
      <c r="H138" s="175" t="str">
        <f t="shared" si="8"/>
        <v>Cedar Rapids, IA</v>
      </c>
      <c r="I138" s="178" t="s">
        <v>2318</v>
      </c>
      <c r="J138" s="27" t="s">
        <v>1334</v>
      </c>
      <c r="K138" s="27">
        <v>1036</v>
      </c>
      <c r="L138" s="179">
        <v>6497</v>
      </c>
      <c r="M138" s="180" t="s">
        <v>1337</v>
      </c>
      <c r="N138" s="181" t="s">
        <v>1334</v>
      </c>
      <c r="O138" s="182" t="s">
        <v>1338</v>
      </c>
    </row>
    <row r="139" spans="1:20" ht="12">
      <c r="A139" s="148"/>
      <c r="B139" s="174" t="s">
        <v>2319</v>
      </c>
      <c r="C139" s="175" t="s">
        <v>1333</v>
      </c>
      <c r="D139" s="176" t="s">
        <v>1334</v>
      </c>
      <c r="E139" s="177" t="s">
        <v>2317</v>
      </c>
      <c r="F139" s="175">
        <f t="shared" si="6"/>
        <v>14</v>
      </c>
      <c r="G139" s="175" t="str">
        <f t="shared" si="7"/>
        <v>Cedar Rapids</v>
      </c>
      <c r="H139" s="175" t="str">
        <f t="shared" si="8"/>
        <v>Cedar Rapids, IA</v>
      </c>
      <c r="I139" s="178" t="s">
        <v>2318</v>
      </c>
      <c r="J139" s="27" t="s">
        <v>1334</v>
      </c>
      <c r="K139" s="27">
        <v>1036</v>
      </c>
      <c r="L139" s="179">
        <v>6497</v>
      </c>
      <c r="M139" s="180" t="s">
        <v>1337</v>
      </c>
      <c r="N139" s="181" t="s">
        <v>1334</v>
      </c>
      <c r="O139" s="182" t="s">
        <v>1338</v>
      </c>
    </row>
    <row r="140" spans="1:20" ht="12">
      <c r="A140" s="148"/>
      <c r="B140" s="174" t="s">
        <v>2320</v>
      </c>
      <c r="C140" s="175" t="s">
        <v>1333</v>
      </c>
      <c r="D140" s="176" t="s">
        <v>1334</v>
      </c>
      <c r="E140" s="177" t="s">
        <v>2317</v>
      </c>
      <c r="F140" s="175">
        <f t="shared" si="6"/>
        <v>14</v>
      </c>
      <c r="G140" s="175" t="str">
        <f t="shared" si="7"/>
        <v>Cedar Rapids</v>
      </c>
      <c r="H140" s="175" t="str">
        <f t="shared" si="8"/>
        <v>Cedar Rapids, IA</v>
      </c>
      <c r="I140" s="178" t="s">
        <v>2321</v>
      </c>
      <c r="J140" s="27" t="s">
        <v>1334</v>
      </c>
      <c r="K140" s="27">
        <v>702</v>
      </c>
      <c r="L140" s="179">
        <v>7406</v>
      </c>
      <c r="M140" s="180" t="s">
        <v>1337</v>
      </c>
      <c r="N140" s="181" t="s">
        <v>1334</v>
      </c>
      <c r="O140" s="182" t="s">
        <v>1338</v>
      </c>
    </row>
    <row r="141" spans="1:20" ht="12">
      <c r="A141" s="148"/>
      <c r="B141" s="174" t="s">
        <v>2322</v>
      </c>
      <c r="C141" s="175" t="s">
        <v>1647</v>
      </c>
      <c r="D141" s="176" t="s">
        <v>1648</v>
      </c>
      <c r="E141" s="177" t="s">
        <v>2323</v>
      </c>
      <c r="F141" s="175">
        <f t="shared" si="6"/>
        <v>11</v>
      </c>
      <c r="G141" s="175" t="str">
        <f t="shared" si="7"/>
        <v>Centralia</v>
      </c>
      <c r="H141" s="175" t="str">
        <f t="shared" si="8"/>
        <v>Centralia, IL</v>
      </c>
      <c r="I141" s="178" t="s">
        <v>1385</v>
      </c>
      <c r="J141" s="27" t="s">
        <v>2281</v>
      </c>
      <c r="K141" s="27">
        <v>1376</v>
      </c>
      <c r="L141" s="179">
        <v>4708</v>
      </c>
      <c r="M141" s="178" t="s">
        <v>1386</v>
      </c>
      <c r="N141" s="27" t="s">
        <v>2281</v>
      </c>
      <c r="O141" s="182" t="s">
        <v>1387</v>
      </c>
    </row>
    <row r="142" spans="1:20" ht="12">
      <c r="A142" s="148"/>
      <c r="B142" s="174" t="s">
        <v>2324</v>
      </c>
      <c r="C142" s="175" t="s">
        <v>449</v>
      </c>
      <c r="D142" s="176" t="s">
        <v>450</v>
      </c>
      <c r="E142" s="177" t="s">
        <v>2325</v>
      </c>
      <c r="F142" s="175">
        <f t="shared" si="6"/>
        <v>14</v>
      </c>
      <c r="G142" s="175" t="str">
        <f t="shared" si="7"/>
        <v>Chambersburg</v>
      </c>
      <c r="H142" s="175" t="str">
        <f t="shared" si="8"/>
        <v>Chambersburg, PA</v>
      </c>
      <c r="I142" s="178" t="s">
        <v>2326</v>
      </c>
      <c r="J142" s="27" t="s">
        <v>450</v>
      </c>
      <c r="K142" s="27">
        <v>962</v>
      </c>
      <c r="L142" s="179">
        <v>5347</v>
      </c>
      <c r="M142" s="180" t="s">
        <v>2327</v>
      </c>
      <c r="N142" s="181" t="s">
        <v>450</v>
      </c>
      <c r="O142" s="182" t="s">
        <v>2328</v>
      </c>
    </row>
    <row r="143" spans="1:20" ht="12">
      <c r="A143" s="148"/>
      <c r="B143" s="174" t="s">
        <v>2329</v>
      </c>
      <c r="C143" s="175" t="s">
        <v>1647</v>
      </c>
      <c r="D143" s="176" t="s">
        <v>1648</v>
      </c>
      <c r="E143" s="177" t="s">
        <v>2330</v>
      </c>
      <c r="F143" s="175">
        <f t="shared" si="6"/>
        <v>18</v>
      </c>
      <c r="G143" s="175" t="str">
        <f t="shared" si="7"/>
        <v>Champaign/Urbana</v>
      </c>
      <c r="H143" s="175" t="str">
        <f t="shared" si="8"/>
        <v>Champaign/Urbana, IL</v>
      </c>
      <c r="I143" s="178" t="s">
        <v>1650</v>
      </c>
      <c r="J143" s="27" t="s">
        <v>1648</v>
      </c>
      <c r="K143" s="27">
        <v>1141</v>
      </c>
      <c r="L143" s="179">
        <v>5688</v>
      </c>
      <c r="M143" s="178" t="s">
        <v>1651</v>
      </c>
      <c r="N143" s="27" t="s">
        <v>1648</v>
      </c>
      <c r="O143" s="182" t="s">
        <v>2278</v>
      </c>
    </row>
    <row r="144" spans="1:20" ht="12">
      <c r="A144" s="148"/>
      <c r="B144" s="174" t="s">
        <v>2331</v>
      </c>
      <c r="C144" s="175" t="s">
        <v>1647</v>
      </c>
      <c r="D144" s="176" t="s">
        <v>1648</v>
      </c>
      <c r="E144" s="177" t="s">
        <v>2330</v>
      </c>
      <c r="F144" s="175">
        <f t="shared" si="6"/>
        <v>18</v>
      </c>
      <c r="G144" s="175" t="str">
        <f t="shared" si="7"/>
        <v>Champaign/Urbana</v>
      </c>
      <c r="H144" s="175" t="str">
        <f t="shared" si="8"/>
        <v>Champaign/Urbana, IL</v>
      </c>
      <c r="I144" s="178" t="s">
        <v>1650</v>
      </c>
      <c r="J144" s="27" t="s">
        <v>1648</v>
      </c>
      <c r="K144" s="27">
        <v>1141</v>
      </c>
      <c r="L144" s="179">
        <v>5688</v>
      </c>
      <c r="M144" s="178" t="s">
        <v>1651</v>
      </c>
      <c r="N144" s="27" t="s">
        <v>1648</v>
      </c>
      <c r="O144" s="182" t="s">
        <v>2278</v>
      </c>
    </row>
    <row r="145" spans="1:15" ht="12">
      <c r="A145" s="148"/>
      <c r="B145" s="174" t="s">
        <v>2332</v>
      </c>
      <c r="C145" s="175" t="s">
        <v>283</v>
      </c>
      <c r="D145" s="176" t="s">
        <v>284</v>
      </c>
      <c r="E145" s="177" t="s">
        <v>2333</v>
      </c>
      <c r="F145" s="175">
        <f t="shared" si="6"/>
        <v>12</v>
      </c>
      <c r="G145" s="175" t="str">
        <f t="shared" si="7"/>
        <v>Charleston</v>
      </c>
      <c r="H145" s="175" t="str">
        <f t="shared" si="8"/>
        <v>Charleston, SC</v>
      </c>
      <c r="I145" s="178" t="s">
        <v>2334</v>
      </c>
      <c r="J145" s="27" t="s">
        <v>284</v>
      </c>
      <c r="K145" s="27">
        <v>2266</v>
      </c>
      <c r="L145" s="179">
        <v>2013</v>
      </c>
      <c r="M145" s="180" t="s">
        <v>1531</v>
      </c>
      <c r="N145" s="181" t="s">
        <v>284</v>
      </c>
      <c r="O145" s="182" t="s">
        <v>2335</v>
      </c>
    </row>
    <row r="146" spans="1:15" ht="12">
      <c r="A146" s="148"/>
      <c r="B146" s="174" t="s">
        <v>2336</v>
      </c>
      <c r="C146" s="175" t="s">
        <v>1617</v>
      </c>
      <c r="D146" s="176" t="s">
        <v>1530</v>
      </c>
      <c r="E146" s="177" t="s">
        <v>2333</v>
      </c>
      <c r="F146" s="175">
        <f t="shared" si="6"/>
        <v>12</v>
      </c>
      <c r="G146" s="175" t="str">
        <f t="shared" si="7"/>
        <v>Charleston</v>
      </c>
      <c r="H146" s="175" t="str">
        <f t="shared" si="8"/>
        <v>Charleston, WV</v>
      </c>
      <c r="I146" s="178" t="s">
        <v>1319</v>
      </c>
      <c r="J146" s="27" t="s">
        <v>1530</v>
      </c>
      <c r="K146" s="27">
        <v>1031</v>
      </c>
      <c r="L146" s="179">
        <v>4646</v>
      </c>
      <c r="M146" s="180" t="s">
        <v>1531</v>
      </c>
      <c r="N146" s="181" t="s">
        <v>1530</v>
      </c>
      <c r="O146" s="182" t="s">
        <v>1532</v>
      </c>
    </row>
    <row r="147" spans="1:15" ht="12">
      <c r="A147" s="148"/>
      <c r="B147" s="174" t="s">
        <v>2337</v>
      </c>
      <c r="C147" s="175" t="s">
        <v>1617</v>
      </c>
      <c r="D147" s="176" t="s">
        <v>1530</v>
      </c>
      <c r="E147" s="177" t="s">
        <v>2333</v>
      </c>
      <c r="F147" s="175">
        <f t="shared" si="6"/>
        <v>12</v>
      </c>
      <c r="G147" s="175" t="str">
        <f t="shared" si="7"/>
        <v>Charleston</v>
      </c>
      <c r="H147" s="175" t="str">
        <f t="shared" si="8"/>
        <v>Charleston, WV</v>
      </c>
      <c r="I147" s="178" t="s">
        <v>1319</v>
      </c>
      <c r="J147" s="27" t="s">
        <v>1530</v>
      </c>
      <c r="K147" s="27">
        <v>1031</v>
      </c>
      <c r="L147" s="179">
        <v>4646</v>
      </c>
      <c r="M147" s="180" t="s">
        <v>1531</v>
      </c>
      <c r="N147" s="181" t="s">
        <v>1530</v>
      </c>
      <c r="O147" s="182" t="s">
        <v>1532</v>
      </c>
    </row>
    <row r="148" spans="1:15" ht="12">
      <c r="A148" s="148"/>
      <c r="B148" s="174" t="s">
        <v>2338</v>
      </c>
      <c r="C148" s="175" t="s">
        <v>1617</v>
      </c>
      <c r="D148" s="176" t="s">
        <v>1530</v>
      </c>
      <c r="E148" s="177" t="s">
        <v>2333</v>
      </c>
      <c r="F148" s="175">
        <f t="shared" si="6"/>
        <v>12</v>
      </c>
      <c r="G148" s="175" t="str">
        <f t="shared" si="7"/>
        <v>Charleston</v>
      </c>
      <c r="H148" s="175" t="str">
        <f t="shared" si="8"/>
        <v>Charleston, WV</v>
      </c>
      <c r="I148" s="178" t="s">
        <v>1319</v>
      </c>
      <c r="J148" s="27" t="s">
        <v>1530</v>
      </c>
      <c r="K148" s="27">
        <v>1031</v>
      </c>
      <c r="L148" s="179">
        <v>4646</v>
      </c>
      <c r="M148" s="180" t="s">
        <v>1531</v>
      </c>
      <c r="N148" s="181" t="s">
        <v>1530</v>
      </c>
      <c r="O148" s="182" t="s">
        <v>1532</v>
      </c>
    </row>
    <row r="149" spans="1:15" ht="12">
      <c r="A149" s="148"/>
      <c r="B149" s="174" t="s">
        <v>2339</v>
      </c>
      <c r="C149" s="175" t="s">
        <v>1617</v>
      </c>
      <c r="D149" s="176" t="s">
        <v>1530</v>
      </c>
      <c r="E149" s="177" t="s">
        <v>2333</v>
      </c>
      <c r="F149" s="175">
        <f t="shared" si="6"/>
        <v>12</v>
      </c>
      <c r="G149" s="175" t="str">
        <f t="shared" si="7"/>
        <v>Charleston</v>
      </c>
      <c r="H149" s="175" t="str">
        <f t="shared" si="8"/>
        <v>Charleston, WV</v>
      </c>
      <c r="I149" s="178" t="s">
        <v>1319</v>
      </c>
      <c r="J149" s="27" t="s">
        <v>1530</v>
      </c>
      <c r="K149" s="27">
        <v>1031</v>
      </c>
      <c r="L149" s="179">
        <v>4646</v>
      </c>
      <c r="M149" s="180" t="s">
        <v>1531</v>
      </c>
      <c r="N149" s="181" t="s">
        <v>1530</v>
      </c>
      <c r="O149" s="182" t="s">
        <v>1532</v>
      </c>
    </row>
    <row r="150" spans="1:15" ht="12">
      <c r="A150" s="148"/>
      <c r="B150" s="174" t="s">
        <v>2340</v>
      </c>
      <c r="C150" s="175" t="s">
        <v>481</v>
      </c>
      <c r="D150" s="176" t="s">
        <v>482</v>
      </c>
      <c r="E150" s="177" t="s">
        <v>2341</v>
      </c>
      <c r="F150" s="175">
        <f t="shared" si="6"/>
        <v>11</v>
      </c>
      <c r="G150" s="175" t="str">
        <f t="shared" si="7"/>
        <v>Charlotte</v>
      </c>
      <c r="H150" s="175" t="str">
        <f t="shared" si="8"/>
        <v>Charlotte, NC</v>
      </c>
      <c r="I150" s="178" t="s">
        <v>2342</v>
      </c>
      <c r="J150" s="27" t="s">
        <v>284</v>
      </c>
      <c r="K150" s="27">
        <v>1473</v>
      </c>
      <c r="L150" s="179">
        <v>3272</v>
      </c>
      <c r="M150" s="180" t="s">
        <v>2343</v>
      </c>
      <c r="N150" s="181" t="s">
        <v>482</v>
      </c>
      <c r="O150" s="182" t="s">
        <v>2344</v>
      </c>
    </row>
    <row r="151" spans="1:15" ht="12">
      <c r="A151" s="148"/>
      <c r="B151" s="174" t="s">
        <v>2345</v>
      </c>
      <c r="C151" s="175" t="s">
        <v>481</v>
      </c>
      <c r="D151" s="176" t="s">
        <v>482</v>
      </c>
      <c r="E151" s="177" t="s">
        <v>2341</v>
      </c>
      <c r="F151" s="175">
        <f t="shared" si="6"/>
        <v>11</v>
      </c>
      <c r="G151" s="175" t="str">
        <f t="shared" si="7"/>
        <v>Charlotte</v>
      </c>
      <c r="H151" s="175" t="str">
        <f t="shared" si="8"/>
        <v>Charlotte, NC</v>
      </c>
      <c r="I151" s="178" t="s">
        <v>2342</v>
      </c>
      <c r="J151" s="27" t="s">
        <v>284</v>
      </c>
      <c r="K151" s="27">
        <v>1473</v>
      </c>
      <c r="L151" s="179">
        <v>3272</v>
      </c>
      <c r="M151" s="180" t="s">
        <v>2343</v>
      </c>
      <c r="N151" s="181" t="s">
        <v>482</v>
      </c>
      <c r="O151" s="182" t="s">
        <v>2344</v>
      </c>
    </row>
    <row r="152" spans="1:15" ht="12">
      <c r="A152" s="148"/>
      <c r="B152" s="174" t="s">
        <v>2346</v>
      </c>
      <c r="C152" s="175" t="s">
        <v>481</v>
      </c>
      <c r="D152" s="176" t="s">
        <v>482</v>
      </c>
      <c r="E152" s="177" t="s">
        <v>2341</v>
      </c>
      <c r="F152" s="175">
        <f t="shared" si="6"/>
        <v>11</v>
      </c>
      <c r="G152" s="175" t="str">
        <f t="shared" si="7"/>
        <v>Charlotte</v>
      </c>
      <c r="H152" s="175" t="str">
        <f t="shared" si="8"/>
        <v>Charlotte, NC</v>
      </c>
      <c r="I152" s="178" t="s">
        <v>2347</v>
      </c>
      <c r="J152" s="27" t="s">
        <v>482</v>
      </c>
      <c r="K152" s="27">
        <v>1582</v>
      </c>
      <c r="L152" s="179">
        <v>3341</v>
      </c>
      <c r="M152" s="180" t="s">
        <v>2343</v>
      </c>
      <c r="N152" s="181" t="s">
        <v>482</v>
      </c>
      <c r="O152" s="182" t="s">
        <v>2344</v>
      </c>
    </row>
    <row r="153" spans="1:15" ht="12">
      <c r="A153" s="148"/>
      <c r="B153" s="174" t="s">
        <v>2348</v>
      </c>
      <c r="C153" s="175" t="s">
        <v>434</v>
      </c>
      <c r="D153" s="176" t="s">
        <v>435</v>
      </c>
      <c r="E153" s="177" t="s">
        <v>2349</v>
      </c>
      <c r="F153" s="175">
        <f t="shared" si="6"/>
        <v>17</v>
      </c>
      <c r="G153" s="175" t="str">
        <f t="shared" si="7"/>
        <v>Charlottesville</v>
      </c>
      <c r="H153" s="175" t="str">
        <f t="shared" si="8"/>
        <v>Charlottesville, VA</v>
      </c>
      <c r="I153" s="178" t="s">
        <v>2350</v>
      </c>
      <c r="J153" s="27" t="s">
        <v>435</v>
      </c>
      <c r="K153" s="27">
        <v>1348</v>
      </c>
      <c r="L153" s="179">
        <v>3963</v>
      </c>
      <c r="M153" s="180" t="s">
        <v>2351</v>
      </c>
      <c r="N153" s="181" t="s">
        <v>435</v>
      </c>
      <c r="O153" s="182" t="s">
        <v>2352</v>
      </c>
    </row>
    <row r="154" spans="1:15" ht="12">
      <c r="A154" s="148"/>
      <c r="B154" s="174" t="s">
        <v>2353</v>
      </c>
      <c r="C154" s="175" t="s">
        <v>2354</v>
      </c>
      <c r="D154" s="176" t="s">
        <v>485</v>
      </c>
      <c r="E154" s="177" t="s">
        <v>2355</v>
      </c>
      <c r="F154" s="175">
        <f t="shared" si="6"/>
        <v>13</v>
      </c>
      <c r="G154" s="175" t="str">
        <f t="shared" si="7"/>
        <v>Chattanooga</v>
      </c>
      <c r="H154" s="175" t="str">
        <f t="shared" si="8"/>
        <v>Chattanooga, TN</v>
      </c>
      <c r="I154" s="178" t="s">
        <v>2356</v>
      </c>
      <c r="J154" s="27" t="s">
        <v>503</v>
      </c>
      <c r="K154" s="27">
        <v>1651</v>
      </c>
      <c r="L154" s="179">
        <v>3323</v>
      </c>
      <c r="M154" s="180" t="s">
        <v>2357</v>
      </c>
      <c r="N154" s="181" t="s">
        <v>485</v>
      </c>
      <c r="O154" s="182" t="s">
        <v>2358</v>
      </c>
    </row>
    <row r="155" spans="1:15" ht="12">
      <c r="A155" s="148"/>
      <c r="B155" s="174" t="s">
        <v>2359</v>
      </c>
      <c r="C155" s="175" t="s">
        <v>2354</v>
      </c>
      <c r="D155" s="176" t="s">
        <v>485</v>
      </c>
      <c r="E155" s="177" t="s">
        <v>2355</v>
      </c>
      <c r="F155" s="175">
        <f t="shared" si="6"/>
        <v>13</v>
      </c>
      <c r="G155" s="175" t="str">
        <f t="shared" si="7"/>
        <v>Chattanooga</v>
      </c>
      <c r="H155" s="175" t="str">
        <f t="shared" si="8"/>
        <v>Chattanooga, TN</v>
      </c>
      <c r="I155" s="178" t="s">
        <v>2360</v>
      </c>
      <c r="J155" s="27" t="s">
        <v>485</v>
      </c>
      <c r="K155" s="27">
        <v>1544</v>
      </c>
      <c r="L155" s="179">
        <v>3587</v>
      </c>
      <c r="M155" s="180" t="s">
        <v>2357</v>
      </c>
      <c r="N155" s="181" t="s">
        <v>485</v>
      </c>
      <c r="O155" s="182" t="s">
        <v>2358</v>
      </c>
    </row>
    <row r="156" spans="1:15" ht="12">
      <c r="A156" s="148"/>
      <c r="B156" s="186" t="s">
        <v>2361</v>
      </c>
      <c r="C156" s="175" t="s">
        <v>1548</v>
      </c>
      <c r="D156" s="176" t="s">
        <v>1549</v>
      </c>
      <c r="E156" s="177" t="s">
        <v>2362</v>
      </c>
      <c r="F156" s="175">
        <f t="shared" si="6"/>
        <v>13</v>
      </c>
      <c r="G156" s="175" t="str">
        <f t="shared" si="7"/>
        <v>Cherry Hill</v>
      </c>
      <c r="H156" s="175" t="str">
        <f t="shared" si="8"/>
        <v>Cherry Hill, NJ</v>
      </c>
      <c r="I156" s="178" t="s">
        <v>1364</v>
      </c>
      <c r="J156" s="27" t="s">
        <v>450</v>
      </c>
      <c r="K156" s="27">
        <v>1101</v>
      </c>
      <c r="L156" s="179">
        <v>4954</v>
      </c>
      <c r="M156" s="180" t="s">
        <v>1365</v>
      </c>
      <c r="N156" s="181" t="s">
        <v>450</v>
      </c>
      <c r="O156" s="182" t="s">
        <v>1366</v>
      </c>
    </row>
    <row r="157" spans="1:15" ht="12">
      <c r="A157" s="148"/>
      <c r="B157" s="174" t="s">
        <v>2363</v>
      </c>
      <c r="C157" s="175" t="s">
        <v>1413</v>
      </c>
      <c r="D157" s="176" t="s">
        <v>1414</v>
      </c>
      <c r="E157" s="177" t="s">
        <v>2364</v>
      </c>
      <c r="F157" s="175">
        <f t="shared" si="6"/>
        <v>10</v>
      </c>
      <c r="G157" s="175" t="str">
        <f t="shared" si="7"/>
        <v>Cheyenne</v>
      </c>
      <c r="H157" s="175" t="str">
        <f t="shared" si="8"/>
        <v>Cheyenne, WY</v>
      </c>
      <c r="I157" s="178" t="s">
        <v>2365</v>
      </c>
      <c r="J157" s="27" t="s">
        <v>1414</v>
      </c>
      <c r="K157" s="27">
        <v>285</v>
      </c>
      <c r="L157" s="179">
        <v>7326</v>
      </c>
      <c r="M157" s="180" t="s">
        <v>2366</v>
      </c>
      <c r="N157" s="181" t="s">
        <v>1414</v>
      </c>
      <c r="O157" s="182" t="s">
        <v>2367</v>
      </c>
    </row>
    <row r="158" spans="1:15" ht="12">
      <c r="A158" s="148"/>
      <c r="B158" s="174" t="s">
        <v>2368</v>
      </c>
      <c r="C158" s="175" t="s">
        <v>1647</v>
      </c>
      <c r="D158" s="176" t="s">
        <v>1648</v>
      </c>
      <c r="E158" s="177" t="s">
        <v>2369</v>
      </c>
      <c r="F158" s="175">
        <f t="shared" si="6"/>
        <v>9</v>
      </c>
      <c r="G158" s="175" t="str">
        <f t="shared" si="7"/>
        <v>Chicago</v>
      </c>
      <c r="H158" s="175" t="str">
        <f t="shared" si="8"/>
        <v>Chicago, IL</v>
      </c>
      <c r="I158" s="178" t="s">
        <v>2370</v>
      </c>
      <c r="J158" s="27" t="s">
        <v>1648</v>
      </c>
      <c r="K158" s="27">
        <v>752</v>
      </c>
      <c r="L158" s="179">
        <v>6536</v>
      </c>
      <c r="M158" s="178" t="s">
        <v>2371</v>
      </c>
      <c r="N158" s="27" t="s">
        <v>1648</v>
      </c>
      <c r="O158" s="182" t="s">
        <v>2372</v>
      </c>
    </row>
    <row r="159" spans="1:15" ht="12">
      <c r="A159" s="148"/>
      <c r="B159" s="174" t="s">
        <v>2373</v>
      </c>
      <c r="C159" s="175" t="s">
        <v>1647</v>
      </c>
      <c r="D159" s="176" t="s">
        <v>1648</v>
      </c>
      <c r="E159" s="177" t="s">
        <v>2369</v>
      </c>
      <c r="F159" s="175">
        <f t="shared" si="6"/>
        <v>9</v>
      </c>
      <c r="G159" s="175" t="str">
        <f t="shared" si="7"/>
        <v>Chicago</v>
      </c>
      <c r="H159" s="175" t="str">
        <f t="shared" si="8"/>
        <v>Chicago, IL</v>
      </c>
      <c r="I159" s="178" t="s">
        <v>2370</v>
      </c>
      <c r="J159" s="27" t="s">
        <v>1648</v>
      </c>
      <c r="K159" s="27">
        <v>752</v>
      </c>
      <c r="L159" s="179">
        <v>6536</v>
      </c>
      <c r="M159" s="178" t="s">
        <v>2371</v>
      </c>
      <c r="N159" s="27" t="s">
        <v>1648</v>
      </c>
      <c r="O159" s="182" t="s">
        <v>2372</v>
      </c>
    </row>
    <row r="160" spans="1:15" ht="12">
      <c r="A160" s="148"/>
      <c r="B160" s="174" t="s">
        <v>2374</v>
      </c>
      <c r="C160" s="175" t="s">
        <v>263</v>
      </c>
      <c r="D160" s="176" t="s">
        <v>264</v>
      </c>
      <c r="E160" s="177" t="s">
        <v>2375</v>
      </c>
      <c r="F160" s="175">
        <f t="shared" si="6"/>
        <v>11</v>
      </c>
      <c r="G160" s="175" t="str">
        <f t="shared" si="7"/>
        <v>Childress</v>
      </c>
      <c r="H160" s="175" t="str">
        <f t="shared" si="8"/>
        <v>Childress, TX</v>
      </c>
      <c r="I160" s="178" t="s">
        <v>2376</v>
      </c>
      <c r="J160" s="27" t="s">
        <v>264</v>
      </c>
      <c r="K160" s="27">
        <v>1689</v>
      </c>
      <c r="L160" s="179">
        <v>3431</v>
      </c>
      <c r="M160" s="180" t="s">
        <v>2377</v>
      </c>
      <c r="N160" s="181" t="s">
        <v>264</v>
      </c>
      <c r="O160" s="182" t="s">
        <v>2378</v>
      </c>
    </row>
    <row r="161" spans="1:20" ht="12">
      <c r="A161" s="148"/>
      <c r="B161" s="174" t="s">
        <v>2379</v>
      </c>
      <c r="C161" s="175" t="s">
        <v>1377</v>
      </c>
      <c r="D161" s="176" t="s">
        <v>1378</v>
      </c>
      <c r="E161" s="177" t="s">
        <v>2380</v>
      </c>
      <c r="F161" s="175">
        <f t="shared" si="6"/>
        <v>13</v>
      </c>
      <c r="G161" s="175" t="str">
        <f t="shared" si="7"/>
        <v>Chillicothe</v>
      </c>
      <c r="H161" s="175" t="str">
        <f t="shared" si="8"/>
        <v>Chillicothe, MO</v>
      </c>
      <c r="I161" s="178" t="s">
        <v>2381</v>
      </c>
      <c r="J161" s="27" t="s">
        <v>1378</v>
      </c>
      <c r="K161" s="27">
        <v>1288</v>
      </c>
      <c r="L161" s="179">
        <v>5393</v>
      </c>
      <c r="M161" s="180" t="s">
        <v>2382</v>
      </c>
      <c r="N161" s="181" t="s">
        <v>1378</v>
      </c>
      <c r="O161" s="182" t="s">
        <v>2383</v>
      </c>
    </row>
    <row r="162" spans="1:20" ht="12">
      <c r="A162" s="148"/>
      <c r="B162" s="174" t="s">
        <v>2384</v>
      </c>
      <c r="C162" s="175" t="s">
        <v>394</v>
      </c>
      <c r="D162" s="176" t="s">
        <v>395</v>
      </c>
      <c r="E162" s="177" t="s">
        <v>2380</v>
      </c>
      <c r="F162" s="175">
        <f t="shared" si="6"/>
        <v>13</v>
      </c>
      <c r="G162" s="175" t="str">
        <f t="shared" si="7"/>
        <v>Chillicothe</v>
      </c>
      <c r="H162" s="175" t="str">
        <f t="shared" si="8"/>
        <v>Chillicothe, OH</v>
      </c>
      <c r="I162" s="178" t="s">
        <v>2385</v>
      </c>
      <c r="J162" s="27" t="s">
        <v>526</v>
      </c>
      <c r="K162" s="27">
        <v>996</v>
      </c>
      <c r="L162" s="179">
        <v>5248</v>
      </c>
      <c r="M162" s="180" t="s">
        <v>2386</v>
      </c>
      <c r="N162" s="181" t="s">
        <v>395</v>
      </c>
      <c r="O162" s="182" t="s">
        <v>2387</v>
      </c>
    </row>
    <row r="163" spans="1:20" ht="12">
      <c r="A163" s="148"/>
      <c r="B163" s="174" t="s">
        <v>2388</v>
      </c>
      <c r="C163" s="175" t="s">
        <v>394</v>
      </c>
      <c r="D163" s="176" t="s">
        <v>395</v>
      </c>
      <c r="E163" s="177" t="s">
        <v>2389</v>
      </c>
      <c r="F163" s="175">
        <f t="shared" si="6"/>
        <v>12</v>
      </c>
      <c r="G163" s="175" t="str">
        <f t="shared" si="7"/>
        <v>Cincinnati</v>
      </c>
      <c r="H163" s="175" t="str">
        <f t="shared" si="8"/>
        <v>Cincinnati, OH</v>
      </c>
      <c r="I163" s="178" t="s">
        <v>2385</v>
      </c>
      <c r="J163" s="27" t="s">
        <v>526</v>
      </c>
      <c r="K163" s="27">
        <v>996</v>
      </c>
      <c r="L163" s="179">
        <v>5248</v>
      </c>
      <c r="M163" s="180" t="s">
        <v>2386</v>
      </c>
      <c r="N163" s="181" t="s">
        <v>395</v>
      </c>
      <c r="O163" s="182" t="s">
        <v>2387</v>
      </c>
    </row>
    <row r="164" spans="1:20" ht="12">
      <c r="A164" s="148"/>
      <c r="B164" s="174" t="s">
        <v>2390</v>
      </c>
      <c r="C164" s="175" t="s">
        <v>394</v>
      </c>
      <c r="D164" s="176" t="s">
        <v>395</v>
      </c>
      <c r="E164" s="177" t="s">
        <v>2389</v>
      </c>
      <c r="F164" s="175">
        <f t="shared" si="6"/>
        <v>12</v>
      </c>
      <c r="G164" s="175" t="str">
        <f t="shared" si="7"/>
        <v>Cincinnati</v>
      </c>
      <c r="H164" s="175" t="str">
        <f t="shared" si="8"/>
        <v>Cincinnati, OH</v>
      </c>
      <c r="I164" s="178" t="s">
        <v>2385</v>
      </c>
      <c r="J164" s="27" t="s">
        <v>526</v>
      </c>
      <c r="K164" s="27">
        <v>996</v>
      </c>
      <c r="L164" s="179">
        <v>5248</v>
      </c>
      <c r="M164" s="180" t="s">
        <v>2386</v>
      </c>
      <c r="N164" s="181" t="s">
        <v>395</v>
      </c>
      <c r="O164" s="182" t="s">
        <v>2387</v>
      </c>
    </row>
    <row r="165" spans="1:20" ht="12">
      <c r="A165" s="148"/>
      <c r="B165" s="174" t="s">
        <v>2391</v>
      </c>
      <c r="C165" s="175" t="s">
        <v>394</v>
      </c>
      <c r="D165" s="176" t="s">
        <v>395</v>
      </c>
      <c r="E165" s="177" t="s">
        <v>2389</v>
      </c>
      <c r="F165" s="175">
        <f t="shared" si="6"/>
        <v>12</v>
      </c>
      <c r="G165" s="175" t="str">
        <f t="shared" si="7"/>
        <v>Cincinnati</v>
      </c>
      <c r="H165" s="175" t="str">
        <f t="shared" si="8"/>
        <v>Cincinnati, OH</v>
      </c>
      <c r="I165" s="178" t="s">
        <v>2385</v>
      </c>
      <c r="J165" s="27" t="s">
        <v>526</v>
      </c>
      <c r="K165" s="27">
        <v>996</v>
      </c>
      <c r="L165" s="179">
        <v>5248</v>
      </c>
      <c r="M165" s="180" t="s">
        <v>2386</v>
      </c>
      <c r="N165" s="181" t="s">
        <v>395</v>
      </c>
      <c r="O165" s="182" t="s">
        <v>2387</v>
      </c>
    </row>
    <row r="166" spans="1:20" ht="12">
      <c r="A166" s="148"/>
      <c r="B166" s="186" t="s">
        <v>2392</v>
      </c>
      <c r="C166" s="175" t="s">
        <v>271</v>
      </c>
      <c r="D166" s="176" t="s">
        <v>272</v>
      </c>
      <c r="E166" s="177" t="s">
        <v>2393</v>
      </c>
      <c r="F166" s="175">
        <f t="shared" si="6"/>
        <v>11</v>
      </c>
      <c r="G166" s="175" t="str">
        <f t="shared" si="7"/>
        <v>Claremont</v>
      </c>
      <c r="H166" s="175" t="str">
        <f t="shared" si="8"/>
        <v>Claremont, NH</v>
      </c>
      <c r="I166" s="178" t="s">
        <v>1340</v>
      </c>
      <c r="J166" s="27" t="s">
        <v>1623</v>
      </c>
      <c r="K166" s="27">
        <v>388</v>
      </c>
      <c r="L166" s="179">
        <v>7771</v>
      </c>
      <c r="M166" s="180" t="s">
        <v>1341</v>
      </c>
      <c r="N166" s="181" t="s">
        <v>1623</v>
      </c>
      <c r="O166" s="182" t="s">
        <v>1342</v>
      </c>
    </row>
    <row r="167" spans="1:20" ht="12">
      <c r="A167" s="148"/>
      <c r="B167" s="174" t="s">
        <v>2394</v>
      </c>
      <c r="C167" s="175" t="s">
        <v>1617</v>
      </c>
      <c r="D167" s="176" t="s">
        <v>1530</v>
      </c>
      <c r="E167" s="177" t="s">
        <v>2395</v>
      </c>
      <c r="F167" s="175">
        <f t="shared" si="6"/>
        <v>12</v>
      </c>
      <c r="G167" s="175" t="str">
        <f t="shared" si="7"/>
        <v>Clarksburg</v>
      </c>
      <c r="H167" s="175" t="str">
        <f t="shared" si="8"/>
        <v>Clarksburg, WV</v>
      </c>
      <c r="I167" s="178" t="s">
        <v>2396</v>
      </c>
      <c r="J167" s="27" t="s">
        <v>1530</v>
      </c>
      <c r="K167" s="27">
        <v>346</v>
      </c>
      <c r="L167" s="179">
        <v>6120</v>
      </c>
      <c r="M167" s="180" t="s">
        <v>2397</v>
      </c>
      <c r="N167" s="181" t="s">
        <v>1530</v>
      </c>
      <c r="O167" s="182" t="s">
        <v>590</v>
      </c>
      <c r="S167" s="27"/>
      <c r="T167" s="27"/>
    </row>
    <row r="168" spans="1:20" ht="12">
      <c r="A168" s="148"/>
      <c r="B168" s="174" t="s">
        <v>591</v>
      </c>
      <c r="C168" s="175" t="s">
        <v>1617</v>
      </c>
      <c r="D168" s="176" t="s">
        <v>1530</v>
      </c>
      <c r="E168" s="177" t="s">
        <v>2395</v>
      </c>
      <c r="F168" s="175">
        <f t="shared" si="6"/>
        <v>12</v>
      </c>
      <c r="G168" s="175" t="str">
        <f t="shared" si="7"/>
        <v>Clarksburg</v>
      </c>
      <c r="H168" s="175" t="str">
        <f t="shared" si="8"/>
        <v>Clarksburg, WV</v>
      </c>
      <c r="I168" s="178" t="s">
        <v>2396</v>
      </c>
      <c r="J168" s="27" t="s">
        <v>1530</v>
      </c>
      <c r="K168" s="27">
        <v>346</v>
      </c>
      <c r="L168" s="179">
        <v>6120</v>
      </c>
      <c r="M168" s="180" t="s">
        <v>2397</v>
      </c>
      <c r="N168" s="181" t="s">
        <v>1530</v>
      </c>
      <c r="O168" s="182" t="s">
        <v>590</v>
      </c>
    </row>
    <row r="169" spans="1:20" ht="12">
      <c r="A169" s="148"/>
      <c r="B169" s="174" t="s">
        <v>592</v>
      </c>
      <c r="C169" s="175" t="s">
        <v>593</v>
      </c>
      <c r="D169" s="176" t="s">
        <v>1638</v>
      </c>
      <c r="E169" s="177" t="s">
        <v>594</v>
      </c>
      <c r="F169" s="175">
        <f t="shared" si="6"/>
        <v>11</v>
      </c>
      <c r="G169" s="175" t="str">
        <f t="shared" si="7"/>
        <v>Clarkston</v>
      </c>
      <c r="H169" s="175" t="str">
        <f t="shared" si="8"/>
        <v>Clarkston, WA</v>
      </c>
      <c r="I169" s="178" t="s">
        <v>595</v>
      </c>
      <c r="J169" s="27" t="s">
        <v>1634</v>
      </c>
      <c r="K169" s="27">
        <v>701</v>
      </c>
      <c r="L169" s="179">
        <v>5294</v>
      </c>
      <c r="M169" s="180" t="s">
        <v>1637</v>
      </c>
      <c r="N169" s="181" t="s">
        <v>1638</v>
      </c>
      <c r="O169" s="182" t="s">
        <v>1639</v>
      </c>
    </row>
    <row r="170" spans="1:20" ht="12">
      <c r="A170" s="148"/>
      <c r="B170" s="174" t="s">
        <v>596</v>
      </c>
      <c r="C170" s="175" t="s">
        <v>670</v>
      </c>
      <c r="D170" s="176" t="s">
        <v>671</v>
      </c>
      <c r="E170" s="177" t="s">
        <v>597</v>
      </c>
      <c r="F170" s="175">
        <f t="shared" si="6"/>
        <v>12</v>
      </c>
      <c r="G170" s="175" t="str">
        <f t="shared" si="7"/>
        <v>Clearwater</v>
      </c>
      <c r="H170" s="175" t="str">
        <f t="shared" si="8"/>
        <v>Clearwater, FL</v>
      </c>
      <c r="I170" s="178" t="s">
        <v>673</v>
      </c>
      <c r="J170" s="27" t="s">
        <v>671</v>
      </c>
      <c r="K170" s="27">
        <v>3427</v>
      </c>
      <c r="L170" s="179">
        <v>725</v>
      </c>
      <c r="M170" s="178" t="s">
        <v>674</v>
      </c>
      <c r="N170" s="27" t="s">
        <v>671</v>
      </c>
      <c r="O170" s="182" t="s">
        <v>675</v>
      </c>
    </row>
    <row r="171" spans="1:20" ht="12">
      <c r="A171" s="148"/>
      <c r="B171" s="174" t="s">
        <v>598</v>
      </c>
      <c r="C171" s="175" t="s">
        <v>394</v>
      </c>
      <c r="D171" s="176" t="s">
        <v>395</v>
      </c>
      <c r="E171" s="177" t="s">
        <v>599</v>
      </c>
      <c r="F171" s="175">
        <f t="shared" si="6"/>
        <v>11</v>
      </c>
      <c r="G171" s="175" t="str">
        <f t="shared" si="7"/>
        <v>Cleveland</v>
      </c>
      <c r="H171" s="175" t="str">
        <f t="shared" si="8"/>
        <v>Cleveland, OH</v>
      </c>
      <c r="I171" s="178" t="s">
        <v>600</v>
      </c>
      <c r="J171" s="27" t="s">
        <v>395</v>
      </c>
      <c r="K171" s="27">
        <v>621</v>
      </c>
      <c r="L171" s="179">
        <v>6201</v>
      </c>
      <c r="M171" s="178" t="s">
        <v>601</v>
      </c>
      <c r="N171" s="27" t="s">
        <v>395</v>
      </c>
      <c r="O171" s="182" t="s">
        <v>602</v>
      </c>
    </row>
    <row r="172" spans="1:20" ht="12">
      <c r="A172" s="148"/>
      <c r="B172" s="174" t="s">
        <v>603</v>
      </c>
      <c r="C172" s="175" t="s">
        <v>394</v>
      </c>
      <c r="D172" s="176" t="s">
        <v>395</v>
      </c>
      <c r="E172" s="177" t="s">
        <v>599</v>
      </c>
      <c r="F172" s="175">
        <f t="shared" si="6"/>
        <v>11</v>
      </c>
      <c r="G172" s="175" t="str">
        <f t="shared" si="7"/>
        <v>Cleveland</v>
      </c>
      <c r="H172" s="175" t="str">
        <f t="shared" si="8"/>
        <v>Cleveland, OH</v>
      </c>
      <c r="I172" s="178" t="s">
        <v>600</v>
      </c>
      <c r="J172" s="27" t="s">
        <v>395</v>
      </c>
      <c r="K172" s="27">
        <v>621</v>
      </c>
      <c r="L172" s="179">
        <v>6201</v>
      </c>
      <c r="M172" s="178" t="s">
        <v>601</v>
      </c>
      <c r="N172" s="27" t="s">
        <v>395</v>
      </c>
      <c r="O172" s="182" t="s">
        <v>602</v>
      </c>
    </row>
    <row r="173" spans="1:20" ht="12">
      <c r="A173" s="148"/>
      <c r="B173" s="174" t="s">
        <v>604</v>
      </c>
      <c r="C173" s="175" t="s">
        <v>509</v>
      </c>
      <c r="D173" s="176" t="s">
        <v>510</v>
      </c>
      <c r="E173" s="177" t="s">
        <v>605</v>
      </c>
      <c r="F173" s="175">
        <f t="shared" si="6"/>
        <v>9</v>
      </c>
      <c r="G173" s="175" t="str">
        <f t="shared" si="7"/>
        <v>Clinton</v>
      </c>
      <c r="H173" s="175" t="str">
        <f t="shared" si="8"/>
        <v>Clinton, OK</v>
      </c>
      <c r="I173" s="178" t="s">
        <v>606</v>
      </c>
      <c r="J173" s="27" t="s">
        <v>510</v>
      </c>
      <c r="K173" s="27">
        <v>1859</v>
      </c>
      <c r="L173" s="179">
        <v>3659</v>
      </c>
      <c r="M173" s="180" t="s">
        <v>698</v>
      </c>
      <c r="N173" s="181" t="s">
        <v>510</v>
      </c>
      <c r="O173" s="182" t="s">
        <v>699</v>
      </c>
    </row>
    <row r="174" spans="1:20" ht="12">
      <c r="A174" s="148"/>
      <c r="B174" s="174" t="s">
        <v>700</v>
      </c>
      <c r="C174" s="175" t="s">
        <v>424</v>
      </c>
      <c r="D174" s="176" t="s">
        <v>425</v>
      </c>
      <c r="E174" s="177" t="s">
        <v>701</v>
      </c>
      <c r="F174" s="175">
        <f t="shared" si="6"/>
        <v>8</v>
      </c>
      <c r="G174" s="175" t="str">
        <f t="shared" si="7"/>
        <v>Clovis</v>
      </c>
      <c r="H174" s="175" t="str">
        <f t="shared" si="8"/>
        <v>Clovis, NM</v>
      </c>
      <c r="I174" s="178" t="s">
        <v>702</v>
      </c>
      <c r="J174" s="27" t="s">
        <v>425</v>
      </c>
      <c r="K174" s="27">
        <v>772</v>
      </c>
      <c r="L174" s="179">
        <v>5064</v>
      </c>
      <c r="M174" s="180" t="s">
        <v>280</v>
      </c>
      <c r="N174" s="181" t="s">
        <v>264</v>
      </c>
      <c r="O174" s="182" t="s">
        <v>281</v>
      </c>
    </row>
    <row r="175" spans="1:20" ht="12">
      <c r="A175" s="148"/>
      <c r="B175" s="174" t="s">
        <v>703</v>
      </c>
      <c r="C175" s="175" t="s">
        <v>2291</v>
      </c>
      <c r="D175" s="176" t="s">
        <v>2292</v>
      </c>
      <c r="E175" s="177" t="s">
        <v>704</v>
      </c>
      <c r="F175" s="175">
        <f t="shared" si="6"/>
        <v>15</v>
      </c>
      <c r="G175" s="175" t="str">
        <f t="shared" si="7"/>
        <v>Coeur D'Alene</v>
      </c>
      <c r="H175" s="175" t="str">
        <f t="shared" si="8"/>
        <v>Coeur D'Alene, ID</v>
      </c>
      <c r="I175" s="178" t="s">
        <v>1502</v>
      </c>
      <c r="J175" s="27" t="s">
        <v>1638</v>
      </c>
      <c r="K175" s="27">
        <v>398</v>
      </c>
      <c r="L175" s="179">
        <v>6842</v>
      </c>
      <c r="M175" s="180" t="s">
        <v>1503</v>
      </c>
      <c r="N175" s="181" t="s">
        <v>1638</v>
      </c>
      <c r="O175" s="182" t="s">
        <v>1504</v>
      </c>
    </row>
    <row r="176" spans="1:20" ht="12">
      <c r="A176" s="148"/>
      <c r="B176" s="174" t="s">
        <v>1505</v>
      </c>
      <c r="C176" s="175" t="s">
        <v>1506</v>
      </c>
      <c r="D176" s="176" t="s">
        <v>1507</v>
      </c>
      <c r="E176" s="177" t="s">
        <v>1508</v>
      </c>
      <c r="F176" s="175">
        <f t="shared" si="6"/>
        <v>7</v>
      </c>
      <c r="G176" s="175" t="str">
        <f t="shared" si="7"/>
        <v>Colby</v>
      </c>
      <c r="H176" s="175" t="str">
        <f t="shared" si="8"/>
        <v>Colby, KS</v>
      </c>
      <c r="I176" s="178" t="s">
        <v>1509</v>
      </c>
      <c r="J176" s="27" t="s">
        <v>1507</v>
      </c>
      <c r="K176" s="27">
        <v>859</v>
      </c>
      <c r="L176" s="179">
        <v>5974</v>
      </c>
      <c r="M176" s="180" t="s">
        <v>1510</v>
      </c>
      <c r="N176" s="181" t="s">
        <v>1507</v>
      </c>
      <c r="O176" s="182" t="s">
        <v>1511</v>
      </c>
    </row>
    <row r="177" spans="1:15" ht="12">
      <c r="A177" s="148"/>
      <c r="B177" s="174" t="s">
        <v>1512</v>
      </c>
      <c r="C177" s="175" t="s">
        <v>402</v>
      </c>
      <c r="D177" s="176" t="s">
        <v>403</v>
      </c>
      <c r="E177" s="177" t="s">
        <v>1513</v>
      </c>
      <c r="F177" s="175">
        <f t="shared" si="6"/>
        <v>18</v>
      </c>
      <c r="G177" s="175" t="str">
        <f t="shared" si="7"/>
        <v>Colorado Springs</v>
      </c>
      <c r="H177" s="175" t="str">
        <f t="shared" si="8"/>
        <v>Colorado Springs, CO</v>
      </c>
      <c r="I177" s="178" t="s">
        <v>1514</v>
      </c>
      <c r="J177" s="27" t="s">
        <v>403</v>
      </c>
      <c r="K177" s="27">
        <v>419</v>
      </c>
      <c r="L177" s="179">
        <v>6415</v>
      </c>
      <c r="M177" s="178" t="s">
        <v>406</v>
      </c>
      <c r="N177" s="27" t="s">
        <v>403</v>
      </c>
      <c r="O177" s="182" t="s">
        <v>407</v>
      </c>
    </row>
    <row r="178" spans="1:15" ht="12">
      <c r="A178" s="148"/>
      <c r="B178" s="174" t="s">
        <v>1515</v>
      </c>
      <c r="C178" s="175" t="s">
        <v>402</v>
      </c>
      <c r="D178" s="176" t="s">
        <v>403</v>
      </c>
      <c r="E178" s="177" t="s">
        <v>1513</v>
      </c>
      <c r="F178" s="175">
        <f t="shared" si="6"/>
        <v>18</v>
      </c>
      <c r="G178" s="175" t="str">
        <f t="shared" si="7"/>
        <v>Colorado Springs</v>
      </c>
      <c r="H178" s="175" t="str">
        <f t="shared" si="8"/>
        <v>Colorado Springs, CO</v>
      </c>
      <c r="I178" s="178" t="s">
        <v>1514</v>
      </c>
      <c r="J178" s="27" t="s">
        <v>403</v>
      </c>
      <c r="K178" s="27">
        <v>419</v>
      </c>
      <c r="L178" s="179">
        <v>6415</v>
      </c>
      <c r="M178" s="178" t="s">
        <v>406</v>
      </c>
      <c r="N178" s="27" t="s">
        <v>403</v>
      </c>
      <c r="O178" s="182" t="s">
        <v>407</v>
      </c>
    </row>
    <row r="179" spans="1:15" ht="12">
      <c r="A179" s="148"/>
      <c r="B179" s="174" t="s">
        <v>1516</v>
      </c>
      <c r="C179" s="175" t="s">
        <v>1377</v>
      </c>
      <c r="D179" s="176" t="s">
        <v>1378</v>
      </c>
      <c r="E179" s="177" t="s">
        <v>1517</v>
      </c>
      <c r="F179" s="175">
        <f t="shared" si="6"/>
        <v>10</v>
      </c>
      <c r="G179" s="175" t="str">
        <f t="shared" si="7"/>
        <v>Columbia</v>
      </c>
      <c r="H179" s="175" t="str">
        <f t="shared" si="8"/>
        <v>Columbia, MO</v>
      </c>
      <c r="I179" s="178" t="s">
        <v>1518</v>
      </c>
      <c r="J179" s="27" t="s">
        <v>1378</v>
      </c>
      <c r="K179" s="27">
        <v>1189</v>
      </c>
      <c r="L179" s="179">
        <v>5212</v>
      </c>
      <c r="M179" s="178" t="s">
        <v>1381</v>
      </c>
      <c r="N179" s="27" t="s">
        <v>1378</v>
      </c>
      <c r="O179" s="182" t="s">
        <v>1382</v>
      </c>
    </row>
    <row r="180" spans="1:15" ht="12">
      <c r="A180" s="148"/>
      <c r="B180" s="174" t="s">
        <v>1519</v>
      </c>
      <c r="C180" s="175" t="s">
        <v>283</v>
      </c>
      <c r="D180" s="176" t="s">
        <v>284</v>
      </c>
      <c r="E180" s="177" t="s">
        <v>1517</v>
      </c>
      <c r="F180" s="175">
        <f t="shared" si="6"/>
        <v>10</v>
      </c>
      <c r="G180" s="175" t="str">
        <f t="shared" si="7"/>
        <v>Columbia</v>
      </c>
      <c r="H180" s="175" t="str">
        <f t="shared" si="8"/>
        <v>Columbia, SC</v>
      </c>
      <c r="I180" s="178" t="s">
        <v>286</v>
      </c>
      <c r="J180" s="27" t="s">
        <v>284</v>
      </c>
      <c r="K180" s="27">
        <v>1966</v>
      </c>
      <c r="L180" s="179">
        <v>2649</v>
      </c>
      <c r="M180" s="178" t="s">
        <v>287</v>
      </c>
      <c r="N180" s="27" t="s">
        <v>284</v>
      </c>
      <c r="O180" s="182" t="s">
        <v>288</v>
      </c>
    </row>
    <row r="181" spans="1:15" ht="12">
      <c r="A181" s="148"/>
      <c r="B181" s="174" t="s">
        <v>1520</v>
      </c>
      <c r="C181" s="175" t="s">
        <v>283</v>
      </c>
      <c r="D181" s="176" t="s">
        <v>284</v>
      </c>
      <c r="E181" s="177" t="s">
        <v>1517</v>
      </c>
      <c r="F181" s="175">
        <f t="shared" si="6"/>
        <v>10</v>
      </c>
      <c r="G181" s="175" t="str">
        <f t="shared" si="7"/>
        <v>Columbia</v>
      </c>
      <c r="H181" s="175" t="str">
        <f t="shared" si="8"/>
        <v>Columbia, SC</v>
      </c>
      <c r="I181" s="178" t="s">
        <v>286</v>
      </c>
      <c r="J181" s="27" t="s">
        <v>284</v>
      </c>
      <c r="K181" s="27">
        <v>1966</v>
      </c>
      <c r="L181" s="179">
        <v>2649</v>
      </c>
      <c r="M181" s="178" t="s">
        <v>287</v>
      </c>
      <c r="N181" s="27" t="s">
        <v>284</v>
      </c>
      <c r="O181" s="182" t="s">
        <v>288</v>
      </c>
    </row>
    <row r="182" spans="1:15" ht="12">
      <c r="A182" s="148"/>
      <c r="B182" s="174" t="s">
        <v>1521</v>
      </c>
      <c r="C182" s="175" t="s">
        <v>283</v>
      </c>
      <c r="D182" s="176" t="s">
        <v>284</v>
      </c>
      <c r="E182" s="177" t="s">
        <v>1517</v>
      </c>
      <c r="F182" s="175">
        <f t="shared" si="6"/>
        <v>10</v>
      </c>
      <c r="G182" s="175" t="str">
        <f t="shared" si="7"/>
        <v>Columbia</v>
      </c>
      <c r="H182" s="175" t="str">
        <f t="shared" si="8"/>
        <v>Columbia, SC</v>
      </c>
      <c r="I182" s="178" t="s">
        <v>286</v>
      </c>
      <c r="J182" s="27" t="s">
        <v>284</v>
      </c>
      <c r="K182" s="27">
        <v>1966</v>
      </c>
      <c r="L182" s="179">
        <v>2649</v>
      </c>
      <c r="M182" s="178" t="s">
        <v>287</v>
      </c>
      <c r="N182" s="27" t="s">
        <v>284</v>
      </c>
      <c r="O182" s="182" t="s">
        <v>288</v>
      </c>
    </row>
    <row r="183" spans="1:15" ht="12">
      <c r="A183" s="148"/>
      <c r="B183" s="174" t="s">
        <v>1522</v>
      </c>
      <c r="C183" s="175" t="s">
        <v>2354</v>
      </c>
      <c r="D183" s="176" t="s">
        <v>485</v>
      </c>
      <c r="E183" s="177" t="s">
        <v>1517</v>
      </c>
      <c r="F183" s="175">
        <f t="shared" si="6"/>
        <v>10</v>
      </c>
      <c r="G183" s="175" t="str">
        <f t="shared" si="7"/>
        <v>Columbia</v>
      </c>
      <c r="H183" s="175" t="str">
        <f t="shared" si="8"/>
        <v>Columbia, TN</v>
      </c>
      <c r="I183" s="178" t="s">
        <v>1523</v>
      </c>
      <c r="J183" s="27" t="s">
        <v>485</v>
      </c>
      <c r="K183" s="27">
        <v>1616</v>
      </c>
      <c r="L183" s="179">
        <v>3729</v>
      </c>
      <c r="M183" s="180" t="s">
        <v>1524</v>
      </c>
      <c r="N183" s="181" t="s">
        <v>485</v>
      </c>
      <c r="O183" s="182" t="s">
        <v>623</v>
      </c>
    </row>
    <row r="184" spans="1:15" ht="12">
      <c r="A184" s="148"/>
      <c r="B184" s="174" t="s">
        <v>624</v>
      </c>
      <c r="C184" s="175" t="s">
        <v>409</v>
      </c>
      <c r="D184" s="176" t="s">
        <v>410</v>
      </c>
      <c r="E184" s="177" t="s">
        <v>625</v>
      </c>
      <c r="F184" s="175">
        <f t="shared" si="6"/>
        <v>10</v>
      </c>
      <c r="G184" s="175" t="str">
        <f t="shared" si="7"/>
        <v>Columbus</v>
      </c>
      <c r="H184" s="175" t="str">
        <f t="shared" si="8"/>
        <v>Columbus, GA</v>
      </c>
      <c r="I184" s="178" t="s">
        <v>626</v>
      </c>
      <c r="J184" s="27" t="s">
        <v>410</v>
      </c>
      <c r="K184" s="27">
        <v>2125</v>
      </c>
      <c r="L184" s="179">
        <v>2334</v>
      </c>
      <c r="M184" s="180" t="s">
        <v>413</v>
      </c>
      <c r="N184" s="181" t="s">
        <v>410</v>
      </c>
      <c r="O184" s="182" t="s">
        <v>414</v>
      </c>
    </row>
    <row r="185" spans="1:15" ht="12">
      <c r="A185" s="148"/>
      <c r="B185" s="174" t="s">
        <v>627</v>
      </c>
      <c r="C185" s="175" t="s">
        <v>409</v>
      </c>
      <c r="D185" s="176" t="s">
        <v>410</v>
      </c>
      <c r="E185" s="177" t="s">
        <v>625</v>
      </c>
      <c r="F185" s="175">
        <f t="shared" si="6"/>
        <v>10</v>
      </c>
      <c r="G185" s="175" t="str">
        <f t="shared" si="7"/>
        <v>Columbus</v>
      </c>
      <c r="H185" s="175" t="str">
        <f t="shared" si="8"/>
        <v>Columbus, GA</v>
      </c>
      <c r="I185" s="178" t="s">
        <v>412</v>
      </c>
      <c r="J185" s="27" t="s">
        <v>410</v>
      </c>
      <c r="K185" s="27">
        <v>2284</v>
      </c>
      <c r="L185" s="179">
        <v>2261</v>
      </c>
      <c r="M185" s="180" t="s">
        <v>413</v>
      </c>
      <c r="N185" s="181" t="s">
        <v>410</v>
      </c>
      <c r="O185" s="182" t="s">
        <v>414</v>
      </c>
    </row>
    <row r="186" spans="1:15" ht="12">
      <c r="A186" s="148"/>
      <c r="B186" s="174" t="s">
        <v>628</v>
      </c>
      <c r="C186" s="175" t="s">
        <v>2280</v>
      </c>
      <c r="D186" s="176" t="s">
        <v>2281</v>
      </c>
      <c r="E186" s="177" t="s">
        <v>625</v>
      </c>
      <c r="F186" s="175">
        <f t="shared" si="6"/>
        <v>10</v>
      </c>
      <c r="G186" s="175" t="str">
        <f t="shared" si="7"/>
        <v>Columbus</v>
      </c>
      <c r="H186" s="175" t="str">
        <f t="shared" si="8"/>
        <v>Columbus, IN</v>
      </c>
      <c r="I186" s="178" t="s">
        <v>2282</v>
      </c>
      <c r="J186" s="27" t="s">
        <v>2281</v>
      </c>
      <c r="K186" s="27">
        <v>1014</v>
      </c>
      <c r="L186" s="179">
        <v>5615</v>
      </c>
      <c r="M186" s="178" t="s">
        <v>2283</v>
      </c>
      <c r="N186" s="27" t="s">
        <v>2281</v>
      </c>
      <c r="O186" s="182" t="s">
        <v>2284</v>
      </c>
    </row>
    <row r="187" spans="1:15" ht="12">
      <c r="A187" s="148"/>
      <c r="B187" s="174" t="s">
        <v>629</v>
      </c>
      <c r="C187" s="175" t="s">
        <v>630</v>
      </c>
      <c r="D187" s="176" t="s">
        <v>1346</v>
      </c>
      <c r="E187" s="177" t="s">
        <v>625</v>
      </c>
      <c r="F187" s="175">
        <f t="shared" si="6"/>
        <v>10</v>
      </c>
      <c r="G187" s="175" t="str">
        <f t="shared" si="7"/>
        <v>Columbus</v>
      </c>
      <c r="H187" s="175" t="str">
        <f t="shared" si="8"/>
        <v>Columbus, MS</v>
      </c>
      <c r="I187" s="178" t="s">
        <v>505</v>
      </c>
      <c r="J187" s="27" t="s">
        <v>503</v>
      </c>
      <c r="K187" s="27">
        <v>1797</v>
      </c>
      <c r="L187" s="179">
        <v>2918</v>
      </c>
      <c r="M187" s="180" t="s">
        <v>506</v>
      </c>
      <c r="N187" s="181" t="s">
        <v>503</v>
      </c>
      <c r="O187" s="182" t="s">
        <v>507</v>
      </c>
    </row>
    <row r="188" spans="1:15" ht="12">
      <c r="A188" s="148"/>
      <c r="B188" s="174" t="s">
        <v>631</v>
      </c>
      <c r="C188" s="175" t="s">
        <v>456</v>
      </c>
      <c r="D188" s="176" t="s">
        <v>457</v>
      </c>
      <c r="E188" s="177" t="s">
        <v>625</v>
      </c>
      <c r="F188" s="175">
        <f t="shared" si="6"/>
        <v>10</v>
      </c>
      <c r="G188" s="175" t="str">
        <f t="shared" si="7"/>
        <v>Columbus</v>
      </c>
      <c r="H188" s="175" t="str">
        <f t="shared" si="8"/>
        <v>Columbus, NE</v>
      </c>
      <c r="I188" s="178" t="s">
        <v>632</v>
      </c>
      <c r="J188" s="27" t="s">
        <v>457</v>
      </c>
      <c r="K188" s="27">
        <v>997</v>
      </c>
      <c r="L188" s="179">
        <v>6421</v>
      </c>
      <c r="M188" s="180" t="s">
        <v>633</v>
      </c>
      <c r="N188" s="181" t="s">
        <v>457</v>
      </c>
      <c r="O188" s="182" t="s">
        <v>634</v>
      </c>
    </row>
    <row r="189" spans="1:15" ht="12">
      <c r="A189" s="148"/>
      <c r="B189" s="174" t="s">
        <v>635</v>
      </c>
      <c r="C189" s="175" t="s">
        <v>394</v>
      </c>
      <c r="D189" s="176" t="s">
        <v>395</v>
      </c>
      <c r="E189" s="177" t="s">
        <v>625</v>
      </c>
      <c r="F189" s="175">
        <f t="shared" si="6"/>
        <v>10</v>
      </c>
      <c r="G189" s="175" t="str">
        <f t="shared" si="7"/>
        <v>Columbus</v>
      </c>
      <c r="H189" s="175" t="str">
        <f t="shared" si="8"/>
        <v>Columbus, OH</v>
      </c>
      <c r="I189" s="178" t="s">
        <v>1539</v>
      </c>
      <c r="J189" s="27" t="s">
        <v>395</v>
      </c>
      <c r="K189" s="27">
        <v>797</v>
      </c>
      <c r="L189" s="179">
        <v>5708</v>
      </c>
      <c r="M189" s="180" t="s">
        <v>413</v>
      </c>
      <c r="N189" s="181" t="s">
        <v>395</v>
      </c>
      <c r="O189" s="182" t="s">
        <v>1540</v>
      </c>
    </row>
    <row r="190" spans="1:15" ht="12">
      <c r="A190" s="148"/>
      <c r="B190" s="174" t="s">
        <v>636</v>
      </c>
      <c r="C190" s="175" t="s">
        <v>394</v>
      </c>
      <c r="D190" s="176" t="s">
        <v>395</v>
      </c>
      <c r="E190" s="177" t="s">
        <v>625</v>
      </c>
      <c r="F190" s="175">
        <f t="shared" si="6"/>
        <v>10</v>
      </c>
      <c r="G190" s="175" t="str">
        <f t="shared" si="7"/>
        <v>Columbus</v>
      </c>
      <c r="H190" s="175" t="str">
        <f t="shared" si="8"/>
        <v>Columbus, OH</v>
      </c>
      <c r="I190" s="178" t="s">
        <v>1539</v>
      </c>
      <c r="J190" s="27" t="s">
        <v>395</v>
      </c>
      <c r="K190" s="27">
        <v>797</v>
      </c>
      <c r="L190" s="179">
        <v>5708</v>
      </c>
      <c r="M190" s="180" t="s">
        <v>413</v>
      </c>
      <c r="N190" s="181" t="s">
        <v>395</v>
      </c>
      <c r="O190" s="182" t="s">
        <v>1540</v>
      </c>
    </row>
    <row r="191" spans="1:15" ht="12">
      <c r="A191" s="148"/>
      <c r="B191" s="174" t="s">
        <v>637</v>
      </c>
      <c r="C191" s="175" t="s">
        <v>394</v>
      </c>
      <c r="D191" s="176" t="s">
        <v>395</v>
      </c>
      <c r="E191" s="177" t="s">
        <v>625</v>
      </c>
      <c r="F191" s="175">
        <f t="shared" si="6"/>
        <v>10</v>
      </c>
      <c r="G191" s="175" t="str">
        <f t="shared" si="7"/>
        <v>Columbus</v>
      </c>
      <c r="H191" s="175" t="str">
        <f t="shared" si="8"/>
        <v>Columbus, OH</v>
      </c>
      <c r="I191" s="178" t="s">
        <v>1539</v>
      </c>
      <c r="J191" s="27" t="s">
        <v>395</v>
      </c>
      <c r="K191" s="27">
        <v>797</v>
      </c>
      <c r="L191" s="179">
        <v>5708</v>
      </c>
      <c r="M191" s="180" t="s">
        <v>413</v>
      </c>
      <c r="N191" s="181" t="s">
        <v>395</v>
      </c>
      <c r="O191" s="182" t="s">
        <v>1540</v>
      </c>
    </row>
    <row r="192" spans="1:15" ht="12">
      <c r="A192" s="148"/>
      <c r="B192" s="174" t="s">
        <v>638</v>
      </c>
      <c r="C192" s="175" t="s">
        <v>442</v>
      </c>
      <c r="D192" s="176" t="s">
        <v>443</v>
      </c>
      <c r="E192" s="177" t="s">
        <v>639</v>
      </c>
      <c r="F192" s="175">
        <f t="shared" si="6"/>
        <v>9</v>
      </c>
      <c r="G192" s="175" t="str">
        <f t="shared" si="7"/>
        <v>Concord</v>
      </c>
      <c r="H192" s="175" t="str">
        <f t="shared" si="8"/>
        <v>Concord, CA</v>
      </c>
      <c r="I192" s="178" t="s">
        <v>640</v>
      </c>
      <c r="J192" s="27" t="s">
        <v>443</v>
      </c>
      <c r="K192" s="27">
        <v>1237</v>
      </c>
      <c r="L192" s="179">
        <v>2749</v>
      </c>
      <c r="M192" s="178" t="s">
        <v>641</v>
      </c>
      <c r="N192" s="27" t="s">
        <v>443</v>
      </c>
      <c r="O192" s="182" t="s">
        <v>642</v>
      </c>
    </row>
    <row r="193" spans="1:20" ht="12">
      <c r="A193" s="148"/>
      <c r="B193" s="186" t="s">
        <v>643</v>
      </c>
      <c r="C193" s="175" t="s">
        <v>271</v>
      </c>
      <c r="D193" s="176" t="s">
        <v>272</v>
      </c>
      <c r="E193" s="177" t="s">
        <v>639</v>
      </c>
      <c r="F193" s="175">
        <f t="shared" si="6"/>
        <v>9</v>
      </c>
      <c r="G193" s="175" t="str">
        <f t="shared" si="7"/>
        <v>Concord</v>
      </c>
      <c r="H193" s="175" t="str">
        <f t="shared" si="8"/>
        <v>Concord, NH</v>
      </c>
      <c r="I193" s="178" t="s">
        <v>274</v>
      </c>
      <c r="J193" s="27" t="s">
        <v>272</v>
      </c>
      <c r="K193" s="27">
        <v>328</v>
      </c>
      <c r="L193" s="179">
        <v>7554</v>
      </c>
      <c r="M193" s="180" t="s">
        <v>275</v>
      </c>
      <c r="N193" s="181" t="s">
        <v>272</v>
      </c>
      <c r="O193" s="182" t="s">
        <v>276</v>
      </c>
    </row>
    <row r="194" spans="1:20" ht="12">
      <c r="A194" s="148"/>
      <c r="B194" s="174" t="s">
        <v>644</v>
      </c>
      <c r="C194" s="175" t="s">
        <v>1506</v>
      </c>
      <c r="D194" s="176" t="s">
        <v>1507</v>
      </c>
      <c r="E194" s="177" t="s">
        <v>645</v>
      </c>
      <c r="F194" s="175">
        <f t="shared" si="6"/>
        <v>11</v>
      </c>
      <c r="G194" s="175" t="str">
        <f t="shared" si="7"/>
        <v>Concordia</v>
      </c>
      <c r="H194" s="175" t="str">
        <f t="shared" si="8"/>
        <v>Concordia, KS</v>
      </c>
      <c r="I194" s="178" t="s">
        <v>646</v>
      </c>
      <c r="J194" s="27" t="s">
        <v>1507</v>
      </c>
      <c r="K194" s="27">
        <v>1317</v>
      </c>
      <c r="L194" s="179">
        <v>5574</v>
      </c>
      <c r="M194" s="180" t="s">
        <v>647</v>
      </c>
      <c r="N194" s="181" t="s">
        <v>1507</v>
      </c>
      <c r="O194" s="182" t="s">
        <v>648</v>
      </c>
    </row>
    <row r="195" spans="1:20" ht="12">
      <c r="A195" s="148"/>
      <c r="B195" s="174" t="s">
        <v>1652</v>
      </c>
      <c r="C195" s="175" t="s">
        <v>263</v>
      </c>
      <c r="D195" s="176" t="s">
        <v>264</v>
      </c>
      <c r="E195" s="177" t="s">
        <v>1653</v>
      </c>
      <c r="F195" s="175">
        <f t="shared" si="6"/>
        <v>8</v>
      </c>
      <c r="G195" s="175" t="str">
        <f t="shared" si="7"/>
        <v>Conroe</v>
      </c>
      <c r="H195" s="175" t="str">
        <f t="shared" si="8"/>
        <v>Conroe, TX</v>
      </c>
      <c r="I195" s="178" t="s">
        <v>1654</v>
      </c>
      <c r="J195" s="27" t="s">
        <v>264</v>
      </c>
      <c r="K195" s="27">
        <v>2700</v>
      </c>
      <c r="L195" s="179">
        <v>1599</v>
      </c>
      <c r="M195" s="180" t="s">
        <v>1613</v>
      </c>
      <c r="N195" s="181" t="s">
        <v>264</v>
      </c>
      <c r="O195" s="182" t="s">
        <v>1614</v>
      </c>
    </row>
    <row r="196" spans="1:20" ht="12">
      <c r="A196" s="148"/>
      <c r="B196" s="174" t="s">
        <v>1655</v>
      </c>
      <c r="C196" s="175" t="s">
        <v>2354</v>
      </c>
      <c r="D196" s="176" t="s">
        <v>485</v>
      </c>
      <c r="E196" s="177" t="s">
        <v>1656</v>
      </c>
      <c r="F196" s="175">
        <f t="shared" si="6"/>
        <v>12</v>
      </c>
      <c r="G196" s="175" t="str">
        <f t="shared" si="7"/>
        <v>Cookeville</v>
      </c>
      <c r="H196" s="175" t="str">
        <f t="shared" si="8"/>
        <v>Cookeville, TN</v>
      </c>
      <c r="I196" s="178" t="s">
        <v>1523</v>
      </c>
      <c r="J196" s="27" t="s">
        <v>485</v>
      </c>
      <c r="K196" s="27">
        <v>1616</v>
      </c>
      <c r="L196" s="179">
        <v>3729</v>
      </c>
      <c r="M196" s="180" t="s">
        <v>1524</v>
      </c>
      <c r="N196" s="181" t="s">
        <v>485</v>
      </c>
      <c r="O196" s="182" t="s">
        <v>623</v>
      </c>
    </row>
    <row r="197" spans="1:20" ht="12">
      <c r="A197" s="148"/>
      <c r="B197" s="174" t="s">
        <v>1657</v>
      </c>
      <c r="C197" s="175" t="s">
        <v>525</v>
      </c>
      <c r="D197" s="176" t="s">
        <v>526</v>
      </c>
      <c r="E197" s="177" t="s">
        <v>1658</v>
      </c>
      <c r="F197" s="175">
        <f t="shared" si="6"/>
        <v>8</v>
      </c>
      <c r="G197" s="175" t="str">
        <f t="shared" si="7"/>
        <v>Corbin</v>
      </c>
      <c r="H197" s="175" t="str">
        <f t="shared" si="8"/>
        <v>Corbin, KY</v>
      </c>
      <c r="I197" s="178" t="s">
        <v>484</v>
      </c>
      <c r="J197" s="27" t="s">
        <v>485</v>
      </c>
      <c r="K197" s="27">
        <v>1266</v>
      </c>
      <c r="L197" s="179">
        <v>3937</v>
      </c>
      <c r="M197" s="180" t="s">
        <v>486</v>
      </c>
      <c r="N197" s="181" t="s">
        <v>485</v>
      </c>
      <c r="O197" s="182" t="s">
        <v>487</v>
      </c>
    </row>
    <row r="198" spans="1:20" ht="12">
      <c r="A198" s="148"/>
      <c r="B198" s="174" t="s">
        <v>1659</v>
      </c>
      <c r="C198" s="175" t="s">
        <v>263</v>
      </c>
      <c r="D198" s="176" t="s">
        <v>264</v>
      </c>
      <c r="E198" s="177" t="s">
        <v>1660</v>
      </c>
      <c r="F198" s="175">
        <f t="shared" ref="F198:F261" si="9">LEN(E198)</f>
        <v>16</v>
      </c>
      <c r="G198" s="175" t="str">
        <f t="shared" ref="G198:G261" si="10">MID(E198,2,F198-2)</f>
        <v>Corpus Christi</v>
      </c>
      <c r="H198" s="175" t="str">
        <f t="shared" ref="H198:H261" si="11">CONCATENATE(G198,", ",+D198)</f>
        <v>Corpus Christi, TX</v>
      </c>
      <c r="I198" s="178" t="s">
        <v>1661</v>
      </c>
      <c r="J198" s="27" t="s">
        <v>264</v>
      </c>
      <c r="K198" s="27">
        <v>3439</v>
      </c>
      <c r="L198" s="179">
        <v>1016</v>
      </c>
      <c r="M198" s="180" t="s">
        <v>1662</v>
      </c>
      <c r="N198" s="181" t="s">
        <v>264</v>
      </c>
      <c r="O198" s="182" t="s">
        <v>1663</v>
      </c>
      <c r="P198" s="26"/>
      <c r="Q198" s="27"/>
      <c r="R198" s="183"/>
      <c r="S198" s="27"/>
      <c r="T198" s="27"/>
    </row>
    <row r="199" spans="1:20" ht="12">
      <c r="A199" s="148"/>
      <c r="B199" s="174" t="s">
        <v>1664</v>
      </c>
      <c r="C199" s="175" t="s">
        <v>263</v>
      </c>
      <c r="D199" s="176" t="s">
        <v>264</v>
      </c>
      <c r="E199" s="177" t="s">
        <v>1660</v>
      </c>
      <c r="F199" s="175">
        <f t="shared" si="9"/>
        <v>16</v>
      </c>
      <c r="G199" s="175" t="str">
        <f t="shared" si="10"/>
        <v>Corpus Christi</v>
      </c>
      <c r="H199" s="175" t="str">
        <f t="shared" si="11"/>
        <v>Corpus Christi, TX</v>
      </c>
      <c r="I199" s="178" t="s">
        <v>1661</v>
      </c>
      <c r="J199" s="27" t="s">
        <v>264</v>
      </c>
      <c r="K199" s="27">
        <v>3439</v>
      </c>
      <c r="L199" s="179">
        <v>1016</v>
      </c>
      <c r="M199" s="180" t="s">
        <v>1662</v>
      </c>
      <c r="N199" s="181" t="s">
        <v>264</v>
      </c>
      <c r="O199" s="182" t="s">
        <v>1663</v>
      </c>
    </row>
    <row r="200" spans="1:20" ht="12">
      <c r="A200" s="148"/>
      <c r="B200" s="174" t="s">
        <v>1665</v>
      </c>
      <c r="C200" s="175" t="s">
        <v>1333</v>
      </c>
      <c r="D200" s="176" t="s">
        <v>1334</v>
      </c>
      <c r="E200" s="177" t="s">
        <v>1666</v>
      </c>
      <c r="F200" s="175">
        <f t="shared" si="9"/>
        <v>16</v>
      </c>
      <c r="G200" s="175" t="str">
        <f t="shared" si="10"/>
        <v>Council Bluffs</v>
      </c>
      <c r="H200" s="175" t="str">
        <f t="shared" si="11"/>
        <v>Council Bluffs, IA</v>
      </c>
      <c r="I200" s="178" t="s">
        <v>1667</v>
      </c>
      <c r="J200" s="27" t="s">
        <v>457</v>
      </c>
      <c r="K200" s="27">
        <v>1037</v>
      </c>
      <c r="L200" s="179">
        <v>6413</v>
      </c>
      <c r="M200" s="180" t="s">
        <v>1668</v>
      </c>
      <c r="N200" s="181" t="s">
        <v>457</v>
      </c>
      <c r="O200" s="182" t="s">
        <v>1669</v>
      </c>
    </row>
    <row r="201" spans="1:20" ht="12">
      <c r="A201" s="148"/>
      <c r="B201" s="174" t="s">
        <v>1670</v>
      </c>
      <c r="C201" s="175" t="s">
        <v>442</v>
      </c>
      <c r="D201" s="176" t="s">
        <v>443</v>
      </c>
      <c r="E201" s="177" t="s">
        <v>1671</v>
      </c>
      <c r="F201" s="175">
        <f t="shared" si="9"/>
        <v>8</v>
      </c>
      <c r="G201" s="175" t="str">
        <f t="shared" si="10"/>
        <v>Covina</v>
      </c>
      <c r="H201" s="175" t="str">
        <f t="shared" si="11"/>
        <v>Covina, CA</v>
      </c>
      <c r="I201" s="178" t="s">
        <v>471</v>
      </c>
      <c r="J201" s="27" t="s">
        <v>443</v>
      </c>
      <c r="K201" s="27">
        <v>1201</v>
      </c>
      <c r="L201" s="179">
        <v>1430</v>
      </c>
      <c r="M201" s="178" t="s">
        <v>446</v>
      </c>
      <c r="N201" s="27" t="s">
        <v>443</v>
      </c>
      <c r="O201" s="182" t="s">
        <v>447</v>
      </c>
    </row>
    <row r="202" spans="1:20" ht="12">
      <c r="A202" s="148"/>
      <c r="B202" s="174" t="s">
        <v>1672</v>
      </c>
      <c r="C202" s="175" t="s">
        <v>1333</v>
      </c>
      <c r="D202" s="176" t="s">
        <v>1334</v>
      </c>
      <c r="E202" s="177" t="s">
        <v>1673</v>
      </c>
      <c r="F202" s="175">
        <f t="shared" si="9"/>
        <v>9</v>
      </c>
      <c r="G202" s="175" t="str">
        <f t="shared" si="10"/>
        <v>Creston</v>
      </c>
      <c r="H202" s="175" t="str">
        <f t="shared" si="11"/>
        <v>Creston, IA</v>
      </c>
      <c r="I202" s="178" t="s">
        <v>2318</v>
      </c>
      <c r="J202" s="27" t="s">
        <v>1334</v>
      </c>
      <c r="K202" s="27">
        <v>1036</v>
      </c>
      <c r="L202" s="179">
        <v>6497</v>
      </c>
      <c r="M202" s="180" t="s">
        <v>1337</v>
      </c>
      <c r="N202" s="181" t="s">
        <v>1334</v>
      </c>
      <c r="O202" s="182" t="s">
        <v>1338</v>
      </c>
    </row>
    <row r="203" spans="1:20" ht="12">
      <c r="A203" s="148"/>
      <c r="B203" s="174" t="s">
        <v>1674</v>
      </c>
      <c r="C203" s="175" t="s">
        <v>434</v>
      </c>
      <c r="D203" s="176" t="s">
        <v>435</v>
      </c>
      <c r="E203" s="177" t="s">
        <v>1675</v>
      </c>
      <c r="F203" s="175">
        <f t="shared" si="9"/>
        <v>10</v>
      </c>
      <c r="G203" s="175" t="str">
        <f t="shared" si="10"/>
        <v>Culpeper</v>
      </c>
      <c r="H203" s="175" t="str">
        <f t="shared" si="11"/>
        <v>Culpeper, VA</v>
      </c>
      <c r="I203" s="178" t="s">
        <v>1676</v>
      </c>
      <c r="J203" s="27" t="s">
        <v>437</v>
      </c>
      <c r="K203" s="27">
        <v>973</v>
      </c>
      <c r="L203" s="179">
        <v>5006</v>
      </c>
      <c r="M203" s="180" t="s">
        <v>438</v>
      </c>
      <c r="N203" s="181" t="s">
        <v>439</v>
      </c>
      <c r="O203" s="182" t="s">
        <v>440</v>
      </c>
    </row>
    <row r="204" spans="1:20" ht="12">
      <c r="A204" s="148"/>
      <c r="B204" s="174" t="s">
        <v>1677</v>
      </c>
      <c r="C204" s="175" t="s">
        <v>496</v>
      </c>
      <c r="D204" s="176" t="s">
        <v>439</v>
      </c>
      <c r="E204" s="177" t="s">
        <v>1678</v>
      </c>
      <c r="F204" s="175">
        <f t="shared" si="9"/>
        <v>12</v>
      </c>
      <c r="G204" s="175" t="str">
        <f t="shared" si="10"/>
        <v>Cumberland</v>
      </c>
      <c r="H204" s="175" t="str">
        <f t="shared" si="11"/>
        <v>Cumberland, MD</v>
      </c>
      <c r="I204" s="178" t="s">
        <v>464</v>
      </c>
      <c r="J204" s="27" t="s">
        <v>450</v>
      </c>
      <c r="K204" s="27">
        <v>654</v>
      </c>
      <c r="L204" s="179">
        <v>5968</v>
      </c>
      <c r="M204" s="180" t="s">
        <v>465</v>
      </c>
      <c r="N204" s="181" t="s">
        <v>450</v>
      </c>
      <c r="O204" s="182" t="s">
        <v>466</v>
      </c>
    </row>
    <row r="205" spans="1:20" ht="12">
      <c r="A205" s="148"/>
      <c r="B205" s="174" t="s">
        <v>1679</v>
      </c>
      <c r="C205" s="175" t="s">
        <v>263</v>
      </c>
      <c r="D205" s="176" t="s">
        <v>264</v>
      </c>
      <c r="E205" s="177" t="s">
        <v>1680</v>
      </c>
      <c r="F205" s="175">
        <f t="shared" si="9"/>
        <v>8</v>
      </c>
      <c r="G205" s="175" t="str">
        <f t="shared" si="10"/>
        <v>Dallas</v>
      </c>
      <c r="H205" s="175" t="str">
        <f t="shared" si="11"/>
        <v>Dallas, TX</v>
      </c>
      <c r="I205" s="178" t="s">
        <v>512</v>
      </c>
      <c r="J205" s="27" t="s">
        <v>264</v>
      </c>
      <c r="K205" s="27">
        <v>2603</v>
      </c>
      <c r="L205" s="179">
        <v>2407</v>
      </c>
      <c r="M205" s="180" t="s">
        <v>513</v>
      </c>
      <c r="N205" s="181" t="s">
        <v>264</v>
      </c>
      <c r="O205" s="182" t="s">
        <v>514</v>
      </c>
    </row>
    <row r="206" spans="1:20" ht="12">
      <c r="A206" s="148"/>
      <c r="B206" s="174" t="s">
        <v>1681</v>
      </c>
      <c r="C206" s="175" t="s">
        <v>263</v>
      </c>
      <c r="D206" s="176" t="s">
        <v>264</v>
      </c>
      <c r="E206" s="177" t="s">
        <v>1680</v>
      </c>
      <c r="F206" s="175">
        <f t="shared" si="9"/>
        <v>8</v>
      </c>
      <c r="G206" s="175" t="str">
        <f t="shared" si="10"/>
        <v>Dallas</v>
      </c>
      <c r="H206" s="175" t="str">
        <f t="shared" si="11"/>
        <v>Dallas, TX</v>
      </c>
      <c r="I206" s="178" t="s">
        <v>512</v>
      </c>
      <c r="J206" s="27" t="s">
        <v>264</v>
      </c>
      <c r="K206" s="27">
        <v>2603</v>
      </c>
      <c r="L206" s="179">
        <v>2407</v>
      </c>
      <c r="M206" s="180" t="s">
        <v>513</v>
      </c>
      <c r="N206" s="181" t="s">
        <v>264</v>
      </c>
      <c r="O206" s="182" t="s">
        <v>514</v>
      </c>
    </row>
    <row r="207" spans="1:20" ht="12">
      <c r="A207" s="148"/>
      <c r="B207" s="174" t="s">
        <v>1682</v>
      </c>
      <c r="C207" s="175" t="s">
        <v>263</v>
      </c>
      <c r="D207" s="176" t="s">
        <v>264</v>
      </c>
      <c r="E207" s="177" t="s">
        <v>1680</v>
      </c>
      <c r="F207" s="175">
        <f t="shared" si="9"/>
        <v>8</v>
      </c>
      <c r="G207" s="175" t="str">
        <f t="shared" si="10"/>
        <v>Dallas</v>
      </c>
      <c r="H207" s="175" t="str">
        <f t="shared" si="11"/>
        <v>Dallas, TX</v>
      </c>
      <c r="I207" s="178" t="s">
        <v>512</v>
      </c>
      <c r="J207" s="27" t="s">
        <v>264</v>
      </c>
      <c r="K207" s="27">
        <v>2603</v>
      </c>
      <c r="L207" s="179">
        <v>2407</v>
      </c>
      <c r="M207" s="180" t="s">
        <v>513</v>
      </c>
      <c r="N207" s="181" t="s">
        <v>264</v>
      </c>
      <c r="O207" s="182" t="s">
        <v>514</v>
      </c>
    </row>
    <row r="208" spans="1:20" ht="12">
      <c r="A208" s="148"/>
      <c r="B208" s="174" t="s">
        <v>1683</v>
      </c>
      <c r="C208" s="175" t="s">
        <v>263</v>
      </c>
      <c r="D208" s="176" t="s">
        <v>264</v>
      </c>
      <c r="E208" s="177" t="s">
        <v>1680</v>
      </c>
      <c r="F208" s="175">
        <f t="shared" si="9"/>
        <v>8</v>
      </c>
      <c r="G208" s="175" t="str">
        <f t="shared" si="10"/>
        <v>Dallas</v>
      </c>
      <c r="H208" s="175" t="str">
        <f t="shared" si="11"/>
        <v>Dallas, TX</v>
      </c>
      <c r="I208" s="178" t="s">
        <v>512</v>
      </c>
      <c r="J208" s="27" t="s">
        <v>264</v>
      </c>
      <c r="K208" s="27">
        <v>2603</v>
      </c>
      <c r="L208" s="179">
        <v>2407</v>
      </c>
      <c r="M208" s="180" t="s">
        <v>513</v>
      </c>
      <c r="N208" s="181" t="s">
        <v>264</v>
      </c>
      <c r="O208" s="182" t="s">
        <v>514</v>
      </c>
    </row>
    <row r="209" spans="1:20" ht="12">
      <c r="A209" s="148"/>
      <c r="B209" s="174" t="s">
        <v>1684</v>
      </c>
      <c r="C209" s="175" t="s">
        <v>409</v>
      </c>
      <c r="D209" s="176" t="s">
        <v>410</v>
      </c>
      <c r="E209" s="177" t="s">
        <v>1685</v>
      </c>
      <c r="F209" s="175">
        <f t="shared" si="9"/>
        <v>8</v>
      </c>
      <c r="G209" s="175" t="str">
        <f t="shared" si="10"/>
        <v>Dalton</v>
      </c>
      <c r="H209" s="175" t="str">
        <f t="shared" si="11"/>
        <v>Dalton, GA</v>
      </c>
      <c r="I209" s="178" t="s">
        <v>2360</v>
      </c>
      <c r="J209" s="27" t="s">
        <v>485</v>
      </c>
      <c r="K209" s="27">
        <v>1544</v>
      </c>
      <c r="L209" s="179">
        <v>3587</v>
      </c>
      <c r="M209" s="180" t="s">
        <v>2357</v>
      </c>
      <c r="N209" s="181" t="s">
        <v>485</v>
      </c>
      <c r="O209" s="182" t="s">
        <v>2358</v>
      </c>
    </row>
    <row r="210" spans="1:20" ht="12">
      <c r="A210" s="148"/>
      <c r="B210" s="174" t="s">
        <v>1686</v>
      </c>
      <c r="C210" s="175" t="s">
        <v>1333</v>
      </c>
      <c r="D210" s="176" t="s">
        <v>1334</v>
      </c>
      <c r="E210" s="177" t="s">
        <v>1687</v>
      </c>
      <c r="F210" s="175">
        <f t="shared" si="9"/>
        <v>11</v>
      </c>
      <c r="G210" s="175" t="str">
        <f t="shared" si="10"/>
        <v>Davenport</v>
      </c>
      <c r="H210" s="175" t="str">
        <f t="shared" si="11"/>
        <v>Davenport, IA</v>
      </c>
      <c r="I210" s="178" t="s">
        <v>1336</v>
      </c>
      <c r="J210" s="27" t="s">
        <v>1648</v>
      </c>
      <c r="K210" s="27">
        <v>911</v>
      </c>
      <c r="L210" s="179">
        <v>6474</v>
      </c>
      <c r="M210" s="180" t="s">
        <v>1337</v>
      </c>
      <c r="N210" s="181" t="s">
        <v>1334</v>
      </c>
      <c r="O210" s="182" t="s">
        <v>1338</v>
      </c>
    </row>
    <row r="211" spans="1:20" ht="12">
      <c r="A211" s="148"/>
      <c r="B211" s="174" t="s">
        <v>1688</v>
      </c>
      <c r="C211" s="175" t="s">
        <v>1333</v>
      </c>
      <c r="D211" s="176" t="s">
        <v>1334</v>
      </c>
      <c r="E211" s="177" t="s">
        <v>1687</v>
      </c>
      <c r="F211" s="175">
        <f t="shared" si="9"/>
        <v>11</v>
      </c>
      <c r="G211" s="175" t="str">
        <f t="shared" si="10"/>
        <v>Davenport</v>
      </c>
      <c r="H211" s="175" t="str">
        <f t="shared" si="11"/>
        <v>Davenport, IA</v>
      </c>
      <c r="I211" s="178" t="s">
        <v>1336</v>
      </c>
      <c r="J211" s="27" t="s">
        <v>1648</v>
      </c>
      <c r="K211" s="27">
        <v>911</v>
      </c>
      <c r="L211" s="179">
        <v>6474</v>
      </c>
      <c r="M211" s="180" t="s">
        <v>1337</v>
      </c>
      <c r="N211" s="181" t="s">
        <v>1334</v>
      </c>
      <c r="O211" s="182" t="s">
        <v>1338</v>
      </c>
    </row>
    <row r="212" spans="1:20" ht="12">
      <c r="A212" s="148"/>
      <c r="B212" s="174" t="s">
        <v>1689</v>
      </c>
      <c r="C212" s="175" t="s">
        <v>394</v>
      </c>
      <c r="D212" s="176" t="s">
        <v>395</v>
      </c>
      <c r="E212" s="177" t="s">
        <v>1690</v>
      </c>
      <c r="F212" s="175">
        <f t="shared" si="9"/>
        <v>8</v>
      </c>
      <c r="G212" s="175" t="str">
        <f t="shared" si="10"/>
        <v>Dayton</v>
      </c>
      <c r="H212" s="175" t="str">
        <f t="shared" si="11"/>
        <v>Dayton, OH</v>
      </c>
      <c r="I212" s="178" t="s">
        <v>1539</v>
      </c>
      <c r="J212" s="27" t="s">
        <v>395</v>
      </c>
      <c r="K212" s="27">
        <v>797</v>
      </c>
      <c r="L212" s="179">
        <v>5708</v>
      </c>
      <c r="M212" s="180" t="s">
        <v>1691</v>
      </c>
      <c r="N212" s="181" t="s">
        <v>395</v>
      </c>
      <c r="O212" s="182" t="s">
        <v>1692</v>
      </c>
      <c r="P212" s="26"/>
      <c r="Q212" s="27"/>
      <c r="R212" s="183"/>
      <c r="S212" s="27"/>
      <c r="T212" s="27"/>
    </row>
    <row r="213" spans="1:20" ht="12">
      <c r="A213" s="148"/>
      <c r="B213" s="174" t="s">
        <v>1693</v>
      </c>
      <c r="C213" s="175" t="s">
        <v>394</v>
      </c>
      <c r="D213" s="176" t="s">
        <v>395</v>
      </c>
      <c r="E213" s="177" t="s">
        <v>1690</v>
      </c>
      <c r="F213" s="175">
        <f t="shared" si="9"/>
        <v>8</v>
      </c>
      <c r="G213" s="175" t="str">
        <f t="shared" si="10"/>
        <v>Dayton</v>
      </c>
      <c r="H213" s="175" t="str">
        <f t="shared" si="11"/>
        <v>Dayton, OH</v>
      </c>
      <c r="I213" s="178" t="s">
        <v>1694</v>
      </c>
      <c r="J213" s="27" t="s">
        <v>395</v>
      </c>
      <c r="K213" s="27">
        <v>886</v>
      </c>
      <c r="L213" s="179">
        <v>5708</v>
      </c>
      <c r="M213" s="180" t="s">
        <v>1691</v>
      </c>
      <c r="N213" s="181" t="s">
        <v>395</v>
      </c>
      <c r="O213" s="182" t="s">
        <v>1692</v>
      </c>
      <c r="P213" s="26"/>
      <c r="Q213" s="27"/>
      <c r="R213" s="183"/>
      <c r="S213" s="27"/>
      <c r="T213" s="27"/>
    </row>
    <row r="214" spans="1:20" ht="12">
      <c r="A214" s="148"/>
      <c r="B214" s="174" t="s">
        <v>1695</v>
      </c>
      <c r="C214" s="175" t="s">
        <v>502</v>
      </c>
      <c r="D214" s="176" t="s">
        <v>503</v>
      </c>
      <c r="E214" s="177" t="s">
        <v>1696</v>
      </c>
      <c r="F214" s="175">
        <f t="shared" si="9"/>
        <v>18</v>
      </c>
      <c r="G214" s="175" t="str">
        <f t="shared" si="10"/>
        <v>Decatur/Florence</v>
      </c>
      <c r="H214" s="175" t="str">
        <f t="shared" si="11"/>
        <v>Decatur/Florence, AL</v>
      </c>
      <c r="I214" s="178" t="s">
        <v>2356</v>
      </c>
      <c r="J214" s="27" t="s">
        <v>503</v>
      </c>
      <c r="K214" s="27">
        <v>1651</v>
      </c>
      <c r="L214" s="179">
        <v>3323</v>
      </c>
      <c r="M214" s="180" t="s">
        <v>1697</v>
      </c>
      <c r="N214" s="181" t="s">
        <v>503</v>
      </c>
      <c r="O214" s="182" t="s">
        <v>1698</v>
      </c>
      <c r="P214" s="26"/>
      <c r="Q214" s="27"/>
      <c r="R214" s="183"/>
      <c r="S214" s="27"/>
      <c r="T214" s="27"/>
    </row>
    <row r="215" spans="1:20" ht="12">
      <c r="A215" s="148"/>
      <c r="B215" s="174" t="s">
        <v>1699</v>
      </c>
      <c r="C215" s="175" t="s">
        <v>1333</v>
      </c>
      <c r="D215" s="176" t="s">
        <v>1334</v>
      </c>
      <c r="E215" s="177" t="s">
        <v>1700</v>
      </c>
      <c r="F215" s="175">
        <f t="shared" si="9"/>
        <v>9</v>
      </c>
      <c r="G215" s="175" t="str">
        <f t="shared" si="10"/>
        <v>Decorah</v>
      </c>
      <c r="H215" s="175" t="str">
        <f t="shared" si="11"/>
        <v>Decorah, IA</v>
      </c>
      <c r="I215" s="178" t="s">
        <v>1701</v>
      </c>
      <c r="J215" s="27" t="s">
        <v>1702</v>
      </c>
      <c r="K215" s="27">
        <v>692</v>
      </c>
      <c r="L215" s="179">
        <v>7491</v>
      </c>
      <c r="M215" s="180" t="s">
        <v>1337</v>
      </c>
      <c r="N215" s="181" t="s">
        <v>1334</v>
      </c>
      <c r="O215" s="182" t="s">
        <v>1338</v>
      </c>
      <c r="P215" s="26"/>
      <c r="Q215" s="27"/>
      <c r="R215" s="183"/>
      <c r="S215" s="27"/>
      <c r="T215" s="27"/>
    </row>
    <row r="216" spans="1:20" ht="12">
      <c r="A216" s="148"/>
      <c r="B216" s="174" t="s">
        <v>1703</v>
      </c>
      <c r="C216" s="175" t="s">
        <v>263</v>
      </c>
      <c r="D216" s="176" t="s">
        <v>264</v>
      </c>
      <c r="E216" s="177" t="s">
        <v>1704</v>
      </c>
      <c r="F216" s="175">
        <f t="shared" si="9"/>
        <v>8</v>
      </c>
      <c r="G216" s="175" t="str">
        <f t="shared" si="10"/>
        <v>Denton</v>
      </c>
      <c r="H216" s="175" t="str">
        <f t="shared" si="11"/>
        <v>Denton, TX</v>
      </c>
      <c r="I216" s="178" t="s">
        <v>512</v>
      </c>
      <c r="J216" s="27" t="s">
        <v>264</v>
      </c>
      <c r="K216" s="27">
        <v>2603</v>
      </c>
      <c r="L216" s="179">
        <v>2407</v>
      </c>
      <c r="M216" s="180" t="s">
        <v>513</v>
      </c>
      <c r="N216" s="181" t="s">
        <v>264</v>
      </c>
      <c r="O216" s="182" t="s">
        <v>514</v>
      </c>
      <c r="P216" s="26"/>
      <c r="Q216" s="27"/>
      <c r="R216" s="183"/>
      <c r="S216" s="27"/>
      <c r="T216" s="27"/>
    </row>
    <row r="217" spans="1:20" ht="12">
      <c r="A217" s="148"/>
      <c r="B217" s="174" t="s">
        <v>1705</v>
      </c>
      <c r="C217" s="175" t="s">
        <v>402</v>
      </c>
      <c r="D217" s="176" t="s">
        <v>403</v>
      </c>
      <c r="E217" s="177" t="s">
        <v>1706</v>
      </c>
      <c r="F217" s="175">
        <f t="shared" si="9"/>
        <v>8</v>
      </c>
      <c r="G217" s="175" t="str">
        <f t="shared" si="10"/>
        <v>Denver</v>
      </c>
      <c r="H217" s="175" t="str">
        <f t="shared" si="11"/>
        <v>Denver, CO</v>
      </c>
      <c r="I217" s="178" t="s">
        <v>657</v>
      </c>
      <c r="J217" s="27" t="s">
        <v>403</v>
      </c>
      <c r="K217" s="27">
        <v>679</v>
      </c>
      <c r="L217" s="179">
        <v>6020</v>
      </c>
      <c r="M217" s="180" t="s">
        <v>658</v>
      </c>
      <c r="N217" s="181" t="s">
        <v>403</v>
      </c>
      <c r="O217" s="182" t="s">
        <v>659</v>
      </c>
      <c r="P217" s="26"/>
      <c r="Q217" s="27"/>
      <c r="R217" s="183"/>
      <c r="S217" s="27"/>
      <c r="T217" s="27"/>
    </row>
    <row r="218" spans="1:20" ht="12">
      <c r="A218" s="148"/>
      <c r="B218" s="174" t="s">
        <v>1707</v>
      </c>
      <c r="C218" s="175" t="s">
        <v>402</v>
      </c>
      <c r="D218" s="176" t="s">
        <v>403</v>
      </c>
      <c r="E218" s="177" t="s">
        <v>1706</v>
      </c>
      <c r="F218" s="175">
        <f t="shared" si="9"/>
        <v>8</v>
      </c>
      <c r="G218" s="175" t="str">
        <f t="shared" si="10"/>
        <v>Denver</v>
      </c>
      <c r="H218" s="175" t="str">
        <f t="shared" si="11"/>
        <v>Denver, CO</v>
      </c>
      <c r="I218" s="178" t="s">
        <v>657</v>
      </c>
      <c r="J218" s="27" t="s">
        <v>403</v>
      </c>
      <c r="K218" s="27">
        <v>679</v>
      </c>
      <c r="L218" s="179">
        <v>6020</v>
      </c>
      <c r="M218" s="180" t="s">
        <v>658</v>
      </c>
      <c r="N218" s="181" t="s">
        <v>403</v>
      </c>
      <c r="O218" s="182" t="s">
        <v>659</v>
      </c>
    </row>
    <row r="219" spans="1:20" ht="12">
      <c r="A219" s="148"/>
      <c r="B219" s="174" t="s">
        <v>1708</v>
      </c>
      <c r="C219" s="175" t="s">
        <v>402</v>
      </c>
      <c r="D219" s="176" t="s">
        <v>403</v>
      </c>
      <c r="E219" s="177" t="s">
        <v>1706</v>
      </c>
      <c r="F219" s="175">
        <f t="shared" si="9"/>
        <v>8</v>
      </c>
      <c r="G219" s="175" t="str">
        <f t="shared" si="10"/>
        <v>Denver</v>
      </c>
      <c r="H219" s="175" t="str">
        <f t="shared" si="11"/>
        <v>Denver, CO</v>
      </c>
      <c r="I219" s="178" t="s">
        <v>657</v>
      </c>
      <c r="J219" s="27" t="s">
        <v>403</v>
      </c>
      <c r="K219" s="27">
        <v>679</v>
      </c>
      <c r="L219" s="179">
        <v>6020</v>
      </c>
      <c r="M219" s="180" t="s">
        <v>658</v>
      </c>
      <c r="N219" s="181" t="s">
        <v>403</v>
      </c>
      <c r="O219" s="182" t="s">
        <v>659</v>
      </c>
    </row>
    <row r="220" spans="1:20" ht="12">
      <c r="A220" s="148"/>
      <c r="B220" s="174" t="s">
        <v>1709</v>
      </c>
      <c r="C220" s="175" t="s">
        <v>1333</v>
      </c>
      <c r="D220" s="176" t="s">
        <v>1334</v>
      </c>
      <c r="E220" s="177" t="s">
        <v>1710</v>
      </c>
      <c r="F220" s="175">
        <f t="shared" si="9"/>
        <v>12</v>
      </c>
      <c r="G220" s="175" t="str">
        <f t="shared" si="10"/>
        <v>Des Moines</v>
      </c>
      <c r="H220" s="175" t="str">
        <f t="shared" si="11"/>
        <v>Des Moines, IA</v>
      </c>
      <c r="I220" s="178" t="s">
        <v>2318</v>
      </c>
      <c r="J220" s="27" t="s">
        <v>1334</v>
      </c>
      <c r="K220" s="27">
        <v>1036</v>
      </c>
      <c r="L220" s="179">
        <v>6497</v>
      </c>
      <c r="M220" s="180" t="s">
        <v>1337</v>
      </c>
      <c r="N220" s="181" t="s">
        <v>1334</v>
      </c>
      <c r="O220" s="182" t="s">
        <v>1338</v>
      </c>
    </row>
    <row r="221" spans="1:20" ht="12">
      <c r="A221" s="148"/>
      <c r="B221" s="174" t="s">
        <v>1711</v>
      </c>
      <c r="C221" s="175" t="s">
        <v>1333</v>
      </c>
      <c r="D221" s="176" t="s">
        <v>1334</v>
      </c>
      <c r="E221" s="177" t="s">
        <v>1710</v>
      </c>
      <c r="F221" s="175">
        <f t="shared" si="9"/>
        <v>12</v>
      </c>
      <c r="G221" s="175" t="str">
        <f t="shared" si="10"/>
        <v>Des Moines</v>
      </c>
      <c r="H221" s="175" t="str">
        <f t="shared" si="11"/>
        <v>Des Moines, IA</v>
      </c>
      <c r="I221" s="178" t="s">
        <v>2318</v>
      </c>
      <c r="J221" s="27" t="s">
        <v>1334</v>
      </c>
      <c r="K221" s="27">
        <v>1036</v>
      </c>
      <c r="L221" s="179">
        <v>6497</v>
      </c>
      <c r="M221" s="180" t="s">
        <v>1337</v>
      </c>
      <c r="N221" s="181" t="s">
        <v>1334</v>
      </c>
      <c r="O221" s="182" t="s">
        <v>1338</v>
      </c>
    </row>
    <row r="222" spans="1:20" ht="12">
      <c r="A222" s="148"/>
      <c r="B222" s="174" t="s">
        <v>1712</v>
      </c>
      <c r="C222" s="175" t="s">
        <v>1333</v>
      </c>
      <c r="D222" s="176" t="s">
        <v>1334</v>
      </c>
      <c r="E222" s="177" t="s">
        <v>1710</v>
      </c>
      <c r="F222" s="175">
        <f t="shared" si="9"/>
        <v>12</v>
      </c>
      <c r="G222" s="175" t="str">
        <f t="shared" si="10"/>
        <v>Des Moines</v>
      </c>
      <c r="H222" s="175" t="str">
        <f t="shared" si="11"/>
        <v>Des Moines, IA</v>
      </c>
      <c r="I222" s="178" t="s">
        <v>2318</v>
      </c>
      <c r="J222" s="27" t="s">
        <v>1334</v>
      </c>
      <c r="K222" s="27">
        <v>1036</v>
      </c>
      <c r="L222" s="179">
        <v>6497</v>
      </c>
      <c r="M222" s="180" t="s">
        <v>1337</v>
      </c>
      <c r="N222" s="181" t="s">
        <v>1334</v>
      </c>
      <c r="O222" s="182" t="s">
        <v>1338</v>
      </c>
    </row>
    <row r="223" spans="1:20" ht="12">
      <c r="A223" s="148"/>
      <c r="B223" s="174" t="s">
        <v>1713</v>
      </c>
      <c r="C223" s="175" t="s">
        <v>1333</v>
      </c>
      <c r="D223" s="176" t="s">
        <v>1334</v>
      </c>
      <c r="E223" s="177" t="s">
        <v>1710</v>
      </c>
      <c r="F223" s="175">
        <f t="shared" si="9"/>
        <v>12</v>
      </c>
      <c r="G223" s="175" t="str">
        <f t="shared" si="10"/>
        <v>Des Moines</v>
      </c>
      <c r="H223" s="175" t="str">
        <f t="shared" si="11"/>
        <v>Des Moines, IA</v>
      </c>
      <c r="I223" s="178" t="s">
        <v>2318</v>
      </c>
      <c r="J223" s="27" t="s">
        <v>1334</v>
      </c>
      <c r="K223" s="27">
        <v>1036</v>
      </c>
      <c r="L223" s="179">
        <v>6497</v>
      </c>
      <c r="M223" s="180" t="s">
        <v>1337</v>
      </c>
      <c r="N223" s="181" t="s">
        <v>1334</v>
      </c>
      <c r="O223" s="182" t="s">
        <v>1338</v>
      </c>
    </row>
    <row r="224" spans="1:20" ht="12">
      <c r="A224" s="148"/>
      <c r="B224" s="174" t="s">
        <v>1714</v>
      </c>
      <c r="C224" s="175" t="s">
        <v>1626</v>
      </c>
      <c r="D224" s="176" t="s">
        <v>1627</v>
      </c>
      <c r="E224" s="177" t="s">
        <v>1715</v>
      </c>
      <c r="F224" s="175">
        <f t="shared" si="9"/>
        <v>15</v>
      </c>
      <c r="G224" s="175" t="str">
        <f t="shared" si="10"/>
        <v>Detroit Lakes</v>
      </c>
      <c r="H224" s="175" t="str">
        <f t="shared" si="11"/>
        <v>Detroit Lakes, MN</v>
      </c>
      <c r="I224" s="178" t="s">
        <v>1716</v>
      </c>
      <c r="J224" s="27" t="s">
        <v>260</v>
      </c>
      <c r="K224" s="27">
        <v>537</v>
      </c>
      <c r="L224" s="179">
        <v>9254</v>
      </c>
      <c r="M224" s="180" t="s">
        <v>259</v>
      </c>
      <c r="N224" s="181" t="s">
        <v>260</v>
      </c>
      <c r="O224" s="182" t="s">
        <v>261</v>
      </c>
    </row>
    <row r="225" spans="1:15" ht="12">
      <c r="A225" s="148"/>
      <c r="B225" s="174" t="s">
        <v>1717</v>
      </c>
      <c r="C225" s="175" t="s">
        <v>489</v>
      </c>
      <c r="D225" s="176" t="s">
        <v>490</v>
      </c>
      <c r="E225" s="177" t="s">
        <v>1718</v>
      </c>
      <c r="F225" s="175">
        <f t="shared" si="9"/>
        <v>9</v>
      </c>
      <c r="G225" s="175" t="str">
        <f t="shared" si="10"/>
        <v>Detroit</v>
      </c>
      <c r="H225" s="175" t="str">
        <f t="shared" si="11"/>
        <v>Detroit, MI</v>
      </c>
      <c r="I225" s="178" t="s">
        <v>492</v>
      </c>
      <c r="J225" s="27" t="s">
        <v>490</v>
      </c>
      <c r="K225" s="27">
        <v>626</v>
      </c>
      <c r="L225" s="179">
        <v>6569</v>
      </c>
      <c r="M225" s="178" t="s">
        <v>493</v>
      </c>
      <c r="N225" s="27" t="s">
        <v>490</v>
      </c>
      <c r="O225" s="182" t="s">
        <v>494</v>
      </c>
    </row>
    <row r="226" spans="1:15" ht="12">
      <c r="A226" s="148"/>
      <c r="B226" s="174" t="s">
        <v>1719</v>
      </c>
      <c r="C226" s="175" t="s">
        <v>489</v>
      </c>
      <c r="D226" s="176" t="s">
        <v>490</v>
      </c>
      <c r="E226" s="177" t="s">
        <v>1718</v>
      </c>
      <c r="F226" s="175">
        <f t="shared" si="9"/>
        <v>9</v>
      </c>
      <c r="G226" s="175" t="str">
        <f t="shared" si="10"/>
        <v>Detroit</v>
      </c>
      <c r="H226" s="175" t="str">
        <f t="shared" si="11"/>
        <v>Detroit, MI</v>
      </c>
      <c r="I226" s="178" t="s">
        <v>492</v>
      </c>
      <c r="J226" s="27" t="s">
        <v>490</v>
      </c>
      <c r="K226" s="27">
        <v>626</v>
      </c>
      <c r="L226" s="179">
        <v>6569</v>
      </c>
      <c r="M226" s="178" t="s">
        <v>493</v>
      </c>
      <c r="N226" s="27" t="s">
        <v>490</v>
      </c>
      <c r="O226" s="182" t="s">
        <v>494</v>
      </c>
    </row>
    <row r="227" spans="1:15" ht="12">
      <c r="A227" s="148"/>
      <c r="B227" s="174" t="s">
        <v>1720</v>
      </c>
      <c r="C227" s="175" t="s">
        <v>1445</v>
      </c>
      <c r="D227" s="176" t="s">
        <v>260</v>
      </c>
      <c r="E227" s="177" t="s">
        <v>1721</v>
      </c>
      <c r="F227" s="175">
        <f t="shared" si="9"/>
        <v>13</v>
      </c>
      <c r="G227" s="175" t="str">
        <f t="shared" si="10"/>
        <v>Devils Lake</v>
      </c>
      <c r="H227" s="175" t="str">
        <f t="shared" si="11"/>
        <v>Devils Lake, ND</v>
      </c>
      <c r="I227" s="178" t="s">
        <v>1716</v>
      </c>
      <c r="J227" s="27" t="s">
        <v>260</v>
      </c>
      <c r="K227" s="27">
        <v>537</v>
      </c>
      <c r="L227" s="179">
        <v>9254</v>
      </c>
      <c r="M227" s="180" t="s">
        <v>259</v>
      </c>
      <c r="N227" s="181" t="s">
        <v>260</v>
      </c>
      <c r="O227" s="182" t="s">
        <v>261</v>
      </c>
    </row>
    <row r="228" spans="1:15" ht="12">
      <c r="A228" s="148"/>
      <c r="B228" s="174" t="s">
        <v>1722</v>
      </c>
      <c r="C228" s="175" t="s">
        <v>1445</v>
      </c>
      <c r="D228" s="176" t="s">
        <v>260</v>
      </c>
      <c r="E228" s="177" t="s">
        <v>1723</v>
      </c>
      <c r="F228" s="175">
        <f t="shared" si="9"/>
        <v>11</v>
      </c>
      <c r="G228" s="175" t="str">
        <f t="shared" si="10"/>
        <v>Dickinson</v>
      </c>
      <c r="H228" s="175" t="str">
        <f t="shared" si="11"/>
        <v>Dickinson, ND</v>
      </c>
      <c r="I228" s="178" t="s">
        <v>1643</v>
      </c>
      <c r="J228" s="27" t="s">
        <v>260</v>
      </c>
      <c r="K228" s="27">
        <v>488</v>
      </c>
      <c r="L228" s="179">
        <v>8968</v>
      </c>
      <c r="M228" s="180" t="s">
        <v>1644</v>
      </c>
      <c r="N228" s="181" t="s">
        <v>260</v>
      </c>
      <c r="O228" s="182" t="s">
        <v>1645</v>
      </c>
    </row>
    <row r="229" spans="1:15" ht="12">
      <c r="A229" s="148"/>
      <c r="B229" s="174" t="s">
        <v>1724</v>
      </c>
      <c r="C229" s="175" t="s">
        <v>1506</v>
      </c>
      <c r="D229" s="176" t="s">
        <v>1507</v>
      </c>
      <c r="E229" s="177" t="s">
        <v>1725</v>
      </c>
      <c r="F229" s="175">
        <f t="shared" si="9"/>
        <v>12</v>
      </c>
      <c r="G229" s="175" t="str">
        <f t="shared" si="10"/>
        <v>Dodge City</v>
      </c>
      <c r="H229" s="175" t="str">
        <f t="shared" si="11"/>
        <v>Dodge City, KS</v>
      </c>
      <c r="I229" s="178" t="s">
        <v>1726</v>
      </c>
      <c r="J229" s="27" t="s">
        <v>1507</v>
      </c>
      <c r="K229" s="27">
        <v>1465</v>
      </c>
      <c r="L229" s="179">
        <v>5001</v>
      </c>
      <c r="M229" s="180" t="s">
        <v>1727</v>
      </c>
      <c r="N229" s="181" t="s">
        <v>1507</v>
      </c>
      <c r="O229" s="182" t="s">
        <v>1728</v>
      </c>
    </row>
    <row r="230" spans="1:15" ht="12">
      <c r="A230" s="148"/>
      <c r="B230" s="174" t="s">
        <v>1729</v>
      </c>
      <c r="C230" s="175" t="s">
        <v>502</v>
      </c>
      <c r="D230" s="176" t="s">
        <v>503</v>
      </c>
      <c r="E230" s="177" t="s">
        <v>1730</v>
      </c>
      <c r="F230" s="175">
        <f t="shared" si="9"/>
        <v>8</v>
      </c>
      <c r="G230" s="175" t="str">
        <f t="shared" si="10"/>
        <v>Dothan</v>
      </c>
      <c r="H230" s="175" t="str">
        <f t="shared" si="11"/>
        <v>Dothan, AL</v>
      </c>
      <c r="I230" s="178" t="s">
        <v>1731</v>
      </c>
      <c r="J230" s="27" t="s">
        <v>503</v>
      </c>
      <c r="K230" s="27">
        <v>2212</v>
      </c>
      <c r="L230" s="179">
        <v>2224</v>
      </c>
      <c r="M230" s="178" t="s">
        <v>1732</v>
      </c>
      <c r="N230" s="27" t="s">
        <v>503</v>
      </c>
      <c r="O230" s="187" t="s">
        <v>1733</v>
      </c>
    </row>
    <row r="231" spans="1:15" ht="12">
      <c r="A231" s="148"/>
      <c r="B231" s="174" t="s">
        <v>1734</v>
      </c>
      <c r="C231" s="175" t="s">
        <v>1735</v>
      </c>
      <c r="D231" s="176" t="s">
        <v>1736</v>
      </c>
      <c r="E231" s="177" t="s">
        <v>1737</v>
      </c>
      <c r="F231" s="175">
        <f t="shared" si="9"/>
        <v>7</v>
      </c>
      <c r="G231" s="175" t="str">
        <f t="shared" si="10"/>
        <v>Dover</v>
      </c>
      <c r="H231" s="175" t="str">
        <f t="shared" si="11"/>
        <v>Dover, DE</v>
      </c>
      <c r="I231" s="178" t="s">
        <v>498</v>
      </c>
      <c r="J231" s="27" t="s">
        <v>439</v>
      </c>
      <c r="K231" s="27">
        <v>1137</v>
      </c>
      <c r="L231" s="179">
        <v>4707</v>
      </c>
      <c r="M231" s="180" t="s">
        <v>499</v>
      </c>
      <c r="N231" s="181" t="s">
        <v>439</v>
      </c>
      <c r="O231" s="182" t="s">
        <v>500</v>
      </c>
    </row>
    <row r="232" spans="1:15" ht="12">
      <c r="A232" s="148"/>
      <c r="B232" s="186" t="s">
        <v>1738</v>
      </c>
      <c r="C232" s="175" t="s">
        <v>1548</v>
      </c>
      <c r="D232" s="176" t="s">
        <v>1549</v>
      </c>
      <c r="E232" s="177" t="s">
        <v>1737</v>
      </c>
      <c r="F232" s="175">
        <f t="shared" si="9"/>
        <v>7</v>
      </c>
      <c r="G232" s="175" t="str">
        <f t="shared" si="10"/>
        <v>Dover</v>
      </c>
      <c r="H232" s="175" t="str">
        <f t="shared" si="11"/>
        <v>Dover, NJ</v>
      </c>
      <c r="I232" s="178" t="s">
        <v>452</v>
      </c>
      <c r="J232" s="27" t="s">
        <v>450</v>
      </c>
      <c r="K232" s="27">
        <v>773</v>
      </c>
      <c r="L232" s="179">
        <v>5785</v>
      </c>
      <c r="M232" s="178" t="s">
        <v>453</v>
      </c>
      <c r="N232" s="27" t="s">
        <v>450</v>
      </c>
      <c r="O232" s="182" t="s">
        <v>454</v>
      </c>
    </row>
    <row r="233" spans="1:15" ht="12">
      <c r="A233" s="148"/>
      <c r="B233" s="174" t="s">
        <v>1739</v>
      </c>
      <c r="C233" s="175" t="s">
        <v>449</v>
      </c>
      <c r="D233" s="176" t="s">
        <v>450</v>
      </c>
      <c r="E233" s="177" t="s">
        <v>1740</v>
      </c>
      <c r="F233" s="175">
        <f t="shared" si="9"/>
        <v>12</v>
      </c>
      <c r="G233" s="175" t="str">
        <f t="shared" si="10"/>
        <v>Doylestown</v>
      </c>
      <c r="H233" s="175" t="str">
        <f t="shared" si="11"/>
        <v>Doylestown, PA</v>
      </c>
      <c r="I233" s="178" t="s">
        <v>1364</v>
      </c>
      <c r="J233" s="27" t="s">
        <v>450</v>
      </c>
      <c r="K233" s="27">
        <v>1101</v>
      </c>
      <c r="L233" s="179">
        <v>4954</v>
      </c>
      <c r="M233" s="180" t="s">
        <v>1365</v>
      </c>
      <c r="N233" s="181" t="s">
        <v>450</v>
      </c>
      <c r="O233" s="182" t="s">
        <v>1366</v>
      </c>
    </row>
    <row r="234" spans="1:15" ht="12">
      <c r="A234" s="148"/>
      <c r="B234" s="174" t="s">
        <v>1741</v>
      </c>
      <c r="C234" s="175" t="s">
        <v>449</v>
      </c>
      <c r="D234" s="176" t="s">
        <v>450</v>
      </c>
      <c r="E234" s="177" t="s">
        <v>1742</v>
      </c>
      <c r="F234" s="175">
        <f t="shared" si="9"/>
        <v>9</v>
      </c>
      <c r="G234" s="175" t="str">
        <f t="shared" si="10"/>
        <v>Du Bois</v>
      </c>
      <c r="H234" s="175" t="str">
        <f t="shared" si="11"/>
        <v>Du Bois, PA</v>
      </c>
      <c r="I234" s="178" t="s">
        <v>1743</v>
      </c>
      <c r="J234" s="27" t="s">
        <v>450</v>
      </c>
      <c r="K234" s="27">
        <v>622</v>
      </c>
      <c r="L234" s="179">
        <v>6087</v>
      </c>
      <c r="M234" s="180" t="s">
        <v>465</v>
      </c>
      <c r="N234" s="181" t="s">
        <v>450</v>
      </c>
      <c r="O234" s="182" t="s">
        <v>466</v>
      </c>
    </row>
    <row r="235" spans="1:15" ht="12">
      <c r="A235" s="148"/>
      <c r="B235" s="174" t="s">
        <v>1744</v>
      </c>
      <c r="C235" s="175" t="s">
        <v>1333</v>
      </c>
      <c r="D235" s="176" t="s">
        <v>1334</v>
      </c>
      <c r="E235" s="177" t="s">
        <v>1745</v>
      </c>
      <c r="F235" s="175">
        <f t="shared" si="9"/>
        <v>9</v>
      </c>
      <c r="G235" s="175" t="str">
        <f t="shared" si="10"/>
        <v>Dubuque</v>
      </c>
      <c r="H235" s="175" t="str">
        <f t="shared" si="11"/>
        <v>Dubuque, IA</v>
      </c>
      <c r="I235" s="178" t="s">
        <v>1746</v>
      </c>
      <c r="J235" s="27" t="s">
        <v>1334</v>
      </c>
      <c r="K235" s="27">
        <v>593</v>
      </c>
      <c r="L235" s="179">
        <v>7327</v>
      </c>
      <c r="M235" s="180" t="s">
        <v>1337</v>
      </c>
      <c r="N235" s="181" t="s">
        <v>1334</v>
      </c>
      <c r="O235" s="182" t="s">
        <v>1338</v>
      </c>
    </row>
    <row r="236" spans="1:15" ht="12">
      <c r="A236" s="148"/>
      <c r="B236" s="174" t="s">
        <v>1747</v>
      </c>
      <c r="C236" s="175" t="s">
        <v>1626</v>
      </c>
      <c r="D236" s="176" t="s">
        <v>1627</v>
      </c>
      <c r="E236" s="177" t="s">
        <v>1748</v>
      </c>
      <c r="F236" s="175">
        <f t="shared" si="9"/>
        <v>8</v>
      </c>
      <c r="G236" s="175" t="str">
        <f t="shared" si="10"/>
        <v>Duluth</v>
      </c>
      <c r="H236" s="175" t="str">
        <f t="shared" si="11"/>
        <v>Duluth, MN</v>
      </c>
      <c r="I236" s="178" t="s">
        <v>1749</v>
      </c>
      <c r="J236" s="27" t="s">
        <v>1627</v>
      </c>
      <c r="K236" s="27">
        <v>180</v>
      </c>
      <c r="L236" s="179">
        <v>9818</v>
      </c>
      <c r="M236" s="180" t="s">
        <v>1630</v>
      </c>
      <c r="N236" s="181" t="s">
        <v>1627</v>
      </c>
      <c r="O236" s="182" t="s">
        <v>1631</v>
      </c>
    </row>
    <row r="237" spans="1:15" ht="12">
      <c r="A237" s="148"/>
      <c r="B237" s="174" t="s">
        <v>1750</v>
      </c>
      <c r="C237" s="175" t="s">
        <v>1626</v>
      </c>
      <c r="D237" s="176" t="s">
        <v>1627</v>
      </c>
      <c r="E237" s="177" t="s">
        <v>1748</v>
      </c>
      <c r="F237" s="175">
        <f t="shared" si="9"/>
        <v>8</v>
      </c>
      <c r="G237" s="175" t="str">
        <f t="shared" si="10"/>
        <v>Duluth</v>
      </c>
      <c r="H237" s="175" t="str">
        <f t="shared" si="11"/>
        <v>Duluth, MN</v>
      </c>
      <c r="I237" s="178" t="s">
        <v>1749</v>
      </c>
      <c r="J237" s="27" t="s">
        <v>1627</v>
      </c>
      <c r="K237" s="27">
        <v>180</v>
      </c>
      <c r="L237" s="179">
        <v>9818</v>
      </c>
      <c r="M237" s="180" t="s">
        <v>1630</v>
      </c>
      <c r="N237" s="181" t="s">
        <v>1627</v>
      </c>
      <c r="O237" s="182" t="s">
        <v>1631</v>
      </c>
    </row>
    <row r="238" spans="1:15" ht="12">
      <c r="A238" s="148"/>
      <c r="B238" s="174" t="s">
        <v>1751</v>
      </c>
      <c r="C238" s="175" t="s">
        <v>1626</v>
      </c>
      <c r="D238" s="176" t="s">
        <v>1627</v>
      </c>
      <c r="E238" s="177" t="s">
        <v>1748</v>
      </c>
      <c r="F238" s="175">
        <f t="shared" si="9"/>
        <v>8</v>
      </c>
      <c r="G238" s="175" t="str">
        <f t="shared" si="10"/>
        <v>Duluth</v>
      </c>
      <c r="H238" s="175" t="str">
        <f t="shared" si="11"/>
        <v>Duluth, MN</v>
      </c>
      <c r="I238" s="178" t="s">
        <v>1749</v>
      </c>
      <c r="J238" s="27" t="s">
        <v>1627</v>
      </c>
      <c r="K238" s="27">
        <v>180</v>
      </c>
      <c r="L238" s="179">
        <v>9818</v>
      </c>
      <c r="M238" s="180" t="s">
        <v>1630</v>
      </c>
      <c r="N238" s="181" t="s">
        <v>1627</v>
      </c>
      <c r="O238" s="182" t="s">
        <v>1631</v>
      </c>
    </row>
    <row r="239" spans="1:15" ht="12">
      <c r="A239" s="148"/>
      <c r="B239" s="174" t="s">
        <v>1752</v>
      </c>
      <c r="C239" s="175" t="s">
        <v>402</v>
      </c>
      <c r="D239" s="176" t="s">
        <v>403</v>
      </c>
      <c r="E239" s="177" t="s">
        <v>1753</v>
      </c>
      <c r="F239" s="175">
        <f t="shared" si="9"/>
        <v>9</v>
      </c>
      <c r="G239" s="175" t="str">
        <f t="shared" si="10"/>
        <v>Durango</v>
      </c>
      <c r="H239" s="175" t="str">
        <f t="shared" si="11"/>
        <v>Durango, CO</v>
      </c>
      <c r="I239" s="178" t="s">
        <v>1754</v>
      </c>
      <c r="J239" s="27" t="s">
        <v>403</v>
      </c>
      <c r="K239" s="27">
        <v>1183</v>
      </c>
      <c r="L239" s="179">
        <v>5548</v>
      </c>
      <c r="M239" s="178" t="s">
        <v>1755</v>
      </c>
      <c r="N239" s="27" t="s">
        <v>403</v>
      </c>
      <c r="O239" s="182" t="s">
        <v>1756</v>
      </c>
    </row>
    <row r="240" spans="1:15" ht="12">
      <c r="A240" s="148"/>
      <c r="B240" s="174" t="s">
        <v>1757</v>
      </c>
      <c r="C240" s="175" t="s">
        <v>509</v>
      </c>
      <c r="D240" s="176" t="s">
        <v>510</v>
      </c>
      <c r="E240" s="177" t="s">
        <v>1758</v>
      </c>
      <c r="F240" s="175">
        <f t="shared" si="9"/>
        <v>8</v>
      </c>
      <c r="G240" s="175" t="str">
        <f t="shared" si="10"/>
        <v>Durant</v>
      </c>
      <c r="H240" s="175" t="str">
        <f t="shared" si="11"/>
        <v>Durant, OK</v>
      </c>
      <c r="I240" s="178" t="s">
        <v>512</v>
      </c>
      <c r="J240" s="27" t="s">
        <v>264</v>
      </c>
      <c r="K240" s="27">
        <v>2603</v>
      </c>
      <c r="L240" s="179">
        <v>2407</v>
      </c>
      <c r="M240" s="180" t="s">
        <v>513</v>
      </c>
      <c r="N240" s="181" t="s">
        <v>264</v>
      </c>
      <c r="O240" s="182" t="s">
        <v>514</v>
      </c>
    </row>
    <row r="241" spans="1:20" ht="12">
      <c r="A241" s="148"/>
      <c r="B241" s="174" t="s">
        <v>2312</v>
      </c>
      <c r="C241" s="175" t="s">
        <v>481</v>
      </c>
      <c r="D241" s="176" t="s">
        <v>482</v>
      </c>
      <c r="E241" s="177" t="s">
        <v>2313</v>
      </c>
      <c r="F241" s="175">
        <f t="shared" si="9"/>
        <v>8</v>
      </c>
      <c r="G241" s="175" t="str">
        <f t="shared" si="10"/>
        <v>Durham</v>
      </c>
      <c r="H241" s="175" t="str">
        <f t="shared" si="11"/>
        <v>Durham, NC</v>
      </c>
      <c r="I241" s="178" t="s">
        <v>2314</v>
      </c>
      <c r="J241" s="27" t="s">
        <v>482</v>
      </c>
      <c r="K241" s="27">
        <v>1417</v>
      </c>
      <c r="L241" s="179">
        <v>3457</v>
      </c>
      <c r="M241" s="180" t="s">
        <v>530</v>
      </c>
      <c r="N241" s="181" t="s">
        <v>482</v>
      </c>
      <c r="O241" s="182" t="s">
        <v>531</v>
      </c>
    </row>
    <row r="242" spans="1:20" ht="12">
      <c r="A242" s="148"/>
      <c r="B242" s="174" t="s">
        <v>532</v>
      </c>
      <c r="C242" s="175" t="s">
        <v>1647</v>
      </c>
      <c r="D242" s="176" t="s">
        <v>1648</v>
      </c>
      <c r="E242" s="177" t="s">
        <v>533</v>
      </c>
      <c r="F242" s="175">
        <f t="shared" si="9"/>
        <v>18</v>
      </c>
      <c r="G242" s="175" t="str">
        <f t="shared" si="10"/>
        <v>East Saint Louis</v>
      </c>
      <c r="H242" s="175" t="str">
        <f t="shared" si="11"/>
        <v>East Saint Louis, IL</v>
      </c>
      <c r="I242" s="178" t="s">
        <v>1380</v>
      </c>
      <c r="J242" s="27" t="s">
        <v>1378</v>
      </c>
      <c r="K242" s="27">
        <v>1534</v>
      </c>
      <c r="L242" s="179">
        <v>4758</v>
      </c>
      <c r="M242" s="178" t="s">
        <v>1381</v>
      </c>
      <c r="N242" s="27" t="s">
        <v>1378</v>
      </c>
      <c r="O242" s="182" t="s">
        <v>1382</v>
      </c>
    </row>
    <row r="243" spans="1:20" ht="12">
      <c r="A243" s="148"/>
      <c r="B243" s="174" t="s">
        <v>534</v>
      </c>
      <c r="C243" s="175" t="s">
        <v>1647</v>
      </c>
      <c r="D243" s="176" t="s">
        <v>1648</v>
      </c>
      <c r="E243" s="177" t="s">
        <v>533</v>
      </c>
      <c r="F243" s="175">
        <f t="shared" si="9"/>
        <v>18</v>
      </c>
      <c r="G243" s="175" t="str">
        <f t="shared" si="10"/>
        <v>East Saint Louis</v>
      </c>
      <c r="H243" s="175" t="str">
        <f t="shared" si="11"/>
        <v>East Saint Louis, IL</v>
      </c>
      <c r="I243" s="178" t="s">
        <v>1380</v>
      </c>
      <c r="J243" s="27" t="s">
        <v>1378</v>
      </c>
      <c r="K243" s="27">
        <v>1534</v>
      </c>
      <c r="L243" s="179">
        <v>4758</v>
      </c>
      <c r="M243" s="178" t="s">
        <v>1381</v>
      </c>
      <c r="N243" s="27" t="s">
        <v>1378</v>
      </c>
      <c r="O243" s="182" t="s">
        <v>1382</v>
      </c>
    </row>
    <row r="244" spans="1:20" ht="12">
      <c r="A244" s="148"/>
      <c r="B244" s="174" t="s">
        <v>535</v>
      </c>
      <c r="C244" s="175" t="s">
        <v>496</v>
      </c>
      <c r="D244" s="176" t="s">
        <v>439</v>
      </c>
      <c r="E244" s="177" t="s">
        <v>536</v>
      </c>
      <c r="F244" s="175">
        <f t="shared" si="9"/>
        <v>8</v>
      </c>
      <c r="G244" s="175" t="str">
        <f t="shared" si="10"/>
        <v>Easton</v>
      </c>
      <c r="H244" s="175" t="str">
        <f t="shared" si="11"/>
        <v>Easton, MD</v>
      </c>
      <c r="I244" s="178" t="s">
        <v>436</v>
      </c>
      <c r="J244" s="27" t="s">
        <v>437</v>
      </c>
      <c r="K244" s="27">
        <v>1549</v>
      </c>
      <c r="L244" s="179">
        <v>4047</v>
      </c>
      <c r="M244" s="180" t="s">
        <v>438</v>
      </c>
      <c r="N244" s="181" t="s">
        <v>439</v>
      </c>
      <c r="O244" s="182" t="s">
        <v>440</v>
      </c>
    </row>
    <row r="245" spans="1:20" ht="12">
      <c r="A245" s="148"/>
      <c r="B245" s="174" t="s">
        <v>537</v>
      </c>
      <c r="C245" s="175" t="s">
        <v>51</v>
      </c>
      <c r="D245" s="176" t="s">
        <v>1702</v>
      </c>
      <c r="E245" s="177" t="s">
        <v>52</v>
      </c>
      <c r="F245" s="175">
        <f t="shared" si="9"/>
        <v>12</v>
      </c>
      <c r="G245" s="175" t="str">
        <f t="shared" si="10"/>
        <v>Eau Claire</v>
      </c>
      <c r="H245" s="175" t="str">
        <f t="shared" si="11"/>
        <v>Eau Claire, WI</v>
      </c>
      <c r="I245" s="178" t="s">
        <v>53</v>
      </c>
      <c r="J245" s="27" t="s">
        <v>1627</v>
      </c>
      <c r="K245" s="27">
        <v>682</v>
      </c>
      <c r="L245" s="179">
        <v>7981</v>
      </c>
      <c r="M245" s="178" t="s">
        <v>684</v>
      </c>
      <c r="N245" s="27" t="s">
        <v>1627</v>
      </c>
      <c r="O245" s="182" t="s">
        <v>685</v>
      </c>
    </row>
    <row r="246" spans="1:20" ht="12">
      <c r="A246" s="148"/>
      <c r="B246" s="174" t="s">
        <v>54</v>
      </c>
      <c r="C246" s="175" t="s">
        <v>1647</v>
      </c>
      <c r="D246" s="176" t="s">
        <v>1648</v>
      </c>
      <c r="E246" s="177" t="s">
        <v>55</v>
      </c>
      <c r="F246" s="175">
        <f t="shared" si="9"/>
        <v>11</v>
      </c>
      <c r="G246" s="175" t="str">
        <f t="shared" si="10"/>
        <v>Effingham</v>
      </c>
      <c r="H246" s="175" t="str">
        <f t="shared" si="11"/>
        <v>Effingham, IL</v>
      </c>
      <c r="I246" s="178" t="s">
        <v>1380</v>
      </c>
      <c r="J246" s="27" t="s">
        <v>1378</v>
      </c>
      <c r="K246" s="27">
        <v>1534</v>
      </c>
      <c r="L246" s="179">
        <v>4758</v>
      </c>
      <c r="M246" s="178" t="s">
        <v>1381</v>
      </c>
      <c r="N246" s="27" t="s">
        <v>1378</v>
      </c>
      <c r="O246" s="182" t="s">
        <v>1382</v>
      </c>
    </row>
    <row r="247" spans="1:20" ht="12">
      <c r="A247" s="148"/>
      <c r="B247" s="174" t="s">
        <v>56</v>
      </c>
      <c r="C247" s="175" t="s">
        <v>263</v>
      </c>
      <c r="D247" s="176" t="s">
        <v>264</v>
      </c>
      <c r="E247" s="177" t="s">
        <v>57</v>
      </c>
      <c r="F247" s="175">
        <f t="shared" si="9"/>
        <v>9</v>
      </c>
      <c r="G247" s="175" t="str">
        <f t="shared" si="10"/>
        <v>El Paso</v>
      </c>
      <c r="H247" s="175" t="str">
        <f t="shared" si="11"/>
        <v>El Paso, TX</v>
      </c>
      <c r="I247" s="178" t="s">
        <v>58</v>
      </c>
      <c r="J247" s="27" t="s">
        <v>264</v>
      </c>
      <c r="K247" s="27">
        <v>2163</v>
      </c>
      <c r="L247" s="179">
        <v>2751</v>
      </c>
      <c r="M247" s="180" t="s">
        <v>59</v>
      </c>
      <c r="N247" s="181" t="s">
        <v>264</v>
      </c>
      <c r="O247" s="182" t="s">
        <v>60</v>
      </c>
    </row>
    <row r="248" spans="1:20" ht="12">
      <c r="A248" s="148"/>
      <c r="B248" s="174" t="s">
        <v>61</v>
      </c>
      <c r="C248" s="175" t="s">
        <v>263</v>
      </c>
      <c r="D248" s="176" t="s">
        <v>264</v>
      </c>
      <c r="E248" s="177" t="s">
        <v>57</v>
      </c>
      <c r="F248" s="175">
        <f t="shared" si="9"/>
        <v>9</v>
      </c>
      <c r="G248" s="175" t="str">
        <f t="shared" si="10"/>
        <v>El Paso</v>
      </c>
      <c r="H248" s="175" t="str">
        <f t="shared" si="11"/>
        <v>El Paso, TX</v>
      </c>
      <c r="I248" s="178" t="s">
        <v>62</v>
      </c>
      <c r="J248" s="27" t="s">
        <v>264</v>
      </c>
      <c r="K248" s="27">
        <v>2094</v>
      </c>
      <c r="L248" s="179">
        <v>2708</v>
      </c>
      <c r="M248" s="180" t="s">
        <v>59</v>
      </c>
      <c r="N248" s="181" t="s">
        <v>264</v>
      </c>
      <c r="O248" s="182" t="s">
        <v>60</v>
      </c>
    </row>
    <row r="249" spans="1:20" ht="12">
      <c r="A249" s="148"/>
      <c r="B249" s="174" t="s">
        <v>63</v>
      </c>
      <c r="C249" s="175" t="s">
        <v>481</v>
      </c>
      <c r="D249" s="176" t="s">
        <v>482</v>
      </c>
      <c r="E249" s="177" t="s">
        <v>64</v>
      </c>
      <c r="F249" s="175">
        <f t="shared" si="9"/>
        <v>16</v>
      </c>
      <c r="G249" s="175" t="str">
        <f t="shared" si="10"/>
        <v>Elizabeth City</v>
      </c>
      <c r="H249" s="175" t="str">
        <f t="shared" si="11"/>
        <v>Elizabeth City, NC</v>
      </c>
      <c r="I249" s="178" t="s">
        <v>65</v>
      </c>
      <c r="J249" s="27" t="s">
        <v>435</v>
      </c>
      <c r="K249" s="27">
        <v>1422</v>
      </c>
      <c r="L249" s="179">
        <v>3495</v>
      </c>
      <c r="M249" s="180" t="s">
        <v>66</v>
      </c>
      <c r="N249" s="181" t="s">
        <v>435</v>
      </c>
      <c r="O249" s="182" t="s">
        <v>67</v>
      </c>
    </row>
    <row r="250" spans="1:20" ht="12">
      <c r="A250" s="148"/>
      <c r="B250" s="186" t="s">
        <v>68</v>
      </c>
      <c r="C250" s="175" t="s">
        <v>1548</v>
      </c>
      <c r="D250" s="176" t="s">
        <v>1549</v>
      </c>
      <c r="E250" s="177" t="s">
        <v>69</v>
      </c>
      <c r="F250" s="175">
        <f t="shared" si="9"/>
        <v>11</v>
      </c>
      <c r="G250" s="175" t="str">
        <f t="shared" si="10"/>
        <v>Elizabeth</v>
      </c>
      <c r="H250" s="175" t="str">
        <f t="shared" si="11"/>
        <v>Elizabeth, NJ</v>
      </c>
      <c r="I250" s="178" t="s">
        <v>70</v>
      </c>
      <c r="J250" s="27" t="s">
        <v>1549</v>
      </c>
      <c r="K250" s="27">
        <v>1201</v>
      </c>
      <c r="L250" s="179">
        <v>4888</v>
      </c>
      <c r="M250" s="180" t="s">
        <v>71</v>
      </c>
      <c r="N250" s="181" t="s">
        <v>1549</v>
      </c>
      <c r="O250" s="182" t="s">
        <v>72</v>
      </c>
    </row>
    <row r="251" spans="1:20" ht="12">
      <c r="A251" s="148"/>
      <c r="B251" s="174" t="s">
        <v>73</v>
      </c>
      <c r="C251" s="175" t="s">
        <v>525</v>
      </c>
      <c r="D251" s="176" t="s">
        <v>526</v>
      </c>
      <c r="E251" s="177" t="s">
        <v>74</v>
      </c>
      <c r="F251" s="175">
        <f t="shared" si="9"/>
        <v>15</v>
      </c>
      <c r="G251" s="175" t="str">
        <f t="shared" si="10"/>
        <v>Elizabethtown</v>
      </c>
      <c r="H251" s="175" t="str">
        <f t="shared" si="11"/>
        <v>Elizabethtown, KY</v>
      </c>
      <c r="I251" s="178" t="s">
        <v>1523</v>
      </c>
      <c r="J251" s="27" t="s">
        <v>485</v>
      </c>
      <c r="K251" s="27">
        <v>1616</v>
      </c>
      <c r="L251" s="179">
        <v>3729</v>
      </c>
      <c r="M251" s="180" t="s">
        <v>1524</v>
      </c>
      <c r="N251" s="181" t="s">
        <v>485</v>
      </c>
      <c r="O251" s="182" t="s">
        <v>623</v>
      </c>
    </row>
    <row r="252" spans="1:20" ht="12">
      <c r="A252" s="148"/>
      <c r="B252" s="174" t="s">
        <v>75</v>
      </c>
      <c r="C252" s="175" t="s">
        <v>1401</v>
      </c>
      <c r="D252" s="176" t="s">
        <v>1402</v>
      </c>
      <c r="E252" s="177" t="s">
        <v>76</v>
      </c>
      <c r="F252" s="175">
        <f t="shared" si="9"/>
        <v>6</v>
      </c>
      <c r="G252" s="175" t="str">
        <f t="shared" si="10"/>
        <v>Elko</v>
      </c>
      <c r="H252" s="175" t="str">
        <f t="shared" si="11"/>
        <v>Elko, NV</v>
      </c>
      <c r="I252" s="178" t="s">
        <v>1036</v>
      </c>
      <c r="J252" s="27" t="s">
        <v>1402</v>
      </c>
      <c r="K252" s="27">
        <v>457</v>
      </c>
      <c r="L252" s="179">
        <v>7077</v>
      </c>
      <c r="M252" s="180" t="s">
        <v>1405</v>
      </c>
      <c r="N252" s="181" t="s">
        <v>1402</v>
      </c>
      <c r="O252" s="182" t="s">
        <v>1406</v>
      </c>
    </row>
    <row r="253" spans="1:20" ht="12">
      <c r="A253" s="148"/>
      <c r="B253" s="174" t="s">
        <v>1037</v>
      </c>
      <c r="C253" s="175" t="s">
        <v>496</v>
      </c>
      <c r="D253" s="176" t="s">
        <v>439</v>
      </c>
      <c r="E253" s="177" t="s">
        <v>1038</v>
      </c>
      <c r="F253" s="175">
        <f t="shared" si="9"/>
        <v>8</v>
      </c>
      <c r="G253" s="175" t="str">
        <f t="shared" si="10"/>
        <v>Elkton</v>
      </c>
      <c r="H253" s="175" t="str">
        <f t="shared" si="11"/>
        <v>Elkton, MD</v>
      </c>
      <c r="I253" s="178" t="s">
        <v>1039</v>
      </c>
      <c r="J253" s="27" t="s">
        <v>1736</v>
      </c>
      <c r="K253" s="27">
        <v>1046</v>
      </c>
      <c r="L253" s="179">
        <v>4937</v>
      </c>
      <c r="M253" s="180" t="s">
        <v>1040</v>
      </c>
      <c r="N253" s="181" t="s">
        <v>1736</v>
      </c>
      <c r="O253" s="182" t="s">
        <v>1041</v>
      </c>
    </row>
    <row r="254" spans="1:20" ht="12">
      <c r="A254" s="148"/>
      <c r="B254" s="186" t="s">
        <v>1042</v>
      </c>
      <c r="C254" s="175" t="s">
        <v>1555</v>
      </c>
      <c r="D254" s="176" t="s">
        <v>1556</v>
      </c>
      <c r="E254" s="177" t="s">
        <v>1043</v>
      </c>
      <c r="F254" s="175">
        <f t="shared" si="9"/>
        <v>11</v>
      </c>
      <c r="G254" s="175" t="str">
        <f t="shared" si="10"/>
        <v>Ellsworth</v>
      </c>
      <c r="H254" s="175" t="str">
        <f t="shared" si="11"/>
        <v>Ellsworth, ME</v>
      </c>
      <c r="I254" s="178" t="s">
        <v>1558</v>
      </c>
      <c r="J254" s="27" t="s">
        <v>1556</v>
      </c>
      <c r="K254" s="27">
        <v>268</v>
      </c>
      <c r="L254" s="179">
        <v>7378</v>
      </c>
      <c r="M254" s="180" t="s">
        <v>1559</v>
      </c>
      <c r="N254" s="181" t="s">
        <v>1556</v>
      </c>
      <c r="O254" s="182" t="s">
        <v>1560</v>
      </c>
    </row>
    <row r="255" spans="1:20" ht="12">
      <c r="A255" s="148"/>
      <c r="B255" s="174" t="s">
        <v>1044</v>
      </c>
      <c r="C255" s="175" t="s">
        <v>416</v>
      </c>
      <c r="D255" s="176" t="s">
        <v>417</v>
      </c>
      <c r="E255" s="177" t="s">
        <v>1045</v>
      </c>
      <c r="F255" s="175">
        <f t="shared" si="9"/>
        <v>8</v>
      </c>
      <c r="G255" s="175" t="str">
        <f t="shared" si="10"/>
        <v>Elmira</v>
      </c>
      <c r="H255" s="175" t="str">
        <f t="shared" si="11"/>
        <v>Elmira, NY</v>
      </c>
      <c r="I255" s="178" t="s">
        <v>1437</v>
      </c>
      <c r="J255" s="27" t="s">
        <v>417</v>
      </c>
      <c r="K255" s="27">
        <v>337</v>
      </c>
      <c r="L255" s="179">
        <v>7273</v>
      </c>
      <c r="M255" s="180" t="s">
        <v>1046</v>
      </c>
      <c r="N255" s="181" t="s">
        <v>417</v>
      </c>
      <c r="O255" s="182" t="s">
        <v>1047</v>
      </c>
      <c r="P255" s="26"/>
      <c r="Q255" s="27"/>
      <c r="R255" s="183"/>
      <c r="S255" s="27"/>
      <c r="T255" s="27"/>
    </row>
    <row r="256" spans="1:20" ht="12">
      <c r="A256" s="148"/>
      <c r="B256" s="174" t="s">
        <v>1048</v>
      </c>
      <c r="C256" s="175" t="s">
        <v>1401</v>
      </c>
      <c r="D256" s="176" t="s">
        <v>1402</v>
      </c>
      <c r="E256" s="177" t="s">
        <v>1049</v>
      </c>
      <c r="F256" s="175">
        <f t="shared" si="9"/>
        <v>5</v>
      </c>
      <c r="G256" s="175" t="str">
        <f t="shared" si="10"/>
        <v>Ely</v>
      </c>
      <c r="H256" s="175" t="str">
        <f t="shared" si="11"/>
        <v>Ely, NV</v>
      </c>
      <c r="I256" s="178" t="s">
        <v>1050</v>
      </c>
      <c r="J256" s="27" t="s">
        <v>1402</v>
      </c>
      <c r="K256" s="27">
        <v>208</v>
      </c>
      <c r="L256" s="179">
        <v>7621</v>
      </c>
      <c r="M256" s="180" t="s">
        <v>1405</v>
      </c>
      <c r="N256" s="181" t="s">
        <v>1402</v>
      </c>
      <c r="O256" s="182" t="s">
        <v>1406</v>
      </c>
      <c r="P256" s="26"/>
      <c r="Q256" s="27"/>
      <c r="R256" s="183"/>
      <c r="S256" s="27"/>
      <c r="T256" s="27"/>
    </row>
    <row r="257" spans="1:20" ht="12">
      <c r="A257" s="148"/>
      <c r="B257" s="174" t="s">
        <v>1051</v>
      </c>
      <c r="C257" s="175" t="s">
        <v>1506</v>
      </c>
      <c r="D257" s="176" t="s">
        <v>1507</v>
      </c>
      <c r="E257" s="177" t="s">
        <v>1052</v>
      </c>
      <c r="F257" s="175">
        <f t="shared" si="9"/>
        <v>9</v>
      </c>
      <c r="G257" s="175" t="str">
        <f t="shared" si="10"/>
        <v>Emporia</v>
      </c>
      <c r="H257" s="175" t="str">
        <f t="shared" si="11"/>
        <v>Emporia, KS</v>
      </c>
      <c r="I257" s="178" t="s">
        <v>1053</v>
      </c>
      <c r="J257" s="27" t="s">
        <v>1507</v>
      </c>
      <c r="K257" s="27">
        <v>1628</v>
      </c>
      <c r="L257" s="179">
        <v>4791</v>
      </c>
      <c r="M257" s="180" t="s">
        <v>1727</v>
      </c>
      <c r="N257" s="181" t="s">
        <v>1507</v>
      </c>
      <c r="O257" s="182" t="s">
        <v>1728</v>
      </c>
      <c r="P257" s="26"/>
      <c r="Q257" s="27"/>
      <c r="R257" s="183"/>
      <c r="S257" s="27"/>
      <c r="T257" s="27"/>
    </row>
    <row r="258" spans="1:20" ht="12">
      <c r="A258" s="148"/>
      <c r="B258" s="174" t="s">
        <v>1054</v>
      </c>
      <c r="C258" s="175" t="s">
        <v>509</v>
      </c>
      <c r="D258" s="176" t="s">
        <v>510</v>
      </c>
      <c r="E258" s="177" t="s">
        <v>1055</v>
      </c>
      <c r="F258" s="175">
        <f t="shared" si="9"/>
        <v>6</v>
      </c>
      <c r="G258" s="175" t="str">
        <f t="shared" si="10"/>
        <v>Enid</v>
      </c>
      <c r="H258" s="175" t="str">
        <f t="shared" si="11"/>
        <v>Enid, OK</v>
      </c>
      <c r="I258" s="178" t="s">
        <v>606</v>
      </c>
      <c r="J258" s="27" t="s">
        <v>510</v>
      </c>
      <c r="K258" s="27">
        <v>1859</v>
      </c>
      <c r="L258" s="179">
        <v>3659</v>
      </c>
      <c r="M258" s="180" t="s">
        <v>698</v>
      </c>
      <c r="N258" s="181" t="s">
        <v>510</v>
      </c>
      <c r="O258" s="182" t="s">
        <v>699</v>
      </c>
      <c r="P258" s="26"/>
      <c r="Q258" s="27"/>
      <c r="R258" s="183"/>
      <c r="S258" s="27"/>
      <c r="T258" s="27"/>
    </row>
    <row r="259" spans="1:20" ht="12">
      <c r="A259" s="148"/>
      <c r="B259" s="174" t="s">
        <v>1056</v>
      </c>
      <c r="C259" s="175" t="s">
        <v>449</v>
      </c>
      <c r="D259" s="176" t="s">
        <v>450</v>
      </c>
      <c r="E259" s="177" t="s">
        <v>538</v>
      </c>
      <c r="F259" s="175">
        <f t="shared" si="9"/>
        <v>6</v>
      </c>
      <c r="G259" s="175" t="str">
        <f t="shared" si="10"/>
        <v>Erie</v>
      </c>
      <c r="H259" s="175" t="str">
        <f t="shared" si="11"/>
        <v>Erie, PA</v>
      </c>
      <c r="I259" s="178" t="s">
        <v>678</v>
      </c>
      <c r="J259" s="27" t="s">
        <v>450</v>
      </c>
      <c r="K259" s="27">
        <v>550</v>
      </c>
      <c r="L259" s="179">
        <v>6279</v>
      </c>
      <c r="M259" s="180" t="s">
        <v>679</v>
      </c>
      <c r="N259" s="181" t="s">
        <v>450</v>
      </c>
      <c r="O259" s="182" t="s">
        <v>680</v>
      </c>
      <c r="P259" s="26"/>
      <c r="Q259" s="27"/>
      <c r="R259" s="183"/>
      <c r="S259" s="27"/>
      <c r="T259" s="27"/>
    </row>
    <row r="260" spans="1:20" ht="12">
      <c r="A260" s="148"/>
      <c r="B260" s="174" t="s">
        <v>539</v>
      </c>
      <c r="C260" s="175" t="s">
        <v>449</v>
      </c>
      <c r="D260" s="176" t="s">
        <v>450</v>
      </c>
      <c r="E260" s="177" t="s">
        <v>538</v>
      </c>
      <c r="F260" s="175">
        <f t="shared" si="9"/>
        <v>6</v>
      </c>
      <c r="G260" s="175" t="str">
        <f t="shared" si="10"/>
        <v>Erie</v>
      </c>
      <c r="H260" s="175" t="str">
        <f t="shared" si="11"/>
        <v>Erie, PA</v>
      </c>
      <c r="I260" s="178" t="s">
        <v>678</v>
      </c>
      <c r="J260" s="27" t="s">
        <v>450</v>
      </c>
      <c r="K260" s="27">
        <v>550</v>
      </c>
      <c r="L260" s="179">
        <v>6279</v>
      </c>
      <c r="M260" s="180" t="s">
        <v>679</v>
      </c>
      <c r="N260" s="181" t="s">
        <v>450</v>
      </c>
      <c r="O260" s="182" t="s">
        <v>680</v>
      </c>
    </row>
    <row r="261" spans="1:20" ht="12">
      <c r="A261" s="148"/>
      <c r="B261" s="174" t="s">
        <v>540</v>
      </c>
      <c r="C261" s="175" t="s">
        <v>1633</v>
      </c>
      <c r="D261" s="176" t="s">
        <v>1634</v>
      </c>
      <c r="E261" s="177" t="s">
        <v>541</v>
      </c>
      <c r="F261" s="175">
        <f t="shared" si="9"/>
        <v>8</v>
      </c>
      <c r="G261" s="175" t="str">
        <f t="shared" si="10"/>
        <v>Eugene</v>
      </c>
      <c r="H261" s="175" t="str">
        <f t="shared" si="11"/>
        <v>Eugene, OR</v>
      </c>
      <c r="I261" s="178" t="s">
        <v>542</v>
      </c>
      <c r="J261" s="27" t="s">
        <v>1634</v>
      </c>
      <c r="K261" s="27">
        <v>300</v>
      </c>
      <c r="L261" s="179">
        <v>4546</v>
      </c>
      <c r="M261" s="180" t="s">
        <v>543</v>
      </c>
      <c r="N261" s="181" t="s">
        <v>1634</v>
      </c>
      <c r="O261" s="182" t="s">
        <v>544</v>
      </c>
    </row>
    <row r="262" spans="1:20" ht="12">
      <c r="A262" s="148"/>
      <c r="B262" s="174" t="s">
        <v>545</v>
      </c>
      <c r="C262" s="175" t="s">
        <v>442</v>
      </c>
      <c r="D262" s="176" t="s">
        <v>443</v>
      </c>
      <c r="E262" s="177" t="s">
        <v>546</v>
      </c>
      <c r="F262" s="175">
        <f t="shared" ref="F262:F325" si="12">LEN(E262)</f>
        <v>8</v>
      </c>
      <c r="G262" s="175" t="str">
        <f t="shared" ref="G262:G325" si="13">MID(E262,2,F262-2)</f>
        <v>Eureka</v>
      </c>
      <c r="H262" s="175" t="str">
        <f t="shared" ref="H262:H325" si="14">CONCATENATE(G262,", ",+D262)</f>
        <v>Eureka, CA</v>
      </c>
      <c r="I262" s="178" t="s">
        <v>547</v>
      </c>
      <c r="J262" s="27" t="s">
        <v>443</v>
      </c>
      <c r="K262" s="188">
        <v>725</v>
      </c>
      <c r="L262" s="179">
        <v>4496</v>
      </c>
      <c r="M262" s="180" t="s">
        <v>548</v>
      </c>
      <c r="N262" s="181" t="s">
        <v>1634</v>
      </c>
      <c r="O262" s="182" t="s">
        <v>549</v>
      </c>
    </row>
    <row r="263" spans="1:20" ht="12">
      <c r="A263" s="148"/>
      <c r="B263" s="174" t="s">
        <v>550</v>
      </c>
      <c r="C263" s="175" t="s">
        <v>1647</v>
      </c>
      <c r="D263" s="176" t="s">
        <v>1648</v>
      </c>
      <c r="E263" s="177" t="s">
        <v>551</v>
      </c>
      <c r="F263" s="175">
        <f t="shared" si="12"/>
        <v>10</v>
      </c>
      <c r="G263" s="175" t="str">
        <f t="shared" si="13"/>
        <v>Evanston</v>
      </c>
      <c r="H263" s="175" t="str">
        <f t="shared" si="14"/>
        <v>Evanston, IL</v>
      </c>
      <c r="I263" s="178" t="s">
        <v>2370</v>
      </c>
      <c r="J263" s="27" t="s">
        <v>1648</v>
      </c>
      <c r="K263" s="27">
        <v>752</v>
      </c>
      <c r="L263" s="179">
        <v>6536</v>
      </c>
      <c r="M263" s="178" t="s">
        <v>2371</v>
      </c>
      <c r="N263" s="27" t="s">
        <v>1648</v>
      </c>
      <c r="O263" s="182" t="s">
        <v>2372</v>
      </c>
    </row>
    <row r="264" spans="1:20" ht="12">
      <c r="A264" s="148"/>
      <c r="B264" s="174" t="s">
        <v>552</v>
      </c>
      <c r="C264" s="175" t="s">
        <v>2280</v>
      </c>
      <c r="D264" s="176" t="s">
        <v>2281</v>
      </c>
      <c r="E264" s="177" t="s">
        <v>2398</v>
      </c>
      <c r="F264" s="175">
        <f t="shared" si="12"/>
        <v>12</v>
      </c>
      <c r="G264" s="175" t="str">
        <f t="shared" si="13"/>
        <v>Evansville</v>
      </c>
      <c r="H264" s="175" t="str">
        <f t="shared" si="14"/>
        <v>Evansville, IN</v>
      </c>
      <c r="I264" s="178" t="s">
        <v>1385</v>
      </c>
      <c r="J264" s="27" t="s">
        <v>2281</v>
      </c>
      <c r="K264" s="27">
        <v>1376</v>
      </c>
      <c r="L264" s="179">
        <v>4708</v>
      </c>
      <c r="M264" s="178" t="s">
        <v>1386</v>
      </c>
      <c r="N264" s="27" t="s">
        <v>2281</v>
      </c>
      <c r="O264" s="182" t="s">
        <v>1387</v>
      </c>
    </row>
    <row r="265" spans="1:20" ht="12">
      <c r="A265" s="148"/>
      <c r="B265" s="174" t="s">
        <v>2399</v>
      </c>
      <c r="C265" s="175" t="s">
        <v>2280</v>
      </c>
      <c r="D265" s="176" t="s">
        <v>2281</v>
      </c>
      <c r="E265" s="177" t="s">
        <v>2398</v>
      </c>
      <c r="F265" s="175">
        <f t="shared" si="12"/>
        <v>12</v>
      </c>
      <c r="G265" s="175" t="str">
        <f t="shared" si="13"/>
        <v>Evansville</v>
      </c>
      <c r="H265" s="175" t="str">
        <f t="shared" si="14"/>
        <v>Evansville, IN</v>
      </c>
      <c r="I265" s="178" t="s">
        <v>1385</v>
      </c>
      <c r="J265" s="27" t="s">
        <v>2281</v>
      </c>
      <c r="K265" s="27">
        <v>1376</v>
      </c>
      <c r="L265" s="179">
        <v>4708</v>
      </c>
      <c r="M265" s="178" t="s">
        <v>1386</v>
      </c>
      <c r="N265" s="27" t="s">
        <v>2281</v>
      </c>
      <c r="O265" s="182" t="s">
        <v>1387</v>
      </c>
    </row>
    <row r="266" spans="1:20" ht="12">
      <c r="A266" s="148"/>
      <c r="B266" s="174" t="s">
        <v>2400</v>
      </c>
      <c r="C266" s="175" t="s">
        <v>593</v>
      </c>
      <c r="D266" s="176" t="s">
        <v>1638</v>
      </c>
      <c r="E266" s="177" t="s">
        <v>2401</v>
      </c>
      <c r="F266" s="175">
        <f t="shared" si="12"/>
        <v>9</v>
      </c>
      <c r="G266" s="175" t="str">
        <f t="shared" si="13"/>
        <v>Everett</v>
      </c>
      <c r="H266" s="175" t="str">
        <f t="shared" si="14"/>
        <v>Everett, WA</v>
      </c>
      <c r="I266" s="178" t="s">
        <v>2402</v>
      </c>
      <c r="J266" s="27" t="s">
        <v>1638</v>
      </c>
      <c r="K266" s="27">
        <v>6</v>
      </c>
      <c r="L266" s="179">
        <v>5858</v>
      </c>
      <c r="M266" s="180" t="s">
        <v>2403</v>
      </c>
      <c r="N266" s="181" t="s">
        <v>1638</v>
      </c>
      <c r="O266" s="182" t="s">
        <v>2404</v>
      </c>
    </row>
    <row r="267" spans="1:20" ht="12">
      <c r="A267" s="148"/>
      <c r="B267" s="174" t="s">
        <v>2405</v>
      </c>
      <c r="C267" s="175" t="s">
        <v>502</v>
      </c>
      <c r="D267" s="176" t="s">
        <v>503</v>
      </c>
      <c r="E267" s="177" t="s">
        <v>2406</v>
      </c>
      <c r="F267" s="175">
        <f t="shared" si="12"/>
        <v>11</v>
      </c>
      <c r="G267" s="175" t="str">
        <f t="shared" si="13"/>
        <v>Evergreen</v>
      </c>
      <c r="H267" s="175" t="str">
        <f t="shared" si="14"/>
        <v>Evergreen, AL</v>
      </c>
      <c r="I267" s="178" t="s">
        <v>1731</v>
      </c>
      <c r="J267" s="27" t="s">
        <v>503</v>
      </c>
      <c r="K267" s="27">
        <v>2212</v>
      </c>
      <c r="L267" s="179">
        <v>2224</v>
      </c>
      <c r="M267" s="178" t="s">
        <v>1732</v>
      </c>
      <c r="N267" s="27" t="s">
        <v>503</v>
      </c>
      <c r="O267" s="187" t="s">
        <v>1733</v>
      </c>
    </row>
    <row r="268" spans="1:20" ht="12">
      <c r="A268" s="148"/>
      <c r="B268" s="174" t="s">
        <v>2407</v>
      </c>
      <c r="C268" s="175" t="s">
        <v>473</v>
      </c>
      <c r="D268" s="176" t="s">
        <v>474</v>
      </c>
      <c r="E268" s="177" t="s">
        <v>2408</v>
      </c>
      <c r="F268" s="175">
        <f t="shared" si="12"/>
        <v>11</v>
      </c>
      <c r="G268" s="175" t="str">
        <f t="shared" si="13"/>
        <v>Fairbanks</v>
      </c>
      <c r="H268" s="175" t="str">
        <f t="shared" si="14"/>
        <v>Fairbanks, AK</v>
      </c>
      <c r="I268" s="178" t="s">
        <v>2409</v>
      </c>
      <c r="J268" s="27" t="s">
        <v>474</v>
      </c>
      <c r="K268" s="27">
        <v>84</v>
      </c>
      <c r="L268" s="179">
        <v>13940</v>
      </c>
      <c r="M268" s="178" t="s">
        <v>2410</v>
      </c>
      <c r="N268" s="27" t="s">
        <v>474</v>
      </c>
      <c r="O268" s="187" t="s">
        <v>2411</v>
      </c>
    </row>
    <row r="269" spans="1:20" ht="12">
      <c r="A269" s="148"/>
      <c r="B269" s="174" t="s">
        <v>1913</v>
      </c>
      <c r="C269" s="175" t="s">
        <v>416</v>
      </c>
      <c r="D269" s="176" t="s">
        <v>417</v>
      </c>
      <c r="E269" s="177" t="s">
        <v>1914</v>
      </c>
      <c r="F269" s="175">
        <f t="shared" si="12"/>
        <v>14</v>
      </c>
      <c r="G269" s="175" t="str">
        <f t="shared" si="13"/>
        <v>Far Rockaway</v>
      </c>
      <c r="H269" s="175" t="str">
        <f t="shared" si="14"/>
        <v>Far Rockaway, NY</v>
      </c>
      <c r="I269" s="178" t="s">
        <v>1915</v>
      </c>
      <c r="J269" s="27" t="s">
        <v>417</v>
      </c>
      <c r="K269" s="27">
        <v>706</v>
      </c>
      <c r="L269" s="179">
        <v>5647</v>
      </c>
      <c r="M269" s="178" t="s">
        <v>693</v>
      </c>
      <c r="N269" s="27" t="s">
        <v>690</v>
      </c>
      <c r="O269" s="182" t="s">
        <v>694</v>
      </c>
    </row>
    <row r="270" spans="1:20" ht="12">
      <c r="A270" s="148"/>
      <c r="B270" s="174" t="s">
        <v>1916</v>
      </c>
      <c r="C270" s="175" t="s">
        <v>1445</v>
      </c>
      <c r="D270" s="176" t="s">
        <v>260</v>
      </c>
      <c r="E270" s="177" t="s">
        <v>1917</v>
      </c>
      <c r="F270" s="175">
        <f t="shared" si="12"/>
        <v>7</v>
      </c>
      <c r="G270" s="175" t="str">
        <f t="shared" si="13"/>
        <v>Fargo</v>
      </c>
      <c r="H270" s="175" t="str">
        <f t="shared" si="14"/>
        <v>Fargo, ND</v>
      </c>
      <c r="I270" s="178" t="s">
        <v>1716</v>
      </c>
      <c r="J270" s="27" t="s">
        <v>260</v>
      </c>
      <c r="K270" s="27">
        <v>537</v>
      </c>
      <c r="L270" s="179">
        <v>9254</v>
      </c>
      <c r="M270" s="180" t="s">
        <v>259</v>
      </c>
      <c r="N270" s="181" t="s">
        <v>260</v>
      </c>
      <c r="O270" s="182" t="s">
        <v>261</v>
      </c>
      <c r="P270" s="26"/>
      <c r="Q270" s="27"/>
      <c r="R270" s="183"/>
      <c r="S270" s="27"/>
      <c r="T270" s="27"/>
    </row>
    <row r="271" spans="1:20" ht="12">
      <c r="A271" s="148"/>
      <c r="B271" s="174" t="s">
        <v>1918</v>
      </c>
      <c r="C271" s="175" t="s">
        <v>1445</v>
      </c>
      <c r="D271" s="176" t="s">
        <v>260</v>
      </c>
      <c r="E271" s="177" t="s">
        <v>1917</v>
      </c>
      <c r="F271" s="175">
        <f t="shared" si="12"/>
        <v>7</v>
      </c>
      <c r="G271" s="175" t="str">
        <f t="shared" si="13"/>
        <v>Fargo</v>
      </c>
      <c r="H271" s="175" t="str">
        <f t="shared" si="14"/>
        <v>Fargo, ND</v>
      </c>
      <c r="I271" s="178" t="s">
        <v>1716</v>
      </c>
      <c r="J271" s="27" t="s">
        <v>260</v>
      </c>
      <c r="K271" s="27">
        <v>537</v>
      </c>
      <c r="L271" s="179">
        <v>9254</v>
      </c>
      <c r="M271" s="180" t="s">
        <v>259</v>
      </c>
      <c r="N271" s="181" t="s">
        <v>260</v>
      </c>
      <c r="O271" s="182" t="s">
        <v>261</v>
      </c>
      <c r="P271" s="26"/>
      <c r="Q271" s="27"/>
      <c r="R271" s="183"/>
      <c r="S271" s="27"/>
      <c r="T271" s="27"/>
    </row>
    <row r="272" spans="1:20" ht="12">
      <c r="A272" s="148"/>
      <c r="B272" s="174" t="s">
        <v>1919</v>
      </c>
      <c r="C272" s="175" t="s">
        <v>424</v>
      </c>
      <c r="D272" s="176" t="s">
        <v>425</v>
      </c>
      <c r="E272" s="177" t="s">
        <v>1920</v>
      </c>
      <c r="F272" s="175">
        <f t="shared" si="12"/>
        <v>12</v>
      </c>
      <c r="G272" s="175" t="str">
        <f t="shared" si="13"/>
        <v>Farmington</v>
      </c>
      <c r="H272" s="175" t="str">
        <f t="shared" si="14"/>
        <v>Farmington, NM</v>
      </c>
      <c r="I272" s="178" t="s">
        <v>1754</v>
      </c>
      <c r="J272" s="27" t="s">
        <v>403</v>
      </c>
      <c r="K272" s="27">
        <v>1183</v>
      </c>
      <c r="L272" s="179">
        <v>5548</v>
      </c>
      <c r="M272" s="178" t="s">
        <v>1755</v>
      </c>
      <c r="N272" s="27" t="s">
        <v>403</v>
      </c>
      <c r="O272" s="182" t="s">
        <v>1756</v>
      </c>
      <c r="P272" s="26"/>
      <c r="Q272" s="27"/>
      <c r="R272" s="183"/>
      <c r="S272" s="27"/>
      <c r="T272" s="27"/>
    </row>
    <row r="273" spans="1:15" ht="12">
      <c r="A273" s="148"/>
      <c r="B273" s="174" t="s">
        <v>1921</v>
      </c>
      <c r="C273" s="175" t="s">
        <v>434</v>
      </c>
      <c r="D273" s="176" t="s">
        <v>435</v>
      </c>
      <c r="E273" s="177" t="s">
        <v>1922</v>
      </c>
      <c r="F273" s="175">
        <f t="shared" si="12"/>
        <v>11</v>
      </c>
      <c r="G273" s="175" t="str">
        <f t="shared" si="13"/>
        <v>Farmville</v>
      </c>
      <c r="H273" s="175" t="str">
        <f t="shared" si="14"/>
        <v>Farmville, VA</v>
      </c>
      <c r="I273" s="178" t="s">
        <v>2350</v>
      </c>
      <c r="J273" s="27" t="s">
        <v>435</v>
      </c>
      <c r="K273" s="27">
        <v>1348</v>
      </c>
      <c r="L273" s="179">
        <v>3963</v>
      </c>
      <c r="M273" s="180" t="s">
        <v>2351</v>
      </c>
      <c r="N273" s="181" t="s">
        <v>435</v>
      </c>
      <c r="O273" s="182" t="s">
        <v>2352</v>
      </c>
    </row>
    <row r="274" spans="1:15" ht="12">
      <c r="A274" s="148"/>
      <c r="B274" s="174" t="s">
        <v>1923</v>
      </c>
      <c r="C274" s="175" t="s">
        <v>1589</v>
      </c>
      <c r="D274" s="176" t="s">
        <v>1590</v>
      </c>
      <c r="E274" s="177" t="s">
        <v>1924</v>
      </c>
      <c r="F274" s="175">
        <f t="shared" si="12"/>
        <v>14</v>
      </c>
      <c r="G274" s="175" t="str">
        <f t="shared" si="13"/>
        <v>Fayetteville</v>
      </c>
      <c r="H274" s="175" t="str">
        <f t="shared" si="14"/>
        <v>Fayetteville, AR</v>
      </c>
      <c r="I274" s="178" t="s">
        <v>1925</v>
      </c>
      <c r="J274" s="27" t="s">
        <v>1378</v>
      </c>
      <c r="K274" s="27">
        <v>1320</v>
      </c>
      <c r="L274" s="179">
        <v>4638</v>
      </c>
      <c r="M274" s="180" t="s">
        <v>1651</v>
      </c>
      <c r="N274" s="181" t="s">
        <v>1378</v>
      </c>
      <c r="O274" s="182" t="s">
        <v>1926</v>
      </c>
    </row>
    <row r="275" spans="1:15" ht="12">
      <c r="A275" s="148"/>
      <c r="B275" s="174" t="s">
        <v>1927</v>
      </c>
      <c r="C275" s="175" t="s">
        <v>481</v>
      </c>
      <c r="D275" s="176" t="s">
        <v>482</v>
      </c>
      <c r="E275" s="177" t="s">
        <v>1924</v>
      </c>
      <c r="F275" s="175">
        <f t="shared" si="12"/>
        <v>14</v>
      </c>
      <c r="G275" s="175" t="str">
        <f t="shared" si="13"/>
        <v>Fayetteville</v>
      </c>
      <c r="H275" s="175" t="str">
        <f t="shared" si="14"/>
        <v>Fayetteville, NC</v>
      </c>
      <c r="I275" s="178" t="s">
        <v>2347</v>
      </c>
      <c r="J275" s="27" t="s">
        <v>482</v>
      </c>
      <c r="K275" s="27">
        <v>1582</v>
      </c>
      <c r="L275" s="179">
        <v>3341</v>
      </c>
      <c r="M275" s="180" t="s">
        <v>2343</v>
      </c>
      <c r="N275" s="181" t="s">
        <v>482</v>
      </c>
      <c r="O275" s="182" t="s">
        <v>2344</v>
      </c>
    </row>
    <row r="276" spans="1:15" ht="12">
      <c r="A276" s="148"/>
      <c r="B276" s="174" t="s">
        <v>1928</v>
      </c>
      <c r="C276" s="175" t="s">
        <v>1311</v>
      </c>
      <c r="D276" s="176" t="s">
        <v>1312</v>
      </c>
      <c r="E276" s="177" t="s">
        <v>1929</v>
      </c>
      <c r="F276" s="175">
        <f t="shared" si="12"/>
        <v>11</v>
      </c>
      <c r="G276" s="175" t="str">
        <f t="shared" si="13"/>
        <v>Flagstaff</v>
      </c>
      <c r="H276" s="175" t="str">
        <f t="shared" si="14"/>
        <v>Flagstaff, AZ</v>
      </c>
      <c r="I276" s="178" t="s">
        <v>1930</v>
      </c>
      <c r="J276" s="27" t="s">
        <v>1312</v>
      </c>
      <c r="K276" s="27">
        <v>145</v>
      </c>
      <c r="L276" s="179">
        <v>7131</v>
      </c>
      <c r="M276" s="178" t="s">
        <v>1931</v>
      </c>
      <c r="N276" s="27" t="s">
        <v>1312</v>
      </c>
      <c r="O276" s="182" t="s">
        <v>1932</v>
      </c>
    </row>
    <row r="277" spans="1:15" ht="12">
      <c r="A277" s="148"/>
      <c r="B277" s="174" t="s">
        <v>1933</v>
      </c>
      <c r="C277" s="175" t="s">
        <v>1377</v>
      </c>
      <c r="D277" s="176" t="s">
        <v>1378</v>
      </c>
      <c r="E277" s="177" t="s">
        <v>1934</v>
      </c>
      <c r="F277" s="175">
        <f t="shared" si="12"/>
        <v>12</v>
      </c>
      <c r="G277" s="175" t="str">
        <f t="shared" si="13"/>
        <v>Flat River</v>
      </c>
      <c r="H277" s="175" t="str">
        <f t="shared" si="14"/>
        <v>Flat River, MO</v>
      </c>
      <c r="I277" s="178" t="s">
        <v>1380</v>
      </c>
      <c r="J277" s="27" t="s">
        <v>1378</v>
      </c>
      <c r="K277" s="27">
        <v>1534</v>
      </c>
      <c r="L277" s="179">
        <v>4758</v>
      </c>
      <c r="M277" s="178" t="s">
        <v>1381</v>
      </c>
      <c r="N277" s="27" t="s">
        <v>1378</v>
      </c>
      <c r="O277" s="182" t="s">
        <v>1382</v>
      </c>
    </row>
    <row r="278" spans="1:15" ht="12">
      <c r="A278" s="148"/>
      <c r="B278" s="174" t="s">
        <v>1935</v>
      </c>
      <c r="C278" s="175" t="s">
        <v>489</v>
      </c>
      <c r="D278" s="176" t="s">
        <v>490</v>
      </c>
      <c r="E278" s="177" t="s">
        <v>1936</v>
      </c>
      <c r="F278" s="175">
        <f t="shared" si="12"/>
        <v>7</v>
      </c>
      <c r="G278" s="175" t="str">
        <f t="shared" si="13"/>
        <v>Flint</v>
      </c>
      <c r="H278" s="175" t="str">
        <f t="shared" si="14"/>
        <v>Flint, MI</v>
      </c>
      <c r="I278" s="178" t="s">
        <v>1937</v>
      </c>
      <c r="J278" s="27" t="s">
        <v>490</v>
      </c>
      <c r="K278" s="27">
        <v>490</v>
      </c>
      <c r="L278" s="179">
        <v>7101</v>
      </c>
      <c r="M278" s="180" t="s">
        <v>1938</v>
      </c>
      <c r="N278" s="181" t="s">
        <v>490</v>
      </c>
      <c r="O278" s="182" t="s">
        <v>1939</v>
      </c>
    </row>
    <row r="279" spans="1:15" ht="12">
      <c r="A279" s="148"/>
      <c r="B279" s="174" t="s">
        <v>1940</v>
      </c>
      <c r="C279" s="175" t="s">
        <v>489</v>
      </c>
      <c r="D279" s="176" t="s">
        <v>490</v>
      </c>
      <c r="E279" s="177" t="s">
        <v>1936</v>
      </c>
      <c r="F279" s="175">
        <f t="shared" si="12"/>
        <v>7</v>
      </c>
      <c r="G279" s="175" t="str">
        <f t="shared" si="13"/>
        <v>Flint</v>
      </c>
      <c r="H279" s="175" t="str">
        <f t="shared" si="14"/>
        <v>Flint, MI</v>
      </c>
      <c r="I279" s="178" t="s">
        <v>1941</v>
      </c>
      <c r="J279" s="27" t="s">
        <v>490</v>
      </c>
      <c r="K279" s="27">
        <v>483</v>
      </c>
      <c r="L279" s="179">
        <v>6979</v>
      </c>
      <c r="M279" s="180" t="s">
        <v>1938</v>
      </c>
      <c r="N279" s="181" t="s">
        <v>490</v>
      </c>
      <c r="O279" s="182" t="s">
        <v>1939</v>
      </c>
    </row>
    <row r="280" spans="1:15" ht="12">
      <c r="A280" s="148"/>
      <c r="B280" s="174" t="s">
        <v>1942</v>
      </c>
      <c r="C280" s="175" t="s">
        <v>283</v>
      </c>
      <c r="D280" s="176" t="s">
        <v>284</v>
      </c>
      <c r="E280" s="177" t="s">
        <v>1943</v>
      </c>
      <c r="F280" s="175">
        <f t="shared" si="12"/>
        <v>10</v>
      </c>
      <c r="G280" s="175" t="str">
        <f t="shared" si="13"/>
        <v>Florence</v>
      </c>
      <c r="H280" s="175" t="str">
        <f t="shared" si="14"/>
        <v>Florence, SC</v>
      </c>
      <c r="I280" s="178" t="s">
        <v>1944</v>
      </c>
      <c r="J280" s="27" t="s">
        <v>482</v>
      </c>
      <c r="K280" s="27">
        <v>1926</v>
      </c>
      <c r="L280" s="179">
        <v>2470</v>
      </c>
      <c r="M280" s="178" t="s">
        <v>287</v>
      </c>
      <c r="N280" s="27" t="s">
        <v>284</v>
      </c>
      <c r="O280" s="182" t="s">
        <v>288</v>
      </c>
    </row>
    <row r="281" spans="1:15" ht="12">
      <c r="A281" s="148"/>
      <c r="B281" s="174" t="s">
        <v>1945</v>
      </c>
      <c r="C281" s="175" t="s">
        <v>416</v>
      </c>
      <c r="D281" s="176" t="s">
        <v>417</v>
      </c>
      <c r="E281" s="177" t="s">
        <v>1946</v>
      </c>
      <c r="F281" s="175">
        <f t="shared" si="12"/>
        <v>10</v>
      </c>
      <c r="G281" s="175" t="str">
        <f t="shared" si="13"/>
        <v>Flushing</v>
      </c>
      <c r="H281" s="175" t="str">
        <f t="shared" si="14"/>
        <v>Flushing, NY</v>
      </c>
      <c r="I281" s="178" t="s">
        <v>1947</v>
      </c>
      <c r="J281" s="27" t="s">
        <v>417</v>
      </c>
      <c r="K281" s="27">
        <v>921</v>
      </c>
      <c r="L281" s="179">
        <v>5027</v>
      </c>
      <c r="M281" s="180" t="s">
        <v>2277</v>
      </c>
      <c r="N281" s="181" t="s">
        <v>417</v>
      </c>
      <c r="O281" s="182" t="s">
        <v>1298</v>
      </c>
    </row>
    <row r="282" spans="1:15" ht="12">
      <c r="A282" s="148"/>
      <c r="B282" s="174" t="s">
        <v>1948</v>
      </c>
      <c r="C282" s="175" t="s">
        <v>1333</v>
      </c>
      <c r="D282" s="176" t="s">
        <v>1334</v>
      </c>
      <c r="E282" s="177" t="s">
        <v>1949</v>
      </c>
      <c r="F282" s="175">
        <f t="shared" si="12"/>
        <v>12</v>
      </c>
      <c r="G282" s="175" t="str">
        <f t="shared" si="13"/>
        <v>Fort Dodge</v>
      </c>
      <c r="H282" s="175" t="str">
        <f t="shared" si="14"/>
        <v>Fort Dodge, IA</v>
      </c>
      <c r="I282" s="178" t="s">
        <v>1397</v>
      </c>
      <c r="J282" s="27" t="s">
        <v>1334</v>
      </c>
      <c r="K282" s="27">
        <v>907</v>
      </c>
      <c r="L282" s="179">
        <v>6893</v>
      </c>
      <c r="M282" s="178" t="s">
        <v>1398</v>
      </c>
      <c r="N282" s="27" t="s">
        <v>1334</v>
      </c>
      <c r="O282" s="182" t="s">
        <v>1399</v>
      </c>
    </row>
    <row r="283" spans="1:15" ht="12">
      <c r="A283" s="148"/>
      <c r="B283" s="174" t="s">
        <v>1950</v>
      </c>
      <c r="C283" s="175" t="s">
        <v>670</v>
      </c>
      <c r="D283" s="176" t="s">
        <v>671</v>
      </c>
      <c r="E283" s="177" t="s">
        <v>1951</v>
      </c>
      <c r="F283" s="175">
        <f t="shared" si="12"/>
        <v>17</v>
      </c>
      <c r="G283" s="175" t="str">
        <f t="shared" si="13"/>
        <v>Fort Lauderdale</v>
      </c>
      <c r="H283" s="175" t="str">
        <f t="shared" si="14"/>
        <v>Fort Lauderdale, FL</v>
      </c>
      <c r="I283" s="178" t="s">
        <v>1952</v>
      </c>
      <c r="J283" s="27" t="s">
        <v>671</v>
      </c>
      <c r="K283" s="27">
        <v>4198</v>
      </c>
      <c r="L283" s="179">
        <v>200</v>
      </c>
      <c r="M283" s="180" t="s">
        <v>1953</v>
      </c>
      <c r="N283" s="181" t="s">
        <v>671</v>
      </c>
      <c r="O283" s="182" t="s">
        <v>1954</v>
      </c>
    </row>
    <row r="284" spans="1:15" ht="12">
      <c r="A284" s="148"/>
      <c r="B284" s="174" t="s">
        <v>1955</v>
      </c>
      <c r="C284" s="175" t="s">
        <v>402</v>
      </c>
      <c r="D284" s="176" t="s">
        <v>403</v>
      </c>
      <c r="E284" s="177" t="s">
        <v>1956</v>
      </c>
      <c r="F284" s="175">
        <f t="shared" si="12"/>
        <v>13</v>
      </c>
      <c r="G284" s="175" t="str">
        <f t="shared" si="13"/>
        <v>Fort Morgan</v>
      </c>
      <c r="H284" s="175" t="str">
        <f t="shared" si="14"/>
        <v>Fort Morgan, CO</v>
      </c>
      <c r="I284" s="178" t="s">
        <v>1514</v>
      </c>
      <c r="J284" s="27" t="s">
        <v>403</v>
      </c>
      <c r="K284" s="27">
        <v>419</v>
      </c>
      <c r="L284" s="179">
        <v>6415</v>
      </c>
      <c r="M284" s="178" t="s">
        <v>406</v>
      </c>
      <c r="N284" s="27" t="s">
        <v>403</v>
      </c>
      <c r="O284" s="182" t="s">
        <v>407</v>
      </c>
    </row>
    <row r="285" spans="1:15" ht="12">
      <c r="A285" s="148"/>
      <c r="B285" s="174" t="s">
        <v>1957</v>
      </c>
      <c r="C285" s="175" t="s">
        <v>670</v>
      </c>
      <c r="D285" s="176" t="s">
        <v>671</v>
      </c>
      <c r="E285" s="177" t="s">
        <v>1958</v>
      </c>
      <c r="F285" s="175">
        <f t="shared" si="12"/>
        <v>12</v>
      </c>
      <c r="G285" s="175" t="str">
        <f t="shared" si="13"/>
        <v>Fort Myers</v>
      </c>
      <c r="H285" s="175" t="str">
        <f t="shared" si="14"/>
        <v>Fort Myers, FL</v>
      </c>
      <c r="I285" s="178" t="s">
        <v>1959</v>
      </c>
      <c r="J285" s="27" t="s">
        <v>671</v>
      </c>
      <c r="K285" s="27">
        <v>3855</v>
      </c>
      <c r="L285" s="179">
        <v>418</v>
      </c>
      <c r="M285" s="178" t="s">
        <v>674</v>
      </c>
      <c r="N285" s="27" t="s">
        <v>671</v>
      </c>
      <c r="O285" s="182" t="s">
        <v>675</v>
      </c>
    </row>
    <row r="286" spans="1:15" ht="12">
      <c r="A286" s="148"/>
      <c r="B286" s="174" t="s">
        <v>1960</v>
      </c>
      <c r="C286" s="175" t="s">
        <v>670</v>
      </c>
      <c r="D286" s="176" t="s">
        <v>671</v>
      </c>
      <c r="E286" s="177" t="s">
        <v>1961</v>
      </c>
      <c r="F286" s="175">
        <f t="shared" si="12"/>
        <v>13</v>
      </c>
      <c r="G286" s="175" t="str">
        <f t="shared" si="13"/>
        <v>Fort Pierce</v>
      </c>
      <c r="H286" s="175" t="str">
        <f t="shared" si="14"/>
        <v>Fort Pierce, FL</v>
      </c>
      <c r="I286" s="178" t="s">
        <v>673</v>
      </c>
      <c r="J286" s="27" t="s">
        <v>671</v>
      </c>
      <c r="K286" s="27">
        <v>3427</v>
      </c>
      <c r="L286" s="179">
        <v>725</v>
      </c>
      <c r="M286" s="178" t="s">
        <v>674</v>
      </c>
      <c r="N286" s="27" t="s">
        <v>671</v>
      </c>
      <c r="O286" s="182" t="s">
        <v>675</v>
      </c>
    </row>
    <row r="287" spans="1:15" ht="12">
      <c r="A287" s="148"/>
      <c r="B287" s="174" t="s">
        <v>1962</v>
      </c>
      <c r="C287" s="175" t="s">
        <v>1506</v>
      </c>
      <c r="D287" s="176" t="s">
        <v>1507</v>
      </c>
      <c r="E287" s="177" t="s">
        <v>1963</v>
      </c>
      <c r="F287" s="175">
        <f t="shared" si="12"/>
        <v>12</v>
      </c>
      <c r="G287" s="175" t="str">
        <f t="shared" si="13"/>
        <v>Fort Scott</v>
      </c>
      <c r="H287" s="175" t="str">
        <f t="shared" si="14"/>
        <v>Fort Scott, KS</v>
      </c>
      <c r="I287" s="178" t="s">
        <v>1925</v>
      </c>
      <c r="J287" s="27" t="s">
        <v>1378</v>
      </c>
      <c r="K287" s="27">
        <v>1320</v>
      </c>
      <c r="L287" s="179">
        <v>4638</v>
      </c>
      <c r="M287" s="180" t="s">
        <v>1651</v>
      </c>
      <c r="N287" s="181" t="s">
        <v>1378</v>
      </c>
      <c r="O287" s="182" t="s">
        <v>1926</v>
      </c>
    </row>
    <row r="288" spans="1:15" ht="12">
      <c r="A288" s="148"/>
      <c r="B288" s="174" t="s">
        <v>1964</v>
      </c>
      <c r="C288" s="175" t="s">
        <v>1589</v>
      </c>
      <c r="D288" s="176" t="s">
        <v>1590</v>
      </c>
      <c r="E288" s="177" t="s">
        <v>1965</v>
      </c>
      <c r="F288" s="175">
        <f t="shared" si="12"/>
        <v>12</v>
      </c>
      <c r="G288" s="175" t="str">
        <f t="shared" si="13"/>
        <v>Fort Smith</v>
      </c>
      <c r="H288" s="175" t="str">
        <f t="shared" si="14"/>
        <v>Fort Smith, AR</v>
      </c>
      <c r="I288" s="178" t="s">
        <v>1966</v>
      </c>
      <c r="J288" s="27" t="s">
        <v>1590</v>
      </c>
      <c r="K288" s="27">
        <v>1894</v>
      </c>
      <c r="L288" s="179">
        <v>3478</v>
      </c>
      <c r="M288" s="178" t="s">
        <v>1967</v>
      </c>
      <c r="N288" s="27" t="s">
        <v>1590</v>
      </c>
      <c r="O288" s="182" t="s">
        <v>1968</v>
      </c>
    </row>
    <row r="289" spans="1:15" ht="12">
      <c r="A289" s="148"/>
      <c r="B289" s="174" t="s">
        <v>1969</v>
      </c>
      <c r="C289" s="175" t="s">
        <v>2280</v>
      </c>
      <c r="D289" s="176" t="s">
        <v>2281</v>
      </c>
      <c r="E289" s="177" t="s">
        <v>1970</v>
      </c>
      <c r="F289" s="175">
        <f t="shared" si="12"/>
        <v>12</v>
      </c>
      <c r="G289" s="175" t="str">
        <f t="shared" si="13"/>
        <v>Fort Wayne</v>
      </c>
      <c r="H289" s="175" t="str">
        <f t="shared" si="14"/>
        <v>Fort Wayne, IN</v>
      </c>
      <c r="I289" s="178" t="s">
        <v>1971</v>
      </c>
      <c r="J289" s="27" t="s">
        <v>2281</v>
      </c>
      <c r="K289" s="27">
        <v>728</v>
      </c>
      <c r="L289" s="179">
        <v>6331</v>
      </c>
      <c r="M289" s="178" t="s">
        <v>1972</v>
      </c>
      <c r="N289" s="27" t="s">
        <v>2281</v>
      </c>
      <c r="O289" s="182" t="s">
        <v>1973</v>
      </c>
    </row>
    <row r="290" spans="1:15" ht="12">
      <c r="A290" s="148"/>
      <c r="B290" s="174" t="s">
        <v>1974</v>
      </c>
      <c r="C290" s="175" t="s">
        <v>2280</v>
      </c>
      <c r="D290" s="176" t="s">
        <v>2281</v>
      </c>
      <c r="E290" s="177" t="s">
        <v>1970</v>
      </c>
      <c r="F290" s="175">
        <f t="shared" si="12"/>
        <v>12</v>
      </c>
      <c r="G290" s="175" t="str">
        <f t="shared" si="13"/>
        <v>Fort Wayne</v>
      </c>
      <c r="H290" s="175" t="str">
        <f t="shared" si="14"/>
        <v>Fort Wayne, IN</v>
      </c>
      <c r="I290" s="178" t="s">
        <v>1975</v>
      </c>
      <c r="J290" s="27" t="s">
        <v>2281</v>
      </c>
      <c r="K290" s="27">
        <v>824</v>
      </c>
      <c r="L290" s="179">
        <v>6273</v>
      </c>
      <c r="M290" s="178" t="s">
        <v>1972</v>
      </c>
      <c r="N290" s="27" t="s">
        <v>2281</v>
      </c>
      <c r="O290" s="182" t="s">
        <v>1973</v>
      </c>
    </row>
    <row r="291" spans="1:15" ht="12">
      <c r="A291" s="148"/>
      <c r="B291" s="174" t="s">
        <v>1976</v>
      </c>
      <c r="C291" s="175" t="s">
        <v>263</v>
      </c>
      <c r="D291" s="176" t="s">
        <v>264</v>
      </c>
      <c r="E291" s="177" t="s">
        <v>1977</v>
      </c>
      <c r="F291" s="175">
        <f t="shared" si="12"/>
        <v>12</v>
      </c>
      <c r="G291" s="175" t="str">
        <f t="shared" si="13"/>
        <v>Fort Worth</v>
      </c>
      <c r="H291" s="175" t="str">
        <f t="shared" si="14"/>
        <v>Fort Worth, TX</v>
      </c>
      <c r="I291" s="178" t="s">
        <v>512</v>
      </c>
      <c r="J291" s="27" t="s">
        <v>264</v>
      </c>
      <c r="K291" s="27">
        <v>2603</v>
      </c>
      <c r="L291" s="179">
        <v>2407</v>
      </c>
      <c r="M291" s="180" t="s">
        <v>513</v>
      </c>
      <c r="N291" s="181" t="s">
        <v>264</v>
      </c>
      <c r="O291" s="182" t="s">
        <v>514</v>
      </c>
    </row>
    <row r="292" spans="1:15" ht="12">
      <c r="A292" s="148"/>
      <c r="B292" s="174" t="s">
        <v>1978</v>
      </c>
      <c r="C292" s="175" t="s">
        <v>263</v>
      </c>
      <c r="D292" s="176" t="s">
        <v>264</v>
      </c>
      <c r="E292" s="177" t="s">
        <v>1977</v>
      </c>
      <c r="F292" s="175">
        <f t="shared" si="12"/>
        <v>12</v>
      </c>
      <c r="G292" s="175" t="str">
        <f t="shared" si="13"/>
        <v>Fort Worth</v>
      </c>
      <c r="H292" s="175" t="str">
        <f t="shared" si="14"/>
        <v>Fort Worth, TX</v>
      </c>
      <c r="I292" s="178" t="s">
        <v>512</v>
      </c>
      <c r="J292" s="27" t="s">
        <v>264</v>
      </c>
      <c r="K292" s="27">
        <v>2603</v>
      </c>
      <c r="L292" s="179">
        <v>2407</v>
      </c>
      <c r="M292" s="180" t="s">
        <v>513</v>
      </c>
      <c r="N292" s="181" t="s">
        <v>264</v>
      </c>
      <c r="O292" s="182" t="s">
        <v>514</v>
      </c>
    </row>
    <row r="293" spans="1:15" ht="12">
      <c r="A293" s="148"/>
      <c r="B293" s="186" t="s">
        <v>1979</v>
      </c>
      <c r="C293" s="175" t="s">
        <v>2299</v>
      </c>
      <c r="D293" s="176" t="s">
        <v>2300</v>
      </c>
      <c r="E293" s="177" t="s">
        <v>1980</v>
      </c>
      <c r="F293" s="175">
        <f t="shared" si="12"/>
        <v>12</v>
      </c>
      <c r="G293" s="175" t="str">
        <f t="shared" si="13"/>
        <v>Framingham</v>
      </c>
      <c r="H293" s="175" t="str">
        <f t="shared" si="14"/>
        <v>Framingham, MA</v>
      </c>
      <c r="I293" s="178" t="s">
        <v>649</v>
      </c>
      <c r="J293" s="27" t="s">
        <v>2300</v>
      </c>
      <c r="K293" s="27">
        <v>333</v>
      </c>
      <c r="L293" s="179">
        <v>6979</v>
      </c>
      <c r="M293" s="180" t="s">
        <v>650</v>
      </c>
      <c r="N293" s="181" t="s">
        <v>2300</v>
      </c>
      <c r="O293" s="182" t="s">
        <v>651</v>
      </c>
    </row>
    <row r="294" spans="1:15" ht="12">
      <c r="A294" s="148"/>
      <c r="B294" s="174" t="s">
        <v>1981</v>
      </c>
      <c r="C294" s="175" t="s">
        <v>525</v>
      </c>
      <c r="D294" s="176" t="s">
        <v>526</v>
      </c>
      <c r="E294" s="177" t="s">
        <v>1982</v>
      </c>
      <c r="F294" s="175">
        <f t="shared" si="12"/>
        <v>11</v>
      </c>
      <c r="G294" s="175" t="str">
        <f t="shared" si="13"/>
        <v>Frankfort</v>
      </c>
      <c r="H294" s="175" t="str">
        <f t="shared" si="14"/>
        <v>Frankfort, KY</v>
      </c>
      <c r="I294" s="178" t="s">
        <v>1525</v>
      </c>
      <c r="J294" s="27" t="s">
        <v>526</v>
      </c>
      <c r="K294" s="27">
        <v>1140</v>
      </c>
      <c r="L294" s="179">
        <v>4783</v>
      </c>
      <c r="M294" s="180" t="s">
        <v>1526</v>
      </c>
      <c r="N294" s="181" t="s">
        <v>526</v>
      </c>
      <c r="O294" s="182" t="s">
        <v>1527</v>
      </c>
    </row>
    <row r="295" spans="1:15" ht="12">
      <c r="A295" s="148"/>
      <c r="B295" s="174" t="s">
        <v>1983</v>
      </c>
      <c r="C295" s="175" t="s">
        <v>496</v>
      </c>
      <c r="D295" s="176" t="s">
        <v>439</v>
      </c>
      <c r="E295" s="177" t="s">
        <v>1984</v>
      </c>
      <c r="F295" s="175">
        <f t="shared" si="12"/>
        <v>11</v>
      </c>
      <c r="G295" s="175" t="str">
        <f t="shared" si="13"/>
        <v>Frederick</v>
      </c>
      <c r="H295" s="175" t="str">
        <f t="shared" si="14"/>
        <v>Frederick, MD</v>
      </c>
      <c r="I295" s="178" t="s">
        <v>498</v>
      </c>
      <c r="J295" s="27" t="s">
        <v>439</v>
      </c>
      <c r="K295" s="27">
        <v>1137</v>
      </c>
      <c r="L295" s="179">
        <v>4707</v>
      </c>
      <c r="M295" s="180" t="s">
        <v>499</v>
      </c>
      <c r="N295" s="181" t="s">
        <v>439</v>
      </c>
      <c r="O295" s="182" t="s">
        <v>500</v>
      </c>
    </row>
    <row r="296" spans="1:15" ht="12">
      <c r="A296" s="148"/>
      <c r="B296" s="174" t="s">
        <v>1985</v>
      </c>
      <c r="C296" s="175" t="s">
        <v>434</v>
      </c>
      <c r="D296" s="176" t="s">
        <v>435</v>
      </c>
      <c r="E296" s="177" t="s">
        <v>1986</v>
      </c>
      <c r="F296" s="175">
        <f t="shared" si="12"/>
        <v>16</v>
      </c>
      <c r="G296" s="175" t="str">
        <f t="shared" si="13"/>
        <v>Fredericksburg</v>
      </c>
      <c r="H296" s="175" t="str">
        <f t="shared" si="14"/>
        <v>Fredericksburg, VA</v>
      </c>
      <c r="I296" s="178" t="s">
        <v>2350</v>
      </c>
      <c r="J296" s="27" t="s">
        <v>435</v>
      </c>
      <c r="K296" s="27">
        <v>1348</v>
      </c>
      <c r="L296" s="179">
        <v>3963</v>
      </c>
      <c r="M296" s="180" t="s">
        <v>2351</v>
      </c>
      <c r="N296" s="181" t="s">
        <v>435</v>
      </c>
      <c r="O296" s="182" t="s">
        <v>2352</v>
      </c>
    </row>
    <row r="297" spans="1:15" ht="12">
      <c r="A297" s="148"/>
      <c r="B297" s="174" t="s">
        <v>1987</v>
      </c>
      <c r="C297" s="175" t="s">
        <v>434</v>
      </c>
      <c r="D297" s="176" t="s">
        <v>435</v>
      </c>
      <c r="E297" s="177" t="s">
        <v>1986</v>
      </c>
      <c r="F297" s="175">
        <f t="shared" si="12"/>
        <v>16</v>
      </c>
      <c r="G297" s="175" t="str">
        <f t="shared" si="13"/>
        <v>Fredericksburg</v>
      </c>
      <c r="H297" s="175" t="str">
        <f t="shared" si="14"/>
        <v>Fredericksburg, VA</v>
      </c>
      <c r="I297" s="178" t="s">
        <v>2350</v>
      </c>
      <c r="J297" s="27" t="s">
        <v>435</v>
      </c>
      <c r="K297" s="27">
        <v>1348</v>
      </c>
      <c r="L297" s="179">
        <v>3963</v>
      </c>
      <c r="M297" s="180" t="s">
        <v>2351</v>
      </c>
      <c r="N297" s="181" t="s">
        <v>435</v>
      </c>
      <c r="O297" s="182" t="s">
        <v>2352</v>
      </c>
    </row>
    <row r="298" spans="1:15" ht="12">
      <c r="A298" s="148"/>
      <c r="B298" s="174" t="s">
        <v>1988</v>
      </c>
      <c r="C298" s="175" t="s">
        <v>442</v>
      </c>
      <c r="D298" s="176" t="s">
        <v>443</v>
      </c>
      <c r="E298" s="177" t="s">
        <v>1989</v>
      </c>
      <c r="F298" s="175">
        <f t="shared" si="12"/>
        <v>8</v>
      </c>
      <c r="G298" s="175" t="str">
        <f t="shared" si="13"/>
        <v>Fresno</v>
      </c>
      <c r="H298" s="175" t="str">
        <f t="shared" si="14"/>
        <v>Fresno, CA</v>
      </c>
      <c r="I298" s="178" t="s">
        <v>1580</v>
      </c>
      <c r="J298" s="27" t="s">
        <v>443</v>
      </c>
      <c r="K298" s="27">
        <v>1967</v>
      </c>
      <c r="L298" s="179">
        <v>2556</v>
      </c>
      <c r="M298" s="178" t="s">
        <v>1576</v>
      </c>
      <c r="N298" s="27" t="s">
        <v>443</v>
      </c>
      <c r="O298" s="182" t="s">
        <v>1577</v>
      </c>
    </row>
    <row r="299" spans="1:15" ht="12">
      <c r="A299" s="148"/>
      <c r="B299" s="174" t="s">
        <v>1990</v>
      </c>
      <c r="C299" s="175" t="s">
        <v>442</v>
      </c>
      <c r="D299" s="176" t="s">
        <v>443</v>
      </c>
      <c r="E299" s="177" t="s">
        <v>1989</v>
      </c>
      <c r="F299" s="175">
        <f t="shared" si="12"/>
        <v>8</v>
      </c>
      <c r="G299" s="175" t="str">
        <f t="shared" si="13"/>
        <v>Fresno</v>
      </c>
      <c r="H299" s="175" t="str">
        <f t="shared" si="14"/>
        <v>Fresno, CA</v>
      </c>
      <c r="I299" s="178" t="s">
        <v>1580</v>
      </c>
      <c r="J299" s="27" t="s">
        <v>443</v>
      </c>
      <c r="K299" s="27">
        <v>1967</v>
      </c>
      <c r="L299" s="179">
        <v>2556</v>
      </c>
      <c r="M299" s="178" t="s">
        <v>1576</v>
      </c>
      <c r="N299" s="27" t="s">
        <v>443</v>
      </c>
      <c r="O299" s="182" t="s">
        <v>1577</v>
      </c>
    </row>
    <row r="300" spans="1:15" ht="12">
      <c r="A300" s="148"/>
      <c r="B300" s="174" t="s">
        <v>1991</v>
      </c>
      <c r="C300" s="175" t="s">
        <v>502</v>
      </c>
      <c r="D300" s="176" t="s">
        <v>503</v>
      </c>
      <c r="E300" s="177" t="s">
        <v>1992</v>
      </c>
      <c r="F300" s="175">
        <f t="shared" si="12"/>
        <v>9</v>
      </c>
      <c r="G300" s="175" t="str">
        <f t="shared" si="13"/>
        <v>Gadsden</v>
      </c>
      <c r="H300" s="175" t="str">
        <f t="shared" si="14"/>
        <v>Gadsden, AL</v>
      </c>
      <c r="I300" s="178" t="s">
        <v>1543</v>
      </c>
      <c r="J300" s="27" t="s">
        <v>410</v>
      </c>
      <c r="K300" s="27">
        <v>1667</v>
      </c>
      <c r="L300" s="179">
        <v>2991</v>
      </c>
      <c r="M300" s="178" t="s">
        <v>1536</v>
      </c>
      <c r="N300" s="27" t="s">
        <v>410</v>
      </c>
      <c r="O300" s="182" t="s">
        <v>1537</v>
      </c>
    </row>
    <row r="301" spans="1:15" ht="12">
      <c r="A301" s="148"/>
      <c r="B301" s="174" t="s">
        <v>1993</v>
      </c>
      <c r="C301" s="175" t="s">
        <v>670</v>
      </c>
      <c r="D301" s="176" t="s">
        <v>671</v>
      </c>
      <c r="E301" s="177" t="s">
        <v>1994</v>
      </c>
      <c r="F301" s="175">
        <f t="shared" si="12"/>
        <v>13</v>
      </c>
      <c r="G301" s="175" t="str">
        <f t="shared" si="13"/>
        <v>Gainesville</v>
      </c>
      <c r="H301" s="175" t="str">
        <f t="shared" si="14"/>
        <v>Gainesville, FL</v>
      </c>
      <c r="I301" s="178" t="s">
        <v>1995</v>
      </c>
      <c r="J301" s="27" t="s">
        <v>671</v>
      </c>
      <c r="K301" s="27">
        <v>2609</v>
      </c>
      <c r="L301" s="179">
        <v>1267</v>
      </c>
      <c r="M301" s="178" t="s">
        <v>1996</v>
      </c>
      <c r="N301" s="27" t="s">
        <v>671</v>
      </c>
      <c r="O301" s="182" t="s">
        <v>1997</v>
      </c>
    </row>
    <row r="302" spans="1:15" ht="12">
      <c r="A302" s="148"/>
      <c r="B302" s="174" t="s">
        <v>1998</v>
      </c>
      <c r="C302" s="175" t="s">
        <v>409</v>
      </c>
      <c r="D302" s="176" t="s">
        <v>410</v>
      </c>
      <c r="E302" s="177" t="s">
        <v>1994</v>
      </c>
      <c r="F302" s="175">
        <f t="shared" si="12"/>
        <v>13</v>
      </c>
      <c r="G302" s="175" t="str">
        <f t="shared" si="13"/>
        <v>Gainesville</v>
      </c>
      <c r="H302" s="175" t="str">
        <f t="shared" si="14"/>
        <v>Gainesville, GA</v>
      </c>
      <c r="I302" s="178" t="s">
        <v>2342</v>
      </c>
      <c r="J302" s="27" t="s">
        <v>284</v>
      </c>
      <c r="K302" s="27">
        <v>1473</v>
      </c>
      <c r="L302" s="179">
        <v>3272</v>
      </c>
      <c r="M302" s="178" t="s">
        <v>1536</v>
      </c>
      <c r="N302" s="27" t="s">
        <v>410</v>
      </c>
      <c r="O302" s="182" t="s">
        <v>1537</v>
      </c>
    </row>
    <row r="303" spans="1:15" ht="12">
      <c r="A303" s="148"/>
      <c r="B303" s="174" t="s">
        <v>1999</v>
      </c>
      <c r="C303" s="175" t="s">
        <v>1647</v>
      </c>
      <c r="D303" s="176" t="s">
        <v>1648</v>
      </c>
      <c r="E303" s="177" t="s">
        <v>2000</v>
      </c>
      <c r="F303" s="175">
        <f t="shared" si="12"/>
        <v>11</v>
      </c>
      <c r="G303" s="175" t="str">
        <f t="shared" si="13"/>
        <v>Galesburg</v>
      </c>
      <c r="H303" s="175" t="str">
        <f t="shared" si="14"/>
        <v>Galesburg, IL</v>
      </c>
      <c r="I303" s="178" t="s">
        <v>1336</v>
      </c>
      <c r="J303" s="27" t="s">
        <v>1648</v>
      </c>
      <c r="K303" s="27">
        <v>911</v>
      </c>
      <c r="L303" s="179">
        <v>6474</v>
      </c>
      <c r="M303" s="178" t="s">
        <v>2001</v>
      </c>
      <c r="N303" s="27" t="s">
        <v>1648</v>
      </c>
      <c r="O303" s="182" t="s">
        <v>2002</v>
      </c>
    </row>
    <row r="304" spans="1:15" ht="12">
      <c r="A304" s="148"/>
      <c r="B304" s="174" t="s">
        <v>2003</v>
      </c>
      <c r="C304" s="175" t="s">
        <v>424</v>
      </c>
      <c r="D304" s="176" t="s">
        <v>425</v>
      </c>
      <c r="E304" s="177" t="s">
        <v>2004</v>
      </c>
      <c r="F304" s="175">
        <f t="shared" si="12"/>
        <v>8</v>
      </c>
      <c r="G304" s="175" t="str">
        <f t="shared" si="13"/>
        <v>Gallup</v>
      </c>
      <c r="H304" s="175" t="str">
        <f t="shared" si="14"/>
        <v>Gallup, NM</v>
      </c>
      <c r="I304" s="178" t="s">
        <v>427</v>
      </c>
      <c r="J304" s="27" t="s">
        <v>425</v>
      </c>
      <c r="K304" s="27">
        <v>1244</v>
      </c>
      <c r="L304" s="179">
        <v>4425</v>
      </c>
      <c r="M304" s="180" t="s">
        <v>428</v>
      </c>
      <c r="N304" s="181" t="s">
        <v>425</v>
      </c>
      <c r="O304" s="182" t="s">
        <v>429</v>
      </c>
    </row>
    <row r="305" spans="1:15" ht="12">
      <c r="A305" s="148"/>
      <c r="B305" s="174" t="s">
        <v>2005</v>
      </c>
      <c r="C305" s="175" t="s">
        <v>263</v>
      </c>
      <c r="D305" s="176" t="s">
        <v>264</v>
      </c>
      <c r="E305" s="177" t="s">
        <v>2006</v>
      </c>
      <c r="F305" s="175">
        <f t="shared" si="12"/>
        <v>11</v>
      </c>
      <c r="G305" s="175" t="str">
        <f t="shared" si="13"/>
        <v>Galveston</v>
      </c>
      <c r="H305" s="175" t="str">
        <f t="shared" si="14"/>
        <v>Galveston, TX</v>
      </c>
      <c r="I305" s="178" t="s">
        <v>2007</v>
      </c>
      <c r="J305" s="27" t="s">
        <v>264</v>
      </c>
      <c r="K305" s="27">
        <v>2994</v>
      </c>
      <c r="L305" s="179">
        <v>1263</v>
      </c>
      <c r="M305" s="180" t="s">
        <v>1613</v>
      </c>
      <c r="N305" s="181" t="s">
        <v>264</v>
      </c>
      <c r="O305" s="182" t="s">
        <v>1614</v>
      </c>
    </row>
    <row r="306" spans="1:15" ht="12">
      <c r="A306" s="148"/>
      <c r="B306" s="174" t="s">
        <v>2008</v>
      </c>
      <c r="C306" s="175" t="s">
        <v>2280</v>
      </c>
      <c r="D306" s="176" t="s">
        <v>2281</v>
      </c>
      <c r="E306" s="177" t="s">
        <v>2009</v>
      </c>
      <c r="F306" s="175">
        <f t="shared" si="12"/>
        <v>6</v>
      </c>
      <c r="G306" s="175" t="str">
        <f t="shared" si="13"/>
        <v>Gary</v>
      </c>
      <c r="H306" s="175" t="str">
        <f t="shared" si="14"/>
        <v>Gary, IN</v>
      </c>
      <c r="I306" s="178" t="s">
        <v>1971</v>
      </c>
      <c r="J306" s="27" t="s">
        <v>2281</v>
      </c>
      <c r="K306" s="27">
        <v>728</v>
      </c>
      <c r="L306" s="179">
        <v>6331</v>
      </c>
      <c r="M306" s="178" t="s">
        <v>2010</v>
      </c>
      <c r="N306" s="27" t="s">
        <v>2281</v>
      </c>
      <c r="O306" s="182" t="s">
        <v>2011</v>
      </c>
    </row>
    <row r="307" spans="1:15" ht="12">
      <c r="A307" s="148"/>
      <c r="B307" s="174" t="s">
        <v>2012</v>
      </c>
      <c r="C307" s="175" t="s">
        <v>2280</v>
      </c>
      <c r="D307" s="176" t="s">
        <v>2281</v>
      </c>
      <c r="E307" s="177" t="s">
        <v>2009</v>
      </c>
      <c r="F307" s="175">
        <f t="shared" si="12"/>
        <v>6</v>
      </c>
      <c r="G307" s="175" t="str">
        <f t="shared" si="13"/>
        <v>Gary</v>
      </c>
      <c r="H307" s="175" t="str">
        <f t="shared" si="14"/>
        <v>Gary, IN</v>
      </c>
      <c r="I307" s="178" t="s">
        <v>2370</v>
      </c>
      <c r="J307" s="27" t="s">
        <v>1648</v>
      </c>
      <c r="K307" s="27">
        <v>752</v>
      </c>
      <c r="L307" s="179">
        <v>6536</v>
      </c>
      <c r="M307" s="178" t="s">
        <v>2371</v>
      </c>
      <c r="N307" s="27" t="s">
        <v>1648</v>
      </c>
      <c r="O307" s="182" t="s">
        <v>2372</v>
      </c>
    </row>
    <row r="308" spans="1:15" ht="12">
      <c r="A308" s="148"/>
      <c r="B308" s="174" t="s">
        <v>2013</v>
      </c>
      <c r="C308" s="175" t="s">
        <v>1617</v>
      </c>
      <c r="D308" s="176" t="s">
        <v>1530</v>
      </c>
      <c r="E308" s="177" t="s">
        <v>2014</v>
      </c>
      <c r="F308" s="175">
        <f t="shared" si="12"/>
        <v>10</v>
      </c>
      <c r="G308" s="175" t="str">
        <f t="shared" si="13"/>
        <v>Gassaway</v>
      </c>
      <c r="H308" s="175" t="str">
        <f t="shared" si="14"/>
        <v>Gassaway, WV</v>
      </c>
      <c r="I308" s="178" t="s">
        <v>1319</v>
      </c>
      <c r="J308" s="27" t="s">
        <v>1530</v>
      </c>
      <c r="K308" s="27">
        <v>1031</v>
      </c>
      <c r="L308" s="179">
        <v>4646</v>
      </c>
      <c r="M308" s="180" t="s">
        <v>1531</v>
      </c>
      <c r="N308" s="181" t="s">
        <v>1530</v>
      </c>
      <c r="O308" s="182" t="s">
        <v>1532</v>
      </c>
    </row>
    <row r="309" spans="1:15" ht="12">
      <c r="A309" s="148"/>
      <c r="B309" s="174" t="s">
        <v>2015</v>
      </c>
      <c r="C309" s="175" t="s">
        <v>263</v>
      </c>
      <c r="D309" s="176" t="s">
        <v>264</v>
      </c>
      <c r="E309" s="177" t="s">
        <v>2016</v>
      </c>
      <c r="F309" s="175">
        <f t="shared" si="12"/>
        <v>10</v>
      </c>
      <c r="G309" s="175" t="str">
        <f t="shared" si="13"/>
        <v>Giddings</v>
      </c>
      <c r="H309" s="175" t="str">
        <f t="shared" si="14"/>
        <v>Giddings, TX</v>
      </c>
      <c r="I309" s="178" t="s">
        <v>1572</v>
      </c>
      <c r="J309" s="27" t="s">
        <v>264</v>
      </c>
      <c r="K309" s="27">
        <v>3016</v>
      </c>
      <c r="L309" s="179">
        <v>1688</v>
      </c>
      <c r="M309" s="180" t="s">
        <v>1569</v>
      </c>
      <c r="N309" s="181" t="s">
        <v>264</v>
      </c>
      <c r="O309" s="182" t="s">
        <v>1570</v>
      </c>
    </row>
    <row r="310" spans="1:15" ht="12">
      <c r="A310" s="148"/>
      <c r="B310" s="174" t="s">
        <v>2017</v>
      </c>
      <c r="C310" s="175" t="s">
        <v>1413</v>
      </c>
      <c r="D310" s="176" t="s">
        <v>1414</v>
      </c>
      <c r="E310" s="177" t="s">
        <v>2018</v>
      </c>
      <c r="F310" s="175">
        <f t="shared" si="12"/>
        <v>10</v>
      </c>
      <c r="G310" s="175" t="str">
        <f t="shared" si="13"/>
        <v>Gillette</v>
      </c>
      <c r="H310" s="175" t="str">
        <f t="shared" si="14"/>
        <v>Gillette, WY</v>
      </c>
      <c r="I310" s="178" t="s">
        <v>2019</v>
      </c>
      <c r="J310" s="27" t="s">
        <v>1414</v>
      </c>
      <c r="K310" s="27">
        <v>445</v>
      </c>
      <c r="L310" s="179">
        <v>7682</v>
      </c>
      <c r="M310" s="180" t="s">
        <v>1417</v>
      </c>
      <c r="N310" s="181" t="s">
        <v>1414</v>
      </c>
      <c r="O310" s="182" t="s">
        <v>2315</v>
      </c>
    </row>
    <row r="311" spans="1:15" ht="12">
      <c r="A311" s="148"/>
      <c r="B311" s="174" t="s">
        <v>2020</v>
      </c>
      <c r="C311" s="175" t="s">
        <v>442</v>
      </c>
      <c r="D311" s="176" t="s">
        <v>443</v>
      </c>
      <c r="E311" s="177" t="s">
        <v>2021</v>
      </c>
      <c r="F311" s="175">
        <f t="shared" si="12"/>
        <v>8</v>
      </c>
      <c r="G311" s="175" t="str">
        <f t="shared" si="13"/>
        <v>Gilroy</v>
      </c>
      <c r="H311" s="175" t="str">
        <f t="shared" si="14"/>
        <v>Gilroy, CA</v>
      </c>
      <c r="I311" s="178" t="s">
        <v>1420</v>
      </c>
      <c r="J311" s="27" t="s">
        <v>443</v>
      </c>
      <c r="K311" s="27">
        <v>145</v>
      </c>
      <c r="L311" s="179">
        <v>3016</v>
      </c>
      <c r="M311" s="178" t="s">
        <v>1421</v>
      </c>
      <c r="N311" s="27" t="s">
        <v>443</v>
      </c>
      <c r="O311" s="182" t="s">
        <v>1422</v>
      </c>
    </row>
    <row r="312" spans="1:15" ht="12">
      <c r="A312" s="148"/>
      <c r="B312" s="174" t="s">
        <v>2022</v>
      </c>
      <c r="C312" s="175" t="s">
        <v>442</v>
      </c>
      <c r="D312" s="176" t="s">
        <v>443</v>
      </c>
      <c r="E312" s="177" t="s">
        <v>2023</v>
      </c>
      <c r="F312" s="175">
        <f t="shared" si="12"/>
        <v>10</v>
      </c>
      <c r="G312" s="175" t="str">
        <f t="shared" si="13"/>
        <v>Glendale</v>
      </c>
      <c r="H312" s="175" t="str">
        <f t="shared" si="14"/>
        <v>Glendale, CA</v>
      </c>
      <c r="I312" s="178" t="s">
        <v>445</v>
      </c>
      <c r="J312" s="27" t="s">
        <v>443</v>
      </c>
      <c r="K312" s="27">
        <v>1537</v>
      </c>
      <c r="L312" s="179">
        <v>1154</v>
      </c>
      <c r="M312" s="178" t="s">
        <v>446</v>
      </c>
      <c r="N312" s="27" t="s">
        <v>443</v>
      </c>
      <c r="O312" s="182" t="s">
        <v>447</v>
      </c>
    </row>
    <row r="313" spans="1:15" ht="12">
      <c r="A313" s="148"/>
      <c r="B313" s="174" t="s">
        <v>2024</v>
      </c>
      <c r="C313" s="175" t="s">
        <v>416</v>
      </c>
      <c r="D313" s="176" t="s">
        <v>417</v>
      </c>
      <c r="E313" s="177" t="s">
        <v>2025</v>
      </c>
      <c r="F313" s="175">
        <f t="shared" si="12"/>
        <v>13</v>
      </c>
      <c r="G313" s="175" t="str">
        <f t="shared" si="13"/>
        <v>Glens Falls</v>
      </c>
      <c r="H313" s="175" t="str">
        <f t="shared" si="14"/>
        <v>Glens Falls, NY</v>
      </c>
      <c r="I313" s="178" t="s">
        <v>1340</v>
      </c>
      <c r="J313" s="27" t="s">
        <v>1623</v>
      </c>
      <c r="K313" s="27">
        <v>388</v>
      </c>
      <c r="L313" s="179">
        <v>7771</v>
      </c>
      <c r="M313" s="180" t="s">
        <v>1341</v>
      </c>
      <c r="N313" s="181" t="s">
        <v>1623</v>
      </c>
      <c r="O313" s="182" t="s">
        <v>1342</v>
      </c>
    </row>
    <row r="314" spans="1:15" ht="12">
      <c r="A314" s="148"/>
      <c r="B314" s="174" t="s">
        <v>2026</v>
      </c>
      <c r="C314" s="175" t="s">
        <v>402</v>
      </c>
      <c r="D314" s="176" t="s">
        <v>403</v>
      </c>
      <c r="E314" s="177" t="s">
        <v>2027</v>
      </c>
      <c r="F314" s="175">
        <f t="shared" si="12"/>
        <v>18</v>
      </c>
      <c r="G314" s="175" t="str">
        <f t="shared" si="13"/>
        <v>Glenwood Springs</v>
      </c>
      <c r="H314" s="175" t="str">
        <f t="shared" si="14"/>
        <v>Glenwood Springs, CO</v>
      </c>
      <c r="I314" s="178" t="s">
        <v>1754</v>
      </c>
      <c r="J314" s="27" t="s">
        <v>403</v>
      </c>
      <c r="K314" s="27">
        <v>1183</v>
      </c>
      <c r="L314" s="179">
        <v>5548</v>
      </c>
      <c r="M314" s="178" t="s">
        <v>1755</v>
      </c>
      <c r="N314" s="27" t="s">
        <v>403</v>
      </c>
      <c r="O314" s="182" t="s">
        <v>1756</v>
      </c>
    </row>
    <row r="315" spans="1:15" ht="12">
      <c r="A315" s="148"/>
      <c r="B315" s="174" t="s">
        <v>2028</v>
      </c>
      <c r="C315" s="175" t="s">
        <v>1311</v>
      </c>
      <c r="D315" s="176" t="s">
        <v>1312</v>
      </c>
      <c r="E315" s="177" t="s">
        <v>2029</v>
      </c>
      <c r="F315" s="175">
        <f t="shared" si="12"/>
        <v>7</v>
      </c>
      <c r="G315" s="175" t="str">
        <f t="shared" si="13"/>
        <v>Globe</v>
      </c>
      <c r="H315" s="175" t="str">
        <f t="shared" si="14"/>
        <v>Globe, AZ</v>
      </c>
      <c r="I315" s="178" t="s">
        <v>1409</v>
      </c>
      <c r="J315" s="27" t="s">
        <v>1312</v>
      </c>
      <c r="K315" s="27">
        <v>2954</v>
      </c>
      <c r="L315" s="179">
        <v>1678</v>
      </c>
      <c r="M315" s="178" t="s">
        <v>1410</v>
      </c>
      <c r="N315" s="27" t="s">
        <v>1312</v>
      </c>
      <c r="O315" s="182" t="s">
        <v>1411</v>
      </c>
    </row>
    <row r="316" spans="1:15" ht="12">
      <c r="A316" s="148"/>
      <c r="B316" s="174" t="s">
        <v>2030</v>
      </c>
      <c r="C316" s="175" t="s">
        <v>402</v>
      </c>
      <c r="D316" s="176" t="s">
        <v>403</v>
      </c>
      <c r="E316" s="177" t="s">
        <v>2031</v>
      </c>
      <c r="F316" s="175">
        <f t="shared" si="12"/>
        <v>15</v>
      </c>
      <c r="G316" s="175" t="str">
        <f t="shared" si="13"/>
        <v>Golden/Dillon</v>
      </c>
      <c r="H316" s="175" t="str">
        <f t="shared" si="14"/>
        <v>Golden/Dillon, CO</v>
      </c>
      <c r="I316" s="178" t="s">
        <v>657</v>
      </c>
      <c r="J316" s="27" t="s">
        <v>403</v>
      </c>
      <c r="K316" s="27">
        <v>679</v>
      </c>
      <c r="L316" s="179">
        <v>6020</v>
      </c>
      <c r="M316" s="180" t="s">
        <v>658</v>
      </c>
      <c r="N316" s="181" t="s">
        <v>403</v>
      </c>
      <c r="O316" s="182" t="s">
        <v>659</v>
      </c>
    </row>
    <row r="317" spans="1:15" ht="12">
      <c r="A317" s="148"/>
      <c r="B317" s="174" t="s">
        <v>2032</v>
      </c>
      <c r="C317" s="175" t="s">
        <v>1445</v>
      </c>
      <c r="D317" s="176" t="s">
        <v>260</v>
      </c>
      <c r="E317" s="177" t="s">
        <v>2033</v>
      </c>
      <c r="F317" s="175">
        <f t="shared" si="12"/>
        <v>13</v>
      </c>
      <c r="G317" s="175" t="str">
        <f t="shared" si="13"/>
        <v>Grand Forks</v>
      </c>
      <c r="H317" s="175" t="str">
        <f t="shared" si="14"/>
        <v>Grand Forks, ND</v>
      </c>
      <c r="I317" s="178" t="s">
        <v>1716</v>
      </c>
      <c r="J317" s="27" t="s">
        <v>260</v>
      </c>
      <c r="K317" s="27">
        <v>537</v>
      </c>
      <c r="L317" s="179">
        <v>9254</v>
      </c>
      <c r="M317" s="180" t="s">
        <v>259</v>
      </c>
      <c r="N317" s="181" t="s">
        <v>260</v>
      </c>
      <c r="O317" s="182" t="s">
        <v>261</v>
      </c>
    </row>
    <row r="318" spans="1:15" ht="12">
      <c r="A318" s="148"/>
      <c r="B318" s="174" t="s">
        <v>2034</v>
      </c>
      <c r="C318" s="175" t="s">
        <v>456</v>
      </c>
      <c r="D318" s="176" t="s">
        <v>457</v>
      </c>
      <c r="E318" s="177" t="s">
        <v>2035</v>
      </c>
      <c r="F318" s="175">
        <f t="shared" si="12"/>
        <v>14</v>
      </c>
      <c r="G318" s="175" t="str">
        <f t="shared" si="13"/>
        <v>Grand Island</v>
      </c>
      <c r="H318" s="175" t="str">
        <f t="shared" si="14"/>
        <v>Grand Island, NE</v>
      </c>
      <c r="I318" s="178" t="s">
        <v>632</v>
      </c>
      <c r="J318" s="27" t="s">
        <v>457</v>
      </c>
      <c r="K318" s="27">
        <v>997</v>
      </c>
      <c r="L318" s="179">
        <v>6421</v>
      </c>
      <c r="M318" s="180" t="s">
        <v>633</v>
      </c>
      <c r="N318" s="181" t="s">
        <v>457</v>
      </c>
      <c r="O318" s="182" t="s">
        <v>634</v>
      </c>
    </row>
    <row r="319" spans="1:15" ht="12">
      <c r="A319" s="148"/>
      <c r="B319" s="174" t="s">
        <v>2036</v>
      </c>
      <c r="C319" s="175" t="s">
        <v>402</v>
      </c>
      <c r="D319" s="176" t="s">
        <v>403</v>
      </c>
      <c r="E319" s="177" t="s">
        <v>2037</v>
      </c>
      <c r="F319" s="175">
        <f t="shared" si="12"/>
        <v>16</v>
      </c>
      <c r="G319" s="175" t="str">
        <f t="shared" si="13"/>
        <v>Grand Junction</v>
      </c>
      <c r="H319" s="175" t="str">
        <f t="shared" si="14"/>
        <v>Grand Junction, CO</v>
      </c>
      <c r="I319" s="178" t="s">
        <v>1754</v>
      </c>
      <c r="J319" s="27" t="s">
        <v>403</v>
      </c>
      <c r="K319" s="27">
        <v>1183</v>
      </c>
      <c r="L319" s="179">
        <v>5548</v>
      </c>
      <c r="M319" s="178" t="s">
        <v>1755</v>
      </c>
      <c r="N319" s="27" t="s">
        <v>403</v>
      </c>
      <c r="O319" s="182" t="s">
        <v>1756</v>
      </c>
    </row>
    <row r="320" spans="1:15" ht="12">
      <c r="A320" s="148"/>
      <c r="B320" s="174" t="s">
        <v>2038</v>
      </c>
      <c r="C320" s="175" t="s">
        <v>489</v>
      </c>
      <c r="D320" s="176" t="s">
        <v>490</v>
      </c>
      <c r="E320" s="177" t="s">
        <v>2039</v>
      </c>
      <c r="F320" s="175">
        <f t="shared" si="12"/>
        <v>14</v>
      </c>
      <c r="G320" s="175" t="str">
        <f t="shared" si="13"/>
        <v>Grand Rapids</v>
      </c>
      <c r="H320" s="175" t="str">
        <f t="shared" si="14"/>
        <v>Grand Rapids, MI</v>
      </c>
      <c r="I320" s="178" t="s">
        <v>2040</v>
      </c>
      <c r="J320" s="27" t="s">
        <v>490</v>
      </c>
      <c r="K320" s="27">
        <v>431</v>
      </c>
      <c r="L320" s="179">
        <v>6924</v>
      </c>
      <c r="M320" s="180" t="s">
        <v>2041</v>
      </c>
      <c r="N320" s="181" t="s">
        <v>490</v>
      </c>
      <c r="O320" s="182" t="s">
        <v>2042</v>
      </c>
    </row>
    <row r="321" spans="1:15" ht="12">
      <c r="A321" s="148"/>
      <c r="B321" s="174" t="s">
        <v>2043</v>
      </c>
      <c r="C321" s="175" t="s">
        <v>489</v>
      </c>
      <c r="D321" s="176" t="s">
        <v>490</v>
      </c>
      <c r="E321" s="177" t="s">
        <v>2039</v>
      </c>
      <c r="F321" s="175">
        <f t="shared" si="12"/>
        <v>14</v>
      </c>
      <c r="G321" s="175" t="str">
        <f t="shared" si="13"/>
        <v>Grand Rapids</v>
      </c>
      <c r="H321" s="175" t="str">
        <f t="shared" si="14"/>
        <v>Grand Rapids, MI</v>
      </c>
      <c r="I321" s="178" t="s">
        <v>2044</v>
      </c>
      <c r="J321" s="27" t="s">
        <v>490</v>
      </c>
      <c r="K321" s="27">
        <v>534</v>
      </c>
      <c r="L321" s="179">
        <v>6973</v>
      </c>
      <c r="M321" s="180" t="s">
        <v>2041</v>
      </c>
      <c r="N321" s="181" t="s">
        <v>490</v>
      </c>
      <c r="O321" s="182" t="s">
        <v>2042</v>
      </c>
    </row>
    <row r="322" spans="1:15" ht="12">
      <c r="A322" s="148"/>
      <c r="B322" s="174" t="s">
        <v>2045</v>
      </c>
      <c r="C322" s="175" t="s">
        <v>1426</v>
      </c>
      <c r="D322" s="176" t="s">
        <v>1427</v>
      </c>
      <c r="E322" s="177" t="s">
        <v>2046</v>
      </c>
      <c r="F322" s="175">
        <f t="shared" si="12"/>
        <v>13</v>
      </c>
      <c r="G322" s="175" t="str">
        <f t="shared" si="13"/>
        <v>Great Falls</v>
      </c>
      <c r="H322" s="175" t="str">
        <f t="shared" si="14"/>
        <v>Great Falls, MT</v>
      </c>
      <c r="I322" s="178" t="s">
        <v>2047</v>
      </c>
      <c r="J322" s="27" t="s">
        <v>1427</v>
      </c>
      <c r="K322" s="27">
        <v>388</v>
      </c>
      <c r="L322" s="179">
        <v>7741</v>
      </c>
      <c r="M322" s="180" t="s">
        <v>2048</v>
      </c>
      <c r="N322" s="181" t="s">
        <v>1427</v>
      </c>
      <c r="O322" s="182" t="s">
        <v>2049</v>
      </c>
    </row>
    <row r="323" spans="1:15" ht="12">
      <c r="A323" s="148"/>
      <c r="B323" s="174" t="s">
        <v>2050</v>
      </c>
      <c r="C323" s="175" t="s">
        <v>416</v>
      </c>
      <c r="D323" s="176" t="s">
        <v>417</v>
      </c>
      <c r="E323" s="177" t="s">
        <v>2051</v>
      </c>
      <c r="F323" s="175">
        <f t="shared" si="12"/>
        <v>12</v>
      </c>
      <c r="G323" s="175" t="str">
        <f t="shared" si="13"/>
        <v>Great Neck</v>
      </c>
      <c r="H323" s="175" t="str">
        <f t="shared" si="14"/>
        <v>Great Neck, NY</v>
      </c>
      <c r="I323" s="178" t="s">
        <v>2276</v>
      </c>
      <c r="J323" s="27" t="s">
        <v>417</v>
      </c>
      <c r="K323" s="27">
        <v>1052</v>
      </c>
      <c r="L323" s="179">
        <v>4910</v>
      </c>
      <c r="M323" s="180" t="s">
        <v>2277</v>
      </c>
      <c r="N323" s="181" t="s">
        <v>417</v>
      </c>
      <c r="O323" s="182" t="s">
        <v>1298</v>
      </c>
    </row>
    <row r="324" spans="1:15" ht="12">
      <c r="A324" s="148"/>
      <c r="B324" s="174" t="s">
        <v>2052</v>
      </c>
      <c r="C324" s="175" t="s">
        <v>402</v>
      </c>
      <c r="D324" s="176" t="s">
        <v>403</v>
      </c>
      <c r="E324" s="177" t="s">
        <v>2053</v>
      </c>
      <c r="F324" s="175">
        <f t="shared" si="12"/>
        <v>9</v>
      </c>
      <c r="G324" s="175" t="str">
        <f t="shared" si="13"/>
        <v>Greeley</v>
      </c>
      <c r="H324" s="175" t="str">
        <f t="shared" si="14"/>
        <v>Greeley, CO</v>
      </c>
      <c r="I324" s="178" t="s">
        <v>657</v>
      </c>
      <c r="J324" s="27" t="s">
        <v>403</v>
      </c>
      <c r="K324" s="27">
        <v>679</v>
      </c>
      <c r="L324" s="179">
        <v>6020</v>
      </c>
      <c r="M324" s="180" t="s">
        <v>658</v>
      </c>
      <c r="N324" s="181" t="s">
        <v>403</v>
      </c>
      <c r="O324" s="182" t="s">
        <v>659</v>
      </c>
    </row>
    <row r="325" spans="1:15" ht="12">
      <c r="A325" s="148"/>
      <c r="B325" s="174" t="s">
        <v>2054</v>
      </c>
      <c r="C325" s="175" t="s">
        <v>51</v>
      </c>
      <c r="D325" s="176" t="s">
        <v>1702</v>
      </c>
      <c r="E325" s="177" t="s">
        <v>2055</v>
      </c>
      <c r="F325" s="175">
        <f t="shared" si="12"/>
        <v>11</v>
      </c>
      <c r="G325" s="175" t="str">
        <f t="shared" si="13"/>
        <v>Green Bay</v>
      </c>
      <c r="H325" s="175" t="str">
        <f t="shared" si="14"/>
        <v>Green Bay, WI</v>
      </c>
      <c r="I325" s="178" t="s">
        <v>2056</v>
      </c>
      <c r="J325" s="27" t="s">
        <v>1702</v>
      </c>
      <c r="K325" s="27">
        <v>381</v>
      </c>
      <c r="L325" s="179">
        <v>8089</v>
      </c>
      <c r="M325" s="180" t="s">
        <v>2057</v>
      </c>
      <c r="N325" s="181" t="s">
        <v>1702</v>
      </c>
      <c r="O325" s="182" t="s">
        <v>2058</v>
      </c>
    </row>
    <row r="326" spans="1:15" ht="12">
      <c r="A326" s="148"/>
      <c r="B326" s="174" t="s">
        <v>2059</v>
      </c>
      <c r="C326" s="175" t="s">
        <v>51</v>
      </c>
      <c r="D326" s="176" t="s">
        <v>1702</v>
      </c>
      <c r="E326" s="177" t="s">
        <v>2055</v>
      </c>
      <c r="F326" s="175">
        <f t="shared" ref="F326:F389" si="15">LEN(E326)</f>
        <v>11</v>
      </c>
      <c r="G326" s="175" t="str">
        <f t="shared" ref="G326:G389" si="16">MID(E326,2,F326-2)</f>
        <v>Green Bay</v>
      </c>
      <c r="H326" s="175" t="str">
        <f t="shared" ref="H326:H389" si="17">CONCATENATE(G326,", ",+D326)</f>
        <v>Green Bay, WI</v>
      </c>
      <c r="I326" s="178" t="s">
        <v>2056</v>
      </c>
      <c r="J326" s="27" t="s">
        <v>1702</v>
      </c>
      <c r="K326" s="27">
        <v>381</v>
      </c>
      <c r="L326" s="179">
        <v>8089</v>
      </c>
      <c r="M326" s="180" t="s">
        <v>2057</v>
      </c>
      <c r="N326" s="181" t="s">
        <v>1702</v>
      </c>
      <c r="O326" s="182" t="s">
        <v>2058</v>
      </c>
    </row>
    <row r="327" spans="1:15" ht="12">
      <c r="A327" s="148"/>
      <c r="B327" s="174" t="s">
        <v>2060</v>
      </c>
      <c r="C327" s="175" t="s">
        <v>51</v>
      </c>
      <c r="D327" s="176" t="s">
        <v>1702</v>
      </c>
      <c r="E327" s="177" t="s">
        <v>2055</v>
      </c>
      <c r="F327" s="175">
        <f t="shared" si="15"/>
        <v>11</v>
      </c>
      <c r="G327" s="175" t="str">
        <f t="shared" si="16"/>
        <v>Green Bay</v>
      </c>
      <c r="H327" s="175" t="str">
        <f t="shared" si="17"/>
        <v>Green Bay, WI</v>
      </c>
      <c r="I327" s="178" t="s">
        <v>2056</v>
      </c>
      <c r="J327" s="27" t="s">
        <v>1702</v>
      </c>
      <c r="K327" s="27">
        <v>381</v>
      </c>
      <c r="L327" s="179">
        <v>8089</v>
      </c>
      <c r="M327" s="180" t="s">
        <v>2057</v>
      </c>
      <c r="N327" s="181" t="s">
        <v>1702</v>
      </c>
      <c r="O327" s="182" t="s">
        <v>2058</v>
      </c>
    </row>
    <row r="328" spans="1:15" ht="12">
      <c r="A328" s="148"/>
      <c r="B328" s="186" t="s">
        <v>2061</v>
      </c>
      <c r="C328" s="175" t="s">
        <v>2299</v>
      </c>
      <c r="D328" s="176" t="s">
        <v>2300</v>
      </c>
      <c r="E328" s="177" t="s">
        <v>2062</v>
      </c>
      <c r="F328" s="175">
        <f t="shared" si="15"/>
        <v>12</v>
      </c>
      <c r="G328" s="175" t="str">
        <f t="shared" si="16"/>
        <v>Greenfield</v>
      </c>
      <c r="H328" s="175" t="str">
        <f t="shared" si="17"/>
        <v>Greenfield, MA</v>
      </c>
      <c r="I328" s="178" t="s">
        <v>649</v>
      </c>
      <c r="J328" s="27" t="s">
        <v>2300</v>
      </c>
      <c r="K328" s="27">
        <v>333</v>
      </c>
      <c r="L328" s="179">
        <v>6979</v>
      </c>
      <c r="M328" s="180" t="s">
        <v>650</v>
      </c>
      <c r="N328" s="181" t="s">
        <v>2300</v>
      </c>
      <c r="O328" s="182" t="s">
        <v>651</v>
      </c>
    </row>
    <row r="329" spans="1:15" ht="12">
      <c r="A329" s="148"/>
      <c r="B329" s="174" t="s">
        <v>2063</v>
      </c>
      <c r="C329" s="175" t="s">
        <v>481</v>
      </c>
      <c r="D329" s="176" t="s">
        <v>482</v>
      </c>
      <c r="E329" s="177" t="s">
        <v>2064</v>
      </c>
      <c r="F329" s="175">
        <f t="shared" si="15"/>
        <v>12</v>
      </c>
      <c r="G329" s="175" t="str">
        <f t="shared" si="16"/>
        <v>Greensboro</v>
      </c>
      <c r="H329" s="175" t="str">
        <f t="shared" si="17"/>
        <v>Greensboro, NC</v>
      </c>
      <c r="I329" s="178" t="s">
        <v>2065</v>
      </c>
      <c r="J329" s="27" t="s">
        <v>482</v>
      </c>
      <c r="K329" s="27">
        <v>1253</v>
      </c>
      <c r="L329" s="179">
        <v>3865</v>
      </c>
      <c r="M329" s="180" t="s">
        <v>2066</v>
      </c>
      <c r="N329" s="181" t="s">
        <v>482</v>
      </c>
      <c r="O329" s="182" t="s">
        <v>2067</v>
      </c>
    </row>
    <row r="330" spans="1:15" ht="12">
      <c r="A330" s="148"/>
      <c r="B330" s="174" t="s">
        <v>2068</v>
      </c>
      <c r="C330" s="175" t="s">
        <v>481</v>
      </c>
      <c r="D330" s="176" t="s">
        <v>482</v>
      </c>
      <c r="E330" s="177" t="s">
        <v>2064</v>
      </c>
      <c r="F330" s="175">
        <f t="shared" si="15"/>
        <v>12</v>
      </c>
      <c r="G330" s="175" t="str">
        <f t="shared" si="16"/>
        <v>Greensboro</v>
      </c>
      <c r="H330" s="175" t="str">
        <f t="shared" si="17"/>
        <v>Greensboro, NC</v>
      </c>
      <c r="I330" s="178" t="s">
        <v>2065</v>
      </c>
      <c r="J330" s="27" t="s">
        <v>482</v>
      </c>
      <c r="K330" s="27">
        <v>1253</v>
      </c>
      <c r="L330" s="179">
        <v>3865</v>
      </c>
      <c r="M330" s="180" t="s">
        <v>2066</v>
      </c>
      <c r="N330" s="181" t="s">
        <v>482</v>
      </c>
      <c r="O330" s="182" t="s">
        <v>2067</v>
      </c>
    </row>
    <row r="331" spans="1:15" ht="12">
      <c r="A331" s="148"/>
      <c r="B331" s="174" t="s">
        <v>2069</v>
      </c>
      <c r="C331" s="175" t="s">
        <v>481</v>
      </c>
      <c r="D331" s="176" t="s">
        <v>482</v>
      </c>
      <c r="E331" s="177" t="s">
        <v>2064</v>
      </c>
      <c r="F331" s="175">
        <f t="shared" si="15"/>
        <v>12</v>
      </c>
      <c r="G331" s="175" t="str">
        <f t="shared" si="16"/>
        <v>Greensboro</v>
      </c>
      <c r="H331" s="175" t="str">
        <f t="shared" si="17"/>
        <v>Greensboro, NC</v>
      </c>
      <c r="I331" s="178" t="s">
        <v>2065</v>
      </c>
      <c r="J331" s="27" t="s">
        <v>482</v>
      </c>
      <c r="K331" s="27">
        <v>1253</v>
      </c>
      <c r="L331" s="179">
        <v>3865</v>
      </c>
      <c r="M331" s="180" t="s">
        <v>2066</v>
      </c>
      <c r="N331" s="181" t="s">
        <v>482</v>
      </c>
      <c r="O331" s="182" t="s">
        <v>2067</v>
      </c>
    </row>
    <row r="332" spans="1:15" ht="12">
      <c r="A332" s="148"/>
      <c r="B332" s="174" t="s">
        <v>2070</v>
      </c>
      <c r="C332" s="175" t="s">
        <v>449</v>
      </c>
      <c r="D332" s="176" t="s">
        <v>450</v>
      </c>
      <c r="E332" s="177" t="s">
        <v>2071</v>
      </c>
      <c r="F332" s="175">
        <f t="shared" si="15"/>
        <v>12</v>
      </c>
      <c r="G332" s="175" t="str">
        <f t="shared" si="16"/>
        <v>Greensburg</v>
      </c>
      <c r="H332" s="175" t="str">
        <f t="shared" si="17"/>
        <v>Greensburg, PA</v>
      </c>
      <c r="I332" s="178" t="s">
        <v>464</v>
      </c>
      <c r="J332" s="27" t="s">
        <v>450</v>
      </c>
      <c r="K332" s="27">
        <v>654</v>
      </c>
      <c r="L332" s="179">
        <v>5968</v>
      </c>
      <c r="M332" s="180" t="s">
        <v>465</v>
      </c>
      <c r="N332" s="181" t="s">
        <v>450</v>
      </c>
      <c r="O332" s="182" t="s">
        <v>466</v>
      </c>
    </row>
    <row r="333" spans="1:15" ht="12">
      <c r="A333" s="148"/>
      <c r="B333" s="174" t="s">
        <v>2072</v>
      </c>
      <c r="C333" s="175" t="s">
        <v>630</v>
      </c>
      <c r="D333" s="176" t="s">
        <v>1346</v>
      </c>
      <c r="E333" s="177" t="s">
        <v>2073</v>
      </c>
      <c r="F333" s="175">
        <f t="shared" si="15"/>
        <v>12</v>
      </c>
      <c r="G333" s="175" t="str">
        <f t="shared" si="16"/>
        <v>Greenville</v>
      </c>
      <c r="H333" s="175" t="str">
        <f t="shared" si="17"/>
        <v>Greenville, MS</v>
      </c>
      <c r="I333" s="178" t="s">
        <v>2074</v>
      </c>
      <c r="J333" s="27" t="s">
        <v>1346</v>
      </c>
      <c r="K333" s="27">
        <v>2215</v>
      </c>
      <c r="L333" s="179">
        <v>2467</v>
      </c>
      <c r="M333" s="180" t="s">
        <v>1347</v>
      </c>
      <c r="N333" s="181" t="s">
        <v>1346</v>
      </c>
      <c r="O333" s="182" t="s">
        <v>1348</v>
      </c>
    </row>
    <row r="334" spans="1:15" ht="12">
      <c r="A334" s="148"/>
      <c r="B334" s="174" t="s">
        <v>2075</v>
      </c>
      <c r="C334" s="175" t="s">
        <v>283</v>
      </c>
      <c r="D334" s="176" t="s">
        <v>284</v>
      </c>
      <c r="E334" s="177" t="s">
        <v>2073</v>
      </c>
      <c r="F334" s="175">
        <f t="shared" si="15"/>
        <v>12</v>
      </c>
      <c r="G334" s="175" t="str">
        <f t="shared" si="16"/>
        <v>Greenville</v>
      </c>
      <c r="H334" s="175" t="str">
        <f t="shared" si="17"/>
        <v>Greenville, SC</v>
      </c>
      <c r="I334" s="178" t="s">
        <v>2342</v>
      </c>
      <c r="J334" s="27" t="s">
        <v>284</v>
      </c>
      <c r="K334" s="27">
        <v>1473</v>
      </c>
      <c r="L334" s="179">
        <v>3272</v>
      </c>
      <c r="M334" s="180" t="s">
        <v>2343</v>
      </c>
      <c r="N334" s="181" t="s">
        <v>482</v>
      </c>
      <c r="O334" s="182" t="s">
        <v>2344</v>
      </c>
    </row>
    <row r="335" spans="1:15" ht="12">
      <c r="A335" s="148"/>
      <c r="B335" s="174" t="s">
        <v>2076</v>
      </c>
      <c r="C335" s="175" t="s">
        <v>263</v>
      </c>
      <c r="D335" s="176" t="s">
        <v>264</v>
      </c>
      <c r="E335" s="177" t="s">
        <v>2073</v>
      </c>
      <c r="F335" s="175">
        <f t="shared" si="15"/>
        <v>12</v>
      </c>
      <c r="G335" s="175" t="str">
        <f t="shared" si="16"/>
        <v>Greenville</v>
      </c>
      <c r="H335" s="175" t="str">
        <f t="shared" si="17"/>
        <v>Greenville, TX</v>
      </c>
      <c r="I335" s="178" t="s">
        <v>512</v>
      </c>
      <c r="J335" s="27" t="s">
        <v>264</v>
      </c>
      <c r="K335" s="27">
        <v>2603</v>
      </c>
      <c r="L335" s="179">
        <v>2407</v>
      </c>
      <c r="M335" s="180" t="s">
        <v>513</v>
      </c>
      <c r="N335" s="181" t="s">
        <v>264</v>
      </c>
      <c r="O335" s="182" t="s">
        <v>514</v>
      </c>
    </row>
    <row r="336" spans="1:15" ht="12">
      <c r="A336" s="148"/>
      <c r="B336" s="174" t="s">
        <v>2077</v>
      </c>
      <c r="C336" s="175" t="s">
        <v>630</v>
      </c>
      <c r="D336" s="176" t="s">
        <v>1346</v>
      </c>
      <c r="E336" s="177" t="s">
        <v>2078</v>
      </c>
      <c r="F336" s="175">
        <f t="shared" si="15"/>
        <v>9</v>
      </c>
      <c r="G336" s="175" t="str">
        <f t="shared" si="16"/>
        <v>Grenada</v>
      </c>
      <c r="H336" s="175" t="str">
        <f t="shared" si="17"/>
        <v>Grenada, MS</v>
      </c>
      <c r="I336" s="178" t="s">
        <v>1345</v>
      </c>
      <c r="J336" s="27" t="s">
        <v>1346</v>
      </c>
      <c r="K336" s="27">
        <v>2138</v>
      </c>
      <c r="L336" s="179">
        <v>2444</v>
      </c>
      <c r="M336" s="180" t="s">
        <v>2079</v>
      </c>
      <c r="N336" s="181" t="s">
        <v>1346</v>
      </c>
      <c r="O336" s="182" t="s">
        <v>2080</v>
      </c>
    </row>
    <row r="337" spans="1:15" ht="12">
      <c r="A337" s="148"/>
      <c r="B337" s="174" t="s">
        <v>2081</v>
      </c>
      <c r="C337" s="175" t="s">
        <v>630</v>
      </c>
      <c r="D337" s="176" t="s">
        <v>1346</v>
      </c>
      <c r="E337" s="177" t="s">
        <v>2082</v>
      </c>
      <c r="F337" s="175">
        <f t="shared" si="15"/>
        <v>10</v>
      </c>
      <c r="G337" s="175" t="str">
        <f t="shared" si="16"/>
        <v>Gulfport</v>
      </c>
      <c r="H337" s="175" t="str">
        <f t="shared" si="17"/>
        <v>Gulfport, MS</v>
      </c>
      <c r="I337" s="178" t="s">
        <v>2083</v>
      </c>
      <c r="J337" s="27" t="s">
        <v>291</v>
      </c>
      <c r="K337" s="27">
        <v>2655</v>
      </c>
      <c r="L337" s="179">
        <v>1513</v>
      </c>
      <c r="M337" s="180" t="s">
        <v>2084</v>
      </c>
      <c r="N337" s="181" t="s">
        <v>291</v>
      </c>
      <c r="O337" s="182" t="s">
        <v>2085</v>
      </c>
    </row>
    <row r="338" spans="1:15" ht="12">
      <c r="A338" s="148"/>
      <c r="B338" s="174" t="s">
        <v>2086</v>
      </c>
      <c r="C338" s="175" t="s">
        <v>509</v>
      </c>
      <c r="D338" s="176" t="s">
        <v>510</v>
      </c>
      <c r="E338" s="177" t="s">
        <v>2087</v>
      </c>
      <c r="F338" s="175">
        <f t="shared" si="15"/>
        <v>8</v>
      </c>
      <c r="G338" s="175" t="str">
        <f t="shared" si="16"/>
        <v>Guymon</v>
      </c>
      <c r="H338" s="175" t="str">
        <f t="shared" si="17"/>
        <v>Guymon, OK</v>
      </c>
      <c r="I338" s="178" t="s">
        <v>279</v>
      </c>
      <c r="J338" s="27" t="s">
        <v>264</v>
      </c>
      <c r="K338" s="27">
        <v>1354</v>
      </c>
      <c r="L338" s="179">
        <v>4258</v>
      </c>
      <c r="M338" s="180" t="s">
        <v>698</v>
      </c>
      <c r="N338" s="181" t="s">
        <v>510</v>
      </c>
      <c r="O338" s="182" t="s">
        <v>699</v>
      </c>
    </row>
    <row r="339" spans="1:15" ht="12">
      <c r="A339" s="148"/>
      <c r="B339" s="186" t="s">
        <v>2088</v>
      </c>
      <c r="C339" s="175" t="s">
        <v>1548</v>
      </c>
      <c r="D339" s="176" t="s">
        <v>1549</v>
      </c>
      <c r="E339" s="177" t="s">
        <v>2089</v>
      </c>
      <c r="F339" s="175">
        <f t="shared" si="15"/>
        <v>12</v>
      </c>
      <c r="G339" s="175" t="str">
        <f t="shared" si="16"/>
        <v>Hackensack</v>
      </c>
      <c r="H339" s="175" t="str">
        <f t="shared" si="17"/>
        <v>Hackensack, NJ</v>
      </c>
      <c r="I339" s="178" t="s">
        <v>70</v>
      </c>
      <c r="J339" s="27" t="s">
        <v>1549</v>
      </c>
      <c r="K339" s="27">
        <v>1201</v>
      </c>
      <c r="L339" s="179">
        <v>4888</v>
      </c>
      <c r="M339" s="180" t="s">
        <v>71</v>
      </c>
      <c r="N339" s="181" t="s">
        <v>1549</v>
      </c>
      <c r="O339" s="182" t="s">
        <v>72</v>
      </c>
    </row>
    <row r="340" spans="1:15" ht="12">
      <c r="A340" s="148"/>
      <c r="B340" s="174" t="s">
        <v>2090</v>
      </c>
      <c r="C340" s="175" t="s">
        <v>290</v>
      </c>
      <c r="D340" s="176" t="s">
        <v>291</v>
      </c>
      <c r="E340" s="177" t="s">
        <v>2091</v>
      </c>
      <c r="F340" s="175">
        <f t="shared" si="15"/>
        <v>9</v>
      </c>
      <c r="G340" s="175" t="str">
        <f t="shared" si="16"/>
        <v>Hammond</v>
      </c>
      <c r="H340" s="175" t="str">
        <f t="shared" si="17"/>
        <v>Hammond, LA</v>
      </c>
      <c r="I340" s="178" t="s">
        <v>1599</v>
      </c>
      <c r="J340" s="27" t="s">
        <v>291</v>
      </c>
      <c r="K340" s="27">
        <v>2690</v>
      </c>
      <c r="L340" s="179">
        <v>1669</v>
      </c>
      <c r="M340" s="180" t="s">
        <v>1600</v>
      </c>
      <c r="N340" s="181" t="s">
        <v>291</v>
      </c>
      <c r="O340" s="182" t="s">
        <v>1601</v>
      </c>
    </row>
    <row r="341" spans="1:15" ht="12">
      <c r="A341" s="148"/>
      <c r="B341" s="174" t="s">
        <v>2092</v>
      </c>
      <c r="C341" s="175" t="s">
        <v>1377</v>
      </c>
      <c r="D341" s="176" t="s">
        <v>1378</v>
      </c>
      <c r="E341" s="177" t="s">
        <v>2093</v>
      </c>
      <c r="F341" s="175">
        <f t="shared" si="15"/>
        <v>10</v>
      </c>
      <c r="G341" s="175" t="str">
        <f t="shared" si="16"/>
        <v>Hannibal</v>
      </c>
      <c r="H341" s="175" t="str">
        <f t="shared" si="17"/>
        <v>Hannibal, MO</v>
      </c>
      <c r="I341" s="178" t="s">
        <v>1518</v>
      </c>
      <c r="J341" s="27" t="s">
        <v>1378</v>
      </c>
      <c r="K341" s="27">
        <v>1189</v>
      </c>
      <c r="L341" s="179">
        <v>5212</v>
      </c>
      <c r="M341" s="178" t="s">
        <v>1381</v>
      </c>
      <c r="N341" s="27" t="s">
        <v>1378</v>
      </c>
      <c r="O341" s="182" t="s">
        <v>1382</v>
      </c>
    </row>
    <row r="342" spans="1:15" ht="12">
      <c r="A342" s="148"/>
      <c r="B342" s="174" t="s">
        <v>2094</v>
      </c>
      <c r="C342" s="175" t="s">
        <v>449</v>
      </c>
      <c r="D342" s="176" t="s">
        <v>450</v>
      </c>
      <c r="E342" s="177" t="s">
        <v>2095</v>
      </c>
      <c r="F342" s="175">
        <f t="shared" si="15"/>
        <v>12</v>
      </c>
      <c r="G342" s="175" t="str">
        <f t="shared" si="16"/>
        <v>Harrisburg</v>
      </c>
      <c r="H342" s="175" t="str">
        <f t="shared" si="17"/>
        <v>Harrisburg, PA</v>
      </c>
      <c r="I342" s="178" t="s">
        <v>2326</v>
      </c>
      <c r="J342" s="27" t="s">
        <v>450</v>
      </c>
      <c r="K342" s="27">
        <v>962</v>
      </c>
      <c r="L342" s="179">
        <v>5347</v>
      </c>
      <c r="M342" s="180" t="s">
        <v>2327</v>
      </c>
      <c r="N342" s="181" t="s">
        <v>450</v>
      </c>
      <c r="O342" s="182" t="s">
        <v>2328</v>
      </c>
    </row>
    <row r="343" spans="1:15" ht="12">
      <c r="A343" s="148"/>
      <c r="B343" s="174" t="s">
        <v>2096</v>
      </c>
      <c r="C343" s="175" t="s">
        <v>449</v>
      </c>
      <c r="D343" s="176" t="s">
        <v>450</v>
      </c>
      <c r="E343" s="177" t="s">
        <v>2095</v>
      </c>
      <c r="F343" s="175">
        <f t="shared" si="15"/>
        <v>12</v>
      </c>
      <c r="G343" s="175" t="str">
        <f t="shared" si="16"/>
        <v>Harrisburg</v>
      </c>
      <c r="H343" s="175" t="str">
        <f t="shared" si="17"/>
        <v>Harrisburg, PA</v>
      </c>
      <c r="I343" s="178" t="s">
        <v>2326</v>
      </c>
      <c r="J343" s="27" t="s">
        <v>450</v>
      </c>
      <c r="K343" s="27">
        <v>962</v>
      </c>
      <c r="L343" s="179">
        <v>5347</v>
      </c>
      <c r="M343" s="180" t="s">
        <v>2327</v>
      </c>
      <c r="N343" s="181" t="s">
        <v>450</v>
      </c>
      <c r="O343" s="182" t="s">
        <v>2328</v>
      </c>
    </row>
    <row r="344" spans="1:15" ht="12">
      <c r="A344" s="148"/>
      <c r="B344" s="174" t="s">
        <v>2097</v>
      </c>
      <c r="C344" s="175" t="s">
        <v>1589</v>
      </c>
      <c r="D344" s="176" t="s">
        <v>1590</v>
      </c>
      <c r="E344" s="177" t="s">
        <v>2187</v>
      </c>
      <c r="F344" s="175">
        <f t="shared" si="15"/>
        <v>10</v>
      </c>
      <c r="G344" s="175" t="str">
        <f t="shared" si="16"/>
        <v>Harrison</v>
      </c>
      <c r="H344" s="175" t="str">
        <f t="shared" si="17"/>
        <v>Harrison, AR</v>
      </c>
      <c r="I344" s="178" t="s">
        <v>1966</v>
      </c>
      <c r="J344" s="27" t="s">
        <v>1590</v>
      </c>
      <c r="K344" s="27">
        <v>1894</v>
      </c>
      <c r="L344" s="179">
        <v>3478</v>
      </c>
      <c r="M344" s="178" t="s">
        <v>1967</v>
      </c>
      <c r="N344" s="27" t="s">
        <v>1590</v>
      </c>
      <c r="O344" s="182" t="s">
        <v>1968</v>
      </c>
    </row>
    <row r="345" spans="1:15" ht="12">
      <c r="A345" s="148"/>
      <c r="B345" s="174" t="s">
        <v>2188</v>
      </c>
      <c r="C345" s="175" t="s">
        <v>434</v>
      </c>
      <c r="D345" s="176" t="s">
        <v>435</v>
      </c>
      <c r="E345" s="177" t="s">
        <v>2189</v>
      </c>
      <c r="F345" s="175">
        <f t="shared" si="15"/>
        <v>14</v>
      </c>
      <c r="G345" s="175" t="str">
        <f t="shared" si="16"/>
        <v>Harrisonburg</v>
      </c>
      <c r="H345" s="175" t="str">
        <f t="shared" si="17"/>
        <v>Harrisonburg, VA</v>
      </c>
      <c r="I345" s="178" t="s">
        <v>1676</v>
      </c>
      <c r="J345" s="27" t="s">
        <v>437</v>
      </c>
      <c r="K345" s="27">
        <v>973</v>
      </c>
      <c r="L345" s="179">
        <v>5006</v>
      </c>
      <c r="M345" s="180" t="s">
        <v>438</v>
      </c>
      <c r="N345" s="181" t="s">
        <v>439</v>
      </c>
      <c r="O345" s="182" t="s">
        <v>440</v>
      </c>
    </row>
    <row r="346" spans="1:15" ht="12">
      <c r="A346" s="148"/>
      <c r="B346" s="174" t="s">
        <v>2190</v>
      </c>
      <c r="C346" s="175" t="s">
        <v>1377</v>
      </c>
      <c r="D346" s="176" t="s">
        <v>1378</v>
      </c>
      <c r="E346" s="177" t="s">
        <v>2191</v>
      </c>
      <c r="F346" s="175">
        <f t="shared" si="15"/>
        <v>15</v>
      </c>
      <c r="G346" s="175" t="str">
        <f t="shared" si="16"/>
        <v>Harrisonville</v>
      </c>
      <c r="H346" s="175" t="str">
        <f t="shared" si="17"/>
        <v>Harrisonville, MO</v>
      </c>
      <c r="I346" s="178" t="s">
        <v>1925</v>
      </c>
      <c r="J346" s="27" t="s">
        <v>1378</v>
      </c>
      <c r="K346" s="27">
        <v>1320</v>
      </c>
      <c r="L346" s="179">
        <v>4638</v>
      </c>
      <c r="M346" s="180" t="s">
        <v>1651</v>
      </c>
      <c r="N346" s="181" t="s">
        <v>1378</v>
      </c>
      <c r="O346" s="182" t="s">
        <v>1926</v>
      </c>
    </row>
    <row r="347" spans="1:15" ht="12">
      <c r="A347" s="148"/>
      <c r="B347" s="186" t="s">
        <v>2192</v>
      </c>
      <c r="C347" s="175" t="s">
        <v>689</v>
      </c>
      <c r="D347" s="176" t="s">
        <v>690</v>
      </c>
      <c r="E347" s="177" t="s">
        <v>2193</v>
      </c>
      <c r="F347" s="175">
        <f t="shared" si="15"/>
        <v>10</v>
      </c>
      <c r="G347" s="175" t="str">
        <f t="shared" si="16"/>
        <v>Hartford</v>
      </c>
      <c r="H347" s="175" t="str">
        <f t="shared" si="17"/>
        <v>Hartford, CT</v>
      </c>
      <c r="I347" s="178" t="s">
        <v>649</v>
      </c>
      <c r="J347" s="27" t="s">
        <v>2300</v>
      </c>
      <c r="K347" s="27">
        <v>333</v>
      </c>
      <c r="L347" s="179">
        <v>6979</v>
      </c>
      <c r="M347" s="178" t="s">
        <v>753</v>
      </c>
      <c r="N347" s="27" t="s">
        <v>690</v>
      </c>
      <c r="O347" s="182" t="s">
        <v>754</v>
      </c>
    </row>
    <row r="348" spans="1:15" ht="12">
      <c r="A348" s="148"/>
      <c r="B348" s="186" t="s">
        <v>755</v>
      </c>
      <c r="C348" s="175" t="s">
        <v>689</v>
      </c>
      <c r="D348" s="176" t="s">
        <v>690</v>
      </c>
      <c r="E348" s="177" t="s">
        <v>2193</v>
      </c>
      <c r="F348" s="175">
        <f t="shared" si="15"/>
        <v>10</v>
      </c>
      <c r="G348" s="175" t="str">
        <f t="shared" si="16"/>
        <v>Hartford</v>
      </c>
      <c r="H348" s="175" t="str">
        <f t="shared" si="17"/>
        <v>Hartford, CT</v>
      </c>
      <c r="I348" s="178" t="s">
        <v>756</v>
      </c>
      <c r="J348" s="27" t="s">
        <v>690</v>
      </c>
      <c r="K348" s="27">
        <v>677</v>
      </c>
      <c r="L348" s="179">
        <v>6151</v>
      </c>
      <c r="M348" s="178" t="s">
        <v>753</v>
      </c>
      <c r="N348" s="27" t="s">
        <v>690</v>
      </c>
      <c r="O348" s="182" t="s">
        <v>754</v>
      </c>
    </row>
    <row r="349" spans="1:15" ht="12">
      <c r="A349" s="148"/>
      <c r="B349" s="174" t="s">
        <v>757</v>
      </c>
      <c r="C349" s="175" t="s">
        <v>456</v>
      </c>
      <c r="D349" s="176" t="s">
        <v>457</v>
      </c>
      <c r="E349" s="177" t="s">
        <v>758</v>
      </c>
      <c r="F349" s="175">
        <f t="shared" si="15"/>
        <v>10</v>
      </c>
      <c r="G349" s="175" t="str">
        <f t="shared" si="16"/>
        <v>Hastings</v>
      </c>
      <c r="H349" s="175" t="str">
        <f t="shared" si="17"/>
        <v>Hastings, NE</v>
      </c>
      <c r="I349" s="178" t="s">
        <v>632</v>
      </c>
      <c r="J349" s="27" t="s">
        <v>457</v>
      </c>
      <c r="K349" s="27">
        <v>997</v>
      </c>
      <c r="L349" s="179">
        <v>6421</v>
      </c>
      <c r="M349" s="180" t="s">
        <v>633</v>
      </c>
      <c r="N349" s="181" t="s">
        <v>457</v>
      </c>
      <c r="O349" s="182" t="s">
        <v>634</v>
      </c>
    </row>
    <row r="350" spans="1:15" ht="12">
      <c r="A350" s="148"/>
      <c r="B350" s="174" t="s">
        <v>759</v>
      </c>
      <c r="C350" s="175" t="s">
        <v>630</v>
      </c>
      <c r="D350" s="176" t="s">
        <v>1346</v>
      </c>
      <c r="E350" s="177" t="s">
        <v>760</v>
      </c>
      <c r="F350" s="175">
        <f t="shared" si="15"/>
        <v>13</v>
      </c>
      <c r="G350" s="175" t="str">
        <f t="shared" si="16"/>
        <v>Hattiesburg</v>
      </c>
      <c r="H350" s="175" t="str">
        <f t="shared" si="17"/>
        <v>Hattiesburg, MS</v>
      </c>
      <c r="I350" s="178" t="s">
        <v>761</v>
      </c>
      <c r="J350" s="27" t="s">
        <v>503</v>
      </c>
      <c r="K350" s="27">
        <v>2627</v>
      </c>
      <c r="L350" s="179">
        <v>1702</v>
      </c>
      <c r="M350" s="180" t="s">
        <v>762</v>
      </c>
      <c r="N350" s="181" t="s">
        <v>503</v>
      </c>
      <c r="O350" s="182" t="s">
        <v>763</v>
      </c>
    </row>
    <row r="351" spans="1:15" ht="12">
      <c r="A351" s="148"/>
      <c r="B351" s="174" t="s">
        <v>764</v>
      </c>
      <c r="C351" s="175" t="s">
        <v>1426</v>
      </c>
      <c r="D351" s="176" t="s">
        <v>1427</v>
      </c>
      <c r="E351" s="177" t="s">
        <v>765</v>
      </c>
      <c r="F351" s="175">
        <f t="shared" si="15"/>
        <v>7</v>
      </c>
      <c r="G351" s="175" t="str">
        <f t="shared" si="16"/>
        <v>Havre</v>
      </c>
      <c r="H351" s="175" t="str">
        <f t="shared" si="17"/>
        <v>Havre, MT</v>
      </c>
      <c r="I351" s="178" t="s">
        <v>2047</v>
      </c>
      <c r="J351" s="27" t="s">
        <v>1427</v>
      </c>
      <c r="K351" s="27">
        <v>388</v>
      </c>
      <c r="L351" s="179">
        <v>7741</v>
      </c>
      <c r="M351" s="180" t="s">
        <v>2048</v>
      </c>
      <c r="N351" s="181" t="s">
        <v>1427</v>
      </c>
      <c r="O351" s="182" t="s">
        <v>2049</v>
      </c>
    </row>
    <row r="352" spans="1:15" ht="12">
      <c r="A352" s="148"/>
      <c r="B352" s="174" t="s">
        <v>766</v>
      </c>
      <c r="C352" s="175" t="s">
        <v>1506</v>
      </c>
      <c r="D352" s="176" t="s">
        <v>1507</v>
      </c>
      <c r="E352" s="177" t="s">
        <v>767</v>
      </c>
      <c r="F352" s="175">
        <f t="shared" si="15"/>
        <v>6</v>
      </c>
      <c r="G352" s="175" t="str">
        <f t="shared" si="16"/>
        <v>Hays</v>
      </c>
      <c r="H352" s="175" t="str">
        <f t="shared" si="17"/>
        <v>Hays, KS</v>
      </c>
      <c r="I352" s="178" t="s">
        <v>1726</v>
      </c>
      <c r="J352" s="27" t="s">
        <v>1507</v>
      </c>
      <c r="K352" s="27">
        <v>1465</v>
      </c>
      <c r="L352" s="179">
        <v>5001</v>
      </c>
      <c r="M352" s="180" t="s">
        <v>1727</v>
      </c>
      <c r="N352" s="181" t="s">
        <v>1507</v>
      </c>
      <c r="O352" s="182" t="s">
        <v>1728</v>
      </c>
    </row>
    <row r="353" spans="1:15" ht="12">
      <c r="A353" s="148"/>
      <c r="B353" s="174" t="s">
        <v>768</v>
      </c>
      <c r="C353" s="175" t="s">
        <v>525</v>
      </c>
      <c r="D353" s="176" t="s">
        <v>526</v>
      </c>
      <c r="E353" s="177" t="s">
        <v>769</v>
      </c>
      <c r="F353" s="175">
        <f t="shared" si="15"/>
        <v>8</v>
      </c>
      <c r="G353" s="175" t="str">
        <f t="shared" si="16"/>
        <v>Hazard</v>
      </c>
      <c r="H353" s="175" t="str">
        <f t="shared" si="17"/>
        <v>Hazard, KY</v>
      </c>
      <c r="I353" s="178" t="s">
        <v>1529</v>
      </c>
      <c r="J353" s="27" t="s">
        <v>1530</v>
      </c>
      <c r="K353" s="27">
        <v>1005</v>
      </c>
      <c r="L353" s="179">
        <v>4665</v>
      </c>
      <c r="M353" s="180" t="s">
        <v>1531</v>
      </c>
      <c r="N353" s="181" t="s">
        <v>1530</v>
      </c>
      <c r="O353" s="182" t="s">
        <v>1532</v>
      </c>
    </row>
    <row r="354" spans="1:15" ht="12">
      <c r="A354" s="148"/>
      <c r="B354" s="174" t="s">
        <v>770</v>
      </c>
      <c r="C354" s="175" t="s">
        <v>525</v>
      </c>
      <c r="D354" s="176" t="s">
        <v>526</v>
      </c>
      <c r="E354" s="177" t="s">
        <v>769</v>
      </c>
      <c r="F354" s="175">
        <f t="shared" si="15"/>
        <v>8</v>
      </c>
      <c r="G354" s="175" t="str">
        <f t="shared" si="16"/>
        <v>Hazard</v>
      </c>
      <c r="H354" s="175" t="str">
        <f t="shared" si="17"/>
        <v>Hazard, KY</v>
      </c>
      <c r="I354" s="178" t="s">
        <v>1529</v>
      </c>
      <c r="J354" s="27" t="s">
        <v>1530</v>
      </c>
      <c r="K354" s="27">
        <v>1005</v>
      </c>
      <c r="L354" s="179">
        <v>4665</v>
      </c>
      <c r="M354" s="180" t="s">
        <v>1531</v>
      </c>
      <c r="N354" s="181" t="s">
        <v>1530</v>
      </c>
      <c r="O354" s="182" t="s">
        <v>1532</v>
      </c>
    </row>
    <row r="355" spans="1:15" ht="12">
      <c r="A355" s="148"/>
      <c r="B355" s="174" t="s">
        <v>771</v>
      </c>
      <c r="C355" s="175" t="s">
        <v>449</v>
      </c>
      <c r="D355" s="176" t="s">
        <v>450</v>
      </c>
      <c r="E355" s="177" t="s">
        <v>772</v>
      </c>
      <c r="F355" s="175">
        <f t="shared" si="15"/>
        <v>10</v>
      </c>
      <c r="G355" s="175" t="str">
        <f t="shared" si="16"/>
        <v>Hazleton</v>
      </c>
      <c r="H355" s="175" t="str">
        <f t="shared" si="17"/>
        <v>Hazleton, PA</v>
      </c>
      <c r="I355" s="178" t="s">
        <v>773</v>
      </c>
      <c r="J355" s="27" t="s">
        <v>450</v>
      </c>
      <c r="K355" s="27">
        <v>539</v>
      </c>
      <c r="L355" s="179">
        <v>6291</v>
      </c>
      <c r="M355" s="180" t="s">
        <v>1438</v>
      </c>
      <c r="N355" s="181" t="s">
        <v>450</v>
      </c>
      <c r="O355" s="182" t="s">
        <v>1439</v>
      </c>
    </row>
    <row r="356" spans="1:15" ht="12">
      <c r="A356" s="148"/>
      <c r="B356" s="174" t="s">
        <v>774</v>
      </c>
      <c r="C356" s="175" t="s">
        <v>1426</v>
      </c>
      <c r="D356" s="176" t="s">
        <v>1427</v>
      </c>
      <c r="E356" s="177" t="s">
        <v>775</v>
      </c>
      <c r="F356" s="175">
        <f t="shared" si="15"/>
        <v>8</v>
      </c>
      <c r="G356" s="175" t="str">
        <f t="shared" si="16"/>
        <v>Helena</v>
      </c>
      <c r="H356" s="175" t="str">
        <f t="shared" si="17"/>
        <v>Helena, MT</v>
      </c>
      <c r="I356" s="178" t="s">
        <v>776</v>
      </c>
      <c r="J356" s="27" t="s">
        <v>1427</v>
      </c>
      <c r="K356" s="27">
        <v>386</v>
      </c>
      <c r="L356" s="179">
        <v>8031</v>
      </c>
      <c r="M356" s="180" t="s">
        <v>1356</v>
      </c>
      <c r="N356" s="181" t="s">
        <v>1427</v>
      </c>
      <c r="O356" s="182" t="s">
        <v>1357</v>
      </c>
    </row>
    <row r="357" spans="1:15" ht="12">
      <c r="A357" s="148"/>
      <c r="B357" s="174" t="s">
        <v>777</v>
      </c>
      <c r="C357" s="175" t="s">
        <v>525</v>
      </c>
      <c r="D357" s="176" t="s">
        <v>526</v>
      </c>
      <c r="E357" s="177" t="s">
        <v>778</v>
      </c>
      <c r="F357" s="175">
        <f t="shared" si="15"/>
        <v>11</v>
      </c>
      <c r="G357" s="175" t="str">
        <f t="shared" si="16"/>
        <v>Henderson</v>
      </c>
      <c r="H357" s="175" t="str">
        <f t="shared" si="17"/>
        <v>Henderson, KY</v>
      </c>
      <c r="I357" s="178" t="s">
        <v>1385</v>
      </c>
      <c r="J357" s="27" t="s">
        <v>2281</v>
      </c>
      <c r="K357" s="27">
        <v>1376</v>
      </c>
      <c r="L357" s="179">
        <v>4708</v>
      </c>
      <c r="M357" s="178" t="s">
        <v>1386</v>
      </c>
      <c r="N357" s="27" t="s">
        <v>2281</v>
      </c>
      <c r="O357" s="182" t="s">
        <v>1387</v>
      </c>
    </row>
    <row r="358" spans="1:15" ht="12">
      <c r="A358" s="148"/>
      <c r="B358" s="174" t="s">
        <v>779</v>
      </c>
      <c r="C358" s="175" t="s">
        <v>481</v>
      </c>
      <c r="D358" s="176" t="s">
        <v>482</v>
      </c>
      <c r="E358" s="177" t="s">
        <v>780</v>
      </c>
      <c r="F358" s="175">
        <f t="shared" si="15"/>
        <v>9</v>
      </c>
      <c r="G358" s="175" t="str">
        <f t="shared" si="16"/>
        <v>Hickory</v>
      </c>
      <c r="H358" s="175" t="str">
        <f t="shared" si="17"/>
        <v>Hickory, NC</v>
      </c>
      <c r="I358" s="178" t="s">
        <v>2065</v>
      </c>
      <c r="J358" s="27" t="s">
        <v>482</v>
      </c>
      <c r="K358" s="27">
        <v>1253</v>
      </c>
      <c r="L358" s="179">
        <v>3865</v>
      </c>
      <c r="M358" s="180" t="s">
        <v>2066</v>
      </c>
      <c r="N358" s="181" t="s">
        <v>482</v>
      </c>
      <c r="O358" s="182" t="s">
        <v>2067</v>
      </c>
    </row>
    <row r="359" spans="1:15" ht="12">
      <c r="A359" s="148"/>
      <c r="B359" s="174" t="s">
        <v>781</v>
      </c>
      <c r="C359" s="175" t="s">
        <v>416</v>
      </c>
      <c r="D359" s="176" t="s">
        <v>417</v>
      </c>
      <c r="E359" s="177" t="s">
        <v>782</v>
      </c>
      <c r="F359" s="175">
        <f t="shared" si="15"/>
        <v>12</v>
      </c>
      <c r="G359" s="175" t="str">
        <f t="shared" si="16"/>
        <v>Hicksville</v>
      </c>
      <c r="H359" s="175" t="str">
        <f t="shared" si="17"/>
        <v>Hicksville, NY</v>
      </c>
      <c r="I359" s="178" t="s">
        <v>1915</v>
      </c>
      <c r="J359" s="27" t="s">
        <v>417</v>
      </c>
      <c r="K359" s="27">
        <v>706</v>
      </c>
      <c r="L359" s="179">
        <v>5647</v>
      </c>
      <c r="M359" s="178" t="s">
        <v>693</v>
      </c>
      <c r="N359" s="27" t="s">
        <v>690</v>
      </c>
      <c r="O359" s="182" t="s">
        <v>694</v>
      </c>
    </row>
    <row r="360" spans="1:15" ht="12">
      <c r="A360" s="148"/>
      <c r="B360" s="174" t="s">
        <v>783</v>
      </c>
      <c r="C360" s="175" t="s">
        <v>416</v>
      </c>
      <c r="D360" s="176" t="s">
        <v>417</v>
      </c>
      <c r="E360" s="177" t="s">
        <v>782</v>
      </c>
      <c r="F360" s="175">
        <f t="shared" si="15"/>
        <v>12</v>
      </c>
      <c r="G360" s="175" t="str">
        <f t="shared" si="16"/>
        <v>Hicksville</v>
      </c>
      <c r="H360" s="175" t="str">
        <f t="shared" si="17"/>
        <v>Hicksville, NY</v>
      </c>
      <c r="I360" s="178" t="s">
        <v>1915</v>
      </c>
      <c r="J360" s="27" t="s">
        <v>417</v>
      </c>
      <c r="K360" s="27">
        <v>706</v>
      </c>
      <c r="L360" s="179">
        <v>5647</v>
      </c>
      <c r="M360" s="178" t="s">
        <v>693</v>
      </c>
      <c r="N360" s="27" t="s">
        <v>690</v>
      </c>
      <c r="O360" s="182" t="s">
        <v>694</v>
      </c>
    </row>
    <row r="361" spans="1:15" ht="12">
      <c r="A361" s="148"/>
      <c r="B361" s="174" t="s">
        <v>784</v>
      </c>
      <c r="C361" s="175" t="s">
        <v>785</v>
      </c>
      <c r="D361" s="176" t="s">
        <v>786</v>
      </c>
      <c r="E361" s="177" t="s">
        <v>787</v>
      </c>
      <c r="F361" s="175">
        <f t="shared" si="15"/>
        <v>10</v>
      </c>
      <c r="G361" s="175" t="str">
        <f t="shared" si="16"/>
        <v>Honolulu</v>
      </c>
      <c r="H361" s="175" t="str">
        <f t="shared" si="17"/>
        <v>Honolulu, HI</v>
      </c>
      <c r="I361" s="178" t="s">
        <v>788</v>
      </c>
      <c r="J361" s="27" t="s">
        <v>786</v>
      </c>
      <c r="K361" s="27">
        <v>3284</v>
      </c>
      <c r="L361" s="179">
        <v>0</v>
      </c>
      <c r="M361" s="178" t="s">
        <v>789</v>
      </c>
      <c r="N361" s="27" t="s">
        <v>786</v>
      </c>
      <c r="O361" s="182" t="s">
        <v>790</v>
      </c>
    </row>
    <row r="362" spans="1:15" ht="12">
      <c r="A362" s="148"/>
      <c r="B362" s="174" t="s">
        <v>791</v>
      </c>
      <c r="C362" s="175" t="s">
        <v>785</v>
      </c>
      <c r="D362" s="176" t="s">
        <v>786</v>
      </c>
      <c r="E362" s="177" t="s">
        <v>787</v>
      </c>
      <c r="F362" s="175">
        <f t="shared" si="15"/>
        <v>10</v>
      </c>
      <c r="G362" s="175" t="str">
        <f t="shared" si="16"/>
        <v>Honolulu</v>
      </c>
      <c r="H362" s="175" t="str">
        <f t="shared" si="17"/>
        <v>Honolulu, HI</v>
      </c>
      <c r="I362" s="178" t="s">
        <v>792</v>
      </c>
      <c r="J362" s="27" t="s">
        <v>786</v>
      </c>
      <c r="K362" s="27">
        <v>4474</v>
      </c>
      <c r="L362" s="179">
        <v>0</v>
      </c>
      <c r="M362" s="178" t="s">
        <v>789</v>
      </c>
      <c r="N362" s="27" t="s">
        <v>786</v>
      </c>
      <c r="O362" s="182" t="s">
        <v>790</v>
      </c>
    </row>
    <row r="363" spans="1:15" ht="12">
      <c r="A363" s="148"/>
      <c r="B363" s="174" t="s">
        <v>793</v>
      </c>
      <c r="C363" s="175" t="s">
        <v>1633</v>
      </c>
      <c r="D363" s="176" t="s">
        <v>1634</v>
      </c>
      <c r="E363" s="177" t="s">
        <v>794</v>
      </c>
      <c r="F363" s="175">
        <f t="shared" si="15"/>
        <v>12</v>
      </c>
      <c r="G363" s="175" t="str">
        <f t="shared" si="16"/>
        <v>Hood River</v>
      </c>
      <c r="H363" s="175" t="str">
        <f t="shared" si="17"/>
        <v>Hood River, OR</v>
      </c>
      <c r="I363" s="178" t="s">
        <v>795</v>
      </c>
      <c r="J363" s="27" t="s">
        <v>1634</v>
      </c>
      <c r="K363" s="27">
        <v>247</v>
      </c>
      <c r="L363" s="179">
        <v>4927</v>
      </c>
      <c r="M363" s="178" t="s">
        <v>796</v>
      </c>
      <c r="N363" s="27" t="s">
        <v>1634</v>
      </c>
      <c r="O363" s="182" t="s">
        <v>797</v>
      </c>
    </row>
    <row r="364" spans="1:15" ht="12">
      <c r="A364" s="148"/>
      <c r="B364" s="174" t="s">
        <v>798</v>
      </c>
      <c r="C364" s="175" t="s">
        <v>1589</v>
      </c>
      <c r="D364" s="176" t="s">
        <v>1590</v>
      </c>
      <c r="E364" s="177" t="s">
        <v>799</v>
      </c>
      <c r="F364" s="175">
        <f t="shared" si="15"/>
        <v>6</v>
      </c>
      <c r="G364" s="175" t="str">
        <f t="shared" si="16"/>
        <v>Hope</v>
      </c>
      <c r="H364" s="175" t="str">
        <f t="shared" si="17"/>
        <v>Hope, AR</v>
      </c>
      <c r="I364" s="178" t="s">
        <v>1362</v>
      </c>
      <c r="J364" s="27" t="s">
        <v>1590</v>
      </c>
      <c r="K364" s="27">
        <v>2005</v>
      </c>
      <c r="L364" s="179">
        <v>3155</v>
      </c>
      <c r="M364" s="178" t="s">
        <v>1593</v>
      </c>
      <c r="N364" s="27" t="s">
        <v>1590</v>
      </c>
      <c r="O364" s="182" t="s">
        <v>1594</v>
      </c>
    </row>
    <row r="365" spans="1:15" ht="12">
      <c r="A365" s="148"/>
      <c r="B365" s="174" t="s">
        <v>800</v>
      </c>
      <c r="C365" s="175" t="s">
        <v>1589</v>
      </c>
      <c r="D365" s="176" t="s">
        <v>1590</v>
      </c>
      <c r="E365" s="177" t="s">
        <v>801</v>
      </c>
      <c r="F365" s="175">
        <f t="shared" si="15"/>
        <v>13</v>
      </c>
      <c r="G365" s="175" t="str">
        <f t="shared" si="16"/>
        <v>Hot Springs</v>
      </c>
      <c r="H365" s="175" t="str">
        <f t="shared" si="17"/>
        <v>Hot Springs, AR</v>
      </c>
      <c r="I365" s="178" t="s">
        <v>1362</v>
      </c>
      <c r="J365" s="27" t="s">
        <v>1590</v>
      </c>
      <c r="K365" s="27">
        <v>2005</v>
      </c>
      <c r="L365" s="179">
        <v>3155</v>
      </c>
      <c r="M365" s="178" t="s">
        <v>1593</v>
      </c>
      <c r="N365" s="27" t="s">
        <v>1590</v>
      </c>
      <c r="O365" s="182" t="s">
        <v>1594</v>
      </c>
    </row>
    <row r="366" spans="1:15" ht="12">
      <c r="A366" s="148"/>
      <c r="B366" s="174" t="s">
        <v>802</v>
      </c>
      <c r="C366" s="175" t="s">
        <v>489</v>
      </c>
      <c r="D366" s="176" t="s">
        <v>490</v>
      </c>
      <c r="E366" s="177" t="s">
        <v>803</v>
      </c>
      <c r="F366" s="175">
        <f t="shared" si="15"/>
        <v>10</v>
      </c>
      <c r="G366" s="175" t="str">
        <f t="shared" si="16"/>
        <v>Houghton</v>
      </c>
      <c r="H366" s="175" t="str">
        <f t="shared" si="17"/>
        <v>Houghton, MI</v>
      </c>
      <c r="I366" s="178" t="s">
        <v>804</v>
      </c>
      <c r="J366" s="27" t="s">
        <v>490</v>
      </c>
      <c r="K366" s="27">
        <v>256</v>
      </c>
      <c r="L366" s="179">
        <v>8218</v>
      </c>
      <c r="M366" s="180" t="s">
        <v>805</v>
      </c>
      <c r="N366" s="181" t="s">
        <v>490</v>
      </c>
      <c r="O366" s="182" t="s">
        <v>806</v>
      </c>
    </row>
    <row r="367" spans="1:15" ht="12">
      <c r="A367" s="148"/>
      <c r="B367" s="174" t="s">
        <v>807</v>
      </c>
      <c r="C367" s="175" t="s">
        <v>263</v>
      </c>
      <c r="D367" s="176" t="s">
        <v>264</v>
      </c>
      <c r="E367" s="177" t="s">
        <v>808</v>
      </c>
      <c r="F367" s="175">
        <f t="shared" si="15"/>
        <v>9</v>
      </c>
      <c r="G367" s="175" t="str">
        <f t="shared" si="16"/>
        <v>Houston</v>
      </c>
      <c r="H367" s="175" t="str">
        <f t="shared" si="17"/>
        <v>Houston, TX</v>
      </c>
      <c r="I367" s="178" t="s">
        <v>1654</v>
      </c>
      <c r="J367" s="27" t="s">
        <v>264</v>
      </c>
      <c r="K367" s="27">
        <v>2700</v>
      </c>
      <c r="L367" s="179">
        <v>1599</v>
      </c>
      <c r="M367" s="180" t="s">
        <v>1613</v>
      </c>
      <c r="N367" s="181" t="s">
        <v>264</v>
      </c>
      <c r="O367" s="182" t="s">
        <v>1614</v>
      </c>
    </row>
    <row r="368" spans="1:15" ht="12">
      <c r="A368" s="148"/>
      <c r="B368" s="174" t="s">
        <v>809</v>
      </c>
      <c r="C368" s="175" t="s">
        <v>263</v>
      </c>
      <c r="D368" s="176" t="s">
        <v>264</v>
      </c>
      <c r="E368" s="177" t="s">
        <v>808</v>
      </c>
      <c r="F368" s="175">
        <f t="shared" si="15"/>
        <v>9</v>
      </c>
      <c r="G368" s="175" t="str">
        <f t="shared" si="16"/>
        <v>Houston</v>
      </c>
      <c r="H368" s="175" t="str">
        <f t="shared" si="17"/>
        <v>Houston, TX</v>
      </c>
      <c r="I368" s="178" t="s">
        <v>1654</v>
      </c>
      <c r="J368" s="27" t="s">
        <v>264</v>
      </c>
      <c r="K368" s="27">
        <v>2700</v>
      </c>
      <c r="L368" s="179">
        <v>1599</v>
      </c>
      <c r="M368" s="180" t="s">
        <v>1613</v>
      </c>
      <c r="N368" s="181" t="s">
        <v>264</v>
      </c>
      <c r="O368" s="182" t="s">
        <v>1614</v>
      </c>
    </row>
    <row r="369" spans="1:15" ht="12">
      <c r="A369" s="148"/>
      <c r="B369" s="174" t="s">
        <v>810</v>
      </c>
      <c r="C369" s="175" t="s">
        <v>263</v>
      </c>
      <c r="D369" s="176" t="s">
        <v>264</v>
      </c>
      <c r="E369" s="177" t="s">
        <v>808</v>
      </c>
      <c r="F369" s="175">
        <f t="shared" si="15"/>
        <v>9</v>
      </c>
      <c r="G369" s="175" t="str">
        <f t="shared" si="16"/>
        <v>Houston</v>
      </c>
      <c r="H369" s="175" t="str">
        <f t="shared" si="17"/>
        <v>Houston, TX</v>
      </c>
      <c r="I369" s="178" t="s">
        <v>1654</v>
      </c>
      <c r="J369" s="27" t="s">
        <v>264</v>
      </c>
      <c r="K369" s="27">
        <v>2700</v>
      </c>
      <c r="L369" s="179">
        <v>1599</v>
      </c>
      <c r="M369" s="180" t="s">
        <v>1613</v>
      </c>
      <c r="N369" s="181" t="s">
        <v>264</v>
      </c>
      <c r="O369" s="182" t="s">
        <v>1614</v>
      </c>
    </row>
    <row r="370" spans="1:15" ht="12">
      <c r="A370" s="148"/>
      <c r="B370" s="174" t="s">
        <v>811</v>
      </c>
      <c r="C370" s="175" t="s">
        <v>263</v>
      </c>
      <c r="D370" s="176" t="s">
        <v>264</v>
      </c>
      <c r="E370" s="177" t="s">
        <v>808</v>
      </c>
      <c r="F370" s="175">
        <f t="shared" si="15"/>
        <v>9</v>
      </c>
      <c r="G370" s="175" t="str">
        <f t="shared" si="16"/>
        <v>Houston</v>
      </c>
      <c r="H370" s="175" t="str">
        <f t="shared" si="17"/>
        <v>Houston, TX</v>
      </c>
      <c r="I370" s="178" t="s">
        <v>1654</v>
      </c>
      <c r="J370" s="27" t="s">
        <v>264</v>
      </c>
      <c r="K370" s="27">
        <v>2700</v>
      </c>
      <c r="L370" s="179">
        <v>1599</v>
      </c>
      <c r="M370" s="180" t="s">
        <v>1613</v>
      </c>
      <c r="N370" s="181" t="s">
        <v>264</v>
      </c>
      <c r="O370" s="182" t="s">
        <v>1614</v>
      </c>
    </row>
    <row r="371" spans="1:15" ht="12">
      <c r="A371" s="148"/>
      <c r="B371" s="174" t="s">
        <v>812</v>
      </c>
      <c r="C371" s="175" t="s">
        <v>1617</v>
      </c>
      <c r="D371" s="176" t="s">
        <v>1530</v>
      </c>
      <c r="E371" s="177" t="s">
        <v>813</v>
      </c>
      <c r="F371" s="175">
        <f t="shared" si="15"/>
        <v>12</v>
      </c>
      <c r="G371" s="175" t="str">
        <f t="shared" si="16"/>
        <v>Huntington</v>
      </c>
      <c r="H371" s="175" t="str">
        <f t="shared" si="17"/>
        <v>Huntington, WV</v>
      </c>
      <c r="I371" s="178" t="s">
        <v>1319</v>
      </c>
      <c r="J371" s="27" t="s">
        <v>1530</v>
      </c>
      <c r="K371" s="27">
        <v>1031</v>
      </c>
      <c r="L371" s="179">
        <v>4646</v>
      </c>
      <c r="M371" s="180" t="s">
        <v>1531</v>
      </c>
      <c r="N371" s="181" t="s">
        <v>1530</v>
      </c>
      <c r="O371" s="182" t="s">
        <v>1532</v>
      </c>
    </row>
    <row r="372" spans="1:15" ht="12">
      <c r="A372" s="148"/>
      <c r="B372" s="174" t="s">
        <v>814</v>
      </c>
      <c r="C372" s="175" t="s">
        <v>1617</v>
      </c>
      <c r="D372" s="176" t="s">
        <v>1530</v>
      </c>
      <c r="E372" s="177" t="s">
        <v>813</v>
      </c>
      <c r="F372" s="175">
        <f t="shared" si="15"/>
        <v>12</v>
      </c>
      <c r="G372" s="175" t="str">
        <f t="shared" si="16"/>
        <v>Huntington</v>
      </c>
      <c r="H372" s="175" t="str">
        <f t="shared" si="17"/>
        <v>Huntington, WV</v>
      </c>
      <c r="I372" s="178" t="s">
        <v>1529</v>
      </c>
      <c r="J372" s="27" t="s">
        <v>1530</v>
      </c>
      <c r="K372" s="27">
        <v>1005</v>
      </c>
      <c r="L372" s="179">
        <v>4665</v>
      </c>
      <c r="M372" s="180" t="s">
        <v>1531</v>
      </c>
      <c r="N372" s="181" t="s">
        <v>1530</v>
      </c>
      <c r="O372" s="182" t="s">
        <v>1532</v>
      </c>
    </row>
    <row r="373" spans="1:15" ht="12">
      <c r="A373" s="148"/>
      <c r="B373" s="174" t="s">
        <v>815</v>
      </c>
      <c r="C373" s="175" t="s">
        <v>502</v>
      </c>
      <c r="D373" s="176" t="s">
        <v>503</v>
      </c>
      <c r="E373" s="177" t="s">
        <v>816</v>
      </c>
      <c r="F373" s="175">
        <f t="shared" si="15"/>
        <v>12</v>
      </c>
      <c r="G373" s="175" t="str">
        <f t="shared" si="16"/>
        <v>Huntsville</v>
      </c>
      <c r="H373" s="175" t="str">
        <f t="shared" si="17"/>
        <v>Huntsville, AL</v>
      </c>
      <c r="I373" s="178" t="s">
        <v>2360</v>
      </c>
      <c r="J373" s="27" t="s">
        <v>485</v>
      </c>
      <c r="K373" s="27">
        <v>1544</v>
      </c>
      <c r="L373" s="179">
        <v>3587</v>
      </c>
      <c r="M373" s="180" t="s">
        <v>2357</v>
      </c>
      <c r="N373" s="181" t="s">
        <v>485</v>
      </c>
      <c r="O373" s="182" t="s">
        <v>2358</v>
      </c>
    </row>
    <row r="374" spans="1:15" ht="12">
      <c r="A374" s="148"/>
      <c r="B374" s="174" t="s">
        <v>817</v>
      </c>
      <c r="C374" s="175" t="s">
        <v>502</v>
      </c>
      <c r="D374" s="176" t="s">
        <v>503</v>
      </c>
      <c r="E374" s="177" t="s">
        <v>816</v>
      </c>
      <c r="F374" s="175">
        <f t="shared" si="15"/>
        <v>12</v>
      </c>
      <c r="G374" s="175" t="str">
        <f t="shared" si="16"/>
        <v>Huntsville</v>
      </c>
      <c r="H374" s="175" t="str">
        <f t="shared" si="17"/>
        <v>Huntsville, AL</v>
      </c>
      <c r="I374" s="178" t="s">
        <v>2356</v>
      </c>
      <c r="J374" s="27" t="s">
        <v>503</v>
      </c>
      <c r="K374" s="27">
        <v>1651</v>
      </c>
      <c r="L374" s="179">
        <v>3323</v>
      </c>
      <c r="M374" s="180" t="s">
        <v>1697</v>
      </c>
      <c r="N374" s="181" t="s">
        <v>503</v>
      </c>
      <c r="O374" s="182" t="s">
        <v>1698</v>
      </c>
    </row>
    <row r="375" spans="1:15" ht="12">
      <c r="A375" s="148"/>
      <c r="B375" s="174" t="s">
        <v>818</v>
      </c>
      <c r="C375" s="175" t="s">
        <v>1506</v>
      </c>
      <c r="D375" s="176" t="s">
        <v>1507</v>
      </c>
      <c r="E375" s="177" t="s">
        <v>819</v>
      </c>
      <c r="F375" s="175">
        <f t="shared" si="15"/>
        <v>12</v>
      </c>
      <c r="G375" s="175" t="str">
        <f t="shared" si="16"/>
        <v>Hutchinson</v>
      </c>
      <c r="H375" s="175" t="str">
        <f t="shared" si="17"/>
        <v>Hutchinson, KS</v>
      </c>
      <c r="I375" s="178" t="s">
        <v>1053</v>
      </c>
      <c r="J375" s="27" t="s">
        <v>1507</v>
      </c>
      <c r="K375" s="27">
        <v>1628</v>
      </c>
      <c r="L375" s="179">
        <v>4791</v>
      </c>
      <c r="M375" s="180" t="s">
        <v>1727</v>
      </c>
      <c r="N375" s="181" t="s">
        <v>1507</v>
      </c>
      <c r="O375" s="182" t="s">
        <v>1728</v>
      </c>
    </row>
    <row r="376" spans="1:15" ht="12">
      <c r="A376" s="148"/>
      <c r="B376" s="186" t="s">
        <v>820</v>
      </c>
      <c r="C376" s="175" t="s">
        <v>2299</v>
      </c>
      <c r="D376" s="176" t="s">
        <v>2300</v>
      </c>
      <c r="E376" s="177" t="s">
        <v>83</v>
      </c>
      <c r="F376" s="175">
        <f t="shared" si="15"/>
        <v>9</v>
      </c>
      <c r="G376" s="175" t="str">
        <f t="shared" si="16"/>
        <v>Hyannis</v>
      </c>
      <c r="H376" s="175" t="str">
        <f t="shared" si="17"/>
        <v>Hyannis, MA</v>
      </c>
      <c r="I376" s="178" t="s">
        <v>2269</v>
      </c>
      <c r="J376" s="27" t="s">
        <v>2270</v>
      </c>
      <c r="K376" s="27">
        <v>606</v>
      </c>
      <c r="L376" s="179">
        <v>5884</v>
      </c>
      <c r="M376" s="180" t="s">
        <v>2271</v>
      </c>
      <c r="N376" s="181" t="s">
        <v>2270</v>
      </c>
      <c r="O376" s="182" t="s">
        <v>2272</v>
      </c>
    </row>
    <row r="377" spans="1:15" ht="12">
      <c r="A377" s="148"/>
      <c r="B377" s="174" t="s">
        <v>84</v>
      </c>
      <c r="C377" s="175" t="s">
        <v>2291</v>
      </c>
      <c r="D377" s="176" t="s">
        <v>2292</v>
      </c>
      <c r="E377" s="177" t="s">
        <v>85</v>
      </c>
      <c r="F377" s="175">
        <f t="shared" si="15"/>
        <v>13</v>
      </c>
      <c r="G377" s="175" t="str">
        <f t="shared" si="16"/>
        <v>Idaho Falls</v>
      </c>
      <c r="H377" s="175" t="str">
        <f t="shared" si="17"/>
        <v>Idaho Falls, ID</v>
      </c>
      <c r="I377" s="178" t="s">
        <v>86</v>
      </c>
      <c r="J377" s="27" t="s">
        <v>2292</v>
      </c>
      <c r="K377" s="27">
        <v>421</v>
      </c>
      <c r="L377" s="179">
        <v>7180</v>
      </c>
      <c r="M377" s="180" t="s">
        <v>87</v>
      </c>
      <c r="N377" s="181" t="s">
        <v>2292</v>
      </c>
      <c r="O377" s="182" t="s">
        <v>88</v>
      </c>
    </row>
    <row r="378" spans="1:15" ht="12">
      <c r="A378" s="148"/>
      <c r="B378" s="174" t="s">
        <v>89</v>
      </c>
      <c r="C378" s="175" t="s">
        <v>1506</v>
      </c>
      <c r="D378" s="176" t="s">
        <v>1507</v>
      </c>
      <c r="E378" s="177" t="s">
        <v>90</v>
      </c>
      <c r="F378" s="175">
        <f t="shared" si="15"/>
        <v>14</v>
      </c>
      <c r="G378" s="175" t="str">
        <f t="shared" si="16"/>
        <v>Independence</v>
      </c>
      <c r="H378" s="175" t="str">
        <f t="shared" si="17"/>
        <v>Independence, KS</v>
      </c>
      <c r="I378" s="178" t="s">
        <v>1925</v>
      </c>
      <c r="J378" s="27" t="s">
        <v>1378</v>
      </c>
      <c r="K378" s="27">
        <v>1320</v>
      </c>
      <c r="L378" s="179">
        <v>4638</v>
      </c>
      <c r="M378" s="180" t="s">
        <v>1651</v>
      </c>
      <c r="N378" s="181" t="s">
        <v>1378</v>
      </c>
      <c r="O378" s="182" t="s">
        <v>1926</v>
      </c>
    </row>
    <row r="379" spans="1:15" ht="12">
      <c r="A379" s="148"/>
      <c r="B379" s="174" t="s">
        <v>91</v>
      </c>
      <c r="C379" s="175" t="s">
        <v>449</v>
      </c>
      <c r="D379" s="176" t="s">
        <v>450</v>
      </c>
      <c r="E379" s="177" t="s">
        <v>2280</v>
      </c>
      <c r="F379" s="175">
        <f t="shared" si="15"/>
        <v>9</v>
      </c>
      <c r="G379" s="175" t="str">
        <f t="shared" si="16"/>
        <v>Indiana</v>
      </c>
      <c r="H379" s="175" t="str">
        <f t="shared" si="17"/>
        <v>Indiana, PA</v>
      </c>
      <c r="I379" s="178" t="s">
        <v>464</v>
      </c>
      <c r="J379" s="27" t="s">
        <v>450</v>
      </c>
      <c r="K379" s="27">
        <v>654</v>
      </c>
      <c r="L379" s="179">
        <v>5968</v>
      </c>
      <c r="M379" s="180" t="s">
        <v>465</v>
      </c>
      <c r="N379" s="181" t="s">
        <v>450</v>
      </c>
      <c r="O379" s="182" t="s">
        <v>466</v>
      </c>
    </row>
    <row r="380" spans="1:15" ht="12">
      <c r="A380" s="148"/>
      <c r="B380" s="174" t="s">
        <v>92</v>
      </c>
      <c r="C380" s="175" t="s">
        <v>2280</v>
      </c>
      <c r="D380" s="176" t="s">
        <v>2281</v>
      </c>
      <c r="E380" s="177" t="s">
        <v>93</v>
      </c>
      <c r="F380" s="175">
        <f t="shared" si="15"/>
        <v>14</v>
      </c>
      <c r="G380" s="175" t="str">
        <f t="shared" si="16"/>
        <v>Indianapolis</v>
      </c>
      <c r="H380" s="175" t="str">
        <f t="shared" si="17"/>
        <v>Indianapolis, IN</v>
      </c>
      <c r="I380" s="178" t="s">
        <v>2282</v>
      </c>
      <c r="J380" s="27" t="s">
        <v>2281</v>
      </c>
      <c r="K380" s="27">
        <v>1014</v>
      </c>
      <c r="L380" s="179">
        <v>5615</v>
      </c>
      <c r="M380" s="178" t="s">
        <v>2283</v>
      </c>
      <c r="N380" s="27" t="s">
        <v>2281</v>
      </c>
      <c r="O380" s="182" t="s">
        <v>2284</v>
      </c>
    </row>
    <row r="381" spans="1:15" ht="12">
      <c r="A381" s="148"/>
      <c r="B381" s="174" t="s">
        <v>94</v>
      </c>
      <c r="C381" s="175" t="s">
        <v>2280</v>
      </c>
      <c r="D381" s="176" t="s">
        <v>2281</v>
      </c>
      <c r="E381" s="177" t="s">
        <v>93</v>
      </c>
      <c r="F381" s="175">
        <f t="shared" si="15"/>
        <v>14</v>
      </c>
      <c r="G381" s="175" t="str">
        <f t="shared" si="16"/>
        <v>Indianapolis</v>
      </c>
      <c r="H381" s="175" t="str">
        <f t="shared" si="17"/>
        <v>Indianapolis, IN</v>
      </c>
      <c r="I381" s="178" t="s">
        <v>2282</v>
      </c>
      <c r="J381" s="27" t="s">
        <v>2281</v>
      </c>
      <c r="K381" s="27">
        <v>1014</v>
      </c>
      <c r="L381" s="179">
        <v>5615</v>
      </c>
      <c r="M381" s="178" t="s">
        <v>2283</v>
      </c>
      <c r="N381" s="27" t="s">
        <v>2281</v>
      </c>
      <c r="O381" s="182" t="s">
        <v>2284</v>
      </c>
    </row>
    <row r="382" spans="1:15" ht="12">
      <c r="A382" s="148"/>
      <c r="B382" s="174" t="s">
        <v>95</v>
      </c>
      <c r="C382" s="175" t="s">
        <v>2280</v>
      </c>
      <c r="D382" s="176" t="s">
        <v>2281</v>
      </c>
      <c r="E382" s="177" t="s">
        <v>93</v>
      </c>
      <c r="F382" s="175">
        <f t="shared" si="15"/>
        <v>14</v>
      </c>
      <c r="G382" s="175" t="str">
        <f t="shared" si="16"/>
        <v>Indianapolis</v>
      </c>
      <c r="H382" s="175" t="str">
        <f t="shared" si="17"/>
        <v>Indianapolis, IN</v>
      </c>
      <c r="I382" s="178" t="s">
        <v>2282</v>
      </c>
      <c r="J382" s="27" t="s">
        <v>2281</v>
      </c>
      <c r="K382" s="27">
        <v>1014</v>
      </c>
      <c r="L382" s="179">
        <v>5615</v>
      </c>
      <c r="M382" s="178" t="s">
        <v>2283</v>
      </c>
      <c r="N382" s="27" t="s">
        <v>2281</v>
      </c>
      <c r="O382" s="182" t="s">
        <v>2284</v>
      </c>
    </row>
    <row r="383" spans="1:15" ht="12">
      <c r="A383" s="148"/>
      <c r="B383" s="174" t="s">
        <v>96</v>
      </c>
      <c r="C383" s="175" t="s">
        <v>442</v>
      </c>
      <c r="D383" s="176" t="s">
        <v>443</v>
      </c>
      <c r="E383" s="177" t="s">
        <v>97</v>
      </c>
      <c r="F383" s="175">
        <f t="shared" si="15"/>
        <v>11</v>
      </c>
      <c r="G383" s="175" t="str">
        <f t="shared" si="16"/>
        <v>Inglewood</v>
      </c>
      <c r="H383" s="175" t="str">
        <f t="shared" si="17"/>
        <v>Inglewood, CA</v>
      </c>
      <c r="I383" s="178" t="s">
        <v>98</v>
      </c>
      <c r="J383" s="27" t="s">
        <v>443</v>
      </c>
      <c r="K383" s="27">
        <v>727</v>
      </c>
      <c r="L383" s="179">
        <v>1458</v>
      </c>
      <c r="M383" s="178" t="s">
        <v>446</v>
      </c>
      <c r="N383" s="27" t="s">
        <v>443</v>
      </c>
      <c r="O383" s="182" t="s">
        <v>447</v>
      </c>
    </row>
    <row r="384" spans="1:15" ht="12">
      <c r="A384" s="148"/>
      <c r="B384" s="174" t="s">
        <v>99</v>
      </c>
      <c r="C384" s="175" t="s">
        <v>489</v>
      </c>
      <c r="D384" s="176" t="s">
        <v>490</v>
      </c>
      <c r="E384" s="177" t="s">
        <v>100</v>
      </c>
      <c r="F384" s="175">
        <f t="shared" si="15"/>
        <v>15</v>
      </c>
      <c r="G384" s="175" t="str">
        <f t="shared" si="16"/>
        <v>Iron Mountain</v>
      </c>
      <c r="H384" s="175" t="str">
        <f t="shared" si="17"/>
        <v>Iron Mountain, MI</v>
      </c>
      <c r="I384" s="178" t="s">
        <v>101</v>
      </c>
      <c r="J384" s="27" t="s">
        <v>490</v>
      </c>
      <c r="K384" s="27">
        <v>155</v>
      </c>
      <c r="L384" s="179">
        <v>9567</v>
      </c>
      <c r="M384" s="180" t="s">
        <v>805</v>
      </c>
      <c r="N384" s="181" t="s">
        <v>490</v>
      </c>
      <c r="O384" s="182" t="s">
        <v>806</v>
      </c>
    </row>
    <row r="385" spans="1:15" ht="12">
      <c r="A385" s="148"/>
      <c r="B385" s="174" t="s">
        <v>102</v>
      </c>
      <c r="C385" s="175" t="s">
        <v>416</v>
      </c>
      <c r="D385" s="176" t="s">
        <v>417</v>
      </c>
      <c r="E385" s="177" t="s">
        <v>103</v>
      </c>
      <c r="F385" s="175">
        <f t="shared" si="15"/>
        <v>8</v>
      </c>
      <c r="G385" s="175" t="str">
        <f t="shared" si="16"/>
        <v>Ithaca</v>
      </c>
      <c r="H385" s="175" t="str">
        <f t="shared" si="17"/>
        <v>Ithaca, NY</v>
      </c>
      <c r="I385" s="178" t="s">
        <v>104</v>
      </c>
      <c r="J385" s="27" t="s">
        <v>417</v>
      </c>
      <c r="K385" s="27">
        <v>438</v>
      </c>
      <c r="L385" s="179">
        <v>6834</v>
      </c>
      <c r="M385" s="180" t="s">
        <v>1046</v>
      </c>
      <c r="N385" s="181" t="s">
        <v>417</v>
      </c>
      <c r="O385" s="182" t="s">
        <v>1047</v>
      </c>
    </row>
    <row r="386" spans="1:15" ht="12">
      <c r="A386" s="148"/>
      <c r="B386" s="174" t="s">
        <v>105</v>
      </c>
      <c r="C386" s="175" t="s">
        <v>489</v>
      </c>
      <c r="D386" s="176" t="s">
        <v>490</v>
      </c>
      <c r="E386" s="177" t="s">
        <v>106</v>
      </c>
      <c r="F386" s="175">
        <f t="shared" si="15"/>
        <v>9</v>
      </c>
      <c r="G386" s="175" t="str">
        <f t="shared" si="16"/>
        <v>Jackson</v>
      </c>
      <c r="H386" s="175" t="str">
        <f t="shared" si="17"/>
        <v>Jackson, MI</v>
      </c>
      <c r="I386" s="178" t="s">
        <v>666</v>
      </c>
      <c r="J386" s="27" t="s">
        <v>395</v>
      </c>
      <c r="K386" s="27">
        <v>610</v>
      </c>
      <c r="L386" s="179">
        <v>6579</v>
      </c>
      <c r="M386" s="180" t="s">
        <v>667</v>
      </c>
      <c r="N386" s="181" t="s">
        <v>395</v>
      </c>
      <c r="O386" s="182" t="s">
        <v>668</v>
      </c>
    </row>
    <row r="387" spans="1:15" ht="12">
      <c r="A387" s="148"/>
      <c r="B387" s="174" t="s">
        <v>107</v>
      </c>
      <c r="C387" s="175" t="s">
        <v>630</v>
      </c>
      <c r="D387" s="176" t="s">
        <v>1346</v>
      </c>
      <c r="E387" s="177" t="s">
        <v>106</v>
      </c>
      <c r="F387" s="175">
        <f t="shared" si="15"/>
        <v>9</v>
      </c>
      <c r="G387" s="175" t="str">
        <f t="shared" si="16"/>
        <v>Jackson</v>
      </c>
      <c r="H387" s="175" t="str">
        <f t="shared" si="17"/>
        <v>Jackson, MS</v>
      </c>
      <c r="I387" s="178" t="s">
        <v>2074</v>
      </c>
      <c r="J387" s="27" t="s">
        <v>1346</v>
      </c>
      <c r="K387" s="27">
        <v>2215</v>
      </c>
      <c r="L387" s="179">
        <v>2467</v>
      </c>
      <c r="M387" s="180" t="s">
        <v>1347</v>
      </c>
      <c r="N387" s="181" t="s">
        <v>1346</v>
      </c>
      <c r="O387" s="182" t="s">
        <v>1348</v>
      </c>
    </row>
    <row r="388" spans="1:15" ht="12">
      <c r="A388" s="148"/>
      <c r="B388" s="174" t="s">
        <v>108</v>
      </c>
      <c r="C388" s="175" t="s">
        <v>630</v>
      </c>
      <c r="D388" s="176" t="s">
        <v>1346</v>
      </c>
      <c r="E388" s="177" t="s">
        <v>106</v>
      </c>
      <c r="F388" s="175">
        <f t="shared" si="15"/>
        <v>9</v>
      </c>
      <c r="G388" s="175" t="str">
        <f t="shared" si="16"/>
        <v>Jackson</v>
      </c>
      <c r="H388" s="175" t="str">
        <f t="shared" si="17"/>
        <v>Jackson, MS</v>
      </c>
      <c r="I388" s="178" t="s">
        <v>2074</v>
      </c>
      <c r="J388" s="27" t="s">
        <v>1346</v>
      </c>
      <c r="K388" s="27">
        <v>2215</v>
      </c>
      <c r="L388" s="179">
        <v>2467</v>
      </c>
      <c r="M388" s="180" t="s">
        <v>1347</v>
      </c>
      <c r="N388" s="181" t="s">
        <v>1346</v>
      </c>
      <c r="O388" s="182" t="s">
        <v>1348</v>
      </c>
    </row>
    <row r="389" spans="1:15" ht="12">
      <c r="A389" s="148"/>
      <c r="B389" s="174" t="s">
        <v>109</v>
      </c>
      <c r="C389" s="175" t="s">
        <v>630</v>
      </c>
      <c r="D389" s="176" t="s">
        <v>1346</v>
      </c>
      <c r="E389" s="177" t="s">
        <v>106</v>
      </c>
      <c r="F389" s="175">
        <f t="shared" si="15"/>
        <v>9</v>
      </c>
      <c r="G389" s="175" t="str">
        <f t="shared" si="16"/>
        <v>Jackson</v>
      </c>
      <c r="H389" s="175" t="str">
        <f t="shared" si="17"/>
        <v>Jackson, MS</v>
      </c>
      <c r="I389" s="178" t="s">
        <v>2074</v>
      </c>
      <c r="J389" s="27" t="s">
        <v>1346</v>
      </c>
      <c r="K389" s="27">
        <v>2215</v>
      </c>
      <c r="L389" s="179">
        <v>2467</v>
      </c>
      <c r="M389" s="180" t="s">
        <v>1347</v>
      </c>
      <c r="N389" s="181" t="s">
        <v>1346</v>
      </c>
      <c r="O389" s="182" t="s">
        <v>1348</v>
      </c>
    </row>
    <row r="390" spans="1:15" ht="12">
      <c r="A390" s="148"/>
      <c r="B390" s="174" t="s">
        <v>110</v>
      </c>
      <c r="C390" s="175" t="s">
        <v>2354</v>
      </c>
      <c r="D390" s="176" t="s">
        <v>485</v>
      </c>
      <c r="E390" s="177" t="s">
        <v>106</v>
      </c>
      <c r="F390" s="175">
        <f t="shared" ref="F390:F453" si="18">LEN(E390)</f>
        <v>9</v>
      </c>
      <c r="G390" s="175" t="str">
        <f t="shared" ref="G390:G453" si="19">MID(E390,2,F390-2)</f>
        <v>Jackson</v>
      </c>
      <c r="H390" s="175" t="str">
        <f t="shared" ref="H390:H453" si="20">CONCATENATE(G390,", ",+D390)</f>
        <v>Jackson, TN</v>
      </c>
      <c r="I390" s="178" t="s">
        <v>2356</v>
      </c>
      <c r="J390" s="27" t="s">
        <v>503</v>
      </c>
      <c r="K390" s="27">
        <v>1651</v>
      </c>
      <c r="L390" s="179">
        <v>3323</v>
      </c>
      <c r="M390" s="180" t="s">
        <v>1697</v>
      </c>
      <c r="N390" s="181" t="s">
        <v>503</v>
      </c>
      <c r="O390" s="182" t="s">
        <v>1698</v>
      </c>
    </row>
    <row r="391" spans="1:15" ht="12">
      <c r="A391" s="148"/>
      <c r="B391" s="174" t="s">
        <v>111</v>
      </c>
      <c r="C391" s="175" t="s">
        <v>1413</v>
      </c>
      <c r="D391" s="176" t="s">
        <v>1414</v>
      </c>
      <c r="E391" s="177" t="s">
        <v>106</v>
      </c>
      <c r="F391" s="175">
        <f t="shared" si="18"/>
        <v>9</v>
      </c>
      <c r="G391" s="175" t="str">
        <f t="shared" si="19"/>
        <v>Jackson</v>
      </c>
      <c r="H391" s="175" t="str">
        <f t="shared" si="20"/>
        <v>Jackson, WY</v>
      </c>
      <c r="I391" s="178" t="s">
        <v>112</v>
      </c>
      <c r="J391" s="27" t="s">
        <v>1414</v>
      </c>
      <c r="K391" s="27">
        <v>479</v>
      </c>
      <c r="L391" s="179">
        <v>7889</v>
      </c>
      <c r="M391" s="180" t="s">
        <v>1417</v>
      </c>
      <c r="N391" s="181" t="s">
        <v>1414</v>
      </c>
      <c r="O391" s="182" t="s">
        <v>2315</v>
      </c>
    </row>
    <row r="392" spans="1:15" ht="12">
      <c r="A392" s="148"/>
      <c r="B392" s="174" t="s">
        <v>113</v>
      </c>
      <c r="C392" s="175" t="s">
        <v>670</v>
      </c>
      <c r="D392" s="176" t="s">
        <v>671</v>
      </c>
      <c r="E392" s="177" t="s">
        <v>114</v>
      </c>
      <c r="F392" s="175">
        <f t="shared" si="18"/>
        <v>14</v>
      </c>
      <c r="G392" s="175" t="str">
        <f t="shared" si="19"/>
        <v>Jacksonville</v>
      </c>
      <c r="H392" s="175" t="str">
        <f t="shared" si="20"/>
        <v>Jacksonville, FL</v>
      </c>
      <c r="I392" s="178" t="s">
        <v>115</v>
      </c>
      <c r="J392" s="27" t="s">
        <v>671</v>
      </c>
      <c r="K392" s="27">
        <v>2551</v>
      </c>
      <c r="L392" s="179">
        <v>1434</v>
      </c>
      <c r="M392" s="178" t="s">
        <v>1996</v>
      </c>
      <c r="N392" s="27" t="s">
        <v>671</v>
      </c>
      <c r="O392" s="182" t="s">
        <v>1997</v>
      </c>
    </row>
    <row r="393" spans="1:15" ht="12">
      <c r="A393" s="148"/>
      <c r="B393" s="174" t="s">
        <v>116</v>
      </c>
      <c r="C393" s="175" t="s">
        <v>670</v>
      </c>
      <c r="D393" s="176" t="s">
        <v>671</v>
      </c>
      <c r="E393" s="177" t="s">
        <v>114</v>
      </c>
      <c r="F393" s="175">
        <f t="shared" si="18"/>
        <v>14</v>
      </c>
      <c r="G393" s="175" t="str">
        <f t="shared" si="19"/>
        <v>Jacksonville</v>
      </c>
      <c r="H393" s="175" t="str">
        <f t="shared" si="20"/>
        <v>Jacksonville, FL</v>
      </c>
      <c r="I393" s="178" t="s">
        <v>115</v>
      </c>
      <c r="J393" s="27" t="s">
        <v>671</v>
      </c>
      <c r="K393" s="27">
        <v>2551</v>
      </c>
      <c r="L393" s="179">
        <v>1434</v>
      </c>
      <c r="M393" s="178" t="s">
        <v>1996</v>
      </c>
      <c r="N393" s="27" t="s">
        <v>671</v>
      </c>
      <c r="O393" s="182" t="s">
        <v>1997</v>
      </c>
    </row>
    <row r="394" spans="1:15" ht="12">
      <c r="A394" s="148"/>
      <c r="B394" s="174" t="s">
        <v>117</v>
      </c>
      <c r="C394" s="175" t="s">
        <v>670</v>
      </c>
      <c r="D394" s="176" t="s">
        <v>671</v>
      </c>
      <c r="E394" s="177" t="s">
        <v>114</v>
      </c>
      <c r="F394" s="175">
        <f t="shared" si="18"/>
        <v>14</v>
      </c>
      <c r="G394" s="175" t="str">
        <f t="shared" si="19"/>
        <v>Jacksonville</v>
      </c>
      <c r="H394" s="175" t="str">
        <f t="shared" si="20"/>
        <v>Jacksonville, FL</v>
      </c>
      <c r="I394" s="178" t="s">
        <v>115</v>
      </c>
      <c r="J394" s="27" t="s">
        <v>671</v>
      </c>
      <c r="K394" s="27">
        <v>2551</v>
      </c>
      <c r="L394" s="179">
        <v>1434</v>
      </c>
      <c r="M394" s="178" t="s">
        <v>1996</v>
      </c>
      <c r="N394" s="27" t="s">
        <v>671</v>
      </c>
      <c r="O394" s="182" t="s">
        <v>1997</v>
      </c>
    </row>
    <row r="395" spans="1:15" ht="12">
      <c r="A395" s="148"/>
      <c r="B395" s="174" t="s">
        <v>118</v>
      </c>
      <c r="C395" s="175" t="s">
        <v>416</v>
      </c>
      <c r="D395" s="176" t="s">
        <v>417</v>
      </c>
      <c r="E395" s="177" t="s">
        <v>119</v>
      </c>
      <c r="F395" s="175">
        <f t="shared" si="18"/>
        <v>9</v>
      </c>
      <c r="G395" s="175" t="str">
        <f t="shared" si="19"/>
        <v>Jamaica</v>
      </c>
      <c r="H395" s="175" t="str">
        <f t="shared" si="20"/>
        <v>Jamaica, NY</v>
      </c>
      <c r="I395" s="178" t="s">
        <v>1947</v>
      </c>
      <c r="J395" s="27" t="s">
        <v>417</v>
      </c>
      <c r="K395" s="27">
        <v>921</v>
      </c>
      <c r="L395" s="179">
        <v>5027</v>
      </c>
      <c r="M395" s="180" t="s">
        <v>2277</v>
      </c>
      <c r="N395" s="181" t="s">
        <v>417</v>
      </c>
      <c r="O395" s="182" t="s">
        <v>1298</v>
      </c>
    </row>
    <row r="396" spans="1:15" ht="12">
      <c r="A396" s="148"/>
      <c r="B396" s="174" t="s">
        <v>120</v>
      </c>
      <c r="C396" s="175" t="s">
        <v>1445</v>
      </c>
      <c r="D396" s="176" t="s">
        <v>260</v>
      </c>
      <c r="E396" s="177" t="s">
        <v>121</v>
      </c>
      <c r="F396" s="175">
        <f t="shared" si="18"/>
        <v>11</v>
      </c>
      <c r="G396" s="175" t="str">
        <f t="shared" si="19"/>
        <v>Jamestown</v>
      </c>
      <c r="H396" s="175" t="str">
        <f t="shared" si="20"/>
        <v>Jamestown, ND</v>
      </c>
      <c r="I396" s="178" t="s">
        <v>1643</v>
      </c>
      <c r="J396" s="27" t="s">
        <v>260</v>
      </c>
      <c r="K396" s="27">
        <v>488</v>
      </c>
      <c r="L396" s="179">
        <v>8968</v>
      </c>
      <c r="M396" s="180" t="s">
        <v>1644</v>
      </c>
      <c r="N396" s="181" t="s">
        <v>260</v>
      </c>
      <c r="O396" s="182" t="s">
        <v>1645</v>
      </c>
    </row>
    <row r="397" spans="1:15" ht="12">
      <c r="A397" s="148"/>
      <c r="B397" s="174" t="s">
        <v>122</v>
      </c>
      <c r="C397" s="175" t="s">
        <v>416</v>
      </c>
      <c r="D397" s="176" t="s">
        <v>417</v>
      </c>
      <c r="E397" s="177" t="s">
        <v>121</v>
      </c>
      <c r="F397" s="175">
        <f t="shared" si="18"/>
        <v>11</v>
      </c>
      <c r="G397" s="175" t="str">
        <f t="shared" si="19"/>
        <v>Jamestown</v>
      </c>
      <c r="H397" s="175" t="str">
        <f t="shared" si="20"/>
        <v>Jamestown, NY</v>
      </c>
      <c r="I397" s="178" t="s">
        <v>678</v>
      </c>
      <c r="J397" s="27" t="s">
        <v>450</v>
      </c>
      <c r="K397" s="27">
        <v>550</v>
      </c>
      <c r="L397" s="179">
        <v>6279</v>
      </c>
      <c r="M397" s="180" t="s">
        <v>679</v>
      </c>
      <c r="N397" s="181" t="s">
        <v>450</v>
      </c>
      <c r="O397" s="182" t="s">
        <v>680</v>
      </c>
    </row>
    <row r="398" spans="1:15" ht="12">
      <c r="A398" s="148"/>
      <c r="B398" s="174" t="s">
        <v>123</v>
      </c>
      <c r="C398" s="175" t="s">
        <v>502</v>
      </c>
      <c r="D398" s="176" t="s">
        <v>503</v>
      </c>
      <c r="E398" s="177" t="s">
        <v>124</v>
      </c>
      <c r="F398" s="175">
        <f t="shared" si="18"/>
        <v>8</v>
      </c>
      <c r="G398" s="175" t="str">
        <f t="shared" si="19"/>
        <v>Jasper</v>
      </c>
      <c r="H398" s="175" t="str">
        <f t="shared" si="20"/>
        <v>Jasper, AL</v>
      </c>
      <c r="I398" s="178" t="s">
        <v>2356</v>
      </c>
      <c r="J398" s="27" t="s">
        <v>503</v>
      </c>
      <c r="K398" s="27">
        <v>1651</v>
      </c>
      <c r="L398" s="179">
        <v>3323</v>
      </c>
      <c r="M398" s="180" t="s">
        <v>1697</v>
      </c>
      <c r="N398" s="181" t="s">
        <v>503</v>
      </c>
      <c r="O398" s="182" t="s">
        <v>1698</v>
      </c>
    </row>
    <row r="399" spans="1:15" ht="12">
      <c r="A399" s="148"/>
      <c r="B399" s="174" t="s">
        <v>125</v>
      </c>
      <c r="C399" s="175" t="s">
        <v>1377</v>
      </c>
      <c r="D399" s="176" t="s">
        <v>1378</v>
      </c>
      <c r="E399" s="177" t="s">
        <v>126</v>
      </c>
      <c r="F399" s="175">
        <f t="shared" si="18"/>
        <v>16</v>
      </c>
      <c r="G399" s="175" t="str">
        <f t="shared" si="19"/>
        <v>Jefferson_City</v>
      </c>
      <c r="H399" s="175" t="str">
        <f t="shared" si="20"/>
        <v>Jefferson_City, MO</v>
      </c>
      <c r="I399" s="178" t="s">
        <v>1380</v>
      </c>
      <c r="J399" s="27" t="s">
        <v>1378</v>
      </c>
      <c r="K399" s="27">
        <v>1534</v>
      </c>
      <c r="L399" s="179">
        <v>4758</v>
      </c>
      <c r="M399" s="178" t="s">
        <v>1381</v>
      </c>
      <c r="N399" s="27" t="s">
        <v>1378</v>
      </c>
      <c r="O399" s="182" t="s">
        <v>1382</v>
      </c>
    </row>
    <row r="400" spans="1:15" ht="12">
      <c r="A400" s="148"/>
      <c r="B400" s="174" t="s">
        <v>127</v>
      </c>
      <c r="C400" s="175" t="s">
        <v>1377</v>
      </c>
      <c r="D400" s="176" t="s">
        <v>1378</v>
      </c>
      <c r="E400" s="177" t="s">
        <v>126</v>
      </c>
      <c r="F400" s="175">
        <f t="shared" si="18"/>
        <v>16</v>
      </c>
      <c r="G400" s="175" t="str">
        <f t="shared" si="19"/>
        <v>Jefferson_City</v>
      </c>
      <c r="H400" s="175" t="str">
        <f t="shared" si="20"/>
        <v>Jefferson_City, MO</v>
      </c>
      <c r="I400" s="178" t="s">
        <v>1518</v>
      </c>
      <c r="J400" s="27" t="s">
        <v>1378</v>
      </c>
      <c r="K400" s="27">
        <v>1189</v>
      </c>
      <c r="L400" s="179">
        <v>5212</v>
      </c>
      <c r="M400" s="178" t="s">
        <v>1381</v>
      </c>
      <c r="N400" s="27" t="s">
        <v>1378</v>
      </c>
      <c r="O400" s="182" t="s">
        <v>1382</v>
      </c>
    </row>
    <row r="401" spans="1:15" ht="12">
      <c r="A401" s="148"/>
      <c r="B401" s="186" t="s">
        <v>128</v>
      </c>
      <c r="C401" s="175" t="s">
        <v>1548</v>
      </c>
      <c r="D401" s="176" t="s">
        <v>1549</v>
      </c>
      <c r="E401" s="177" t="s">
        <v>129</v>
      </c>
      <c r="F401" s="175">
        <f t="shared" si="18"/>
        <v>13</v>
      </c>
      <c r="G401" s="175" t="str">
        <f t="shared" si="19"/>
        <v>Jersey_City</v>
      </c>
      <c r="H401" s="175" t="str">
        <f t="shared" si="20"/>
        <v>Jersey_City, NJ</v>
      </c>
      <c r="I401" s="178" t="s">
        <v>70</v>
      </c>
      <c r="J401" s="27" t="s">
        <v>1549</v>
      </c>
      <c r="K401" s="27">
        <v>1201</v>
      </c>
      <c r="L401" s="179">
        <v>4888</v>
      </c>
      <c r="M401" s="180" t="s">
        <v>71</v>
      </c>
      <c r="N401" s="181" t="s">
        <v>1549</v>
      </c>
      <c r="O401" s="182" t="s">
        <v>72</v>
      </c>
    </row>
    <row r="402" spans="1:15" ht="12">
      <c r="A402" s="148"/>
      <c r="B402" s="174" t="s">
        <v>130</v>
      </c>
      <c r="C402" s="175" t="s">
        <v>2354</v>
      </c>
      <c r="D402" s="176" t="s">
        <v>485</v>
      </c>
      <c r="E402" s="177" t="s">
        <v>131</v>
      </c>
      <c r="F402" s="175">
        <f t="shared" si="18"/>
        <v>14</v>
      </c>
      <c r="G402" s="175" t="str">
        <f t="shared" si="19"/>
        <v>Johnson City</v>
      </c>
      <c r="H402" s="175" t="str">
        <f t="shared" si="20"/>
        <v>Johnson City, TN</v>
      </c>
      <c r="I402" s="178" t="s">
        <v>519</v>
      </c>
      <c r="J402" s="27" t="s">
        <v>485</v>
      </c>
      <c r="K402" s="27">
        <v>972</v>
      </c>
      <c r="L402" s="179">
        <v>4406</v>
      </c>
      <c r="M402" s="180" t="s">
        <v>486</v>
      </c>
      <c r="N402" s="181" t="s">
        <v>485</v>
      </c>
      <c r="O402" s="182" t="s">
        <v>487</v>
      </c>
    </row>
    <row r="403" spans="1:15" ht="12">
      <c r="A403" s="148"/>
      <c r="B403" s="174" t="s">
        <v>132</v>
      </c>
      <c r="C403" s="175" t="s">
        <v>449</v>
      </c>
      <c r="D403" s="176" t="s">
        <v>450</v>
      </c>
      <c r="E403" s="177" t="s">
        <v>133</v>
      </c>
      <c r="F403" s="175">
        <f t="shared" si="18"/>
        <v>11</v>
      </c>
      <c r="G403" s="175" t="str">
        <f t="shared" si="19"/>
        <v>Johnstown</v>
      </c>
      <c r="H403" s="175" t="str">
        <f t="shared" si="20"/>
        <v>Johnstown, PA</v>
      </c>
      <c r="I403" s="178" t="s">
        <v>464</v>
      </c>
      <c r="J403" s="27" t="s">
        <v>450</v>
      </c>
      <c r="K403" s="27">
        <v>654</v>
      </c>
      <c r="L403" s="179">
        <v>5968</v>
      </c>
      <c r="M403" s="180" t="s">
        <v>465</v>
      </c>
      <c r="N403" s="181" t="s">
        <v>450</v>
      </c>
      <c r="O403" s="182" t="s">
        <v>466</v>
      </c>
    </row>
    <row r="404" spans="1:15" ht="12">
      <c r="A404" s="148"/>
      <c r="B404" s="174" t="s">
        <v>134</v>
      </c>
      <c r="C404" s="175" t="s">
        <v>1589</v>
      </c>
      <c r="D404" s="176" t="s">
        <v>1590</v>
      </c>
      <c r="E404" s="177" t="s">
        <v>135</v>
      </c>
      <c r="F404" s="175">
        <f t="shared" si="18"/>
        <v>11</v>
      </c>
      <c r="G404" s="175" t="str">
        <f t="shared" si="19"/>
        <v>Jonesboro</v>
      </c>
      <c r="H404" s="175" t="str">
        <f t="shared" si="20"/>
        <v>Jonesboro, AR</v>
      </c>
      <c r="I404" s="178" t="s">
        <v>1592</v>
      </c>
      <c r="J404" s="27" t="s">
        <v>1590</v>
      </c>
      <c r="K404" s="27">
        <v>1916</v>
      </c>
      <c r="L404" s="179">
        <v>3228</v>
      </c>
      <c r="M404" s="178" t="s">
        <v>1593</v>
      </c>
      <c r="N404" s="27" t="s">
        <v>1590</v>
      </c>
      <c r="O404" s="182" t="s">
        <v>1594</v>
      </c>
    </row>
    <row r="405" spans="1:15" ht="12">
      <c r="A405" s="148"/>
      <c r="B405" s="174" t="s">
        <v>136</v>
      </c>
      <c r="C405" s="175" t="s">
        <v>1377</v>
      </c>
      <c r="D405" s="176" t="s">
        <v>1378</v>
      </c>
      <c r="E405" s="177" t="s">
        <v>137</v>
      </c>
      <c r="F405" s="175">
        <f t="shared" si="18"/>
        <v>8</v>
      </c>
      <c r="G405" s="175" t="str">
        <f t="shared" si="19"/>
        <v>Joplin</v>
      </c>
      <c r="H405" s="175" t="str">
        <f t="shared" si="20"/>
        <v>Joplin, MO</v>
      </c>
      <c r="I405" s="178" t="s">
        <v>1925</v>
      </c>
      <c r="J405" s="27" t="s">
        <v>1378</v>
      </c>
      <c r="K405" s="27">
        <v>1320</v>
      </c>
      <c r="L405" s="179">
        <v>4638</v>
      </c>
      <c r="M405" s="180" t="s">
        <v>1651</v>
      </c>
      <c r="N405" s="181" t="s">
        <v>1378</v>
      </c>
      <c r="O405" s="182" t="s">
        <v>1926</v>
      </c>
    </row>
    <row r="406" spans="1:15" ht="12">
      <c r="A406" s="148"/>
      <c r="B406" s="174" t="s">
        <v>138</v>
      </c>
      <c r="C406" s="175" t="s">
        <v>473</v>
      </c>
      <c r="D406" s="176" t="s">
        <v>474</v>
      </c>
      <c r="E406" s="177" t="s">
        <v>139</v>
      </c>
      <c r="F406" s="175">
        <f t="shared" si="18"/>
        <v>8</v>
      </c>
      <c r="G406" s="175" t="str">
        <f t="shared" si="19"/>
        <v>Juneau</v>
      </c>
      <c r="H406" s="175" t="str">
        <f t="shared" si="20"/>
        <v>Juneau, AK</v>
      </c>
      <c r="I406" s="178" t="s">
        <v>140</v>
      </c>
      <c r="J406" s="27" t="s">
        <v>474</v>
      </c>
      <c r="K406" s="27">
        <v>0</v>
      </c>
      <c r="L406" s="179">
        <v>8897</v>
      </c>
      <c r="M406" s="178" t="s">
        <v>141</v>
      </c>
      <c r="N406" s="27" t="s">
        <v>474</v>
      </c>
      <c r="O406" s="182" t="s">
        <v>142</v>
      </c>
    </row>
    <row r="407" spans="1:15" ht="12">
      <c r="A407" s="148"/>
      <c r="B407" s="174" t="s">
        <v>143</v>
      </c>
      <c r="C407" s="175" t="s">
        <v>489</v>
      </c>
      <c r="D407" s="176" t="s">
        <v>490</v>
      </c>
      <c r="E407" s="177" t="s">
        <v>144</v>
      </c>
      <c r="F407" s="175">
        <f t="shared" si="18"/>
        <v>11</v>
      </c>
      <c r="G407" s="175" t="str">
        <f t="shared" si="19"/>
        <v>Kalamazoo</v>
      </c>
      <c r="H407" s="175" t="str">
        <f t="shared" si="20"/>
        <v>Kalamazoo, MI</v>
      </c>
      <c r="I407" s="178" t="s">
        <v>1971</v>
      </c>
      <c r="J407" s="27" t="s">
        <v>2281</v>
      </c>
      <c r="K407" s="27">
        <v>728</v>
      </c>
      <c r="L407" s="179">
        <v>6331</v>
      </c>
      <c r="M407" s="178" t="s">
        <v>2010</v>
      </c>
      <c r="N407" s="27" t="s">
        <v>2281</v>
      </c>
      <c r="O407" s="182" t="s">
        <v>2011</v>
      </c>
    </row>
    <row r="408" spans="1:15" ht="12">
      <c r="A408" s="148"/>
      <c r="B408" s="174" t="s">
        <v>145</v>
      </c>
      <c r="C408" s="175" t="s">
        <v>489</v>
      </c>
      <c r="D408" s="176" t="s">
        <v>490</v>
      </c>
      <c r="E408" s="177" t="s">
        <v>144</v>
      </c>
      <c r="F408" s="175">
        <f t="shared" si="18"/>
        <v>11</v>
      </c>
      <c r="G408" s="175" t="str">
        <f t="shared" si="19"/>
        <v>Kalamazoo</v>
      </c>
      <c r="H408" s="175" t="str">
        <f t="shared" si="20"/>
        <v>Kalamazoo, MI</v>
      </c>
      <c r="I408" s="178" t="s">
        <v>1971</v>
      </c>
      <c r="J408" s="27" t="s">
        <v>2281</v>
      </c>
      <c r="K408" s="27">
        <v>728</v>
      </c>
      <c r="L408" s="179">
        <v>6331</v>
      </c>
      <c r="M408" s="178" t="s">
        <v>2010</v>
      </c>
      <c r="N408" s="27" t="s">
        <v>2281</v>
      </c>
      <c r="O408" s="182" t="s">
        <v>2011</v>
      </c>
    </row>
    <row r="409" spans="1:15" ht="12">
      <c r="A409" s="148"/>
      <c r="B409" s="174" t="s">
        <v>146</v>
      </c>
      <c r="C409" s="175" t="s">
        <v>1426</v>
      </c>
      <c r="D409" s="176" t="s">
        <v>1427</v>
      </c>
      <c r="E409" s="177" t="s">
        <v>147</v>
      </c>
      <c r="F409" s="175">
        <f t="shared" si="18"/>
        <v>11</v>
      </c>
      <c r="G409" s="175" t="str">
        <f t="shared" si="19"/>
        <v>Kalispell</v>
      </c>
      <c r="H409" s="175" t="str">
        <f t="shared" si="20"/>
        <v>Kalispell, MT</v>
      </c>
      <c r="I409" s="178" t="s">
        <v>899</v>
      </c>
      <c r="J409" s="27" t="s">
        <v>1427</v>
      </c>
      <c r="K409" s="27">
        <v>149</v>
      </c>
      <c r="L409" s="179">
        <v>8378</v>
      </c>
      <c r="M409" s="180" t="s">
        <v>2048</v>
      </c>
      <c r="N409" s="181" t="s">
        <v>1427</v>
      </c>
      <c r="O409" s="182" t="s">
        <v>2049</v>
      </c>
    </row>
    <row r="410" spans="1:15" ht="12">
      <c r="A410" s="148"/>
      <c r="B410" s="174" t="s">
        <v>900</v>
      </c>
      <c r="C410" s="175" t="s">
        <v>1647</v>
      </c>
      <c r="D410" s="176" t="s">
        <v>1648</v>
      </c>
      <c r="E410" s="177" t="s">
        <v>901</v>
      </c>
      <c r="F410" s="175">
        <f t="shared" si="18"/>
        <v>10</v>
      </c>
      <c r="G410" s="175" t="str">
        <f t="shared" si="19"/>
        <v>Kankakee</v>
      </c>
      <c r="H410" s="175" t="str">
        <f t="shared" si="20"/>
        <v>Kankakee, IL</v>
      </c>
      <c r="I410" s="178" t="s">
        <v>902</v>
      </c>
      <c r="J410" s="27" t="s">
        <v>1648</v>
      </c>
      <c r="K410" s="27">
        <v>982</v>
      </c>
      <c r="L410" s="179">
        <v>6148</v>
      </c>
      <c r="M410" s="178" t="s">
        <v>2001</v>
      </c>
      <c r="N410" s="27" t="s">
        <v>1648</v>
      </c>
      <c r="O410" s="182" t="s">
        <v>2002</v>
      </c>
    </row>
    <row r="411" spans="1:15" ht="12">
      <c r="A411" s="148"/>
      <c r="B411" s="174" t="s">
        <v>903</v>
      </c>
      <c r="C411" s="175" t="s">
        <v>1506</v>
      </c>
      <c r="D411" s="176" t="s">
        <v>1507</v>
      </c>
      <c r="E411" s="177" t="s">
        <v>904</v>
      </c>
      <c r="F411" s="175">
        <f t="shared" si="18"/>
        <v>13</v>
      </c>
      <c r="G411" s="175" t="str">
        <f t="shared" si="19"/>
        <v>Kansas City</v>
      </c>
      <c r="H411" s="175" t="str">
        <f t="shared" si="20"/>
        <v>Kansas City, KS</v>
      </c>
      <c r="I411" s="178" t="s">
        <v>905</v>
      </c>
      <c r="J411" s="27" t="s">
        <v>1507</v>
      </c>
      <c r="K411" s="27">
        <v>1304</v>
      </c>
      <c r="L411" s="179">
        <v>5265</v>
      </c>
      <c r="M411" s="180" t="s">
        <v>2382</v>
      </c>
      <c r="N411" s="181" t="s">
        <v>1378</v>
      </c>
      <c r="O411" s="182" t="s">
        <v>2383</v>
      </c>
    </row>
    <row r="412" spans="1:15" ht="12">
      <c r="A412" s="148"/>
      <c r="B412" s="174" t="s">
        <v>906</v>
      </c>
      <c r="C412" s="175" t="s">
        <v>1506</v>
      </c>
      <c r="D412" s="176" t="s">
        <v>1507</v>
      </c>
      <c r="E412" s="177" t="s">
        <v>904</v>
      </c>
      <c r="F412" s="175">
        <f t="shared" si="18"/>
        <v>13</v>
      </c>
      <c r="G412" s="175" t="str">
        <f t="shared" si="19"/>
        <v>Kansas City</v>
      </c>
      <c r="H412" s="175" t="str">
        <f t="shared" si="20"/>
        <v>Kansas City, KS</v>
      </c>
      <c r="I412" s="178" t="s">
        <v>2381</v>
      </c>
      <c r="J412" s="27" t="s">
        <v>1378</v>
      </c>
      <c r="K412" s="27">
        <v>1288</v>
      </c>
      <c r="L412" s="179">
        <v>5393</v>
      </c>
      <c r="M412" s="180" t="s">
        <v>2382</v>
      </c>
      <c r="N412" s="181" t="s">
        <v>1378</v>
      </c>
      <c r="O412" s="182" t="s">
        <v>2383</v>
      </c>
    </row>
    <row r="413" spans="1:15" ht="12">
      <c r="A413" s="148"/>
      <c r="B413" s="174" t="s">
        <v>907</v>
      </c>
      <c r="C413" s="175" t="s">
        <v>1377</v>
      </c>
      <c r="D413" s="176" t="s">
        <v>1378</v>
      </c>
      <c r="E413" s="177" t="s">
        <v>904</v>
      </c>
      <c r="F413" s="175">
        <f t="shared" si="18"/>
        <v>13</v>
      </c>
      <c r="G413" s="175" t="str">
        <f t="shared" si="19"/>
        <v>Kansas City</v>
      </c>
      <c r="H413" s="175" t="str">
        <f t="shared" si="20"/>
        <v>Kansas City, MO</v>
      </c>
      <c r="I413" s="178" t="s">
        <v>2381</v>
      </c>
      <c r="J413" s="27" t="s">
        <v>1378</v>
      </c>
      <c r="K413" s="27">
        <v>1288</v>
      </c>
      <c r="L413" s="179">
        <v>5393</v>
      </c>
      <c r="M413" s="180" t="s">
        <v>2382</v>
      </c>
      <c r="N413" s="181" t="s">
        <v>1378</v>
      </c>
      <c r="O413" s="182" t="s">
        <v>2383</v>
      </c>
    </row>
    <row r="414" spans="1:15" ht="12">
      <c r="A414" s="148"/>
      <c r="B414" s="174" t="s">
        <v>908</v>
      </c>
      <c r="C414" s="175" t="s">
        <v>1377</v>
      </c>
      <c r="D414" s="176" t="s">
        <v>1378</v>
      </c>
      <c r="E414" s="177" t="s">
        <v>904</v>
      </c>
      <c r="F414" s="175">
        <f t="shared" si="18"/>
        <v>13</v>
      </c>
      <c r="G414" s="175" t="str">
        <f t="shared" si="19"/>
        <v>Kansas City</v>
      </c>
      <c r="H414" s="175" t="str">
        <f t="shared" si="20"/>
        <v>Kansas City, MO</v>
      </c>
      <c r="I414" s="178" t="s">
        <v>2381</v>
      </c>
      <c r="J414" s="27" t="s">
        <v>1378</v>
      </c>
      <c r="K414" s="27">
        <v>1288</v>
      </c>
      <c r="L414" s="179">
        <v>5393</v>
      </c>
      <c r="M414" s="180" t="s">
        <v>2382</v>
      </c>
      <c r="N414" s="181" t="s">
        <v>1378</v>
      </c>
      <c r="O414" s="182" t="s">
        <v>2383</v>
      </c>
    </row>
    <row r="415" spans="1:15" ht="12">
      <c r="A415" s="148"/>
      <c r="B415" s="186" t="s">
        <v>909</v>
      </c>
      <c r="C415" s="175" t="s">
        <v>271</v>
      </c>
      <c r="D415" s="176" t="s">
        <v>272</v>
      </c>
      <c r="E415" s="177" t="s">
        <v>910</v>
      </c>
      <c r="F415" s="175">
        <f t="shared" si="18"/>
        <v>7</v>
      </c>
      <c r="G415" s="175" t="str">
        <f t="shared" si="19"/>
        <v>Keene</v>
      </c>
      <c r="H415" s="175" t="str">
        <f t="shared" si="20"/>
        <v>Keene, NH</v>
      </c>
      <c r="I415" s="178" t="s">
        <v>649</v>
      </c>
      <c r="J415" s="27" t="s">
        <v>2300</v>
      </c>
      <c r="K415" s="27">
        <v>333</v>
      </c>
      <c r="L415" s="179">
        <v>6979</v>
      </c>
      <c r="M415" s="180" t="s">
        <v>275</v>
      </c>
      <c r="N415" s="181" t="s">
        <v>272</v>
      </c>
      <c r="O415" s="182" t="s">
        <v>276</v>
      </c>
    </row>
    <row r="416" spans="1:15" ht="12">
      <c r="A416" s="148"/>
      <c r="B416" s="174" t="s">
        <v>911</v>
      </c>
      <c r="C416" s="175" t="s">
        <v>1413</v>
      </c>
      <c r="D416" s="176" t="s">
        <v>1414</v>
      </c>
      <c r="E416" s="177" t="s">
        <v>912</v>
      </c>
      <c r="F416" s="175">
        <f t="shared" si="18"/>
        <v>10</v>
      </c>
      <c r="G416" s="175" t="str">
        <f t="shared" si="19"/>
        <v>Kemmerer</v>
      </c>
      <c r="H416" s="175" t="str">
        <f t="shared" si="20"/>
        <v>Kemmerer, WY</v>
      </c>
      <c r="I416" s="178" t="s">
        <v>112</v>
      </c>
      <c r="J416" s="27" t="s">
        <v>1414</v>
      </c>
      <c r="K416" s="27">
        <v>479</v>
      </c>
      <c r="L416" s="179">
        <v>7889</v>
      </c>
      <c r="M416" s="180" t="s">
        <v>1417</v>
      </c>
      <c r="N416" s="181" t="s">
        <v>1414</v>
      </c>
      <c r="O416" s="182" t="s">
        <v>2315</v>
      </c>
    </row>
    <row r="417" spans="1:15" ht="12">
      <c r="A417" s="148"/>
      <c r="B417" s="174" t="s">
        <v>913</v>
      </c>
      <c r="C417" s="175" t="s">
        <v>473</v>
      </c>
      <c r="D417" s="176" t="s">
        <v>474</v>
      </c>
      <c r="E417" s="177" t="s">
        <v>914</v>
      </c>
      <c r="F417" s="175">
        <f t="shared" si="18"/>
        <v>11</v>
      </c>
      <c r="G417" s="175" t="str">
        <f t="shared" si="19"/>
        <v>Ketchikan</v>
      </c>
      <c r="H417" s="175" t="str">
        <f t="shared" si="20"/>
        <v>Ketchikan, AK</v>
      </c>
      <c r="I417" s="178" t="s">
        <v>915</v>
      </c>
      <c r="J417" s="27" t="s">
        <v>474</v>
      </c>
      <c r="K417" s="27">
        <v>0</v>
      </c>
      <c r="L417" s="179">
        <v>11456</v>
      </c>
      <c r="M417" s="178" t="s">
        <v>141</v>
      </c>
      <c r="N417" s="27" t="s">
        <v>474</v>
      </c>
      <c r="O417" s="182" t="s">
        <v>142</v>
      </c>
    </row>
    <row r="418" spans="1:15" ht="12">
      <c r="A418" s="148"/>
      <c r="B418" s="174" t="s">
        <v>916</v>
      </c>
      <c r="C418" s="175" t="s">
        <v>1617</v>
      </c>
      <c r="D418" s="176" t="s">
        <v>1530</v>
      </c>
      <c r="E418" s="177" t="s">
        <v>917</v>
      </c>
      <c r="F418" s="175">
        <f t="shared" si="18"/>
        <v>8</v>
      </c>
      <c r="G418" s="175" t="str">
        <f t="shared" si="19"/>
        <v>Keyser</v>
      </c>
      <c r="H418" s="175" t="str">
        <f t="shared" si="20"/>
        <v>Keyser, WV</v>
      </c>
      <c r="I418" s="178" t="s">
        <v>2396</v>
      </c>
      <c r="J418" s="27" t="s">
        <v>1530</v>
      </c>
      <c r="K418" s="27">
        <v>346</v>
      </c>
      <c r="L418" s="179">
        <v>6120</v>
      </c>
      <c r="M418" s="180" t="s">
        <v>2397</v>
      </c>
      <c r="N418" s="181" t="s">
        <v>1530</v>
      </c>
      <c r="O418" s="182" t="s">
        <v>590</v>
      </c>
    </row>
    <row r="419" spans="1:15" ht="12">
      <c r="A419" s="148"/>
      <c r="B419" s="174" t="s">
        <v>918</v>
      </c>
      <c r="C419" s="175" t="s">
        <v>1311</v>
      </c>
      <c r="D419" s="176" t="s">
        <v>1312</v>
      </c>
      <c r="E419" s="177" t="s">
        <v>919</v>
      </c>
      <c r="F419" s="175">
        <f t="shared" si="18"/>
        <v>9</v>
      </c>
      <c r="G419" s="175" t="str">
        <f t="shared" si="19"/>
        <v>Kingman</v>
      </c>
      <c r="H419" s="175" t="str">
        <f t="shared" si="20"/>
        <v>Kingman, AZ</v>
      </c>
      <c r="I419" s="178" t="s">
        <v>920</v>
      </c>
      <c r="J419" s="27" t="s">
        <v>1402</v>
      </c>
      <c r="K419" s="27">
        <v>3201</v>
      </c>
      <c r="L419" s="179">
        <v>2407</v>
      </c>
      <c r="M419" s="180" t="s">
        <v>921</v>
      </c>
      <c r="N419" s="181" t="s">
        <v>1402</v>
      </c>
      <c r="O419" s="182" t="s">
        <v>922</v>
      </c>
    </row>
    <row r="420" spans="1:15" ht="12">
      <c r="A420" s="148"/>
      <c r="B420" s="174" t="s">
        <v>923</v>
      </c>
      <c r="C420" s="175" t="s">
        <v>416</v>
      </c>
      <c r="D420" s="176" t="s">
        <v>417</v>
      </c>
      <c r="E420" s="177" t="s">
        <v>924</v>
      </c>
      <c r="F420" s="175">
        <f t="shared" si="18"/>
        <v>10</v>
      </c>
      <c r="G420" s="175" t="str">
        <f t="shared" si="19"/>
        <v>Kingston</v>
      </c>
      <c r="H420" s="175" t="str">
        <f t="shared" si="20"/>
        <v>Kingston, NY</v>
      </c>
      <c r="I420" s="178" t="s">
        <v>418</v>
      </c>
      <c r="J420" s="27" t="s">
        <v>417</v>
      </c>
      <c r="K420" s="27">
        <v>507</v>
      </c>
      <c r="L420" s="179">
        <v>6894</v>
      </c>
      <c r="M420" s="180" t="s">
        <v>419</v>
      </c>
      <c r="N420" s="181" t="s">
        <v>417</v>
      </c>
      <c r="O420" s="182" t="s">
        <v>420</v>
      </c>
    </row>
    <row r="421" spans="1:15" ht="12">
      <c r="A421" s="148"/>
      <c r="B421" s="174" t="s">
        <v>925</v>
      </c>
      <c r="C421" s="175" t="s">
        <v>481</v>
      </c>
      <c r="D421" s="176" t="s">
        <v>482</v>
      </c>
      <c r="E421" s="177" t="s">
        <v>926</v>
      </c>
      <c r="F421" s="175">
        <f t="shared" si="18"/>
        <v>9</v>
      </c>
      <c r="G421" s="175" t="str">
        <f t="shared" si="19"/>
        <v>Kinston</v>
      </c>
      <c r="H421" s="175" t="str">
        <f t="shared" si="20"/>
        <v>Kinston, NC</v>
      </c>
      <c r="I421" s="178" t="s">
        <v>1944</v>
      </c>
      <c r="J421" s="27" t="s">
        <v>482</v>
      </c>
      <c r="K421" s="27">
        <v>1926</v>
      </c>
      <c r="L421" s="179">
        <v>2470</v>
      </c>
      <c r="M421" s="180" t="s">
        <v>2343</v>
      </c>
      <c r="N421" s="181" t="s">
        <v>482</v>
      </c>
      <c r="O421" s="182" t="s">
        <v>2344</v>
      </c>
    </row>
    <row r="422" spans="1:15" ht="12">
      <c r="A422" s="148"/>
      <c r="B422" s="174" t="s">
        <v>927</v>
      </c>
      <c r="C422" s="175" t="s">
        <v>1377</v>
      </c>
      <c r="D422" s="176" t="s">
        <v>1378</v>
      </c>
      <c r="E422" s="177" t="s">
        <v>928</v>
      </c>
      <c r="F422" s="175">
        <f t="shared" si="18"/>
        <v>12</v>
      </c>
      <c r="G422" s="175" t="str">
        <f t="shared" si="19"/>
        <v>Kirksville</v>
      </c>
      <c r="H422" s="175" t="str">
        <f t="shared" si="20"/>
        <v>Kirksville, MO</v>
      </c>
      <c r="I422" s="178" t="s">
        <v>1336</v>
      </c>
      <c r="J422" s="27" t="s">
        <v>1648</v>
      </c>
      <c r="K422" s="27">
        <v>911</v>
      </c>
      <c r="L422" s="179">
        <v>6474</v>
      </c>
      <c r="M422" s="178" t="s">
        <v>2001</v>
      </c>
      <c r="N422" s="27" t="s">
        <v>1648</v>
      </c>
      <c r="O422" s="182" t="s">
        <v>2002</v>
      </c>
    </row>
    <row r="423" spans="1:15" ht="12">
      <c r="A423" s="148"/>
      <c r="B423" s="174" t="s">
        <v>929</v>
      </c>
      <c r="C423" s="175" t="s">
        <v>449</v>
      </c>
      <c r="D423" s="176" t="s">
        <v>450</v>
      </c>
      <c r="E423" s="177" t="s">
        <v>930</v>
      </c>
      <c r="F423" s="175">
        <f t="shared" si="18"/>
        <v>12</v>
      </c>
      <c r="G423" s="175" t="str">
        <f t="shared" si="19"/>
        <v>Kittanning</v>
      </c>
      <c r="H423" s="175" t="str">
        <f t="shared" si="20"/>
        <v>Kittanning, PA</v>
      </c>
      <c r="I423" s="178" t="s">
        <v>1350</v>
      </c>
      <c r="J423" s="27" t="s">
        <v>395</v>
      </c>
      <c r="K423" s="27">
        <v>497</v>
      </c>
      <c r="L423" s="179">
        <v>6544</v>
      </c>
      <c r="M423" s="180" t="s">
        <v>1351</v>
      </c>
      <c r="N423" s="181" t="s">
        <v>395</v>
      </c>
      <c r="O423" s="182" t="s">
        <v>1352</v>
      </c>
    </row>
    <row r="424" spans="1:15" ht="12">
      <c r="A424" s="148"/>
      <c r="B424" s="186" t="s">
        <v>931</v>
      </c>
      <c r="C424" s="175" t="s">
        <v>1555</v>
      </c>
      <c r="D424" s="176" t="s">
        <v>1556</v>
      </c>
      <c r="E424" s="177" t="s">
        <v>932</v>
      </c>
      <c r="F424" s="175">
        <f t="shared" si="18"/>
        <v>9</v>
      </c>
      <c r="G424" s="175" t="str">
        <f t="shared" si="19"/>
        <v>Kittery</v>
      </c>
      <c r="H424" s="175" t="str">
        <f t="shared" si="20"/>
        <v>Kittery, ME</v>
      </c>
      <c r="I424" s="178" t="s">
        <v>1558</v>
      </c>
      <c r="J424" s="27" t="s">
        <v>1556</v>
      </c>
      <c r="K424" s="27">
        <v>268</v>
      </c>
      <c r="L424" s="179">
        <v>7378</v>
      </c>
      <c r="M424" s="180" t="s">
        <v>1559</v>
      </c>
      <c r="N424" s="181" t="s">
        <v>1556</v>
      </c>
      <c r="O424" s="182" t="s">
        <v>1560</v>
      </c>
    </row>
    <row r="425" spans="1:15" ht="12">
      <c r="A425" s="148"/>
      <c r="B425" s="174" t="s">
        <v>933</v>
      </c>
      <c r="C425" s="175" t="s">
        <v>1633</v>
      </c>
      <c r="D425" s="176" t="s">
        <v>1634</v>
      </c>
      <c r="E425" s="177" t="s">
        <v>934</v>
      </c>
      <c r="F425" s="175">
        <f t="shared" si="18"/>
        <v>15</v>
      </c>
      <c r="G425" s="175" t="str">
        <f t="shared" si="19"/>
        <v>Klamath Falls</v>
      </c>
      <c r="H425" s="175" t="str">
        <f t="shared" si="20"/>
        <v>Klamath Falls, OR</v>
      </c>
      <c r="I425" s="178" t="s">
        <v>935</v>
      </c>
      <c r="J425" s="27" t="s">
        <v>1634</v>
      </c>
      <c r="K425" s="27">
        <v>725</v>
      </c>
      <c r="L425" s="179">
        <v>4611</v>
      </c>
      <c r="M425" s="180" t="s">
        <v>548</v>
      </c>
      <c r="N425" s="181" t="s">
        <v>1634</v>
      </c>
      <c r="O425" s="182" t="s">
        <v>549</v>
      </c>
    </row>
    <row r="426" spans="1:15" ht="12">
      <c r="A426" s="148"/>
      <c r="B426" s="174" t="s">
        <v>936</v>
      </c>
      <c r="C426" s="175" t="s">
        <v>2354</v>
      </c>
      <c r="D426" s="176" t="s">
        <v>485</v>
      </c>
      <c r="E426" s="177" t="s">
        <v>937</v>
      </c>
      <c r="F426" s="175">
        <f t="shared" si="18"/>
        <v>11</v>
      </c>
      <c r="G426" s="175" t="str">
        <f t="shared" si="19"/>
        <v>Knoxville</v>
      </c>
      <c r="H426" s="175" t="str">
        <f t="shared" si="20"/>
        <v>Knoxville, TN</v>
      </c>
      <c r="I426" s="178" t="s">
        <v>484</v>
      </c>
      <c r="J426" s="27" t="s">
        <v>485</v>
      </c>
      <c r="K426" s="27">
        <v>1266</v>
      </c>
      <c r="L426" s="179">
        <v>3937</v>
      </c>
      <c r="M426" s="180" t="s">
        <v>486</v>
      </c>
      <c r="N426" s="181" t="s">
        <v>485</v>
      </c>
      <c r="O426" s="182" t="s">
        <v>487</v>
      </c>
    </row>
    <row r="427" spans="1:15" ht="12">
      <c r="A427" s="148"/>
      <c r="B427" s="174" t="s">
        <v>938</v>
      </c>
      <c r="C427" s="175" t="s">
        <v>2354</v>
      </c>
      <c r="D427" s="176" t="s">
        <v>485</v>
      </c>
      <c r="E427" s="177" t="s">
        <v>937</v>
      </c>
      <c r="F427" s="175">
        <f t="shared" si="18"/>
        <v>11</v>
      </c>
      <c r="G427" s="175" t="str">
        <f t="shared" si="19"/>
        <v>Knoxville</v>
      </c>
      <c r="H427" s="175" t="str">
        <f t="shared" si="20"/>
        <v>Knoxville, TN</v>
      </c>
      <c r="I427" s="178" t="s">
        <v>484</v>
      </c>
      <c r="J427" s="27" t="s">
        <v>485</v>
      </c>
      <c r="K427" s="27">
        <v>1266</v>
      </c>
      <c r="L427" s="179">
        <v>3937</v>
      </c>
      <c r="M427" s="180" t="s">
        <v>486</v>
      </c>
      <c r="N427" s="181" t="s">
        <v>485</v>
      </c>
      <c r="O427" s="182" t="s">
        <v>487</v>
      </c>
    </row>
    <row r="428" spans="1:15" ht="12">
      <c r="A428" s="148"/>
      <c r="B428" s="174" t="s">
        <v>939</v>
      </c>
      <c r="C428" s="175" t="s">
        <v>2354</v>
      </c>
      <c r="D428" s="176" t="s">
        <v>485</v>
      </c>
      <c r="E428" s="177" t="s">
        <v>937</v>
      </c>
      <c r="F428" s="175">
        <f t="shared" si="18"/>
        <v>11</v>
      </c>
      <c r="G428" s="175" t="str">
        <f t="shared" si="19"/>
        <v>Knoxville</v>
      </c>
      <c r="H428" s="175" t="str">
        <f t="shared" si="20"/>
        <v>Knoxville, TN</v>
      </c>
      <c r="I428" s="178" t="s">
        <v>484</v>
      </c>
      <c r="J428" s="27" t="s">
        <v>485</v>
      </c>
      <c r="K428" s="27">
        <v>1266</v>
      </c>
      <c r="L428" s="179">
        <v>3937</v>
      </c>
      <c r="M428" s="180" t="s">
        <v>486</v>
      </c>
      <c r="N428" s="181" t="s">
        <v>485</v>
      </c>
      <c r="O428" s="182" t="s">
        <v>487</v>
      </c>
    </row>
    <row r="429" spans="1:15" ht="12">
      <c r="A429" s="148"/>
      <c r="B429" s="174" t="s">
        <v>940</v>
      </c>
      <c r="C429" s="175" t="s">
        <v>2280</v>
      </c>
      <c r="D429" s="176" t="s">
        <v>2281</v>
      </c>
      <c r="E429" s="177" t="s">
        <v>941</v>
      </c>
      <c r="F429" s="175">
        <f t="shared" si="18"/>
        <v>8</v>
      </c>
      <c r="G429" s="175" t="str">
        <f t="shared" si="19"/>
        <v>Kokomo</v>
      </c>
      <c r="H429" s="175" t="str">
        <f t="shared" si="20"/>
        <v>Kokomo, IN</v>
      </c>
      <c r="I429" s="178" t="s">
        <v>1971</v>
      </c>
      <c r="J429" s="27" t="s">
        <v>2281</v>
      </c>
      <c r="K429" s="27">
        <v>728</v>
      </c>
      <c r="L429" s="179">
        <v>6331</v>
      </c>
      <c r="M429" s="178" t="s">
        <v>2010</v>
      </c>
      <c r="N429" s="27" t="s">
        <v>2281</v>
      </c>
      <c r="O429" s="182" t="s">
        <v>2011</v>
      </c>
    </row>
    <row r="430" spans="1:15" ht="12">
      <c r="A430" s="148"/>
      <c r="B430" s="174" t="s">
        <v>942</v>
      </c>
      <c r="C430" s="175" t="s">
        <v>51</v>
      </c>
      <c r="D430" s="176" t="s">
        <v>1702</v>
      </c>
      <c r="E430" s="177" t="s">
        <v>943</v>
      </c>
      <c r="F430" s="175">
        <f t="shared" si="18"/>
        <v>11</v>
      </c>
      <c r="G430" s="175" t="str">
        <f t="shared" si="19"/>
        <v>La Crosse</v>
      </c>
      <c r="H430" s="175" t="str">
        <f t="shared" si="20"/>
        <v>La Crosse, WI</v>
      </c>
      <c r="I430" s="178" t="s">
        <v>944</v>
      </c>
      <c r="J430" s="27" t="s">
        <v>1702</v>
      </c>
      <c r="K430" s="27">
        <v>485</v>
      </c>
      <c r="L430" s="179">
        <v>7673</v>
      </c>
      <c r="M430" s="180" t="s">
        <v>945</v>
      </c>
      <c r="N430" s="181" t="s">
        <v>1702</v>
      </c>
      <c r="O430" s="182" t="s">
        <v>946</v>
      </c>
    </row>
    <row r="431" spans="1:15" ht="12">
      <c r="A431" s="148"/>
      <c r="B431" s="174" t="s">
        <v>947</v>
      </c>
      <c r="C431" s="175" t="s">
        <v>1647</v>
      </c>
      <c r="D431" s="176" t="s">
        <v>1648</v>
      </c>
      <c r="E431" s="177" t="s">
        <v>948</v>
      </c>
      <c r="F431" s="175">
        <f t="shared" si="18"/>
        <v>10</v>
      </c>
      <c r="G431" s="175" t="str">
        <f t="shared" si="19"/>
        <v>La Salle</v>
      </c>
      <c r="H431" s="175" t="str">
        <f t="shared" si="20"/>
        <v>La Salle, IL</v>
      </c>
      <c r="I431" s="178" t="s">
        <v>1336</v>
      </c>
      <c r="J431" s="27" t="s">
        <v>1648</v>
      </c>
      <c r="K431" s="27">
        <v>911</v>
      </c>
      <c r="L431" s="179">
        <v>6474</v>
      </c>
      <c r="M431" s="178" t="s">
        <v>2001</v>
      </c>
      <c r="N431" s="27" t="s">
        <v>1648</v>
      </c>
      <c r="O431" s="182" t="s">
        <v>2002</v>
      </c>
    </row>
    <row r="432" spans="1:15" ht="12">
      <c r="A432" s="148"/>
      <c r="B432" s="174" t="s">
        <v>949</v>
      </c>
      <c r="C432" s="175" t="s">
        <v>2280</v>
      </c>
      <c r="D432" s="176" t="s">
        <v>2281</v>
      </c>
      <c r="E432" s="177" t="s">
        <v>950</v>
      </c>
      <c r="F432" s="175">
        <f t="shared" si="18"/>
        <v>11</v>
      </c>
      <c r="G432" s="175" t="str">
        <f t="shared" si="19"/>
        <v>Lafayette</v>
      </c>
      <c r="H432" s="175" t="str">
        <f t="shared" si="20"/>
        <v>Lafayette, IN</v>
      </c>
      <c r="I432" s="178" t="s">
        <v>1971</v>
      </c>
      <c r="J432" s="27" t="s">
        <v>2281</v>
      </c>
      <c r="K432" s="27">
        <v>728</v>
      </c>
      <c r="L432" s="179">
        <v>6331</v>
      </c>
      <c r="M432" s="178" t="s">
        <v>2010</v>
      </c>
      <c r="N432" s="27" t="s">
        <v>2281</v>
      </c>
      <c r="O432" s="182" t="s">
        <v>2011</v>
      </c>
    </row>
    <row r="433" spans="1:15" ht="12">
      <c r="A433" s="148"/>
      <c r="B433" s="174" t="s">
        <v>951</v>
      </c>
      <c r="C433" s="175" t="s">
        <v>290</v>
      </c>
      <c r="D433" s="176" t="s">
        <v>291</v>
      </c>
      <c r="E433" s="177" t="s">
        <v>950</v>
      </c>
      <c r="F433" s="175">
        <f t="shared" si="18"/>
        <v>11</v>
      </c>
      <c r="G433" s="175" t="str">
        <f t="shared" si="19"/>
        <v>Lafayette</v>
      </c>
      <c r="H433" s="175" t="str">
        <f t="shared" si="20"/>
        <v>Lafayette, LA</v>
      </c>
      <c r="I433" s="178" t="s">
        <v>1599</v>
      </c>
      <c r="J433" s="27" t="s">
        <v>291</v>
      </c>
      <c r="K433" s="27">
        <v>2690</v>
      </c>
      <c r="L433" s="179">
        <v>1669</v>
      </c>
      <c r="M433" s="180" t="s">
        <v>1600</v>
      </c>
      <c r="N433" s="181" t="s">
        <v>291</v>
      </c>
      <c r="O433" s="182" t="s">
        <v>1601</v>
      </c>
    </row>
    <row r="434" spans="1:15" ht="12">
      <c r="A434" s="148"/>
      <c r="B434" s="174" t="s">
        <v>952</v>
      </c>
      <c r="C434" s="175" t="s">
        <v>290</v>
      </c>
      <c r="D434" s="176" t="s">
        <v>291</v>
      </c>
      <c r="E434" s="177" t="s">
        <v>953</v>
      </c>
      <c r="F434" s="175">
        <f t="shared" si="18"/>
        <v>14</v>
      </c>
      <c r="G434" s="175" t="str">
        <f t="shared" si="19"/>
        <v>Lake Charles</v>
      </c>
      <c r="H434" s="175" t="str">
        <f t="shared" si="20"/>
        <v>Lake Charles, LA</v>
      </c>
      <c r="I434" s="178" t="s">
        <v>954</v>
      </c>
      <c r="J434" s="27" t="s">
        <v>291</v>
      </c>
      <c r="K434" s="27">
        <v>2650</v>
      </c>
      <c r="L434" s="179">
        <v>1616</v>
      </c>
      <c r="M434" s="180" t="s">
        <v>955</v>
      </c>
      <c r="N434" s="181" t="s">
        <v>291</v>
      </c>
      <c r="O434" s="182" t="s">
        <v>956</v>
      </c>
    </row>
    <row r="435" spans="1:15" ht="12">
      <c r="A435" s="148"/>
      <c r="B435" s="174" t="s">
        <v>957</v>
      </c>
      <c r="C435" s="175" t="s">
        <v>670</v>
      </c>
      <c r="D435" s="176" t="s">
        <v>671</v>
      </c>
      <c r="E435" s="177" t="s">
        <v>958</v>
      </c>
      <c r="F435" s="175">
        <f t="shared" si="18"/>
        <v>10</v>
      </c>
      <c r="G435" s="175" t="str">
        <f t="shared" si="19"/>
        <v>Lakeland</v>
      </c>
      <c r="H435" s="175" t="str">
        <f t="shared" si="20"/>
        <v>Lakeland, FL</v>
      </c>
      <c r="I435" s="178" t="s">
        <v>673</v>
      </c>
      <c r="J435" s="27" t="s">
        <v>671</v>
      </c>
      <c r="K435" s="27">
        <v>3427</v>
      </c>
      <c r="L435" s="179">
        <v>725</v>
      </c>
      <c r="M435" s="178" t="s">
        <v>674</v>
      </c>
      <c r="N435" s="27" t="s">
        <v>671</v>
      </c>
      <c r="O435" s="182" t="s">
        <v>675</v>
      </c>
    </row>
    <row r="436" spans="1:15" ht="12">
      <c r="A436" s="148"/>
      <c r="B436" s="186" t="s">
        <v>959</v>
      </c>
      <c r="C436" s="175" t="s">
        <v>1548</v>
      </c>
      <c r="D436" s="176" t="s">
        <v>1549</v>
      </c>
      <c r="E436" s="177" t="s">
        <v>960</v>
      </c>
      <c r="F436" s="175">
        <f t="shared" si="18"/>
        <v>10</v>
      </c>
      <c r="G436" s="175" t="str">
        <f t="shared" si="19"/>
        <v>Lakewood</v>
      </c>
      <c r="H436" s="175" t="str">
        <f t="shared" si="20"/>
        <v>Lakewood, NJ</v>
      </c>
      <c r="I436" s="178" t="s">
        <v>1551</v>
      </c>
      <c r="J436" s="27" t="s">
        <v>1549</v>
      </c>
      <c r="K436" s="27">
        <v>826</v>
      </c>
      <c r="L436" s="179">
        <v>5169</v>
      </c>
      <c r="M436" s="180" t="s">
        <v>1552</v>
      </c>
      <c r="N436" s="181" t="s">
        <v>1549</v>
      </c>
      <c r="O436" s="182" t="s">
        <v>1553</v>
      </c>
    </row>
    <row r="437" spans="1:15" ht="12">
      <c r="A437" s="148"/>
      <c r="B437" s="174" t="s">
        <v>961</v>
      </c>
      <c r="C437" s="175" t="s">
        <v>442</v>
      </c>
      <c r="D437" s="176" t="s">
        <v>443</v>
      </c>
      <c r="E437" s="177" t="s">
        <v>962</v>
      </c>
      <c r="F437" s="175">
        <f t="shared" si="18"/>
        <v>11</v>
      </c>
      <c r="G437" s="175" t="str">
        <f t="shared" si="19"/>
        <v>Lancaster</v>
      </c>
      <c r="H437" s="175" t="str">
        <f t="shared" si="20"/>
        <v>Lancaster, CA</v>
      </c>
      <c r="I437" s="178" t="s">
        <v>963</v>
      </c>
      <c r="J437" s="27" t="s">
        <v>443</v>
      </c>
      <c r="K437" s="27">
        <v>1039</v>
      </c>
      <c r="L437" s="179">
        <v>4310</v>
      </c>
      <c r="M437" s="180" t="s">
        <v>1405</v>
      </c>
      <c r="N437" s="181" t="s">
        <v>1402</v>
      </c>
      <c r="O437" s="182" t="s">
        <v>1406</v>
      </c>
    </row>
    <row r="438" spans="1:15" ht="12">
      <c r="A438" s="148"/>
      <c r="B438" s="174" t="s">
        <v>964</v>
      </c>
      <c r="C438" s="175" t="s">
        <v>449</v>
      </c>
      <c r="D438" s="176" t="s">
        <v>450</v>
      </c>
      <c r="E438" s="177" t="s">
        <v>962</v>
      </c>
      <c r="F438" s="175">
        <f t="shared" si="18"/>
        <v>11</v>
      </c>
      <c r="G438" s="175" t="str">
        <f t="shared" si="19"/>
        <v>Lancaster</v>
      </c>
      <c r="H438" s="175" t="str">
        <f t="shared" si="20"/>
        <v>Lancaster, PA</v>
      </c>
      <c r="I438" s="178" t="s">
        <v>2326</v>
      </c>
      <c r="J438" s="27" t="s">
        <v>450</v>
      </c>
      <c r="K438" s="27">
        <v>962</v>
      </c>
      <c r="L438" s="179">
        <v>5347</v>
      </c>
      <c r="M438" s="180" t="s">
        <v>2327</v>
      </c>
      <c r="N438" s="181" t="s">
        <v>450</v>
      </c>
      <c r="O438" s="182" t="s">
        <v>2328</v>
      </c>
    </row>
    <row r="439" spans="1:15" ht="12">
      <c r="A439" s="148"/>
      <c r="B439" s="174" t="s">
        <v>965</v>
      </c>
      <c r="C439" s="175" t="s">
        <v>449</v>
      </c>
      <c r="D439" s="176" t="s">
        <v>450</v>
      </c>
      <c r="E439" s="177" t="s">
        <v>962</v>
      </c>
      <c r="F439" s="175">
        <f t="shared" si="18"/>
        <v>11</v>
      </c>
      <c r="G439" s="175" t="str">
        <f t="shared" si="19"/>
        <v>Lancaster</v>
      </c>
      <c r="H439" s="175" t="str">
        <f t="shared" si="20"/>
        <v>Lancaster, PA</v>
      </c>
      <c r="I439" s="178" t="s">
        <v>2326</v>
      </c>
      <c r="J439" s="27" t="s">
        <v>450</v>
      </c>
      <c r="K439" s="27">
        <v>962</v>
      </c>
      <c r="L439" s="179">
        <v>5347</v>
      </c>
      <c r="M439" s="180" t="s">
        <v>2327</v>
      </c>
      <c r="N439" s="181" t="s">
        <v>450</v>
      </c>
      <c r="O439" s="182" t="s">
        <v>2328</v>
      </c>
    </row>
    <row r="440" spans="1:15" ht="12">
      <c r="A440" s="148"/>
      <c r="B440" s="174" t="s">
        <v>966</v>
      </c>
      <c r="C440" s="175" t="s">
        <v>489</v>
      </c>
      <c r="D440" s="176" t="s">
        <v>490</v>
      </c>
      <c r="E440" s="177" t="s">
        <v>967</v>
      </c>
      <c r="F440" s="175">
        <f t="shared" si="18"/>
        <v>9</v>
      </c>
      <c r="G440" s="175" t="str">
        <f t="shared" si="19"/>
        <v>Lansing</v>
      </c>
      <c r="H440" s="175" t="str">
        <f t="shared" si="20"/>
        <v>Lansing, MI</v>
      </c>
      <c r="I440" s="178" t="s">
        <v>1941</v>
      </c>
      <c r="J440" s="27" t="s">
        <v>490</v>
      </c>
      <c r="K440" s="27">
        <v>483</v>
      </c>
      <c r="L440" s="179">
        <v>6979</v>
      </c>
      <c r="M440" s="180" t="s">
        <v>968</v>
      </c>
      <c r="N440" s="181" t="s">
        <v>490</v>
      </c>
      <c r="O440" s="182" t="s">
        <v>969</v>
      </c>
    </row>
    <row r="441" spans="1:15" ht="12">
      <c r="A441" s="148"/>
      <c r="B441" s="174" t="s">
        <v>970</v>
      </c>
      <c r="C441" s="175" t="s">
        <v>489</v>
      </c>
      <c r="D441" s="176" t="s">
        <v>490</v>
      </c>
      <c r="E441" s="177" t="s">
        <v>967</v>
      </c>
      <c r="F441" s="175">
        <f t="shared" si="18"/>
        <v>9</v>
      </c>
      <c r="G441" s="175" t="str">
        <f t="shared" si="19"/>
        <v>Lansing</v>
      </c>
      <c r="H441" s="175" t="str">
        <f t="shared" si="20"/>
        <v>Lansing, MI</v>
      </c>
      <c r="I441" s="178" t="s">
        <v>1937</v>
      </c>
      <c r="J441" s="27" t="s">
        <v>490</v>
      </c>
      <c r="K441" s="27">
        <v>490</v>
      </c>
      <c r="L441" s="179">
        <v>7101</v>
      </c>
      <c r="M441" s="180" t="s">
        <v>968</v>
      </c>
      <c r="N441" s="181" t="s">
        <v>490</v>
      </c>
      <c r="O441" s="182" t="s">
        <v>969</v>
      </c>
    </row>
    <row r="442" spans="1:15" ht="12">
      <c r="A442" s="148"/>
      <c r="B442" s="174" t="s">
        <v>971</v>
      </c>
      <c r="C442" s="175" t="s">
        <v>263</v>
      </c>
      <c r="D442" s="176" t="s">
        <v>264</v>
      </c>
      <c r="E442" s="177" t="s">
        <v>972</v>
      </c>
      <c r="F442" s="175">
        <f t="shared" si="18"/>
        <v>17</v>
      </c>
      <c r="G442" s="175" t="str">
        <f t="shared" si="19"/>
        <v>Laredo/Pearsall</v>
      </c>
      <c r="H442" s="175" t="str">
        <f t="shared" si="20"/>
        <v>Laredo/Pearsall, TX</v>
      </c>
      <c r="I442" s="178" t="s">
        <v>973</v>
      </c>
      <c r="J442" s="27" t="s">
        <v>264</v>
      </c>
      <c r="K442" s="27">
        <v>3118</v>
      </c>
      <c r="L442" s="179">
        <v>1296</v>
      </c>
      <c r="M442" s="180" t="s">
        <v>974</v>
      </c>
      <c r="N442" s="181" t="s">
        <v>264</v>
      </c>
      <c r="O442" s="182" t="s">
        <v>975</v>
      </c>
    </row>
    <row r="443" spans="1:15" ht="12">
      <c r="A443" s="148"/>
      <c r="B443" s="174" t="s">
        <v>976</v>
      </c>
      <c r="C443" s="175" t="s">
        <v>424</v>
      </c>
      <c r="D443" s="176" t="s">
        <v>425</v>
      </c>
      <c r="E443" s="177" t="s">
        <v>977</v>
      </c>
      <c r="F443" s="175">
        <f t="shared" si="18"/>
        <v>12</v>
      </c>
      <c r="G443" s="175" t="str">
        <f t="shared" si="19"/>
        <v>Las Cruces</v>
      </c>
      <c r="H443" s="175" t="str">
        <f t="shared" si="20"/>
        <v>Las Cruces, NM</v>
      </c>
      <c r="I443" s="178" t="s">
        <v>62</v>
      </c>
      <c r="J443" s="27" t="s">
        <v>264</v>
      </c>
      <c r="K443" s="27">
        <v>2094</v>
      </c>
      <c r="L443" s="179">
        <v>2708</v>
      </c>
      <c r="M443" s="180" t="s">
        <v>59</v>
      </c>
      <c r="N443" s="181" t="s">
        <v>264</v>
      </c>
      <c r="O443" s="182" t="s">
        <v>60</v>
      </c>
    </row>
    <row r="444" spans="1:15" ht="12">
      <c r="A444" s="148"/>
      <c r="B444" s="174" t="s">
        <v>978</v>
      </c>
      <c r="C444" s="175" t="s">
        <v>424</v>
      </c>
      <c r="D444" s="176" t="s">
        <v>425</v>
      </c>
      <c r="E444" s="177" t="s">
        <v>979</v>
      </c>
      <c r="F444" s="175">
        <f t="shared" si="18"/>
        <v>11</v>
      </c>
      <c r="G444" s="175" t="str">
        <f t="shared" si="19"/>
        <v>Las Vegas</v>
      </c>
      <c r="H444" s="175" t="str">
        <f t="shared" si="20"/>
        <v>Las Vegas, NM</v>
      </c>
      <c r="I444" s="178" t="s">
        <v>2100</v>
      </c>
      <c r="J444" s="27" t="s">
        <v>403</v>
      </c>
      <c r="K444" s="27">
        <v>973</v>
      </c>
      <c r="L444" s="179">
        <v>5413</v>
      </c>
      <c r="M444" s="180" t="s">
        <v>2101</v>
      </c>
      <c r="N444" s="181" t="s">
        <v>403</v>
      </c>
      <c r="O444" s="182" t="s">
        <v>2102</v>
      </c>
    </row>
    <row r="445" spans="1:15" ht="12">
      <c r="A445" s="148"/>
      <c r="B445" s="174" t="s">
        <v>2103</v>
      </c>
      <c r="C445" s="175" t="s">
        <v>1401</v>
      </c>
      <c r="D445" s="176" t="s">
        <v>1402</v>
      </c>
      <c r="E445" s="177" t="s">
        <v>979</v>
      </c>
      <c r="F445" s="175">
        <f t="shared" si="18"/>
        <v>11</v>
      </c>
      <c r="G445" s="175" t="str">
        <f t="shared" si="19"/>
        <v>Las Vegas</v>
      </c>
      <c r="H445" s="175" t="str">
        <f t="shared" si="20"/>
        <v>Las Vegas, NV</v>
      </c>
      <c r="I445" s="178" t="s">
        <v>920</v>
      </c>
      <c r="J445" s="27" t="s">
        <v>1402</v>
      </c>
      <c r="K445" s="27">
        <v>3201</v>
      </c>
      <c r="L445" s="179">
        <v>2407</v>
      </c>
      <c r="M445" s="180" t="s">
        <v>921</v>
      </c>
      <c r="N445" s="181" t="s">
        <v>1402</v>
      </c>
      <c r="O445" s="182" t="s">
        <v>922</v>
      </c>
    </row>
    <row r="446" spans="1:15" ht="12">
      <c r="A446" s="148"/>
      <c r="B446" s="174" t="s">
        <v>2104</v>
      </c>
      <c r="C446" s="175" t="s">
        <v>496</v>
      </c>
      <c r="D446" s="176" t="s">
        <v>439</v>
      </c>
      <c r="E446" s="177" t="s">
        <v>2105</v>
      </c>
      <c r="F446" s="175">
        <f t="shared" si="18"/>
        <v>8</v>
      </c>
      <c r="G446" s="175" t="str">
        <f t="shared" si="19"/>
        <v>Laurel</v>
      </c>
      <c r="H446" s="175" t="str">
        <f t="shared" si="20"/>
        <v>Laurel, MD</v>
      </c>
      <c r="I446" s="178" t="s">
        <v>498</v>
      </c>
      <c r="J446" s="27" t="s">
        <v>439</v>
      </c>
      <c r="K446" s="27">
        <v>1137</v>
      </c>
      <c r="L446" s="179">
        <v>4707</v>
      </c>
      <c r="M446" s="180" t="s">
        <v>499</v>
      </c>
      <c r="N446" s="181" t="s">
        <v>439</v>
      </c>
      <c r="O446" s="182" t="s">
        <v>500</v>
      </c>
    </row>
    <row r="447" spans="1:15" ht="12">
      <c r="A447" s="148"/>
      <c r="B447" s="174" t="s">
        <v>2106</v>
      </c>
      <c r="C447" s="175" t="s">
        <v>2280</v>
      </c>
      <c r="D447" s="176" t="s">
        <v>2281</v>
      </c>
      <c r="E447" s="177" t="s">
        <v>2107</v>
      </c>
      <c r="F447" s="175">
        <f t="shared" si="18"/>
        <v>14</v>
      </c>
      <c r="G447" s="175" t="str">
        <f t="shared" si="19"/>
        <v>Lawrenceburg</v>
      </c>
      <c r="H447" s="175" t="str">
        <f t="shared" si="20"/>
        <v>Lawrenceburg, IN</v>
      </c>
      <c r="I447" s="178" t="s">
        <v>2385</v>
      </c>
      <c r="J447" s="27" t="s">
        <v>526</v>
      </c>
      <c r="K447" s="27">
        <v>996</v>
      </c>
      <c r="L447" s="179">
        <v>5248</v>
      </c>
      <c r="M447" s="180" t="s">
        <v>2386</v>
      </c>
      <c r="N447" s="181" t="s">
        <v>395</v>
      </c>
      <c r="O447" s="182" t="s">
        <v>2387</v>
      </c>
    </row>
    <row r="448" spans="1:15" ht="12">
      <c r="A448" s="148"/>
      <c r="B448" s="174" t="s">
        <v>2108</v>
      </c>
      <c r="C448" s="175" t="s">
        <v>509</v>
      </c>
      <c r="D448" s="176" t="s">
        <v>510</v>
      </c>
      <c r="E448" s="177" t="s">
        <v>2109</v>
      </c>
      <c r="F448" s="175">
        <f t="shared" si="18"/>
        <v>8</v>
      </c>
      <c r="G448" s="175" t="str">
        <f t="shared" si="19"/>
        <v>Lawton</v>
      </c>
      <c r="H448" s="175" t="str">
        <f t="shared" si="20"/>
        <v>Lawton, OK</v>
      </c>
      <c r="I448" s="178" t="s">
        <v>2110</v>
      </c>
      <c r="J448" s="27" t="s">
        <v>264</v>
      </c>
      <c r="K448" s="27">
        <v>2340</v>
      </c>
      <c r="L448" s="179">
        <v>3042</v>
      </c>
      <c r="M448" s="180" t="s">
        <v>2111</v>
      </c>
      <c r="N448" s="181" t="s">
        <v>264</v>
      </c>
      <c r="O448" s="182" t="s">
        <v>2112</v>
      </c>
    </row>
    <row r="449" spans="1:15" ht="12">
      <c r="A449" s="148"/>
      <c r="B449" s="174" t="s">
        <v>2113</v>
      </c>
      <c r="C449" s="175" t="s">
        <v>449</v>
      </c>
      <c r="D449" s="176" t="s">
        <v>450</v>
      </c>
      <c r="E449" s="177" t="s">
        <v>2114</v>
      </c>
      <c r="F449" s="175">
        <f t="shared" si="18"/>
        <v>15</v>
      </c>
      <c r="G449" s="175" t="str">
        <f t="shared" si="19"/>
        <v>Lehigh_Valley</v>
      </c>
      <c r="H449" s="175" t="str">
        <f t="shared" si="20"/>
        <v>Lehigh_Valley, PA</v>
      </c>
      <c r="I449" s="178" t="s">
        <v>452</v>
      </c>
      <c r="J449" s="27" t="s">
        <v>450</v>
      </c>
      <c r="K449" s="27">
        <v>773</v>
      </c>
      <c r="L449" s="179">
        <v>5785</v>
      </c>
      <c r="M449" s="178" t="s">
        <v>453</v>
      </c>
      <c r="N449" s="27" t="s">
        <v>450</v>
      </c>
      <c r="O449" s="182" t="s">
        <v>454</v>
      </c>
    </row>
    <row r="450" spans="1:15" ht="12">
      <c r="A450" s="148"/>
      <c r="B450" s="174" t="s">
        <v>2115</v>
      </c>
      <c r="C450" s="175" t="s">
        <v>1617</v>
      </c>
      <c r="D450" s="176" t="s">
        <v>1530</v>
      </c>
      <c r="E450" s="177" t="s">
        <v>2116</v>
      </c>
      <c r="F450" s="175">
        <f t="shared" si="18"/>
        <v>11</v>
      </c>
      <c r="G450" s="175" t="str">
        <f t="shared" si="19"/>
        <v>Lewisburg</v>
      </c>
      <c r="H450" s="175" t="str">
        <f t="shared" si="20"/>
        <v>Lewisburg, WV</v>
      </c>
      <c r="I450" s="178" t="s">
        <v>1319</v>
      </c>
      <c r="J450" s="27" t="s">
        <v>1530</v>
      </c>
      <c r="K450" s="27">
        <v>1031</v>
      </c>
      <c r="L450" s="179">
        <v>4646</v>
      </c>
      <c r="M450" s="180" t="s">
        <v>1531</v>
      </c>
      <c r="N450" s="181" t="s">
        <v>1530</v>
      </c>
      <c r="O450" s="182" t="s">
        <v>1532</v>
      </c>
    </row>
    <row r="451" spans="1:15" ht="12">
      <c r="A451" s="148"/>
      <c r="B451" s="174" t="s">
        <v>2117</v>
      </c>
      <c r="C451" s="175" t="s">
        <v>2291</v>
      </c>
      <c r="D451" s="176" t="s">
        <v>2292</v>
      </c>
      <c r="E451" s="177" t="s">
        <v>2118</v>
      </c>
      <c r="F451" s="175">
        <f t="shared" si="18"/>
        <v>10</v>
      </c>
      <c r="G451" s="175" t="str">
        <f t="shared" si="19"/>
        <v>Lewiston</v>
      </c>
      <c r="H451" s="175" t="str">
        <f t="shared" si="20"/>
        <v>Lewiston, ID</v>
      </c>
      <c r="I451" s="178" t="s">
        <v>2119</v>
      </c>
      <c r="J451" s="27" t="s">
        <v>2292</v>
      </c>
      <c r="K451" s="27">
        <v>814</v>
      </c>
      <c r="L451" s="179">
        <v>5270</v>
      </c>
      <c r="M451" s="180" t="s">
        <v>1503</v>
      </c>
      <c r="N451" s="181" t="s">
        <v>1638</v>
      </c>
      <c r="O451" s="182" t="s">
        <v>1504</v>
      </c>
    </row>
    <row r="452" spans="1:15" ht="12">
      <c r="A452" s="148"/>
      <c r="B452" s="174" t="s">
        <v>2120</v>
      </c>
      <c r="C452" s="175" t="s">
        <v>525</v>
      </c>
      <c r="D452" s="176" t="s">
        <v>526</v>
      </c>
      <c r="E452" s="177" t="s">
        <v>2121</v>
      </c>
      <c r="F452" s="175">
        <f t="shared" si="18"/>
        <v>11</v>
      </c>
      <c r="G452" s="175" t="str">
        <f t="shared" si="19"/>
        <v>Lexington</v>
      </c>
      <c r="H452" s="175" t="str">
        <f t="shared" si="20"/>
        <v>Lexington, KY</v>
      </c>
      <c r="I452" s="178" t="s">
        <v>1525</v>
      </c>
      <c r="J452" s="27" t="s">
        <v>526</v>
      </c>
      <c r="K452" s="27">
        <v>1140</v>
      </c>
      <c r="L452" s="179">
        <v>4783</v>
      </c>
      <c r="M452" s="180" t="s">
        <v>1526</v>
      </c>
      <c r="N452" s="181" t="s">
        <v>526</v>
      </c>
      <c r="O452" s="182" t="s">
        <v>1527</v>
      </c>
    </row>
    <row r="453" spans="1:15" ht="12">
      <c r="A453" s="148"/>
      <c r="B453" s="174" t="s">
        <v>2122</v>
      </c>
      <c r="C453" s="175" t="s">
        <v>525</v>
      </c>
      <c r="D453" s="176" t="s">
        <v>526</v>
      </c>
      <c r="E453" s="177" t="s">
        <v>2121</v>
      </c>
      <c r="F453" s="175">
        <f t="shared" si="18"/>
        <v>11</v>
      </c>
      <c r="G453" s="175" t="str">
        <f t="shared" si="19"/>
        <v>Lexington</v>
      </c>
      <c r="H453" s="175" t="str">
        <f t="shared" si="20"/>
        <v>Lexington, KY</v>
      </c>
      <c r="I453" s="178" t="s">
        <v>1525</v>
      </c>
      <c r="J453" s="27" t="s">
        <v>526</v>
      </c>
      <c r="K453" s="27">
        <v>1140</v>
      </c>
      <c r="L453" s="179">
        <v>4783</v>
      </c>
      <c r="M453" s="180" t="s">
        <v>1526</v>
      </c>
      <c r="N453" s="181" t="s">
        <v>526</v>
      </c>
      <c r="O453" s="182" t="s">
        <v>1527</v>
      </c>
    </row>
    <row r="454" spans="1:15" ht="12">
      <c r="A454" s="148"/>
      <c r="B454" s="174" t="s">
        <v>2123</v>
      </c>
      <c r="C454" s="175" t="s">
        <v>525</v>
      </c>
      <c r="D454" s="176" t="s">
        <v>526</v>
      </c>
      <c r="E454" s="177" t="s">
        <v>2121</v>
      </c>
      <c r="F454" s="175">
        <f t="shared" ref="F454:F517" si="21">LEN(E454)</f>
        <v>11</v>
      </c>
      <c r="G454" s="175" t="str">
        <f t="shared" ref="G454:G517" si="22">MID(E454,2,F454-2)</f>
        <v>Lexington</v>
      </c>
      <c r="H454" s="175" t="str">
        <f t="shared" ref="H454:H517" si="23">CONCATENATE(G454,", ",+D454)</f>
        <v>Lexington, KY</v>
      </c>
      <c r="I454" s="178" t="s">
        <v>1525</v>
      </c>
      <c r="J454" s="27" t="s">
        <v>526</v>
      </c>
      <c r="K454" s="27">
        <v>1140</v>
      </c>
      <c r="L454" s="179">
        <v>4783</v>
      </c>
      <c r="M454" s="180" t="s">
        <v>1526</v>
      </c>
      <c r="N454" s="181" t="s">
        <v>526</v>
      </c>
      <c r="O454" s="182" t="s">
        <v>1527</v>
      </c>
    </row>
    <row r="455" spans="1:15" ht="12">
      <c r="A455" s="148"/>
      <c r="B455" s="174" t="s">
        <v>2124</v>
      </c>
      <c r="C455" s="175" t="s">
        <v>1506</v>
      </c>
      <c r="D455" s="176" t="s">
        <v>1507</v>
      </c>
      <c r="E455" s="177" t="s">
        <v>2125</v>
      </c>
      <c r="F455" s="175">
        <f t="shared" si="21"/>
        <v>9</v>
      </c>
      <c r="G455" s="175" t="str">
        <f t="shared" si="22"/>
        <v>Liberal</v>
      </c>
      <c r="H455" s="175" t="str">
        <f t="shared" si="23"/>
        <v>Liberal, KS</v>
      </c>
      <c r="I455" s="178" t="s">
        <v>1726</v>
      </c>
      <c r="J455" s="27" t="s">
        <v>1507</v>
      </c>
      <c r="K455" s="27">
        <v>1465</v>
      </c>
      <c r="L455" s="179">
        <v>5001</v>
      </c>
      <c r="M455" s="180" t="s">
        <v>1727</v>
      </c>
      <c r="N455" s="181" t="s">
        <v>1507</v>
      </c>
      <c r="O455" s="182" t="s">
        <v>1728</v>
      </c>
    </row>
    <row r="456" spans="1:15" ht="12">
      <c r="A456" s="148"/>
      <c r="B456" s="174" t="s">
        <v>2126</v>
      </c>
      <c r="C456" s="175" t="s">
        <v>394</v>
      </c>
      <c r="D456" s="176" t="s">
        <v>395</v>
      </c>
      <c r="E456" s="177" t="s">
        <v>2127</v>
      </c>
      <c r="F456" s="175">
        <f t="shared" si="21"/>
        <v>6</v>
      </c>
      <c r="G456" s="175" t="str">
        <f t="shared" si="22"/>
        <v>Lima</v>
      </c>
      <c r="H456" s="175" t="str">
        <f t="shared" si="23"/>
        <v>Lima, OH</v>
      </c>
      <c r="I456" s="178" t="s">
        <v>1694</v>
      </c>
      <c r="J456" s="27" t="s">
        <v>395</v>
      </c>
      <c r="K456" s="27">
        <v>886</v>
      </c>
      <c r="L456" s="179">
        <v>5708</v>
      </c>
      <c r="M456" s="180" t="s">
        <v>1691</v>
      </c>
      <c r="N456" s="181" t="s">
        <v>395</v>
      </c>
      <c r="O456" s="182" t="s">
        <v>1692</v>
      </c>
    </row>
    <row r="457" spans="1:15" ht="12">
      <c r="A457" s="148"/>
      <c r="B457" s="174" t="s">
        <v>2128</v>
      </c>
      <c r="C457" s="175" t="s">
        <v>456</v>
      </c>
      <c r="D457" s="176" t="s">
        <v>457</v>
      </c>
      <c r="E457" s="177" t="s">
        <v>2129</v>
      </c>
      <c r="F457" s="175">
        <f t="shared" si="21"/>
        <v>9</v>
      </c>
      <c r="G457" s="175" t="str">
        <f t="shared" si="22"/>
        <v>Lincoln</v>
      </c>
      <c r="H457" s="175" t="str">
        <f t="shared" si="23"/>
        <v>Lincoln, NE</v>
      </c>
      <c r="I457" s="178" t="s">
        <v>2130</v>
      </c>
      <c r="J457" s="27" t="s">
        <v>457</v>
      </c>
      <c r="K457" s="27">
        <v>1134</v>
      </c>
      <c r="L457" s="179">
        <v>6278</v>
      </c>
      <c r="M457" s="180" t="s">
        <v>633</v>
      </c>
      <c r="N457" s="181" t="s">
        <v>457</v>
      </c>
      <c r="O457" s="182" t="s">
        <v>634</v>
      </c>
    </row>
    <row r="458" spans="1:15" ht="12">
      <c r="A458" s="148"/>
      <c r="B458" s="174" t="s">
        <v>2131</v>
      </c>
      <c r="C458" s="175" t="s">
        <v>456</v>
      </c>
      <c r="D458" s="176" t="s">
        <v>457</v>
      </c>
      <c r="E458" s="177" t="s">
        <v>2129</v>
      </c>
      <c r="F458" s="175">
        <f t="shared" si="21"/>
        <v>9</v>
      </c>
      <c r="G458" s="175" t="str">
        <f t="shared" si="22"/>
        <v>Lincoln</v>
      </c>
      <c r="H458" s="175" t="str">
        <f t="shared" si="23"/>
        <v>Lincoln, NE</v>
      </c>
      <c r="I458" s="178" t="s">
        <v>2130</v>
      </c>
      <c r="J458" s="27" t="s">
        <v>457</v>
      </c>
      <c r="K458" s="27">
        <v>1134</v>
      </c>
      <c r="L458" s="179">
        <v>6278</v>
      </c>
      <c r="M458" s="180" t="s">
        <v>633</v>
      </c>
      <c r="N458" s="181" t="s">
        <v>457</v>
      </c>
      <c r="O458" s="182" t="s">
        <v>634</v>
      </c>
    </row>
    <row r="459" spans="1:15" ht="12">
      <c r="A459" s="148"/>
      <c r="B459" s="174" t="s">
        <v>2132</v>
      </c>
      <c r="C459" s="175" t="s">
        <v>456</v>
      </c>
      <c r="D459" s="176" t="s">
        <v>457</v>
      </c>
      <c r="E459" s="177" t="s">
        <v>2129</v>
      </c>
      <c r="F459" s="175">
        <f t="shared" si="21"/>
        <v>9</v>
      </c>
      <c r="G459" s="175" t="str">
        <f t="shared" si="22"/>
        <v>Lincoln</v>
      </c>
      <c r="H459" s="175" t="str">
        <f t="shared" si="23"/>
        <v>Lincoln, NE</v>
      </c>
      <c r="I459" s="178" t="s">
        <v>2130</v>
      </c>
      <c r="J459" s="27" t="s">
        <v>457</v>
      </c>
      <c r="K459" s="27">
        <v>1134</v>
      </c>
      <c r="L459" s="179">
        <v>6278</v>
      </c>
      <c r="M459" s="180" t="s">
        <v>633</v>
      </c>
      <c r="N459" s="181" t="s">
        <v>457</v>
      </c>
      <c r="O459" s="182" t="s">
        <v>634</v>
      </c>
    </row>
    <row r="460" spans="1:15" ht="12">
      <c r="A460" s="148"/>
      <c r="B460" s="174" t="s">
        <v>2133</v>
      </c>
      <c r="C460" s="175" t="s">
        <v>1589</v>
      </c>
      <c r="D460" s="176" t="s">
        <v>1590</v>
      </c>
      <c r="E460" s="177" t="s">
        <v>2134</v>
      </c>
      <c r="F460" s="175">
        <f t="shared" si="21"/>
        <v>13</v>
      </c>
      <c r="G460" s="175" t="str">
        <f t="shared" si="22"/>
        <v>Little Rock</v>
      </c>
      <c r="H460" s="175" t="str">
        <f t="shared" si="23"/>
        <v>Little Rock, AR</v>
      </c>
      <c r="I460" s="178" t="s">
        <v>1362</v>
      </c>
      <c r="J460" s="27" t="s">
        <v>1590</v>
      </c>
      <c r="K460" s="27">
        <v>2005</v>
      </c>
      <c r="L460" s="179">
        <v>3155</v>
      </c>
      <c r="M460" s="178" t="s">
        <v>1593</v>
      </c>
      <c r="N460" s="27" t="s">
        <v>1590</v>
      </c>
      <c r="O460" s="182" t="s">
        <v>1594</v>
      </c>
    </row>
    <row r="461" spans="1:15" ht="12">
      <c r="A461" s="148"/>
      <c r="B461" s="174" t="s">
        <v>2135</v>
      </c>
      <c r="C461" s="175" t="s">
        <v>1589</v>
      </c>
      <c r="D461" s="176" t="s">
        <v>1590</v>
      </c>
      <c r="E461" s="177" t="s">
        <v>2134</v>
      </c>
      <c r="F461" s="175">
        <f t="shared" si="21"/>
        <v>13</v>
      </c>
      <c r="G461" s="175" t="str">
        <f t="shared" si="22"/>
        <v>Little Rock</v>
      </c>
      <c r="H461" s="175" t="str">
        <f t="shared" si="23"/>
        <v>Little Rock, AR</v>
      </c>
      <c r="I461" s="178" t="s">
        <v>1362</v>
      </c>
      <c r="J461" s="27" t="s">
        <v>1590</v>
      </c>
      <c r="K461" s="27">
        <v>2005</v>
      </c>
      <c r="L461" s="179">
        <v>3155</v>
      </c>
      <c r="M461" s="178" t="s">
        <v>1593</v>
      </c>
      <c r="N461" s="27" t="s">
        <v>1590</v>
      </c>
      <c r="O461" s="182" t="s">
        <v>1594</v>
      </c>
    </row>
    <row r="462" spans="1:15" ht="12">
      <c r="A462" s="148"/>
      <c r="B462" s="174" t="s">
        <v>2136</v>
      </c>
      <c r="C462" s="175" t="s">
        <v>1589</v>
      </c>
      <c r="D462" s="176" t="s">
        <v>1590</v>
      </c>
      <c r="E462" s="177" t="s">
        <v>2134</v>
      </c>
      <c r="F462" s="175">
        <f t="shared" si="21"/>
        <v>13</v>
      </c>
      <c r="G462" s="175" t="str">
        <f t="shared" si="22"/>
        <v>Little Rock</v>
      </c>
      <c r="H462" s="175" t="str">
        <f t="shared" si="23"/>
        <v>Little Rock, AR</v>
      </c>
      <c r="I462" s="178" t="s">
        <v>1362</v>
      </c>
      <c r="J462" s="27" t="s">
        <v>1590</v>
      </c>
      <c r="K462" s="27">
        <v>2005</v>
      </c>
      <c r="L462" s="179">
        <v>3155</v>
      </c>
      <c r="M462" s="178" t="s">
        <v>1593</v>
      </c>
      <c r="N462" s="27" t="s">
        <v>1590</v>
      </c>
      <c r="O462" s="182" t="s">
        <v>1594</v>
      </c>
    </row>
    <row r="463" spans="1:15" ht="12">
      <c r="A463" s="148"/>
      <c r="B463" s="186" t="s">
        <v>2137</v>
      </c>
      <c r="C463" s="175" t="s">
        <v>271</v>
      </c>
      <c r="D463" s="176" t="s">
        <v>272</v>
      </c>
      <c r="E463" s="177" t="s">
        <v>2138</v>
      </c>
      <c r="F463" s="175">
        <f t="shared" si="21"/>
        <v>11</v>
      </c>
      <c r="G463" s="175" t="str">
        <f t="shared" si="22"/>
        <v>Littleton</v>
      </c>
      <c r="H463" s="175" t="str">
        <f t="shared" si="23"/>
        <v>Littleton, NH</v>
      </c>
      <c r="I463" s="178" t="s">
        <v>1340</v>
      </c>
      <c r="J463" s="27" t="s">
        <v>1623</v>
      </c>
      <c r="K463" s="27">
        <v>388</v>
      </c>
      <c r="L463" s="179">
        <v>7771</v>
      </c>
      <c r="M463" s="180" t="s">
        <v>1341</v>
      </c>
      <c r="N463" s="181" t="s">
        <v>1623</v>
      </c>
      <c r="O463" s="182" t="s">
        <v>1342</v>
      </c>
    </row>
    <row r="464" spans="1:15" ht="12">
      <c r="A464" s="148"/>
      <c r="B464" s="174" t="s">
        <v>2139</v>
      </c>
      <c r="C464" s="175" t="s">
        <v>1617</v>
      </c>
      <c r="D464" s="176" t="s">
        <v>1530</v>
      </c>
      <c r="E464" s="177" t="s">
        <v>2140</v>
      </c>
      <c r="F464" s="175">
        <f t="shared" si="21"/>
        <v>7</v>
      </c>
      <c r="G464" s="175" t="str">
        <f t="shared" si="22"/>
        <v>Logan</v>
      </c>
      <c r="H464" s="175" t="str">
        <f t="shared" si="23"/>
        <v>Logan, WV</v>
      </c>
      <c r="I464" s="178" t="s">
        <v>1319</v>
      </c>
      <c r="J464" s="27" t="s">
        <v>1530</v>
      </c>
      <c r="K464" s="27">
        <v>1031</v>
      </c>
      <c r="L464" s="179">
        <v>4646</v>
      </c>
      <c r="M464" s="180" t="s">
        <v>1531</v>
      </c>
      <c r="N464" s="181" t="s">
        <v>1530</v>
      </c>
      <c r="O464" s="182" t="s">
        <v>1532</v>
      </c>
    </row>
    <row r="465" spans="1:15" ht="12">
      <c r="A465" s="148"/>
      <c r="B465" s="174" t="s">
        <v>2141</v>
      </c>
      <c r="C465" s="175" t="s">
        <v>442</v>
      </c>
      <c r="D465" s="176" t="s">
        <v>443</v>
      </c>
      <c r="E465" s="177" t="s">
        <v>2142</v>
      </c>
      <c r="F465" s="175">
        <f t="shared" si="21"/>
        <v>12</v>
      </c>
      <c r="G465" s="175" t="str">
        <f t="shared" si="22"/>
        <v>Long Beach</v>
      </c>
      <c r="H465" s="175" t="str">
        <f t="shared" si="23"/>
        <v>Long Beach, CA</v>
      </c>
      <c r="I465" s="178" t="s">
        <v>471</v>
      </c>
      <c r="J465" s="27" t="s">
        <v>443</v>
      </c>
      <c r="K465" s="27">
        <v>1201</v>
      </c>
      <c r="L465" s="179">
        <v>1430</v>
      </c>
      <c r="M465" s="178" t="s">
        <v>446</v>
      </c>
      <c r="N465" s="27" t="s">
        <v>443</v>
      </c>
      <c r="O465" s="182" t="s">
        <v>447</v>
      </c>
    </row>
    <row r="466" spans="1:15" ht="12">
      <c r="A466" s="148"/>
      <c r="B466" s="174" t="s">
        <v>2143</v>
      </c>
      <c r="C466" s="175" t="s">
        <v>402</v>
      </c>
      <c r="D466" s="176" t="s">
        <v>403</v>
      </c>
      <c r="E466" s="177" t="s">
        <v>2144</v>
      </c>
      <c r="F466" s="175">
        <f t="shared" si="21"/>
        <v>10</v>
      </c>
      <c r="G466" s="175" t="str">
        <f t="shared" si="22"/>
        <v>Longmont</v>
      </c>
      <c r="H466" s="175" t="str">
        <f t="shared" si="23"/>
        <v>Longmont, CO</v>
      </c>
      <c r="I466" s="178" t="s">
        <v>657</v>
      </c>
      <c r="J466" s="27" t="s">
        <v>403</v>
      </c>
      <c r="K466" s="27">
        <v>679</v>
      </c>
      <c r="L466" s="179">
        <v>6020</v>
      </c>
      <c r="M466" s="180" t="s">
        <v>658</v>
      </c>
      <c r="N466" s="181" t="s">
        <v>403</v>
      </c>
      <c r="O466" s="182" t="s">
        <v>659</v>
      </c>
    </row>
    <row r="467" spans="1:15" ht="12">
      <c r="A467" s="148"/>
      <c r="B467" s="174" t="s">
        <v>2145</v>
      </c>
      <c r="C467" s="175" t="s">
        <v>263</v>
      </c>
      <c r="D467" s="176" t="s">
        <v>264</v>
      </c>
      <c r="E467" s="177" t="s">
        <v>2146</v>
      </c>
      <c r="F467" s="175">
        <f t="shared" si="21"/>
        <v>10</v>
      </c>
      <c r="G467" s="175" t="str">
        <f t="shared" si="22"/>
        <v>Longview</v>
      </c>
      <c r="H467" s="175" t="str">
        <f t="shared" si="23"/>
        <v>Longview, TX</v>
      </c>
      <c r="I467" s="178" t="s">
        <v>390</v>
      </c>
      <c r="J467" s="27" t="s">
        <v>291</v>
      </c>
      <c r="K467" s="27">
        <v>2368</v>
      </c>
      <c r="L467" s="179">
        <v>2264</v>
      </c>
      <c r="M467" s="180" t="s">
        <v>391</v>
      </c>
      <c r="N467" s="181" t="s">
        <v>291</v>
      </c>
      <c r="O467" s="182" t="s">
        <v>392</v>
      </c>
    </row>
    <row r="468" spans="1:15" ht="12">
      <c r="A468" s="148"/>
      <c r="B468" s="174" t="s">
        <v>2147</v>
      </c>
      <c r="C468" s="175" t="s">
        <v>442</v>
      </c>
      <c r="D468" s="176" t="s">
        <v>443</v>
      </c>
      <c r="E468" s="177" t="s">
        <v>2148</v>
      </c>
      <c r="F468" s="175">
        <f t="shared" si="21"/>
        <v>13</v>
      </c>
      <c r="G468" s="175" t="str">
        <f t="shared" si="22"/>
        <v>Los Angeles</v>
      </c>
      <c r="H468" s="175" t="str">
        <f t="shared" si="23"/>
        <v>Los Angeles, CA</v>
      </c>
      <c r="I468" s="178" t="s">
        <v>98</v>
      </c>
      <c r="J468" s="27" t="s">
        <v>443</v>
      </c>
      <c r="K468" s="27">
        <v>727</v>
      </c>
      <c r="L468" s="179">
        <v>1458</v>
      </c>
      <c r="M468" s="178" t="s">
        <v>446</v>
      </c>
      <c r="N468" s="27" t="s">
        <v>443</v>
      </c>
      <c r="O468" s="182" t="s">
        <v>447</v>
      </c>
    </row>
    <row r="469" spans="1:15" ht="12">
      <c r="A469" s="148"/>
      <c r="B469" s="174" t="s">
        <v>2149</v>
      </c>
      <c r="C469" s="175" t="s">
        <v>442</v>
      </c>
      <c r="D469" s="176" t="s">
        <v>443</v>
      </c>
      <c r="E469" s="177" t="s">
        <v>2148</v>
      </c>
      <c r="F469" s="175">
        <f t="shared" si="21"/>
        <v>13</v>
      </c>
      <c r="G469" s="175" t="str">
        <f t="shared" si="22"/>
        <v>Los Angeles</v>
      </c>
      <c r="H469" s="175" t="str">
        <f t="shared" si="23"/>
        <v>Los Angeles, CA</v>
      </c>
      <c r="I469" s="178" t="s">
        <v>98</v>
      </c>
      <c r="J469" s="27" t="s">
        <v>443</v>
      </c>
      <c r="K469" s="27">
        <v>727</v>
      </c>
      <c r="L469" s="179">
        <v>1458</v>
      </c>
      <c r="M469" s="178" t="s">
        <v>446</v>
      </c>
      <c r="N469" s="27" t="s">
        <v>443</v>
      </c>
      <c r="O469" s="182" t="s">
        <v>447</v>
      </c>
    </row>
    <row r="470" spans="1:15" ht="12">
      <c r="A470" s="148"/>
      <c r="B470" s="174" t="s">
        <v>2150</v>
      </c>
      <c r="C470" s="175" t="s">
        <v>442</v>
      </c>
      <c r="D470" s="176" t="s">
        <v>443</v>
      </c>
      <c r="E470" s="177" t="s">
        <v>2148</v>
      </c>
      <c r="F470" s="175">
        <f t="shared" si="21"/>
        <v>13</v>
      </c>
      <c r="G470" s="175" t="str">
        <f t="shared" si="22"/>
        <v>Los Angeles</v>
      </c>
      <c r="H470" s="175" t="str">
        <f t="shared" si="23"/>
        <v>Los Angeles, CA</v>
      </c>
      <c r="I470" s="178" t="s">
        <v>98</v>
      </c>
      <c r="J470" s="27" t="s">
        <v>443</v>
      </c>
      <c r="K470" s="27">
        <v>727</v>
      </c>
      <c r="L470" s="179">
        <v>1458</v>
      </c>
      <c r="M470" s="178" t="s">
        <v>446</v>
      </c>
      <c r="N470" s="27" t="s">
        <v>443</v>
      </c>
      <c r="O470" s="182" t="s">
        <v>447</v>
      </c>
    </row>
    <row r="471" spans="1:15" ht="12">
      <c r="A471" s="148"/>
      <c r="B471" s="174" t="s">
        <v>2151</v>
      </c>
      <c r="C471" s="175" t="s">
        <v>525</v>
      </c>
      <c r="D471" s="176" t="s">
        <v>526</v>
      </c>
      <c r="E471" s="177" t="s">
        <v>2152</v>
      </c>
      <c r="F471" s="175">
        <f t="shared" si="21"/>
        <v>12</v>
      </c>
      <c r="G471" s="175" t="str">
        <f t="shared" si="22"/>
        <v>Louisville</v>
      </c>
      <c r="H471" s="175" t="str">
        <f t="shared" si="23"/>
        <v>Louisville, KY</v>
      </c>
      <c r="I471" s="178" t="s">
        <v>662</v>
      </c>
      <c r="J471" s="27" t="s">
        <v>526</v>
      </c>
      <c r="K471" s="27">
        <v>1288</v>
      </c>
      <c r="L471" s="179">
        <v>4514</v>
      </c>
      <c r="M471" s="180" t="s">
        <v>663</v>
      </c>
      <c r="N471" s="181" t="s">
        <v>526</v>
      </c>
      <c r="O471" s="182" t="s">
        <v>664</v>
      </c>
    </row>
    <row r="472" spans="1:15" ht="12">
      <c r="A472" s="148"/>
      <c r="B472" s="174" t="s">
        <v>2153</v>
      </c>
      <c r="C472" s="175" t="s">
        <v>525</v>
      </c>
      <c r="D472" s="176" t="s">
        <v>526</v>
      </c>
      <c r="E472" s="177" t="s">
        <v>2152</v>
      </c>
      <c r="F472" s="175">
        <f t="shared" si="21"/>
        <v>12</v>
      </c>
      <c r="G472" s="175" t="str">
        <f t="shared" si="22"/>
        <v>Louisville</v>
      </c>
      <c r="H472" s="175" t="str">
        <f t="shared" si="23"/>
        <v>Louisville, KY</v>
      </c>
      <c r="I472" s="178" t="s">
        <v>662</v>
      </c>
      <c r="J472" s="27" t="s">
        <v>526</v>
      </c>
      <c r="K472" s="27">
        <v>1288</v>
      </c>
      <c r="L472" s="179">
        <v>4514</v>
      </c>
      <c r="M472" s="180" t="s">
        <v>663</v>
      </c>
      <c r="N472" s="181" t="s">
        <v>526</v>
      </c>
      <c r="O472" s="182" t="s">
        <v>664</v>
      </c>
    </row>
    <row r="473" spans="1:15" ht="12">
      <c r="A473" s="148"/>
      <c r="B473" s="174" t="s">
        <v>2154</v>
      </c>
      <c r="C473" s="175" t="s">
        <v>525</v>
      </c>
      <c r="D473" s="176" t="s">
        <v>526</v>
      </c>
      <c r="E473" s="177" t="s">
        <v>2152</v>
      </c>
      <c r="F473" s="175">
        <f t="shared" si="21"/>
        <v>12</v>
      </c>
      <c r="G473" s="175" t="str">
        <f t="shared" si="22"/>
        <v>Louisville</v>
      </c>
      <c r="H473" s="175" t="str">
        <f t="shared" si="23"/>
        <v>Louisville, KY</v>
      </c>
      <c r="I473" s="178" t="s">
        <v>662</v>
      </c>
      <c r="J473" s="27" t="s">
        <v>526</v>
      </c>
      <c r="K473" s="27">
        <v>1288</v>
      </c>
      <c r="L473" s="179">
        <v>4514</v>
      </c>
      <c r="M473" s="180" t="s">
        <v>663</v>
      </c>
      <c r="N473" s="181" t="s">
        <v>526</v>
      </c>
      <c r="O473" s="182" t="s">
        <v>664</v>
      </c>
    </row>
    <row r="474" spans="1:15" ht="12">
      <c r="A474" s="148"/>
      <c r="B474" s="174" t="s">
        <v>2155</v>
      </c>
      <c r="C474" s="175" t="s">
        <v>263</v>
      </c>
      <c r="D474" s="176" t="s">
        <v>264</v>
      </c>
      <c r="E474" s="177" t="s">
        <v>2156</v>
      </c>
      <c r="F474" s="175">
        <f t="shared" si="21"/>
        <v>9</v>
      </c>
      <c r="G474" s="175" t="str">
        <f t="shared" si="22"/>
        <v>Lubbock</v>
      </c>
      <c r="H474" s="175" t="str">
        <f t="shared" si="23"/>
        <v>Lubbock, TX</v>
      </c>
      <c r="I474" s="178" t="s">
        <v>2376</v>
      </c>
      <c r="J474" s="27" t="s">
        <v>264</v>
      </c>
      <c r="K474" s="27">
        <v>1689</v>
      </c>
      <c r="L474" s="179">
        <v>3431</v>
      </c>
      <c r="M474" s="180" t="s">
        <v>2377</v>
      </c>
      <c r="N474" s="181" t="s">
        <v>264</v>
      </c>
      <c r="O474" s="182" t="s">
        <v>2378</v>
      </c>
    </row>
    <row r="475" spans="1:15" ht="12">
      <c r="A475" s="148"/>
      <c r="B475" s="174" t="s">
        <v>2157</v>
      </c>
      <c r="C475" s="175" t="s">
        <v>263</v>
      </c>
      <c r="D475" s="176" t="s">
        <v>264</v>
      </c>
      <c r="E475" s="177" t="s">
        <v>2156</v>
      </c>
      <c r="F475" s="175">
        <f t="shared" si="21"/>
        <v>9</v>
      </c>
      <c r="G475" s="175" t="str">
        <f t="shared" si="22"/>
        <v>Lubbock</v>
      </c>
      <c r="H475" s="175" t="str">
        <f t="shared" si="23"/>
        <v>Lubbock, TX</v>
      </c>
      <c r="I475" s="178" t="s">
        <v>2376</v>
      </c>
      <c r="J475" s="27" t="s">
        <v>264</v>
      </c>
      <c r="K475" s="27">
        <v>1689</v>
      </c>
      <c r="L475" s="179">
        <v>3431</v>
      </c>
      <c r="M475" s="180" t="s">
        <v>2377</v>
      </c>
      <c r="N475" s="181" t="s">
        <v>264</v>
      </c>
      <c r="O475" s="182" t="s">
        <v>2378</v>
      </c>
    </row>
    <row r="476" spans="1:15" ht="12">
      <c r="A476" s="148"/>
      <c r="B476" s="174" t="s">
        <v>2158</v>
      </c>
      <c r="C476" s="175" t="s">
        <v>263</v>
      </c>
      <c r="D476" s="176" t="s">
        <v>264</v>
      </c>
      <c r="E476" s="177" t="s">
        <v>2159</v>
      </c>
      <c r="F476" s="175">
        <f t="shared" si="21"/>
        <v>8</v>
      </c>
      <c r="G476" s="175" t="str">
        <f t="shared" si="22"/>
        <v>Lufkin</v>
      </c>
      <c r="H476" s="175" t="str">
        <f t="shared" si="23"/>
        <v>Lufkin, TX</v>
      </c>
      <c r="I476" s="178" t="s">
        <v>2160</v>
      </c>
      <c r="J476" s="27" t="s">
        <v>264</v>
      </c>
      <c r="K476" s="27">
        <v>2816</v>
      </c>
      <c r="L476" s="179">
        <v>2179</v>
      </c>
      <c r="M476" s="180" t="s">
        <v>2161</v>
      </c>
      <c r="N476" s="181" t="s">
        <v>264</v>
      </c>
      <c r="O476" s="182" t="s">
        <v>2162</v>
      </c>
    </row>
    <row r="477" spans="1:15" ht="12">
      <c r="A477" s="148"/>
      <c r="B477" s="174" t="s">
        <v>2163</v>
      </c>
      <c r="C477" s="175" t="s">
        <v>434</v>
      </c>
      <c r="D477" s="176" t="s">
        <v>435</v>
      </c>
      <c r="E477" s="177" t="s">
        <v>2164</v>
      </c>
      <c r="F477" s="175">
        <f t="shared" si="21"/>
        <v>11</v>
      </c>
      <c r="G477" s="175" t="str">
        <f t="shared" si="22"/>
        <v>Lynchburg</v>
      </c>
      <c r="H477" s="175" t="str">
        <f t="shared" si="23"/>
        <v>Lynchburg, VA</v>
      </c>
      <c r="I477" s="178" t="s">
        <v>2165</v>
      </c>
      <c r="J477" s="27" t="s">
        <v>435</v>
      </c>
      <c r="K477" s="27">
        <v>1048</v>
      </c>
      <c r="L477" s="179">
        <v>4340</v>
      </c>
      <c r="M477" s="180" t="s">
        <v>2288</v>
      </c>
      <c r="N477" s="181" t="s">
        <v>435</v>
      </c>
      <c r="O477" s="182" t="s">
        <v>2289</v>
      </c>
    </row>
    <row r="478" spans="1:15" ht="12">
      <c r="A478" s="148"/>
      <c r="B478" s="186" t="s">
        <v>2166</v>
      </c>
      <c r="C478" s="175" t="s">
        <v>2299</v>
      </c>
      <c r="D478" s="176" t="s">
        <v>2300</v>
      </c>
      <c r="E478" s="177" t="s">
        <v>2167</v>
      </c>
      <c r="F478" s="175">
        <f t="shared" si="21"/>
        <v>6</v>
      </c>
      <c r="G478" s="175" t="str">
        <f t="shared" si="22"/>
        <v>Lynn</v>
      </c>
      <c r="H478" s="175" t="str">
        <f t="shared" si="23"/>
        <v>Lynn, MA</v>
      </c>
      <c r="I478" s="178" t="s">
        <v>653</v>
      </c>
      <c r="J478" s="27" t="s">
        <v>2300</v>
      </c>
      <c r="K478" s="27">
        <v>678</v>
      </c>
      <c r="L478" s="179">
        <v>5641</v>
      </c>
      <c r="M478" s="180" t="s">
        <v>650</v>
      </c>
      <c r="N478" s="181" t="s">
        <v>2300</v>
      </c>
      <c r="O478" s="182" t="s">
        <v>651</v>
      </c>
    </row>
    <row r="479" spans="1:15" ht="12">
      <c r="A479" s="148"/>
      <c r="B479" s="174" t="s">
        <v>2168</v>
      </c>
      <c r="C479" s="175" t="s">
        <v>489</v>
      </c>
      <c r="D479" s="176" t="s">
        <v>490</v>
      </c>
      <c r="E479" s="177" t="s">
        <v>2169</v>
      </c>
      <c r="F479" s="175">
        <f t="shared" si="21"/>
        <v>15</v>
      </c>
      <c r="G479" s="175" t="str">
        <f t="shared" si="22"/>
        <v>Mackinaw City</v>
      </c>
      <c r="H479" s="175" t="str">
        <f t="shared" si="23"/>
        <v>Mackinaw City, MI</v>
      </c>
      <c r="I479" s="178" t="s">
        <v>2170</v>
      </c>
      <c r="J479" s="27" t="s">
        <v>490</v>
      </c>
      <c r="K479" s="27">
        <v>131</v>
      </c>
      <c r="L479" s="179">
        <v>9316</v>
      </c>
      <c r="M479" s="180" t="s">
        <v>805</v>
      </c>
      <c r="N479" s="181" t="s">
        <v>490</v>
      </c>
      <c r="O479" s="182" t="s">
        <v>806</v>
      </c>
    </row>
    <row r="480" spans="1:15" ht="12">
      <c r="A480" s="148"/>
      <c r="B480" s="174" t="s">
        <v>2171</v>
      </c>
      <c r="C480" s="175" t="s">
        <v>409</v>
      </c>
      <c r="D480" s="176" t="s">
        <v>410</v>
      </c>
      <c r="E480" s="177" t="s">
        <v>2172</v>
      </c>
      <c r="F480" s="175">
        <f t="shared" si="21"/>
        <v>7</v>
      </c>
      <c r="G480" s="175" t="str">
        <f t="shared" si="22"/>
        <v>Macon</v>
      </c>
      <c r="H480" s="175" t="str">
        <f t="shared" si="23"/>
        <v>Macon, GA</v>
      </c>
      <c r="I480" s="178" t="s">
        <v>412</v>
      </c>
      <c r="J480" s="27" t="s">
        <v>410</v>
      </c>
      <c r="K480" s="27">
        <v>2284</v>
      </c>
      <c r="L480" s="179">
        <v>2261</v>
      </c>
      <c r="M480" s="178" t="s">
        <v>2173</v>
      </c>
      <c r="N480" s="27" t="s">
        <v>410</v>
      </c>
      <c r="O480" s="182" t="s">
        <v>2174</v>
      </c>
    </row>
    <row r="481" spans="1:15" ht="12">
      <c r="A481" s="148"/>
      <c r="B481" s="174" t="s">
        <v>2175</v>
      </c>
      <c r="C481" s="175" t="s">
        <v>409</v>
      </c>
      <c r="D481" s="176" t="s">
        <v>410</v>
      </c>
      <c r="E481" s="177" t="s">
        <v>2172</v>
      </c>
      <c r="F481" s="175">
        <f t="shared" si="21"/>
        <v>7</v>
      </c>
      <c r="G481" s="175" t="str">
        <f t="shared" si="22"/>
        <v>Macon</v>
      </c>
      <c r="H481" s="175" t="str">
        <f t="shared" si="23"/>
        <v>Macon, GA</v>
      </c>
      <c r="I481" s="178" t="s">
        <v>412</v>
      </c>
      <c r="J481" s="27" t="s">
        <v>410</v>
      </c>
      <c r="K481" s="27">
        <v>2284</v>
      </c>
      <c r="L481" s="179">
        <v>2261</v>
      </c>
      <c r="M481" s="178" t="s">
        <v>2173</v>
      </c>
      <c r="N481" s="27" t="s">
        <v>410</v>
      </c>
      <c r="O481" s="182" t="s">
        <v>2174</v>
      </c>
    </row>
    <row r="482" spans="1:15" ht="12">
      <c r="A482" s="148"/>
      <c r="B482" s="174" t="s">
        <v>2176</v>
      </c>
      <c r="C482" s="175" t="s">
        <v>409</v>
      </c>
      <c r="D482" s="176" t="s">
        <v>410</v>
      </c>
      <c r="E482" s="177" t="s">
        <v>2172</v>
      </c>
      <c r="F482" s="175">
        <f t="shared" si="21"/>
        <v>7</v>
      </c>
      <c r="G482" s="175" t="str">
        <f t="shared" si="22"/>
        <v>Macon</v>
      </c>
      <c r="H482" s="175" t="str">
        <f t="shared" si="23"/>
        <v>Macon, GA</v>
      </c>
      <c r="I482" s="178" t="s">
        <v>626</v>
      </c>
      <c r="J482" s="27" t="s">
        <v>410</v>
      </c>
      <c r="K482" s="27">
        <v>2125</v>
      </c>
      <c r="L482" s="179">
        <v>2334</v>
      </c>
      <c r="M482" s="178" t="s">
        <v>2173</v>
      </c>
      <c r="N482" s="27" t="s">
        <v>410</v>
      </c>
      <c r="O482" s="182" t="s">
        <v>2174</v>
      </c>
    </row>
    <row r="483" spans="1:15" ht="12">
      <c r="A483" s="148"/>
      <c r="B483" s="174" t="s">
        <v>2177</v>
      </c>
      <c r="C483" s="175" t="s">
        <v>51</v>
      </c>
      <c r="D483" s="176" t="s">
        <v>1702</v>
      </c>
      <c r="E483" s="177" t="s">
        <v>2178</v>
      </c>
      <c r="F483" s="175">
        <f t="shared" si="21"/>
        <v>9</v>
      </c>
      <c r="G483" s="175" t="str">
        <f t="shared" si="22"/>
        <v>Madison</v>
      </c>
      <c r="H483" s="175" t="str">
        <f t="shared" si="23"/>
        <v>Madison, WI</v>
      </c>
      <c r="I483" s="178" t="s">
        <v>1701</v>
      </c>
      <c r="J483" s="27" t="s">
        <v>1702</v>
      </c>
      <c r="K483" s="27">
        <v>692</v>
      </c>
      <c r="L483" s="179">
        <v>7491</v>
      </c>
      <c r="M483" s="180" t="s">
        <v>945</v>
      </c>
      <c r="N483" s="181" t="s">
        <v>1702</v>
      </c>
      <c r="O483" s="182" t="s">
        <v>946</v>
      </c>
    </row>
    <row r="484" spans="1:15" ht="12">
      <c r="A484" s="148"/>
      <c r="B484" s="174" t="s">
        <v>2179</v>
      </c>
      <c r="C484" s="175" t="s">
        <v>51</v>
      </c>
      <c r="D484" s="176" t="s">
        <v>1702</v>
      </c>
      <c r="E484" s="177" t="s">
        <v>2178</v>
      </c>
      <c r="F484" s="175">
        <f t="shared" si="21"/>
        <v>9</v>
      </c>
      <c r="G484" s="175" t="str">
        <f t="shared" si="22"/>
        <v>Madison</v>
      </c>
      <c r="H484" s="175" t="str">
        <f t="shared" si="23"/>
        <v>Madison, WI</v>
      </c>
      <c r="I484" s="178" t="s">
        <v>1701</v>
      </c>
      <c r="J484" s="27" t="s">
        <v>1702</v>
      </c>
      <c r="K484" s="27">
        <v>692</v>
      </c>
      <c r="L484" s="179">
        <v>7491</v>
      </c>
      <c r="M484" s="180" t="s">
        <v>945</v>
      </c>
      <c r="N484" s="181" t="s">
        <v>1702</v>
      </c>
      <c r="O484" s="182" t="s">
        <v>946</v>
      </c>
    </row>
    <row r="485" spans="1:15" ht="12">
      <c r="A485" s="148"/>
      <c r="B485" s="174" t="s">
        <v>2180</v>
      </c>
      <c r="C485" s="175" t="s">
        <v>51</v>
      </c>
      <c r="D485" s="176" t="s">
        <v>1702</v>
      </c>
      <c r="E485" s="177" t="s">
        <v>2178</v>
      </c>
      <c r="F485" s="175">
        <f t="shared" si="21"/>
        <v>9</v>
      </c>
      <c r="G485" s="175" t="str">
        <f t="shared" si="22"/>
        <v>Madison</v>
      </c>
      <c r="H485" s="175" t="str">
        <f t="shared" si="23"/>
        <v>Madison, WI</v>
      </c>
      <c r="I485" s="178" t="s">
        <v>944</v>
      </c>
      <c r="J485" s="27" t="s">
        <v>1702</v>
      </c>
      <c r="K485" s="27">
        <v>485</v>
      </c>
      <c r="L485" s="179">
        <v>7673</v>
      </c>
      <c r="M485" s="180" t="s">
        <v>945</v>
      </c>
      <c r="N485" s="181" t="s">
        <v>1702</v>
      </c>
      <c r="O485" s="182" t="s">
        <v>946</v>
      </c>
    </row>
    <row r="486" spans="1:15" ht="12">
      <c r="A486" s="148"/>
      <c r="B486" s="186" t="s">
        <v>2181</v>
      </c>
      <c r="C486" s="175" t="s">
        <v>271</v>
      </c>
      <c r="D486" s="176" t="s">
        <v>272</v>
      </c>
      <c r="E486" s="177" t="s">
        <v>2182</v>
      </c>
      <c r="F486" s="175">
        <f t="shared" si="21"/>
        <v>12</v>
      </c>
      <c r="G486" s="175" t="str">
        <f t="shared" si="22"/>
        <v>Manchester</v>
      </c>
      <c r="H486" s="175" t="str">
        <f t="shared" si="23"/>
        <v>Manchester, NH</v>
      </c>
      <c r="I486" s="178" t="s">
        <v>649</v>
      </c>
      <c r="J486" s="27" t="s">
        <v>2300</v>
      </c>
      <c r="K486" s="27">
        <v>333</v>
      </c>
      <c r="L486" s="179">
        <v>6979</v>
      </c>
      <c r="M486" s="180" t="s">
        <v>275</v>
      </c>
      <c r="N486" s="181" t="s">
        <v>272</v>
      </c>
      <c r="O486" s="182" t="s">
        <v>276</v>
      </c>
    </row>
    <row r="487" spans="1:15" ht="12">
      <c r="A487" s="148"/>
      <c r="B487" s="186" t="s">
        <v>2183</v>
      </c>
      <c r="C487" s="175" t="s">
        <v>271</v>
      </c>
      <c r="D487" s="176" t="s">
        <v>272</v>
      </c>
      <c r="E487" s="177" t="s">
        <v>2182</v>
      </c>
      <c r="F487" s="175">
        <f t="shared" si="21"/>
        <v>12</v>
      </c>
      <c r="G487" s="175" t="str">
        <f t="shared" si="22"/>
        <v>Manchester</v>
      </c>
      <c r="H487" s="175" t="str">
        <f t="shared" si="23"/>
        <v>Manchester, NH</v>
      </c>
      <c r="I487" s="178" t="s">
        <v>274</v>
      </c>
      <c r="J487" s="27" t="s">
        <v>272</v>
      </c>
      <c r="K487" s="27">
        <v>328</v>
      </c>
      <c r="L487" s="179">
        <v>7554</v>
      </c>
      <c r="M487" s="180" t="s">
        <v>275</v>
      </c>
      <c r="N487" s="181" t="s">
        <v>272</v>
      </c>
      <c r="O487" s="182" t="s">
        <v>276</v>
      </c>
    </row>
    <row r="488" spans="1:15" ht="12">
      <c r="A488" s="148"/>
      <c r="B488" s="174">
        <v>969</v>
      </c>
      <c r="C488" s="175" t="s">
        <v>2184</v>
      </c>
      <c r="D488" s="176" t="s">
        <v>2185</v>
      </c>
      <c r="E488" s="177" t="s">
        <v>2186</v>
      </c>
      <c r="F488" s="175">
        <f t="shared" si="21"/>
        <v>10</v>
      </c>
      <c r="G488" s="175" t="str">
        <f t="shared" si="22"/>
        <v>Mangilao</v>
      </c>
      <c r="H488" s="175" t="str">
        <f t="shared" si="23"/>
        <v>Mangilao, GU</v>
      </c>
      <c r="I488" s="178" t="s">
        <v>1145</v>
      </c>
      <c r="J488" s="27" t="s">
        <v>1146</v>
      </c>
      <c r="K488" s="27">
        <v>5034</v>
      </c>
      <c r="L488" s="179">
        <v>0</v>
      </c>
      <c r="M488" s="178" t="s">
        <v>789</v>
      </c>
      <c r="N488" s="27" t="s">
        <v>786</v>
      </c>
      <c r="O488" s="182" t="s">
        <v>790</v>
      </c>
    </row>
    <row r="489" spans="1:15" ht="12">
      <c r="A489" s="148"/>
      <c r="B489" s="174" t="s">
        <v>1147</v>
      </c>
      <c r="C489" s="175" t="s">
        <v>1626</v>
      </c>
      <c r="D489" s="176" t="s">
        <v>1627</v>
      </c>
      <c r="E489" s="177" t="s">
        <v>1148</v>
      </c>
      <c r="F489" s="175">
        <f t="shared" si="21"/>
        <v>9</v>
      </c>
      <c r="G489" s="175" t="str">
        <f t="shared" si="22"/>
        <v>Mankato</v>
      </c>
      <c r="H489" s="175" t="str">
        <f t="shared" si="23"/>
        <v>Mankato, MN</v>
      </c>
      <c r="I489" s="178" t="s">
        <v>1149</v>
      </c>
      <c r="J489" s="27" t="s">
        <v>1627</v>
      </c>
      <c r="K489" s="27">
        <v>472</v>
      </c>
      <c r="L489" s="179">
        <v>8250</v>
      </c>
      <c r="M489" s="178" t="s">
        <v>684</v>
      </c>
      <c r="N489" s="27" t="s">
        <v>1627</v>
      </c>
      <c r="O489" s="182" t="s">
        <v>685</v>
      </c>
    </row>
    <row r="490" spans="1:15" ht="12">
      <c r="A490" s="148"/>
      <c r="B490" s="174" t="s">
        <v>1150</v>
      </c>
      <c r="C490" s="175" t="s">
        <v>394</v>
      </c>
      <c r="D490" s="176" t="s">
        <v>395</v>
      </c>
      <c r="E490" s="177" t="s">
        <v>1151</v>
      </c>
      <c r="F490" s="175">
        <f t="shared" si="21"/>
        <v>11</v>
      </c>
      <c r="G490" s="175" t="str">
        <f t="shared" si="22"/>
        <v>Mansfield</v>
      </c>
      <c r="H490" s="175" t="str">
        <f t="shared" si="23"/>
        <v>Mansfield, OH</v>
      </c>
      <c r="I490" s="178" t="s">
        <v>1152</v>
      </c>
      <c r="J490" s="27" t="s">
        <v>395</v>
      </c>
      <c r="K490" s="27">
        <v>666</v>
      </c>
      <c r="L490" s="179">
        <v>6258</v>
      </c>
      <c r="M490" s="180" t="s">
        <v>398</v>
      </c>
      <c r="N490" s="181" t="s">
        <v>395</v>
      </c>
      <c r="O490" s="182" t="s">
        <v>399</v>
      </c>
    </row>
    <row r="491" spans="1:15" ht="12">
      <c r="A491" s="148"/>
      <c r="B491" s="174" t="s">
        <v>1153</v>
      </c>
      <c r="C491" s="175" t="s">
        <v>394</v>
      </c>
      <c r="D491" s="176" t="s">
        <v>395</v>
      </c>
      <c r="E491" s="177" t="s">
        <v>1151</v>
      </c>
      <c r="F491" s="175">
        <f t="shared" si="21"/>
        <v>11</v>
      </c>
      <c r="G491" s="175" t="str">
        <f t="shared" si="22"/>
        <v>Mansfield</v>
      </c>
      <c r="H491" s="175" t="str">
        <f t="shared" si="23"/>
        <v>Mansfield, OH</v>
      </c>
      <c r="I491" s="178" t="s">
        <v>1152</v>
      </c>
      <c r="J491" s="27" t="s">
        <v>395</v>
      </c>
      <c r="K491" s="27">
        <v>666</v>
      </c>
      <c r="L491" s="179">
        <v>6258</v>
      </c>
      <c r="M491" s="180" t="s">
        <v>398</v>
      </c>
      <c r="N491" s="181" t="s">
        <v>395</v>
      </c>
      <c r="O491" s="182" t="s">
        <v>399</v>
      </c>
    </row>
    <row r="492" spans="1:15" ht="12">
      <c r="A492" s="148"/>
      <c r="B492" s="174" t="s">
        <v>1154</v>
      </c>
      <c r="C492" s="175" t="s">
        <v>394</v>
      </c>
      <c r="D492" s="176" t="s">
        <v>395</v>
      </c>
      <c r="E492" s="177" t="s">
        <v>1155</v>
      </c>
      <c r="F492" s="175">
        <f t="shared" si="21"/>
        <v>8</v>
      </c>
      <c r="G492" s="175" t="str">
        <f t="shared" si="22"/>
        <v>Marion</v>
      </c>
      <c r="H492" s="175" t="str">
        <f t="shared" si="23"/>
        <v>Marion, OH</v>
      </c>
      <c r="I492" s="178" t="s">
        <v>1694</v>
      </c>
      <c r="J492" s="27" t="s">
        <v>395</v>
      </c>
      <c r="K492" s="27">
        <v>886</v>
      </c>
      <c r="L492" s="179">
        <v>5708</v>
      </c>
      <c r="M492" s="180" t="s">
        <v>1691</v>
      </c>
      <c r="N492" s="181" t="s">
        <v>395</v>
      </c>
      <c r="O492" s="182" t="s">
        <v>1692</v>
      </c>
    </row>
    <row r="493" spans="1:15" ht="12">
      <c r="A493" s="148"/>
      <c r="B493" s="174" t="s">
        <v>1156</v>
      </c>
      <c r="C493" s="175" t="s">
        <v>1617</v>
      </c>
      <c r="D493" s="176" t="s">
        <v>1530</v>
      </c>
      <c r="E493" s="177" t="s">
        <v>1157</v>
      </c>
      <c r="F493" s="175">
        <f t="shared" si="21"/>
        <v>13</v>
      </c>
      <c r="G493" s="175" t="str">
        <f t="shared" si="22"/>
        <v>Martinsburg</v>
      </c>
      <c r="H493" s="175" t="str">
        <f t="shared" si="23"/>
        <v>Martinsburg, WV</v>
      </c>
      <c r="I493" s="178" t="s">
        <v>1676</v>
      </c>
      <c r="J493" s="27" t="s">
        <v>437</v>
      </c>
      <c r="K493" s="27">
        <v>973</v>
      </c>
      <c r="L493" s="179">
        <v>5006</v>
      </c>
      <c r="M493" s="180" t="s">
        <v>438</v>
      </c>
      <c r="N493" s="181" t="s">
        <v>439</v>
      </c>
      <c r="O493" s="182" t="s">
        <v>440</v>
      </c>
    </row>
    <row r="494" spans="1:15" ht="12">
      <c r="A494" s="148"/>
      <c r="B494" s="174" t="s">
        <v>1158</v>
      </c>
      <c r="C494" s="175" t="s">
        <v>442</v>
      </c>
      <c r="D494" s="176" t="s">
        <v>443</v>
      </c>
      <c r="E494" s="177" t="s">
        <v>1159</v>
      </c>
      <c r="F494" s="175">
        <f t="shared" si="21"/>
        <v>12</v>
      </c>
      <c r="G494" s="175" t="str">
        <f t="shared" si="22"/>
        <v>Marysville</v>
      </c>
      <c r="H494" s="175" t="str">
        <f t="shared" si="23"/>
        <v>Marysville, CA</v>
      </c>
      <c r="I494" s="178" t="s">
        <v>640</v>
      </c>
      <c r="J494" s="27" t="s">
        <v>443</v>
      </c>
      <c r="K494" s="27">
        <v>1237</v>
      </c>
      <c r="L494" s="179">
        <v>2749</v>
      </c>
      <c r="M494" s="178" t="s">
        <v>641</v>
      </c>
      <c r="N494" s="27" t="s">
        <v>443</v>
      </c>
      <c r="O494" s="182" t="s">
        <v>642</v>
      </c>
    </row>
    <row r="495" spans="1:15" ht="12">
      <c r="A495" s="148"/>
      <c r="B495" s="174" t="s">
        <v>1160</v>
      </c>
      <c r="C495" s="175" t="s">
        <v>1333</v>
      </c>
      <c r="D495" s="176" t="s">
        <v>1334</v>
      </c>
      <c r="E495" s="177" t="s">
        <v>1161</v>
      </c>
      <c r="F495" s="175">
        <f t="shared" si="21"/>
        <v>12</v>
      </c>
      <c r="G495" s="175" t="str">
        <f t="shared" si="22"/>
        <v>Mason City</v>
      </c>
      <c r="H495" s="175" t="str">
        <f t="shared" si="23"/>
        <v>Mason City, IA</v>
      </c>
      <c r="I495" s="178" t="s">
        <v>2321</v>
      </c>
      <c r="J495" s="27" t="s">
        <v>1334</v>
      </c>
      <c r="K495" s="27">
        <v>702</v>
      </c>
      <c r="L495" s="179">
        <v>7406</v>
      </c>
      <c r="M495" s="180" t="s">
        <v>1337</v>
      </c>
      <c r="N495" s="181" t="s">
        <v>1334</v>
      </c>
      <c r="O495" s="182" t="s">
        <v>1338</v>
      </c>
    </row>
    <row r="496" spans="1:15" ht="12">
      <c r="A496" s="148"/>
      <c r="B496" s="174" t="s">
        <v>1162</v>
      </c>
      <c r="C496" s="175" t="s">
        <v>2354</v>
      </c>
      <c r="D496" s="176" t="s">
        <v>485</v>
      </c>
      <c r="E496" s="177" t="s">
        <v>1163</v>
      </c>
      <c r="F496" s="175">
        <f t="shared" si="21"/>
        <v>11</v>
      </c>
      <c r="G496" s="175" t="str">
        <f t="shared" si="22"/>
        <v>Mc_Kenzie</v>
      </c>
      <c r="H496" s="175" t="str">
        <f t="shared" si="23"/>
        <v>Mc_Kenzie, TN</v>
      </c>
      <c r="I496" s="178" t="s">
        <v>1523</v>
      </c>
      <c r="J496" s="27" t="s">
        <v>485</v>
      </c>
      <c r="K496" s="27">
        <v>1616</v>
      </c>
      <c r="L496" s="179">
        <v>3729</v>
      </c>
      <c r="M496" s="180" t="s">
        <v>1524</v>
      </c>
      <c r="N496" s="181" t="s">
        <v>485</v>
      </c>
      <c r="O496" s="182" t="s">
        <v>623</v>
      </c>
    </row>
    <row r="497" spans="1:15" ht="12">
      <c r="A497" s="148"/>
      <c r="B497" s="174" t="s">
        <v>1164</v>
      </c>
      <c r="C497" s="175" t="s">
        <v>509</v>
      </c>
      <c r="D497" s="176" t="s">
        <v>510</v>
      </c>
      <c r="E497" s="177" t="s">
        <v>1165</v>
      </c>
      <c r="F497" s="175">
        <f t="shared" si="21"/>
        <v>11</v>
      </c>
      <c r="G497" s="175" t="str">
        <f t="shared" si="22"/>
        <v>McAlester</v>
      </c>
      <c r="H497" s="175" t="str">
        <f t="shared" si="23"/>
        <v>McAlester, OK</v>
      </c>
      <c r="I497" s="178" t="s">
        <v>1966</v>
      </c>
      <c r="J497" s="27" t="s">
        <v>1590</v>
      </c>
      <c r="K497" s="27">
        <v>1894</v>
      </c>
      <c r="L497" s="179">
        <v>3478</v>
      </c>
      <c r="M497" s="178" t="s">
        <v>1967</v>
      </c>
      <c r="N497" s="27" t="s">
        <v>1590</v>
      </c>
      <c r="O497" s="182" t="s">
        <v>1968</v>
      </c>
    </row>
    <row r="498" spans="1:15" ht="12">
      <c r="A498" s="148"/>
      <c r="B498" s="174" t="s">
        <v>1130</v>
      </c>
      <c r="C498" s="175" t="s">
        <v>630</v>
      </c>
      <c r="D498" s="176" t="s">
        <v>1346</v>
      </c>
      <c r="E498" s="177" t="s">
        <v>1131</v>
      </c>
      <c r="F498" s="175">
        <f t="shared" si="21"/>
        <v>8</v>
      </c>
      <c r="G498" s="175" t="str">
        <f t="shared" si="22"/>
        <v>McComb</v>
      </c>
      <c r="H498" s="175" t="str">
        <f t="shared" si="23"/>
        <v>McComb, MS</v>
      </c>
      <c r="I498" s="178" t="s">
        <v>2074</v>
      </c>
      <c r="J498" s="27" t="s">
        <v>1346</v>
      </c>
      <c r="K498" s="27">
        <v>2215</v>
      </c>
      <c r="L498" s="179">
        <v>2467</v>
      </c>
      <c r="M498" s="180" t="s">
        <v>1347</v>
      </c>
      <c r="N498" s="181" t="s">
        <v>1346</v>
      </c>
      <c r="O498" s="182" t="s">
        <v>1348</v>
      </c>
    </row>
    <row r="499" spans="1:15" ht="12">
      <c r="A499" s="148"/>
      <c r="B499" s="174" t="s">
        <v>1132</v>
      </c>
      <c r="C499" s="175" t="s">
        <v>456</v>
      </c>
      <c r="D499" s="176" t="s">
        <v>457</v>
      </c>
      <c r="E499" s="177" t="s">
        <v>1133</v>
      </c>
      <c r="F499" s="175">
        <f t="shared" si="21"/>
        <v>8</v>
      </c>
      <c r="G499" s="175" t="str">
        <f t="shared" si="22"/>
        <v>McCook</v>
      </c>
      <c r="H499" s="175" t="str">
        <f t="shared" si="23"/>
        <v>McCook, NE</v>
      </c>
      <c r="I499" s="178" t="s">
        <v>1509</v>
      </c>
      <c r="J499" s="27" t="s">
        <v>1507</v>
      </c>
      <c r="K499" s="27">
        <v>859</v>
      </c>
      <c r="L499" s="179">
        <v>5974</v>
      </c>
      <c r="M499" s="180" t="s">
        <v>1510</v>
      </c>
      <c r="N499" s="181" t="s">
        <v>1507</v>
      </c>
      <c r="O499" s="182" t="s">
        <v>1511</v>
      </c>
    </row>
    <row r="500" spans="1:15" ht="12">
      <c r="A500" s="148"/>
      <c r="B500" s="174" t="s">
        <v>1134</v>
      </c>
      <c r="C500" s="175" t="s">
        <v>1633</v>
      </c>
      <c r="D500" s="176" t="s">
        <v>1634</v>
      </c>
      <c r="E500" s="177" t="s">
        <v>1135</v>
      </c>
      <c r="F500" s="175">
        <f t="shared" si="21"/>
        <v>9</v>
      </c>
      <c r="G500" s="175" t="str">
        <f t="shared" si="22"/>
        <v>Medford</v>
      </c>
      <c r="H500" s="175" t="str">
        <f t="shared" si="23"/>
        <v>Medford, OR</v>
      </c>
      <c r="I500" s="178" t="s">
        <v>935</v>
      </c>
      <c r="J500" s="27" t="s">
        <v>1634</v>
      </c>
      <c r="K500" s="27">
        <v>725</v>
      </c>
      <c r="L500" s="179">
        <v>4611</v>
      </c>
      <c r="M500" s="180" t="s">
        <v>548</v>
      </c>
      <c r="N500" s="181" t="s">
        <v>1634</v>
      </c>
      <c r="O500" s="182" t="s">
        <v>549</v>
      </c>
    </row>
    <row r="501" spans="1:15" ht="12">
      <c r="A501" s="148"/>
      <c r="B501" s="174" t="s">
        <v>1136</v>
      </c>
      <c r="C501" s="175" t="s">
        <v>670</v>
      </c>
      <c r="D501" s="176" t="s">
        <v>671</v>
      </c>
      <c r="E501" s="177" t="s">
        <v>1137</v>
      </c>
      <c r="F501" s="175">
        <f t="shared" si="21"/>
        <v>11</v>
      </c>
      <c r="G501" s="175" t="str">
        <f t="shared" si="22"/>
        <v>Melbourne</v>
      </c>
      <c r="H501" s="175" t="str">
        <f t="shared" si="23"/>
        <v>Melbourne, FL</v>
      </c>
      <c r="I501" s="178" t="s">
        <v>1138</v>
      </c>
      <c r="J501" s="27" t="s">
        <v>671</v>
      </c>
      <c r="K501" s="27">
        <v>3278</v>
      </c>
      <c r="L501" s="179">
        <v>548</v>
      </c>
      <c r="M501" s="178" t="s">
        <v>1139</v>
      </c>
      <c r="N501" s="27" t="s">
        <v>671</v>
      </c>
      <c r="O501" s="182" t="s">
        <v>1140</v>
      </c>
    </row>
    <row r="502" spans="1:15" ht="12">
      <c r="A502" s="148"/>
      <c r="B502" s="174" t="s">
        <v>1141</v>
      </c>
      <c r="C502" s="175" t="s">
        <v>2354</v>
      </c>
      <c r="D502" s="176" t="s">
        <v>485</v>
      </c>
      <c r="E502" s="177" t="s">
        <v>1142</v>
      </c>
      <c r="F502" s="175">
        <f t="shared" si="21"/>
        <v>9</v>
      </c>
      <c r="G502" s="175" t="str">
        <f t="shared" si="22"/>
        <v>Memphis</v>
      </c>
      <c r="H502" s="175" t="str">
        <f t="shared" si="23"/>
        <v>Memphis, TN</v>
      </c>
      <c r="I502" s="178" t="s">
        <v>1143</v>
      </c>
      <c r="J502" s="27" t="s">
        <v>485</v>
      </c>
      <c r="K502" s="27">
        <v>2118</v>
      </c>
      <c r="L502" s="179">
        <v>3082</v>
      </c>
      <c r="M502" s="180" t="s">
        <v>1144</v>
      </c>
      <c r="N502" s="181" t="s">
        <v>485</v>
      </c>
      <c r="O502" s="182" t="s">
        <v>1210</v>
      </c>
    </row>
    <row r="503" spans="1:15" ht="12">
      <c r="A503" s="148"/>
      <c r="B503" s="174" t="s">
        <v>1211</v>
      </c>
      <c r="C503" s="175" t="s">
        <v>2354</v>
      </c>
      <c r="D503" s="176" t="s">
        <v>485</v>
      </c>
      <c r="E503" s="177" t="s">
        <v>1142</v>
      </c>
      <c r="F503" s="175">
        <f t="shared" si="21"/>
        <v>9</v>
      </c>
      <c r="G503" s="175" t="str">
        <f t="shared" si="22"/>
        <v>Memphis</v>
      </c>
      <c r="H503" s="175" t="str">
        <f t="shared" si="23"/>
        <v>Memphis, TN</v>
      </c>
      <c r="I503" s="178" t="s">
        <v>1143</v>
      </c>
      <c r="J503" s="27" t="s">
        <v>485</v>
      </c>
      <c r="K503" s="27">
        <v>2118</v>
      </c>
      <c r="L503" s="179">
        <v>3082</v>
      </c>
      <c r="M503" s="180" t="s">
        <v>1144</v>
      </c>
      <c r="N503" s="181" t="s">
        <v>485</v>
      </c>
      <c r="O503" s="182" t="s">
        <v>1210</v>
      </c>
    </row>
    <row r="504" spans="1:15" ht="12">
      <c r="A504" s="148"/>
      <c r="B504" s="174" t="s">
        <v>1212</v>
      </c>
      <c r="C504" s="175" t="s">
        <v>442</v>
      </c>
      <c r="D504" s="176" t="s">
        <v>443</v>
      </c>
      <c r="E504" s="177" t="s">
        <v>1213</v>
      </c>
      <c r="F504" s="175">
        <f t="shared" si="21"/>
        <v>8</v>
      </c>
      <c r="G504" s="175" t="str">
        <f t="shared" si="22"/>
        <v>Merced</v>
      </c>
      <c r="H504" s="175" t="str">
        <f t="shared" si="23"/>
        <v>Merced, CA</v>
      </c>
      <c r="I504" s="178" t="s">
        <v>640</v>
      </c>
      <c r="J504" s="27" t="s">
        <v>443</v>
      </c>
      <c r="K504" s="27">
        <v>1237</v>
      </c>
      <c r="L504" s="179">
        <v>2749</v>
      </c>
      <c r="M504" s="178" t="s">
        <v>641</v>
      </c>
      <c r="N504" s="27" t="s">
        <v>443</v>
      </c>
      <c r="O504" s="182" t="s">
        <v>642</v>
      </c>
    </row>
    <row r="505" spans="1:15" ht="12">
      <c r="A505" s="148"/>
      <c r="B505" s="174" t="s">
        <v>1214</v>
      </c>
      <c r="C505" s="175" t="s">
        <v>630</v>
      </c>
      <c r="D505" s="176" t="s">
        <v>1346</v>
      </c>
      <c r="E505" s="177" t="s">
        <v>156</v>
      </c>
      <c r="F505" s="175">
        <f t="shared" si="21"/>
        <v>10</v>
      </c>
      <c r="G505" s="175" t="str">
        <f t="shared" si="22"/>
        <v>Meridian</v>
      </c>
      <c r="H505" s="175" t="str">
        <f t="shared" si="23"/>
        <v>Meridian, MS</v>
      </c>
      <c r="I505" s="178" t="s">
        <v>1345</v>
      </c>
      <c r="J505" s="27" t="s">
        <v>1346</v>
      </c>
      <c r="K505" s="27">
        <v>2138</v>
      </c>
      <c r="L505" s="179">
        <v>2444</v>
      </c>
      <c r="M505" s="180" t="s">
        <v>1347</v>
      </c>
      <c r="N505" s="181" t="s">
        <v>1346</v>
      </c>
      <c r="O505" s="182" t="s">
        <v>1348</v>
      </c>
    </row>
    <row r="506" spans="1:15" ht="12">
      <c r="A506" s="148"/>
      <c r="B506" s="174" t="s">
        <v>157</v>
      </c>
      <c r="C506" s="175" t="s">
        <v>670</v>
      </c>
      <c r="D506" s="176" t="s">
        <v>671</v>
      </c>
      <c r="E506" s="177" t="s">
        <v>158</v>
      </c>
      <c r="F506" s="175">
        <f t="shared" si="21"/>
        <v>7</v>
      </c>
      <c r="G506" s="175" t="str">
        <f t="shared" si="22"/>
        <v>Miami</v>
      </c>
      <c r="H506" s="175" t="str">
        <f t="shared" si="23"/>
        <v>Miami, FL</v>
      </c>
      <c r="I506" s="178" t="s">
        <v>159</v>
      </c>
      <c r="J506" s="27" t="s">
        <v>671</v>
      </c>
      <c r="K506" s="27">
        <v>4798</v>
      </c>
      <c r="L506" s="179">
        <v>100</v>
      </c>
      <c r="M506" s="180" t="s">
        <v>1953</v>
      </c>
      <c r="N506" s="181" t="s">
        <v>671</v>
      </c>
      <c r="O506" s="182" t="s">
        <v>1954</v>
      </c>
    </row>
    <row r="507" spans="1:15" ht="12">
      <c r="A507" s="148"/>
      <c r="B507" s="174" t="s">
        <v>160</v>
      </c>
      <c r="C507" s="175" t="s">
        <v>670</v>
      </c>
      <c r="D507" s="176" t="s">
        <v>671</v>
      </c>
      <c r="E507" s="177" t="s">
        <v>158</v>
      </c>
      <c r="F507" s="175">
        <f t="shared" si="21"/>
        <v>7</v>
      </c>
      <c r="G507" s="175" t="str">
        <f t="shared" si="22"/>
        <v>Miami</v>
      </c>
      <c r="H507" s="175" t="str">
        <f t="shared" si="23"/>
        <v>Miami, FL</v>
      </c>
      <c r="I507" s="178" t="s">
        <v>1952</v>
      </c>
      <c r="J507" s="27" t="s">
        <v>671</v>
      </c>
      <c r="K507" s="27">
        <v>4198</v>
      </c>
      <c r="L507" s="179">
        <v>200</v>
      </c>
      <c r="M507" s="180" t="s">
        <v>1953</v>
      </c>
      <c r="N507" s="181" t="s">
        <v>671</v>
      </c>
      <c r="O507" s="182" t="s">
        <v>1954</v>
      </c>
    </row>
    <row r="508" spans="1:15" ht="12">
      <c r="A508" s="148"/>
      <c r="B508" s="174" t="s">
        <v>161</v>
      </c>
      <c r="C508" s="175" t="s">
        <v>670</v>
      </c>
      <c r="D508" s="176" t="s">
        <v>671</v>
      </c>
      <c r="E508" s="177" t="s">
        <v>158</v>
      </c>
      <c r="F508" s="175">
        <f t="shared" si="21"/>
        <v>7</v>
      </c>
      <c r="G508" s="175" t="str">
        <f t="shared" si="22"/>
        <v>Miami</v>
      </c>
      <c r="H508" s="175" t="str">
        <f t="shared" si="23"/>
        <v>Miami, FL</v>
      </c>
      <c r="I508" s="178" t="s">
        <v>1952</v>
      </c>
      <c r="J508" s="27" t="s">
        <v>671</v>
      </c>
      <c r="K508" s="27">
        <v>4198</v>
      </c>
      <c r="L508" s="179">
        <v>200</v>
      </c>
      <c r="M508" s="180" t="s">
        <v>1953</v>
      </c>
      <c r="N508" s="181" t="s">
        <v>671</v>
      </c>
      <c r="O508" s="182" t="s">
        <v>1954</v>
      </c>
    </row>
    <row r="509" spans="1:15" ht="12">
      <c r="A509" s="148"/>
      <c r="B509" s="174" t="s">
        <v>162</v>
      </c>
      <c r="C509" s="175" t="s">
        <v>525</v>
      </c>
      <c r="D509" s="176" t="s">
        <v>526</v>
      </c>
      <c r="E509" s="177" t="s">
        <v>163</v>
      </c>
      <c r="F509" s="175">
        <f t="shared" si="21"/>
        <v>13</v>
      </c>
      <c r="G509" s="175" t="str">
        <f t="shared" si="22"/>
        <v>Middlesboro</v>
      </c>
      <c r="H509" s="175" t="str">
        <f t="shared" si="23"/>
        <v>Middlesboro, KY</v>
      </c>
      <c r="I509" s="178" t="s">
        <v>519</v>
      </c>
      <c r="J509" s="27" t="s">
        <v>485</v>
      </c>
      <c r="K509" s="27">
        <v>972</v>
      </c>
      <c r="L509" s="179">
        <v>4406</v>
      </c>
      <c r="M509" s="180" t="s">
        <v>486</v>
      </c>
      <c r="N509" s="181" t="s">
        <v>485</v>
      </c>
      <c r="O509" s="182" t="s">
        <v>487</v>
      </c>
    </row>
    <row r="510" spans="1:15" ht="12">
      <c r="A510" s="148"/>
      <c r="B510" s="174" t="s">
        <v>164</v>
      </c>
      <c r="C510" s="175" t="s">
        <v>263</v>
      </c>
      <c r="D510" s="176" t="s">
        <v>264</v>
      </c>
      <c r="E510" s="177" t="s">
        <v>165</v>
      </c>
      <c r="F510" s="175">
        <f t="shared" si="21"/>
        <v>9</v>
      </c>
      <c r="G510" s="175" t="str">
        <f t="shared" si="22"/>
        <v>Midland</v>
      </c>
      <c r="H510" s="175" t="str">
        <f t="shared" si="23"/>
        <v>Midland, TX</v>
      </c>
      <c r="I510" s="178" t="s">
        <v>62</v>
      </c>
      <c r="J510" s="27" t="s">
        <v>264</v>
      </c>
      <c r="K510" s="27">
        <v>2094</v>
      </c>
      <c r="L510" s="179">
        <v>2708</v>
      </c>
      <c r="M510" s="180" t="s">
        <v>166</v>
      </c>
      <c r="N510" s="181" t="s">
        <v>264</v>
      </c>
      <c r="O510" s="182" t="s">
        <v>167</v>
      </c>
    </row>
    <row r="511" spans="1:15" ht="12">
      <c r="A511" s="148"/>
      <c r="B511" s="174" t="s">
        <v>168</v>
      </c>
      <c r="C511" s="175" t="s">
        <v>1426</v>
      </c>
      <c r="D511" s="176" t="s">
        <v>1427</v>
      </c>
      <c r="E511" s="177" t="s">
        <v>169</v>
      </c>
      <c r="F511" s="175">
        <f t="shared" si="21"/>
        <v>12</v>
      </c>
      <c r="G511" s="175" t="str">
        <f t="shared" si="22"/>
        <v>Miles City</v>
      </c>
      <c r="H511" s="175" t="str">
        <f t="shared" si="23"/>
        <v>Miles City, MT</v>
      </c>
      <c r="I511" s="178" t="s">
        <v>170</v>
      </c>
      <c r="J511" s="27" t="s">
        <v>1427</v>
      </c>
      <c r="K511" s="27">
        <v>558</v>
      </c>
      <c r="L511" s="179">
        <v>8745</v>
      </c>
      <c r="M511" s="180" t="s">
        <v>2048</v>
      </c>
      <c r="N511" s="181" t="s">
        <v>1427</v>
      </c>
      <c r="O511" s="182" t="s">
        <v>2049</v>
      </c>
    </row>
    <row r="512" spans="1:15" ht="12">
      <c r="A512" s="148"/>
      <c r="B512" s="174" t="s">
        <v>171</v>
      </c>
      <c r="C512" s="175" t="s">
        <v>51</v>
      </c>
      <c r="D512" s="176" t="s">
        <v>1702</v>
      </c>
      <c r="E512" s="177" t="s">
        <v>172</v>
      </c>
      <c r="F512" s="175">
        <f t="shared" si="21"/>
        <v>11</v>
      </c>
      <c r="G512" s="175" t="str">
        <f t="shared" si="22"/>
        <v>Milwaukee</v>
      </c>
      <c r="H512" s="175" t="str">
        <f t="shared" si="23"/>
        <v>Milwaukee, WI</v>
      </c>
      <c r="I512" s="178" t="s">
        <v>944</v>
      </c>
      <c r="J512" s="27" t="s">
        <v>1702</v>
      </c>
      <c r="K512" s="27">
        <v>485</v>
      </c>
      <c r="L512" s="179">
        <v>7673</v>
      </c>
      <c r="M512" s="180" t="s">
        <v>173</v>
      </c>
      <c r="N512" s="181" t="s">
        <v>1702</v>
      </c>
      <c r="O512" s="182" t="s">
        <v>174</v>
      </c>
    </row>
    <row r="513" spans="1:15" ht="12">
      <c r="A513" s="148"/>
      <c r="B513" s="174" t="s">
        <v>175</v>
      </c>
      <c r="C513" s="175" t="s">
        <v>51</v>
      </c>
      <c r="D513" s="176" t="s">
        <v>1702</v>
      </c>
      <c r="E513" s="177" t="s">
        <v>172</v>
      </c>
      <c r="F513" s="175">
        <f t="shared" si="21"/>
        <v>11</v>
      </c>
      <c r="G513" s="175" t="str">
        <f t="shared" si="22"/>
        <v>Milwaukee</v>
      </c>
      <c r="H513" s="175" t="str">
        <f t="shared" si="23"/>
        <v>Milwaukee, WI</v>
      </c>
      <c r="I513" s="178" t="s">
        <v>944</v>
      </c>
      <c r="J513" s="27" t="s">
        <v>1702</v>
      </c>
      <c r="K513" s="27">
        <v>485</v>
      </c>
      <c r="L513" s="179">
        <v>7673</v>
      </c>
      <c r="M513" s="180" t="s">
        <v>173</v>
      </c>
      <c r="N513" s="181" t="s">
        <v>1702</v>
      </c>
      <c r="O513" s="182" t="s">
        <v>174</v>
      </c>
    </row>
    <row r="514" spans="1:15" ht="12">
      <c r="A514" s="148"/>
      <c r="B514" s="174" t="s">
        <v>176</v>
      </c>
      <c r="C514" s="175" t="s">
        <v>51</v>
      </c>
      <c r="D514" s="176" t="s">
        <v>1702</v>
      </c>
      <c r="E514" s="177" t="s">
        <v>172</v>
      </c>
      <c r="F514" s="175">
        <f t="shared" si="21"/>
        <v>11</v>
      </c>
      <c r="G514" s="175" t="str">
        <f t="shared" si="22"/>
        <v>Milwaukee</v>
      </c>
      <c r="H514" s="175" t="str">
        <f t="shared" si="23"/>
        <v>Milwaukee, WI</v>
      </c>
      <c r="I514" s="178" t="s">
        <v>177</v>
      </c>
      <c r="J514" s="27" t="s">
        <v>1702</v>
      </c>
      <c r="K514" s="27">
        <v>479</v>
      </c>
      <c r="L514" s="179">
        <v>7324</v>
      </c>
      <c r="M514" s="180" t="s">
        <v>173</v>
      </c>
      <c r="N514" s="181" t="s">
        <v>1702</v>
      </c>
      <c r="O514" s="182" t="s">
        <v>174</v>
      </c>
    </row>
    <row r="515" spans="1:15" ht="12">
      <c r="A515" s="148"/>
      <c r="B515" s="174" t="s">
        <v>178</v>
      </c>
      <c r="C515" s="175" t="s">
        <v>51</v>
      </c>
      <c r="D515" s="176" t="s">
        <v>1702</v>
      </c>
      <c r="E515" s="177" t="s">
        <v>172</v>
      </c>
      <c r="F515" s="175">
        <f t="shared" si="21"/>
        <v>11</v>
      </c>
      <c r="G515" s="175" t="str">
        <f t="shared" si="22"/>
        <v>Milwaukee</v>
      </c>
      <c r="H515" s="175" t="str">
        <f t="shared" si="23"/>
        <v>Milwaukee, WI</v>
      </c>
      <c r="I515" s="178" t="s">
        <v>177</v>
      </c>
      <c r="J515" s="27" t="s">
        <v>1702</v>
      </c>
      <c r="K515" s="27">
        <v>479</v>
      </c>
      <c r="L515" s="179">
        <v>7324</v>
      </c>
      <c r="M515" s="180" t="s">
        <v>173</v>
      </c>
      <c r="N515" s="181" t="s">
        <v>1702</v>
      </c>
      <c r="O515" s="182" t="s">
        <v>174</v>
      </c>
    </row>
    <row r="516" spans="1:15" ht="12">
      <c r="A516" s="148"/>
      <c r="B516" s="174" t="s">
        <v>179</v>
      </c>
      <c r="C516" s="175" t="s">
        <v>1626</v>
      </c>
      <c r="D516" s="176" t="s">
        <v>1627</v>
      </c>
      <c r="E516" s="177" t="s">
        <v>180</v>
      </c>
      <c r="F516" s="175">
        <f t="shared" si="21"/>
        <v>13</v>
      </c>
      <c r="G516" s="175" t="str">
        <f t="shared" si="22"/>
        <v>Minneapolis</v>
      </c>
      <c r="H516" s="175" t="str">
        <f t="shared" si="23"/>
        <v>Minneapolis, MN</v>
      </c>
      <c r="I516" s="178" t="s">
        <v>53</v>
      </c>
      <c r="J516" s="27" t="s">
        <v>1627</v>
      </c>
      <c r="K516" s="27">
        <v>682</v>
      </c>
      <c r="L516" s="179">
        <v>7981</v>
      </c>
      <c r="M516" s="178" t="s">
        <v>684</v>
      </c>
      <c r="N516" s="27" t="s">
        <v>1627</v>
      </c>
      <c r="O516" s="182" t="s">
        <v>685</v>
      </c>
    </row>
    <row r="517" spans="1:15" ht="12">
      <c r="A517" s="148"/>
      <c r="B517" s="174" t="s">
        <v>181</v>
      </c>
      <c r="C517" s="175" t="s">
        <v>1626</v>
      </c>
      <c r="D517" s="176" t="s">
        <v>1627</v>
      </c>
      <c r="E517" s="177" t="s">
        <v>180</v>
      </c>
      <c r="F517" s="175">
        <f t="shared" si="21"/>
        <v>13</v>
      </c>
      <c r="G517" s="175" t="str">
        <f t="shared" si="22"/>
        <v>Minneapolis</v>
      </c>
      <c r="H517" s="175" t="str">
        <f t="shared" si="23"/>
        <v>Minneapolis, MN</v>
      </c>
      <c r="I517" s="178" t="s">
        <v>53</v>
      </c>
      <c r="J517" s="27" t="s">
        <v>1627</v>
      </c>
      <c r="K517" s="27">
        <v>682</v>
      </c>
      <c r="L517" s="179">
        <v>7981</v>
      </c>
      <c r="M517" s="178" t="s">
        <v>684</v>
      </c>
      <c r="N517" s="27" t="s">
        <v>1627</v>
      </c>
      <c r="O517" s="182" t="s">
        <v>685</v>
      </c>
    </row>
    <row r="518" spans="1:15" ht="12">
      <c r="A518" s="148"/>
      <c r="B518" s="174" t="s">
        <v>182</v>
      </c>
      <c r="C518" s="175" t="s">
        <v>416</v>
      </c>
      <c r="D518" s="176" t="s">
        <v>417</v>
      </c>
      <c r="E518" s="177" t="s">
        <v>183</v>
      </c>
      <c r="F518" s="175">
        <f t="shared" ref="F518:F581" si="24">LEN(E518)</f>
        <v>10</v>
      </c>
      <c r="G518" s="175" t="str">
        <f t="shared" ref="G518:G581" si="25">MID(E518,2,F518-2)</f>
        <v>Minneola</v>
      </c>
      <c r="H518" s="175" t="str">
        <f t="shared" ref="H518:H581" si="26">CONCATENATE(G518,", ",+D518)</f>
        <v>Minneola, NY</v>
      </c>
      <c r="I518" s="178" t="s">
        <v>1947</v>
      </c>
      <c r="J518" s="27" t="s">
        <v>417</v>
      </c>
      <c r="K518" s="27">
        <v>921</v>
      </c>
      <c r="L518" s="179">
        <v>5027</v>
      </c>
      <c r="M518" s="180" t="s">
        <v>2277</v>
      </c>
      <c r="N518" s="181" t="s">
        <v>417</v>
      </c>
      <c r="O518" s="182" t="s">
        <v>1298</v>
      </c>
    </row>
    <row r="519" spans="1:15" ht="12">
      <c r="A519" s="148"/>
      <c r="B519" s="174" t="s">
        <v>184</v>
      </c>
      <c r="C519" s="175" t="s">
        <v>1445</v>
      </c>
      <c r="D519" s="176" t="s">
        <v>260</v>
      </c>
      <c r="E519" s="177" t="s">
        <v>185</v>
      </c>
      <c r="F519" s="175">
        <f t="shared" si="24"/>
        <v>7</v>
      </c>
      <c r="G519" s="175" t="str">
        <f t="shared" si="25"/>
        <v>Minot</v>
      </c>
      <c r="H519" s="175" t="str">
        <f t="shared" si="26"/>
        <v>Minot, ND</v>
      </c>
      <c r="I519" s="178" t="s">
        <v>186</v>
      </c>
      <c r="J519" s="27" t="s">
        <v>260</v>
      </c>
      <c r="K519" s="27">
        <v>548</v>
      </c>
      <c r="L519" s="179">
        <v>9090</v>
      </c>
      <c r="M519" s="180" t="s">
        <v>1644</v>
      </c>
      <c r="N519" s="181" t="s">
        <v>260</v>
      </c>
      <c r="O519" s="182" t="s">
        <v>1645</v>
      </c>
    </row>
    <row r="520" spans="1:15" ht="12">
      <c r="A520" s="148"/>
      <c r="B520" s="174" t="s">
        <v>187</v>
      </c>
      <c r="C520" s="175" t="s">
        <v>1426</v>
      </c>
      <c r="D520" s="176" t="s">
        <v>1427</v>
      </c>
      <c r="E520" s="177" t="s">
        <v>188</v>
      </c>
      <c r="F520" s="175">
        <f t="shared" si="24"/>
        <v>10</v>
      </c>
      <c r="G520" s="175" t="str">
        <f t="shared" si="25"/>
        <v>Missoula</v>
      </c>
      <c r="H520" s="175" t="str">
        <f t="shared" si="26"/>
        <v>Missoula, MT</v>
      </c>
      <c r="I520" s="178" t="s">
        <v>1355</v>
      </c>
      <c r="J520" s="27" t="s">
        <v>1427</v>
      </c>
      <c r="K520" s="27">
        <v>280</v>
      </c>
      <c r="L520" s="179">
        <v>7792</v>
      </c>
      <c r="M520" s="180" t="s">
        <v>1356</v>
      </c>
      <c r="N520" s="181" t="s">
        <v>1427</v>
      </c>
      <c r="O520" s="182" t="s">
        <v>1357</v>
      </c>
    </row>
    <row r="521" spans="1:15" ht="12">
      <c r="A521" s="148"/>
      <c r="B521" s="174" t="s">
        <v>189</v>
      </c>
      <c r="C521" s="175" t="s">
        <v>255</v>
      </c>
      <c r="D521" s="176" t="s">
        <v>256</v>
      </c>
      <c r="E521" s="177" t="s">
        <v>190</v>
      </c>
      <c r="F521" s="175">
        <f t="shared" si="24"/>
        <v>10</v>
      </c>
      <c r="G521" s="175" t="str">
        <f t="shared" si="25"/>
        <v>Mitchell</v>
      </c>
      <c r="H521" s="175" t="str">
        <f t="shared" si="26"/>
        <v>Mitchell, SD</v>
      </c>
      <c r="I521" s="178" t="s">
        <v>459</v>
      </c>
      <c r="J521" s="27" t="s">
        <v>256</v>
      </c>
      <c r="K521" s="27">
        <v>611</v>
      </c>
      <c r="L521" s="179">
        <v>7301</v>
      </c>
      <c r="M521" s="180" t="s">
        <v>460</v>
      </c>
      <c r="N521" s="181" t="s">
        <v>256</v>
      </c>
      <c r="O521" s="182" t="s">
        <v>461</v>
      </c>
    </row>
    <row r="522" spans="1:15" ht="12">
      <c r="A522" s="148"/>
      <c r="B522" s="174" t="s">
        <v>191</v>
      </c>
      <c r="C522" s="175" t="s">
        <v>502</v>
      </c>
      <c r="D522" s="176" t="s">
        <v>503</v>
      </c>
      <c r="E522" s="177" t="s">
        <v>192</v>
      </c>
      <c r="F522" s="175">
        <f t="shared" si="24"/>
        <v>8</v>
      </c>
      <c r="G522" s="175" t="str">
        <f t="shared" si="25"/>
        <v>Mobile</v>
      </c>
      <c r="H522" s="175" t="str">
        <f t="shared" si="26"/>
        <v>Mobile, AL</v>
      </c>
      <c r="I522" s="178" t="s">
        <v>761</v>
      </c>
      <c r="J522" s="27" t="s">
        <v>503</v>
      </c>
      <c r="K522" s="27">
        <v>2627</v>
      </c>
      <c r="L522" s="179">
        <v>1702</v>
      </c>
      <c r="M522" s="180" t="s">
        <v>762</v>
      </c>
      <c r="N522" s="181" t="s">
        <v>503</v>
      </c>
      <c r="O522" s="182" t="s">
        <v>763</v>
      </c>
    </row>
    <row r="523" spans="1:15" ht="12">
      <c r="A523" s="148"/>
      <c r="B523" s="174" t="s">
        <v>193</v>
      </c>
      <c r="C523" s="175" t="s">
        <v>502</v>
      </c>
      <c r="D523" s="176" t="s">
        <v>503</v>
      </c>
      <c r="E523" s="177" t="s">
        <v>192</v>
      </c>
      <c r="F523" s="175">
        <f t="shared" si="24"/>
        <v>8</v>
      </c>
      <c r="G523" s="175" t="str">
        <f t="shared" si="25"/>
        <v>Mobile</v>
      </c>
      <c r="H523" s="175" t="str">
        <f t="shared" si="26"/>
        <v>Mobile, AL</v>
      </c>
      <c r="I523" s="178" t="s">
        <v>761</v>
      </c>
      <c r="J523" s="27" t="s">
        <v>503</v>
      </c>
      <c r="K523" s="27">
        <v>2627</v>
      </c>
      <c r="L523" s="179">
        <v>1702</v>
      </c>
      <c r="M523" s="180" t="s">
        <v>762</v>
      </c>
      <c r="N523" s="181" t="s">
        <v>503</v>
      </c>
      <c r="O523" s="182" t="s">
        <v>763</v>
      </c>
    </row>
    <row r="524" spans="1:15" ht="12">
      <c r="A524" s="148"/>
      <c r="B524" s="174" t="s">
        <v>194</v>
      </c>
      <c r="C524" s="175" t="s">
        <v>255</v>
      </c>
      <c r="D524" s="176" t="s">
        <v>256</v>
      </c>
      <c r="E524" s="177" t="s">
        <v>195</v>
      </c>
      <c r="F524" s="175">
        <f t="shared" si="24"/>
        <v>10</v>
      </c>
      <c r="G524" s="175" t="str">
        <f t="shared" si="25"/>
        <v>Mobridge</v>
      </c>
      <c r="H524" s="175" t="str">
        <f t="shared" si="26"/>
        <v>Mobridge, SD</v>
      </c>
      <c r="I524" s="178" t="s">
        <v>1643</v>
      </c>
      <c r="J524" s="27" t="s">
        <v>260</v>
      </c>
      <c r="K524" s="27">
        <v>488</v>
      </c>
      <c r="L524" s="179">
        <v>8968</v>
      </c>
      <c r="M524" s="180" t="s">
        <v>1644</v>
      </c>
      <c r="N524" s="181" t="s">
        <v>260</v>
      </c>
      <c r="O524" s="182" t="s">
        <v>1645</v>
      </c>
    </row>
    <row r="525" spans="1:15" ht="12">
      <c r="A525" s="148"/>
      <c r="B525" s="174" t="s">
        <v>196</v>
      </c>
      <c r="C525" s="175" t="s">
        <v>290</v>
      </c>
      <c r="D525" s="176" t="s">
        <v>291</v>
      </c>
      <c r="E525" s="177" t="s">
        <v>197</v>
      </c>
      <c r="F525" s="175">
        <f t="shared" si="24"/>
        <v>8</v>
      </c>
      <c r="G525" s="175" t="str">
        <f t="shared" si="25"/>
        <v>Monroe</v>
      </c>
      <c r="H525" s="175" t="str">
        <f t="shared" si="26"/>
        <v>Monroe, LA</v>
      </c>
      <c r="I525" s="178" t="s">
        <v>2074</v>
      </c>
      <c r="J525" s="27" t="s">
        <v>1346</v>
      </c>
      <c r="K525" s="27">
        <v>2215</v>
      </c>
      <c r="L525" s="179">
        <v>2467</v>
      </c>
      <c r="M525" s="180" t="s">
        <v>1347</v>
      </c>
      <c r="N525" s="181" t="s">
        <v>1346</v>
      </c>
      <c r="O525" s="182" t="s">
        <v>1348</v>
      </c>
    </row>
    <row r="526" spans="1:15" ht="12">
      <c r="A526" s="148"/>
      <c r="B526" s="174" t="s">
        <v>198</v>
      </c>
      <c r="C526" s="175" t="s">
        <v>442</v>
      </c>
      <c r="D526" s="176" t="s">
        <v>443</v>
      </c>
      <c r="E526" s="177" t="s">
        <v>199</v>
      </c>
      <c r="F526" s="175">
        <f t="shared" si="24"/>
        <v>10</v>
      </c>
      <c r="G526" s="175" t="str">
        <f t="shared" si="25"/>
        <v>Monterey</v>
      </c>
      <c r="H526" s="175" t="str">
        <f t="shared" si="26"/>
        <v>Monterey, CA</v>
      </c>
      <c r="I526" s="178" t="s">
        <v>200</v>
      </c>
      <c r="J526" s="27" t="s">
        <v>443</v>
      </c>
      <c r="K526" s="27">
        <v>65</v>
      </c>
      <c r="L526" s="179">
        <v>3005</v>
      </c>
      <c r="M526" s="178" t="s">
        <v>201</v>
      </c>
      <c r="N526" s="27" t="s">
        <v>443</v>
      </c>
      <c r="O526" s="182" t="s">
        <v>202</v>
      </c>
    </row>
    <row r="527" spans="1:15" ht="12">
      <c r="A527" s="148"/>
      <c r="B527" s="174" t="s">
        <v>203</v>
      </c>
      <c r="C527" s="175" t="s">
        <v>502</v>
      </c>
      <c r="D527" s="176" t="s">
        <v>503</v>
      </c>
      <c r="E527" s="177" t="s">
        <v>204</v>
      </c>
      <c r="F527" s="175">
        <f t="shared" si="24"/>
        <v>12</v>
      </c>
      <c r="G527" s="175" t="str">
        <f t="shared" si="25"/>
        <v>Montgomery</v>
      </c>
      <c r="H527" s="175" t="str">
        <f t="shared" si="26"/>
        <v>Montgomery, AL</v>
      </c>
      <c r="I527" s="178" t="s">
        <v>412</v>
      </c>
      <c r="J527" s="27" t="s">
        <v>410</v>
      </c>
      <c r="K527" s="27">
        <v>2284</v>
      </c>
      <c r="L527" s="179">
        <v>2261</v>
      </c>
      <c r="M527" s="178" t="s">
        <v>1732</v>
      </c>
      <c r="N527" s="27" t="s">
        <v>503</v>
      </c>
      <c r="O527" s="187" t="s">
        <v>1733</v>
      </c>
    </row>
    <row r="528" spans="1:15" ht="12">
      <c r="A528" s="148"/>
      <c r="B528" s="174" t="s">
        <v>205</v>
      </c>
      <c r="C528" s="175" t="s">
        <v>502</v>
      </c>
      <c r="D528" s="176" t="s">
        <v>503</v>
      </c>
      <c r="E528" s="177" t="s">
        <v>204</v>
      </c>
      <c r="F528" s="175">
        <f t="shared" si="24"/>
        <v>12</v>
      </c>
      <c r="G528" s="175" t="str">
        <f t="shared" si="25"/>
        <v>Montgomery</v>
      </c>
      <c r="H528" s="175" t="str">
        <f t="shared" si="26"/>
        <v>Montgomery, AL</v>
      </c>
      <c r="I528" s="178" t="s">
        <v>1731</v>
      </c>
      <c r="J528" s="27" t="s">
        <v>503</v>
      </c>
      <c r="K528" s="27">
        <v>2212</v>
      </c>
      <c r="L528" s="179">
        <v>2224</v>
      </c>
      <c r="M528" s="178" t="s">
        <v>1732</v>
      </c>
      <c r="N528" s="27" t="s">
        <v>503</v>
      </c>
      <c r="O528" s="187" t="s">
        <v>1733</v>
      </c>
    </row>
    <row r="529" spans="1:15" ht="12">
      <c r="A529" s="148"/>
      <c r="B529" s="174" t="s">
        <v>1080</v>
      </c>
      <c r="C529" s="175" t="s">
        <v>416</v>
      </c>
      <c r="D529" s="176" t="s">
        <v>417</v>
      </c>
      <c r="E529" s="177" t="s">
        <v>1081</v>
      </c>
      <c r="F529" s="175">
        <f t="shared" si="24"/>
        <v>12</v>
      </c>
      <c r="G529" s="175" t="str">
        <f t="shared" si="25"/>
        <v>Monticello</v>
      </c>
      <c r="H529" s="175" t="str">
        <f t="shared" si="26"/>
        <v>Monticello, NY</v>
      </c>
      <c r="I529" s="178" t="s">
        <v>1437</v>
      </c>
      <c r="J529" s="27" t="s">
        <v>417</v>
      </c>
      <c r="K529" s="27">
        <v>337</v>
      </c>
      <c r="L529" s="179">
        <v>7273</v>
      </c>
      <c r="M529" s="180" t="s">
        <v>1438</v>
      </c>
      <c r="N529" s="181" t="s">
        <v>450</v>
      </c>
      <c r="O529" s="182" t="s">
        <v>1439</v>
      </c>
    </row>
    <row r="530" spans="1:15" ht="12">
      <c r="A530" s="148"/>
      <c r="B530" s="186" t="s">
        <v>1082</v>
      </c>
      <c r="C530" s="175" t="s">
        <v>1622</v>
      </c>
      <c r="D530" s="176" t="s">
        <v>1623</v>
      </c>
      <c r="E530" s="177" t="s">
        <v>1083</v>
      </c>
      <c r="F530" s="175">
        <f t="shared" si="24"/>
        <v>12</v>
      </c>
      <c r="G530" s="175" t="str">
        <f t="shared" si="25"/>
        <v>Montpelier</v>
      </c>
      <c r="H530" s="175" t="str">
        <f t="shared" si="26"/>
        <v>Montpelier, VT</v>
      </c>
      <c r="I530" s="178" t="s">
        <v>1340</v>
      </c>
      <c r="J530" s="27" t="s">
        <v>1623</v>
      </c>
      <c r="K530" s="27">
        <v>388</v>
      </c>
      <c r="L530" s="179">
        <v>7771</v>
      </c>
      <c r="M530" s="180" t="s">
        <v>1341</v>
      </c>
      <c r="N530" s="181" t="s">
        <v>1623</v>
      </c>
      <c r="O530" s="182" t="s">
        <v>1342</v>
      </c>
    </row>
    <row r="531" spans="1:15" ht="12">
      <c r="A531" s="148"/>
      <c r="B531" s="174" t="s">
        <v>1084</v>
      </c>
      <c r="C531" s="175" t="s">
        <v>402</v>
      </c>
      <c r="D531" s="176" t="s">
        <v>403</v>
      </c>
      <c r="E531" s="177" t="s">
        <v>1085</v>
      </c>
      <c r="F531" s="175">
        <f t="shared" si="24"/>
        <v>10</v>
      </c>
      <c r="G531" s="175" t="str">
        <f t="shared" si="25"/>
        <v>Montrose</v>
      </c>
      <c r="H531" s="175" t="str">
        <f t="shared" si="26"/>
        <v>Montrose, CO</v>
      </c>
      <c r="I531" s="178" t="s">
        <v>1754</v>
      </c>
      <c r="J531" s="27" t="s">
        <v>403</v>
      </c>
      <c r="K531" s="27">
        <v>1183</v>
      </c>
      <c r="L531" s="179">
        <v>5548</v>
      </c>
      <c r="M531" s="178" t="s">
        <v>1755</v>
      </c>
      <c r="N531" s="27" t="s">
        <v>403</v>
      </c>
      <c r="O531" s="182" t="s">
        <v>1756</v>
      </c>
    </row>
    <row r="532" spans="1:15" ht="12">
      <c r="A532" s="148"/>
      <c r="B532" s="174" t="s">
        <v>1086</v>
      </c>
      <c r="C532" s="175" t="s">
        <v>449</v>
      </c>
      <c r="D532" s="176" t="s">
        <v>450</v>
      </c>
      <c r="E532" s="177" t="s">
        <v>1085</v>
      </c>
      <c r="F532" s="175">
        <f t="shared" si="24"/>
        <v>10</v>
      </c>
      <c r="G532" s="175" t="str">
        <f t="shared" si="25"/>
        <v>Montrose</v>
      </c>
      <c r="H532" s="175" t="str">
        <f t="shared" si="26"/>
        <v>Montrose, PA</v>
      </c>
      <c r="I532" s="178" t="s">
        <v>1437</v>
      </c>
      <c r="J532" s="27" t="s">
        <v>417</v>
      </c>
      <c r="K532" s="27">
        <v>337</v>
      </c>
      <c r="L532" s="179">
        <v>7273</v>
      </c>
      <c r="M532" s="180" t="s">
        <v>1438</v>
      </c>
      <c r="N532" s="181" t="s">
        <v>450</v>
      </c>
      <c r="O532" s="182" t="s">
        <v>1439</v>
      </c>
    </row>
    <row r="533" spans="1:15" ht="12">
      <c r="A533" s="148"/>
      <c r="B533" s="174" t="s">
        <v>1087</v>
      </c>
      <c r="C533" s="175" t="s">
        <v>1617</v>
      </c>
      <c r="D533" s="176" t="s">
        <v>1530</v>
      </c>
      <c r="E533" s="177" t="s">
        <v>1088</v>
      </c>
      <c r="F533" s="175">
        <f t="shared" si="24"/>
        <v>12</v>
      </c>
      <c r="G533" s="175" t="str">
        <f t="shared" si="25"/>
        <v>Morgantown</v>
      </c>
      <c r="H533" s="175" t="str">
        <f t="shared" si="26"/>
        <v>Morgantown, WV</v>
      </c>
      <c r="I533" s="178" t="s">
        <v>464</v>
      </c>
      <c r="J533" s="27" t="s">
        <v>450</v>
      </c>
      <c r="K533" s="27">
        <v>654</v>
      </c>
      <c r="L533" s="179">
        <v>5968</v>
      </c>
      <c r="M533" s="180" t="s">
        <v>465</v>
      </c>
      <c r="N533" s="181" t="s">
        <v>450</v>
      </c>
      <c r="O533" s="182" t="s">
        <v>466</v>
      </c>
    </row>
    <row r="534" spans="1:15" ht="12">
      <c r="A534" s="148"/>
      <c r="B534" s="174" t="s">
        <v>1089</v>
      </c>
      <c r="C534" s="175" t="s">
        <v>2280</v>
      </c>
      <c r="D534" s="176" t="s">
        <v>2281</v>
      </c>
      <c r="E534" s="177" t="s">
        <v>1090</v>
      </c>
      <c r="F534" s="175">
        <f t="shared" si="24"/>
        <v>8</v>
      </c>
      <c r="G534" s="175" t="str">
        <f t="shared" si="25"/>
        <v>Muncie</v>
      </c>
      <c r="H534" s="175" t="str">
        <f t="shared" si="26"/>
        <v>Muncie, IN</v>
      </c>
      <c r="I534" s="178" t="s">
        <v>1694</v>
      </c>
      <c r="J534" s="27" t="s">
        <v>395</v>
      </c>
      <c r="K534" s="27">
        <v>886</v>
      </c>
      <c r="L534" s="179">
        <v>5708</v>
      </c>
      <c r="M534" s="180" t="s">
        <v>1691</v>
      </c>
      <c r="N534" s="181" t="s">
        <v>395</v>
      </c>
      <c r="O534" s="182" t="s">
        <v>1692</v>
      </c>
    </row>
    <row r="535" spans="1:15" ht="12">
      <c r="A535" s="148"/>
      <c r="B535" s="174" t="s">
        <v>1091</v>
      </c>
      <c r="C535" s="175" t="s">
        <v>489</v>
      </c>
      <c r="D535" s="176" t="s">
        <v>490</v>
      </c>
      <c r="E535" s="177" t="s">
        <v>1092</v>
      </c>
      <c r="F535" s="175">
        <f t="shared" si="24"/>
        <v>10</v>
      </c>
      <c r="G535" s="175" t="str">
        <f t="shared" si="25"/>
        <v>Muskegon</v>
      </c>
      <c r="H535" s="175" t="str">
        <f t="shared" si="26"/>
        <v>Muskegon, MI</v>
      </c>
      <c r="I535" s="178" t="s">
        <v>2040</v>
      </c>
      <c r="J535" s="27" t="s">
        <v>490</v>
      </c>
      <c r="K535" s="27">
        <v>431</v>
      </c>
      <c r="L535" s="179">
        <v>6924</v>
      </c>
      <c r="M535" s="180" t="s">
        <v>2041</v>
      </c>
      <c r="N535" s="181" t="s">
        <v>490</v>
      </c>
      <c r="O535" s="182" t="s">
        <v>2042</v>
      </c>
    </row>
    <row r="536" spans="1:15" ht="12">
      <c r="A536" s="148"/>
      <c r="B536" s="174" t="s">
        <v>1093</v>
      </c>
      <c r="C536" s="175" t="s">
        <v>509</v>
      </c>
      <c r="D536" s="176" t="s">
        <v>510</v>
      </c>
      <c r="E536" s="177" t="s">
        <v>1094</v>
      </c>
      <c r="F536" s="175">
        <f t="shared" si="24"/>
        <v>10</v>
      </c>
      <c r="G536" s="175" t="str">
        <f t="shared" si="25"/>
        <v>Muskogee</v>
      </c>
      <c r="H536" s="175" t="str">
        <f t="shared" si="26"/>
        <v>Muskogee, OK</v>
      </c>
      <c r="I536" s="178" t="s">
        <v>1966</v>
      </c>
      <c r="J536" s="27" t="s">
        <v>1590</v>
      </c>
      <c r="K536" s="27">
        <v>1894</v>
      </c>
      <c r="L536" s="179">
        <v>3478</v>
      </c>
      <c r="M536" s="178" t="s">
        <v>1967</v>
      </c>
      <c r="N536" s="27" t="s">
        <v>1590</v>
      </c>
      <c r="O536" s="182" t="s">
        <v>1968</v>
      </c>
    </row>
    <row r="537" spans="1:15" ht="12">
      <c r="A537" s="148"/>
      <c r="B537" s="174" t="s">
        <v>1095</v>
      </c>
      <c r="C537" s="175" t="s">
        <v>394</v>
      </c>
      <c r="D537" s="176" t="s">
        <v>395</v>
      </c>
      <c r="E537" s="177" t="s">
        <v>1096</v>
      </c>
      <c r="F537" s="175">
        <f t="shared" si="24"/>
        <v>10</v>
      </c>
      <c r="G537" s="175" t="str">
        <f t="shared" si="25"/>
        <v>Napoleon</v>
      </c>
      <c r="H537" s="175" t="str">
        <f t="shared" si="26"/>
        <v>Napoleon, OH</v>
      </c>
      <c r="I537" s="178" t="s">
        <v>1975</v>
      </c>
      <c r="J537" s="27" t="s">
        <v>2281</v>
      </c>
      <c r="K537" s="27">
        <v>824</v>
      </c>
      <c r="L537" s="179">
        <v>6273</v>
      </c>
      <c r="M537" s="178" t="s">
        <v>1972</v>
      </c>
      <c r="N537" s="27" t="s">
        <v>2281</v>
      </c>
      <c r="O537" s="182" t="s">
        <v>1973</v>
      </c>
    </row>
    <row r="538" spans="1:15" ht="12">
      <c r="A538" s="148"/>
      <c r="B538" s="174" t="s">
        <v>1097</v>
      </c>
      <c r="C538" s="175" t="s">
        <v>2354</v>
      </c>
      <c r="D538" s="176" t="s">
        <v>485</v>
      </c>
      <c r="E538" s="177" t="s">
        <v>1098</v>
      </c>
      <c r="F538" s="175">
        <f t="shared" si="24"/>
        <v>11</v>
      </c>
      <c r="G538" s="175" t="str">
        <f t="shared" si="25"/>
        <v>Nashville</v>
      </c>
      <c r="H538" s="175" t="str">
        <f t="shared" si="26"/>
        <v>Nashville, TN</v>
      </c>
      <c r="I538" s="178" t="s">
        <v>1523</v>
      </c>
      <c r="J538" s="27" t="s">
        <v>485</v>
      </c>
      <c r="K538" s="27">
        <v>1616</v>
      </c>
      <c r="L538" s="179">
        <v>3729</v>
      </c>
      <c r="M538" s="180" t="s">
        <v>1524</v>
      </c>
      <c r="N538" s="181" t="s">
        <v>485</v>
      </c>
      <c r="O538" s="182" t="s">
        <v>623</v>
      </c>
    </row>
    <row r="539" spans="1:15" ht="12">
      <c r="A539" s="148"/>
      <c r="B539" s="174" t="s">
        <v>1099</v>
      </c>
      <c r="C539" s="175" t="s">
        <v>2354</v>
      </c>
      <c r="D539" s="176" t="s">
        <v>485</v>
      </c>
      <c r="E539" s="177" t="s">
        <v>1098</v>
      </c>
      <c r="F539" s="175">
        <f t="shared" si="24"/>
        <v>11</v>
      </c>
      <c r="G539" s="175" t="str">
        <f t="shared" si="25"/>
        <v>Nashville</v>
      </c>
      <c r="H539" s="175" t="str">
        <f t="shared" si="26"/>
        <v>Nashville, TN</v>
      </c>
      <c r="I539" s="178" t="s">
        <v>1523</v>
      </c>
      <c r="J539" s="27" t="s">
        <v>485</v>
      </c>
      <c r="K539" s="27">
        <v>1616</v>
      </c>
      <c r="L539" s="179">
        <v>3729</v>
      </c>
      <c r="M539" s="180" t="s">
        <v>1524</v>
      </c>
      <c r="N539" s="181" t="s">
        <v>485</v>
      </c>
      <c r="O539" s="182" t="s">
        <v>623</v>
      </c>
    </row>
    <row r="540" spans="1:15" ht="12">
      <c r="A540" s="148"/>
      <c r="B540" s="174" t="s">
        <v>1100</v>
      </c>
      <c r="C540" s="175" t="s">
        <v>2354</v>
      </c>
      <c r="D540" s="176" t="s">
        <v>485</v>
      </c>
      <c r="E540" s="177" t="s">
        <v>1098</v>
      </c>
      <c r="F540" s="175">
        <f t="shared" si="24"/>
        <v>11</v>
      </c>
      <c r="G540" s="175" t="str">
        <f t="shared" si="25"/>
        <v>Nashville</v>
      </c>
      <c r="H540" s="175" t="str">
        <f t="shared" si="26"/>
        <v>Nashville, TN</v>
      </c>
      <c r="I540" s="178" t="s">
        <v>1523</v>
      </c>
      <c r="J540" s="27" t="s">
        <v>485</v>
      </c>
      <c r="K540" s="27">
        <v>1616</v>
      </c>
      <c r="L540" s="179">
        <v>3729</v>
      </c>
      <c r="M540" s="180" t="s">
        <v>1524</v>
      </c>
      <c r="N540" s="181" t="s">
        <v>485</v>
      </c>
      <c r="O540" s="182" t="s">
        <v>623</v>
      </c>
    </row>
    <row r="541" spans="1:15" ht="12">
      <c r="A541" s="148"/>
      <c r="B541" s="174" t="s">
        <v>1101</v>
      </c>
      <c r="C541" s="175" t="s">
        <v>2280</v>
      </c>
      <c r="D541" s="176" t="s">
        <v>2281</v>
      </c>
      <c r="E541" s="177" t="s">
        <v>1102</v>
      </c>
      <c r="F541" s="175">
        <f t="shared" si="24"/>
        <v>12</v>
      </c>
      <c r="G541" s="175" t="str">
        <f t="shared" si="25"/>
        <v>New Albany</v>
      </c>
      <c r="H541" s="175" t="str">
        <f t="shared" si="26"/>
        <v>New Albany, IN</v>
      </c>
      <c r="I541" s="178" t="s">
        <v>662</v>
      </c>
      <c r="J541" s="27" t="s">
        <v>526</v>
      </c>
      <c r="K541" s="27">
        <v>1288</v>
      </c>
      <c r="L541" s="179">
        <v>4514</v>
      </c>
      <c r="M541" s="180" t="s">
        <v>663</v>
      </c>
      <c r="N541" s="181" t="s">
        <v>526</v>
      </c>
      <c r="O541" s="182" t="s">
        <v>664</v>
      </c>
    </row>
    <row r="542" spans="1:15" ht="12">
      <c r="A542" s="148"/>
      <c r="B542" s="186" t="s">
        <v>1103</v>
      </c>
      <c r="C542" s="175" t="s">
        <v>2299</v>
      </c>
      <c r="D542" s="176" t="s">
        <v>2300</v>
      </c>
      <c r="E542" s="177" t="s">
        <v>1104</v>
      </c>
      <c r="F542" s="175">
        <f t="shared" si="24"/>
        <v>13</v>
      </c>
      <c r="G542" s="175" t="str">
        <f t="shared" si="25"/>
        <v>New Bedford</v>
      </c>
      <c r="H542" s="175" t="str">
        <f t="shared" si="26"/>
        <v>New Bedford, MA</v>
      </c>
      <c r="I542" s="178" t="s">
        <v>2269</v>
      </c>
      <c r="J542" s="27" t="s">
        <v>2270</v>
      </c>
      <c r="K542" s="27">
        <v>606</v>
      </c>
      <c r="L542" s="179">
        <v>5884</v>
      </c>
      <c r="M542" s="180" t="s">
        <v>2271</v>
      </c>
      <c r="N542" s="181" t="s">
        <v>2270</v>
      </c>
      <c r="O542" s="182" t="s">
        <v>2272</v>
      </c>
    </row>
    <row r="543" spans="1:15" ht="12">
      <c r="A543" s="148"/>
      <c r="B543" s="186" t="s">
        <v>1105</v>
      </c>
      <c r="C543" s="175" t="s">
        <v>1548</v>
      </c>
      <c r="D543" s="176" t="s">
        <v>1549</v>
      </c>
      <c r="E543" s="177" t="s">
        <v>1106</v>
      </c>
      <c r="F543" s="175">
        <f t="shared" si="24"/>
        <v>15</v>
      </c>
      <c r="G543" s="175" t="str">
        <f t="shared" si="25"/>
        <v>New Brunswick</v>
      </c>
      <c r="H543" s="175" t="str">
        <f t="shared" si="26"/>
        <v>New Brunswick, NJ</v>
      </c>
      <c r="I543" s="178" t="s">
        <v>70</v>
      </c>
      <c r="J543" s="27" t="s">
        <v>1549</v>
      </c>
      <c r="K543" s="27">
        <v>1201</v>
      </c>
      <c r="L543" s="179">
        <v>4888</v>
      </c>
      <c r="M543" s="180" t="s">
        <v>71</v>
      </c>
      <c r="N543" s="181" t="s">
        <v>1549</v>
      </c>
      <c r="O543" s="182" t="s">
        <v>72</v>
      </c>
    </row>
    <row r="544" spans="1:15" ht="12">
      <c r="A544" s="148"/>
      <c r="B544" s="186" t="s">
        <v>1107</v>
      </c>
      <c r="C544" s="175" t="s">
        <v>1548</v>
      </c>
      <c r="D544" s="176" t="s">
        <v>1549</v>
      </c>
      <c r="E544" s="177" t="s">
        <v>1106</v>
      </c>
      <c r="F544" s="175">
        <f t="shared" si="24"/>
        <v>15</v>
      </c>
      <c r="G544" s="175" t="str">
        <f t="shared" si="25"/>
        <v>New Brunswick</v>
      </c>
      <c r="H544" s="175" t="str">
        <f t="shared" si="26"/>
        <v>New Brunswick, NJ</v>
      </c>
      <c r="I544" s="178" t="s">
        <v>70</v>
      </c>
      <c r="J544" s="27" t="s">
        <v>1549</v>
      </c>
      <c r="K544" s="27">
        <v>1201</v>
      </c>
      <c r="L544" s="179">
        <v>4888</v>
      </c>
      <c r="M544" s="180" t="s">
        <v>71</v>
      </c>
      <c r="N544" s="181" t="s">
        <v>1549</v>
      </c>
      <c r="O544" s="182" t="s">
        <v>72</v>
      </c>
    </row>
    <row r="545" spans="1:15" ht="12">
      <c r="A545" s="148"/>
      <c r="B545" s="174" t="s">
        <v>1108</v>
      </c>
      <c r="C545" s="175" t="s">
        <v>449</v>
      </c>
      <c r="D545" s="176" t="s">
        <v>450</v>
      </c>
      <c r="E545" s="177" t="s">
        <v>1109</v>
      </c>
      <c r="F545" s="175">
        <f t="shared" si="24"/>
        <v>12</v>
      </c>
      <c r="G545" s="175" t="str">
        <f t="shared" si="25"/>
        <v>New Castle</v>
      </c>
      <c r="H545" s="175" t="str">
        <f t="shared" si="26"/>
        <v>New Castle, PA</v>
      </c>
      <c r="I545" s="178" t="s">
        <v>464</v>
      </c>
      <c r="J545" s="27" t="s">
        <v>450</v>
      </c>
      <c r="K545" s="27">
        <v>654</v>
      </c>
      <c r="L545" s="179">
        <v>5968</v>
      </c>
      <c r="M545" s="180" t="s">
        <v>465</v>
      </c>
      <c r="N545" s="181" t="s">
        <v>450</v>
      </c>
      <c r="O545" s="182" t="s">
        <v>466</v>
      </c>
    </row>
    <row r="546" spans="1:15" ht="12">
      <c r="A546" s="148"/>
      <c r="B546" s="186" t="s">
        <v>1110</v>
      </c>
      <c r="C546" s="175" t="s">
        <v>689</v>
      </c>
      <c r="D546" s="176" t="s">
        <v>690</v>
      </c>
      <c r="E546" s="177" t="s">
        <v>1111</v>
      </c>
      <c r="F546" s="175">
        <f t="shared" si="24"/>
        <v>11</v>
      </c>
      <c r="G546" s="175" t="str">
        <f t="shared" si="25"/>
        <v>New Haven</v>
      </c>
      <c r="H546" s="175" t="str">
        <f t="shared" si="26"/>
        <v>New Haven, CT</v>
      </c>
      <c r="I546" s="178" t="s">
        <v>756</v>
      </c>
      <c r="J546" s="27" t="s">
        <v>690</v>
      </c>
      <c r="K546" s="27">
        <v>677</v>
      </c>
      <c r="L546" s="179">
        <v>6151</v>
      </c>
      <c r="M546" s="178" t="s">
        <v>753</v>
      </c>
      <c r="N546" s="27" t="s">
        <v>690</v>
      </c>
      <c r="O546" s="182" t="s">
        <v>754</v>
      </c>
    </row>
    <row r="547" spans="1:15" ht="12">
      <c r="A547" s="148"/>
      <c r="B547" s="186" t="s">
        <v>1112</v>
      </c>
      <c r="C547" s="175" t="s">
        <v>689</v>
      </c>
      <c r="D547" s="176" t="s">
        <v>690</v>
      </c>
      <c r="E547" s="177" t="s">
        <v>1111</v>
      </c>
      <c r="F547" s="175">
        <f t="shared" si="24"/>
        <v>11</v>
      </c>
      <c r="G547" s="175" t="str">
        <f t="shared" si="25"/>
        <v>New Haven</v>
      </c>
      <c r="H547" s="175" t="str">
        <f t="shared" si="26"/>
        <v>New Haven, CT</v>
      </c>
      <c r="I547" s="178" t="s">
        <v>756</v>
      </c>
      <c r="J547" s="27" t="s">
        <v>690</v>
      </c>
      <c r="K547" s="27">
        <v>677</v>
      </c>
      <c r="L547" s="179">
        <v>6151</v>
      </c>
      <c r="M547" s="178" t="s">
        <v>753</v>
      </c>
      <c r="N547" s="27" t="s">
        <v>690</v>
      </c>
      <c r="O547" s="182" t="s">
        <v>754</v>
      </c>
    </row>
    <row r="548" spans="1:15" ht="12">
      <c r="A548" s="148"/>
      <c r="B548" s="186" t="s">
        <v>1113</v>
      </c>
      <c r="C548" s="175" t="s">
        <v>689</v>
      </c>
      <c r="D548" s="176" t="s">
        <v>690</v>
      </c>
      <c r="E548" s="177" t="s">
        <v>1114</v>
      </c>
      <c r="F548" s="175">
        <f t="shared" si="24"/>
        <v>12</v>
      </c>
      <c r="G548" s="175" t="str">
        <f t="shared" si="25"/>
        <v>New London</v>
      </c>
      <c r="H548" s="175" t="str">
        <f t="shared" si="26"/>
        <v>New London, CT</v>
      </c>
      <c r="I548" s="178" t="s">
        <v>2269</v>
      </c>
      <c r="J548" s="27" t="s">
        <v>2270</v>
      </c>
      <c r="K548" s="27">
        <v>606</v>
      </c>
      <c r="L548" s="179">
        <v>5884</v>
      </c>
      <c r="M548" s="180" t="s">
        <v>2271</v>
      </c>
      <c r="N548" s="181" t="s">
        <v>2270</v>
      </c>
      <c r="O548" s="182" t="s">
        <v>2272</v>
      </c>
    </row>
    <row r="549" spans="1:15" ht="12">
      <c r="A549" s="148"/>
      <c r="B549" s="174" t="s">
        <v>1115</v>
      </c>
      <c r="C549" s="175" t="s">
        <v>290</v>
      </c>
      <c r="D549" s="176" t="s">
        <v>291</v>
      </c>
      <c r="E549" s="177" t="s">
        <v>1116</v>
      </c>
      <c r="F549" s="175">
        <f t="shared" si="24"/>
        <v>13</v>
      </c>
      <c r="G549" s="175" t="str">
        <f t="shared" si="25"/>
        <v>New Orleans</v>
      </c>
      <c r="H549" s="175" t="str">
        <f t="shared" si="26"/>
        <v>New Orleans, LA</v>
      </c>
      <c r="I549" s="178" t="s">
        <v>2083</v>
      </c>
      <c r="J549" s="27" t="s">
        <v>291</v>
      </c>
      <c r="K549" s="27">
        <v>2655</v>
      </c>
      <c r="L549" s="179">
        <v>1513</v>
      </c>
      <c r="M549" s="180" t="s">
        <v>2084</v>
      </c>
      <c r="N549" s="181" t="s">
        <v>291</v>
      </c>
      <c r="O549" s="182" t="s">
        <v>2085</v>
      </c>
    </row>
    <row r="550" spans="1:15" ht="12">
      <c r="A550" s="148"/>
      <c r="B550" s="174" t="s">
        <v>1117</v>
      </c>
      <c r="C550" s="175" t="s">
        <v>290</v>
      </c>
      <c r="D550" s="176" t="s">
        <v>291</v>
      </c>
      <c r="E550" s="177" t="s">
        <v>1116</v>
      </c>
      <c r="F550" s="175">
        <f t="shared" si="24"/>
        <v>13</v>
      </c>
      <c r="G550" s="175" t="str">
        <f t="shared" si="25"/>
        <v>New Orleans</v>
      </c>
      <c r="H550" s="175" t="str">
        <f t="shared" si="26"/>
        <v>New Orleans, LA</v>
      </c>
      <c r="I550" s="178" t="s">
        <v>2083</v>
      </c>
      <c r="J550" s="27" t="s">
        <v>291</v>
      </c>
      <c r="K550" s="27">
        <v>2655</v>
      </c>
      <c r="L550" s="179">
        <v>1513</v>
      </c>
      <c r="M550" s="180" t="s">
        <v>2084</v>
      </c>
      <c r="N550" s="181" t="s">
        <v>291</v>
      </c>
      <c r="O550" s="182" t="s">
        <v>2085</v>
      </c>
    </row>
    <row r="551" spans="1:15" ht="12">
      <c r="A551" s="148"/>
      <c r="B551" s="174" t="s">
        <v>1118</v>
      </c>
      <c r="C551" s="175" t="s">
        <v>416</v>
      </c>
      <c r="D551" s="176" t="s">
        <v>417</v>
      </c>
      <c r="E551" s="177" t="s">
        <v>1119</v>
      </c>
      <c r="F551" s="175">
        <f t="shared" si="24"/>
        <v>14</v>
      </c>
      <c r="G551" s="175" t="str">
        <f t="shared" si="25"/>
        <v>New Rochelle</v>
      </c>
      <c r="H551" s="175" t="str">
        <f t="shared" si="26"/>
        <v>New Rochelle, NY</v>
      </c>
      <c r="I551" s="178" t="s">
        <v>2276</v>
      </c>
      <c r="J551" s="27" t="s">
        <v>417</v>
      </c>
      <c r="K551" s="27">
        <v>1052</v>
      </c>
      <c r="L551" s="179">
        <v>4910</v>
      </c>
      <c r="M551" s="180" t="s">
        <v>2277</v>
      </c>
      <c r="N551" s="181" t="s">
        <v>417</v>
      </c>
      <c r="O551" s="182" t="s">
        <v>1298</v>
      </c>
    </row>
    <row r="552" spans="1:15" ht="12">
      <c r="A552" s="148"/>
      <c r="B552" s="174" t="s">
        <v>1120</v>
      </c>
      <c r="C552" s="175" t="s">
        <v>416</v>
      </c>
      <c r="D552" s="176" t="s">
        <v>417</v>
      </c>
      <c r="E552" s="177" t="s">
        <v>1121</v>
      </c>
      <c r="F552" s="175">
        <f t="shared" si="24"/>
        <v>10</v>
      </c>
      <c r="G552" s="175" t="str">
        <f t="shared" si="25"/>
        <v>New York</v>
      </c>
      <c r="H552" s="175" t="str">
        <f t="shared" si="26"/>
        <v>New York, NY</v>
      </c>
      <c r="I552" s="178" t="s">
        <v>1122</v>
      </c>
      <c r="J552" s="27" t="s">
        <v>417</v>
      </c>
      <c r="K552" s="27">
        <v>1096</v>
      </c>
      <c r="L552" s="179">
        <v>4805</v>
      </c>
      <c r="M552" s="180" t="s">
        <v>2277</v>
      </c>
      <c r="N552" s="181" t="s">
        <v>417</v>
      </c>
      <c r="O552" s="182" t="s">
        <v>1298</v>
      </c>
    </row>
    <row r="553" spans="1:15" ht="12">
      <c r="A553" s="148"/>
      <c r="B553" s="174" t="s">
        <v>1123</v>
      </c>
      <c r="C553" s="175" t="s">
        <v>416</v>
      </c>
      <c r="D553" s="176" t="s">
        <v>417</v>
      </c>
      <c r="E553" s="177" t="s">
        <v>1121</v>
      </c>
      <c r="F553" s="175">
        <f t="shared" si="24"/>
        <v>10</v>
      </c>
      <c r="G553" s="175" t="str">
        <f t="shared" si="25"/>
        <v>New York</v>
      </c>
      <c r="H553" s="175" t="str">
        <f t="shared" si="26"/>
        <v>New York, NY</v>
      </c>
      <c r="I553" s="178" t="s">
        <v>1122</v>
      </c>
      <c r="J553" s="27" t="s">
        <v>417</v>
      </c>
      <c r="K553" s="27">
        <v>1096</v>
      </c>
      <c r="L553" s="179">
        <v>4805</v>
      </c>
      <c r="M553" s="180" t="s">
        <v>2277</v>
      </c>
      <c r="N553" s="181" t="s">
        <v>417</v>
      </c>
      <c r="O553" s="182" t="s">
        <v>1298</v>
      </c>
    </row>
    <row r="554" spans="1:15" ht="12">
      <c r="A554" s="148"/>
      <c r="B554" s="174" t="s">
        <v>1124</v>
      </c>
      <c r="C554" s="175" t="s">
        <v>416</v>
      </c>
      <c r="D554" s="176" t="s">
        <v>417</v>
      </c>
      <c r="E554" s="177" t="s">
        <v>1121</v>
      </c>
      <c r="F554" s="175">
        <f t="shared" si="24"/>
        <v>10</v>
      </c>
      <c r="G554" s="175" t="str">
        <f t="shared" si="25"/>
        <v>New York</v>
      </c>
      <c r="H554" s="175" t="str">
        <f t="shared" si="26"/>
        <v>New York, NY</v>
      </c>
      <c r="I554" s="178" t="s">
        <v>1122</v>
      </c>
      <c r="J554" s="27" t="s">
        <v>417</v>
      </c>
      <c r="K554" s="27">
        <v>1096</v>
      </c>
      <c r="L554" s="179">
        <v>4805</v>
      </c>
      <c r="M554" s="180" t="s">
        <v>2277</v>
      </c>
      <c r="N554" s="181" t="s">
        <v>417</v>
      </c>
      <c r="O554" s="182" t="s">
        <v>1298</v>
      </c>
    </row>
    <row r="555" spans="1:15" ht="12">
      <c r="A555" s="148"/>
      <c r="B555" s="186" t="s">
        <v>1125</v>
      </c>
      <c r="C555" s="175" t="s">
        <v>1548</v>
      </c>
      <c r="D555" s="176" t="s">
        <v>1549</v>
      </c>
      <c r="E555" s="177" t="s">
        <v>1126</v>
      </c>
      <c r="F555" s="175">
        <f t="shared" si="24"/>
        <v>8</v>
      </c>
      <c r="G555" s="175" t="str">
        <f t="shared" si="25"/>
        <v>Newark</v>
      </c>
      <c r="H555" s="175" t="str">
        <f t="shared" si="26"/>
        <v>Newark, NJ</v>
      </c>
      <c r="I555" s="178" t="s">
        <v>2276</v>
      </c>
      <c r="J555" s="27" t="s">
        <v>417</v>
      </c>
      <c r="K555" s="27">
        <v>1052</v>
      </c>
      <c r="L555" s="179">
        <v>4910</v>
      </c>
      <c r="M555" s="180" t="s">
        <v>71</v>
      </c>
      <c r="N555" s="181" t="s">
        <v>1549</v>
      </c>
      <c r="O555" s="182" t="s">
        <v>72</v>
      </c>
    </row>
    <row r="556" spans="1:15" ht="12">
      <c r="A556" s="148"/>
      <c r="B556" s="186" t="s">
        <v>1127</v>
      </c>
      <c r="C556" s="175" t="s">
        <v>1548</v>
      </c>
      <c r="D556" s="176" t="s">
        <v>1549</v>
      </c>
      <c r="E556" s="177" t="s">
        <v>1126</v>
      </c>
      <c r="F556" s="175">
        <f t="shared" si="24"/>
        <v>8</v>
      </c>
      <c r="G556" s="175" t="str">
        <f t="shared" si="25"/>
        <v>Newark</v>
      </c>
      <c r="H556" s="175" t="str">
        <f t="shared" si="26"/>
        <v>Newark, NJ</v>
      </c>
      <c r="I556" s="178" t="s">
        <v>70</v>
      </c>
      <c r="J556" s="27" t="s">
        <v>1549</v>
      </c>
      <c r="K556" s="27">
        <v>1201</v>
      </c>
      <c r="L556" s="179">
        <v>4888</v>
      </c>
      <c r="M556" s="180" t="s">
        <v>71</v>
      </c>
      <c r="N556" s="181" t="s">
        <v>1549</v>
      </c>
      <c r="O556" s="182" t="s">
        <v>72</v>
      </c>
    </row>
    <row r="557" spans="1:15" ht="12">
      <c r="A557" s="148"/>
      <c r="B557" s="174" t="s">
        <v>1128</v>
      </c>
      <c r="C557" s="175" t="s">
        <v>525</v>
      </c>
      <c r="D557" s="176" t="s">
        <v>526</v>
      </c>
      <c r="E557" s="177" t="s">
        <v>151</v>
      </c>
      <c r="F557" s="175">
        <f t="shared" si="24"/>
        <v>9</v>
      </c>
      <c r="G557" s="175" t="str">
        <f t="shared" si="25"/>
        <v>Newport</v>
      </c>
      <c r="H557" s="175" t="str">
        <f t="shared" si="26"/>
        <v>Newport, KY</v>
      </c>
      <c r="I557" s="178" t="s">
        <v>2385</v>
      </c>
      <c r="J557" s="27" t="s">
        <v>526</v>
      </c>
      <c r="K557" s="27">
        <v>996</v>
      </c>
      <c r="L557" s="179">
        <v>5248</v>
      </c>
      <c r="M557" s="180" t="s">
        <v>2386</v>
      </c>
      <c r="N557" s="181" t="s">
        <v>395</v>
      </c>
      <c r="O557" s="182" t="s">
        <v>2387</v>
      </c>
    </row>
    <row r="558" spans="1:15" ht="12">
      <c r="A558" s="148"/>
      <c r="B558" s="174" t="s">
        <v>152</v>
      </c>
      <c r="C558" s="175" t="s">
        <v>416</v>
      </c>
      <c r="D558" s="176" t="s">
        <v>417</v>
      </c>
      <c r="E558" s="177" t="s">
        <v>153</v>
      </c>
      <c r="F558" s="175">
        <f t="shared" si="24"/>
        <v>15</v>
      </c>
      <c r="G558" s="175" t="str">
        <f t="shared" si="25"/>
        <v>Niagara Falls</v>
      </c>
      <c r="H558" s="175" t="str">
        <f t="shared" si="26"/>
        <v>Niagara Falls, NY</v>
      </c>
      <c r="I558" s="178" t="s">
        <v>1327</v>
      </c>
      <c r="J558" s="27" t="s">
        <v>417</v>
      </c>
      <c r="K558" s="27">
        <v>477</v>
      </c>
      <c r="L558" s="179">
        <v>6747</v>
      </c>
      <c r="M558" s="180" t="s">
        <v>1328</v>
      </c>
      <c r="N558" s="181" t="s">
        <v>417</v>
      </c>
      <c r="O558" s="182" t="s">
        <v>1329</v>
      </c>
    </row>
    <row r="559" spans="1:15" ht="12">
      <c r="A559" s="148"/>
      <c r="B559" s="174" t="s">
        <v>154</v>
      </c>
      <c r="C559" s="175" t="s">
        <v>456</v>
      </c>
      <c r="D559" s="176" t="s">
        <v>457</v>
      </c>
      <c r="E559" s="177" t="s">
        <v>155</v>
      </c>
      <c r="F559" s="175">
        <f t="shared" si="24"/>
        <v>9</v>
      </c>
      <c r="G559" s="175" t="str">
        <f t="shared" si="25"/>
        <v>Norfolk</v>
      </c>
      <c r="H559" s="175" t="str">
        <f t="shared" si="26"/>
        <v>Norfolk, NE</v>
      </c>
      <c r="I559" s="178" t="s">
        <v>1167</v>
      </c>
      <c r="J559" s="27" t="s">
        <v>457</v>
      </c>
      <c r="K559" s="27">
        <v>877</v>
      </c>
      <c r="L559" s="179">
        <v>6873</v>
      </c>
      <c r="M559" s="178" t="s">
        <v>1398</v>
      </c>
      <c r="N559" s="27" t="s">
        <v>1334</v>
      </c>
      <c r="O559" s="182" t="s">
        <v>1399</v>
      </c>
    </row>
    <row r="560" spans="1:15" ht="12">
      <c r="A560" s="148"/>
      <c r="B560" s="174" t="s">
        <v>1168</v>
      </c>
      <c r="C560" s="175" t="s">
        <v>434</v>
      </c>
      <c r="D560" s="176" t="s">
        <v>435</v>
      </c>
      <c r="E560" s="177" t="s">
        <v>155</v>
      </c>
      <c r="F560" s="175">
        <f t="shared" si="24"/>
        <v>9</v>
      </c>
      <c r="G560" s="175" t="str">
        <f t="shared" si="25"/>
        <v>Norfolk</v>
      </c>
      <c r="H560" s="175" t="str">
        <f t="shared" si="26"/>
        <v>Norfolk, VA</v>
      </c>
      <c r="I560" s="178" t="s">
        <v>65</v>
      </c>
      <c r="J560" s="27" t="s">
        <v>435</v>
      </c>
      <c r="K560" s="27">
        <v>1422</v>
      </c>
      <c r="L560" s="179">
        <v>3495</v>
      </c>
      <c r="M560" s="180" t="s">
        <v>66</v>
      </c>
      <c r="N560" s="181" t="s">
        <v>435</v>
      </c>
      <c r="O560" s="182" t="s">
        <v>67</v>
      </c>
    </row>
    <row r="561" spans="1:15" ht="12">
      <c r="A561" s="148"/>
      <c r="B561" s="174" t="s">
        <v>1169</v>
      </c>
      <c r="C561" s="175" t="s">
        <v>434</v>
      </c>
      <c r="D561" s="176" t="s">
        <v>435</v>
      </c>
      <c r="E561" s="177" t="s">
        <v>155</v>
      </c>
      <c r="F561" s="175">
        <f t="shared" si="24"/>
        <v>9</v>
      </c>
      <c r="G561" s="175" t="str">
        <f t="shared" si="25"/>
        <v>Norfolk</v>
      </c>
      <c r="H561" s="175" t="str">
        <f t="shared" si="26"/>
        <v>Norfolk, VA</v>
      </c>
      <c r="I561" s="178" t="s">
        <v>65</v>
      </c>
      <c r="J561" s="27" t="s">
        <v>435</v>
      </c>
      <c r="K561" s="27">
        <v>1422</v>
      </c>
      <c r="L561" s="179">
        <v>3495</v>
      </c>
      <c r="M561" s="180" t="s">
        <v>66</v>
      </c>
      <c r="N561" s="181" t="s">
        <v>435</v>
      </c>
      <c r="O561" s="182" t="s">
        <v>67</v>
      </c>
    </row>
    <row r="562" spans="1:15" ht="12">
      <c r="A562" s="148"/>
      <c r="B562" s="174" t="s">
        <v>1170</v>
      </c>
      <c r="C562" s="175" t="s">
        <v>434</v>
      </c>
      <c r="D562" s="176" t="s">
        <v>435</v>
      </c>
      <c r="E562" s="177" t="s">
        <v>155</v>
      </c>
      <c r="F562" s="175">
        <f t="shared" si="24"/>
        <v>9</v>
      </c>
      <c r="G562" s="175" t="str">
        <f t="shared" si="25"/>
        <v>Norfolk</v>
      </c>
      <c r="H562" s="175" t="str">
        <f t="shared" si="26"/>
        <v>Norfolk, VA</v>
      </c>
      <c r="I562" s="178" t="s">
        <v>65</v>
      </c>
      <c r="J562" s="27" t="s">
        <v>435</v>
      </c>
      <c r="K562" s="27">
        <v>1422</v>
      </c>
      <c r="L562" s="179">
        <v>3495</v>
      </c>
      <c r="M562" s="180" t="s">
        <v>66</v>
      </c>
      <c r="N562" s="181" t="s">
        <v>435</v>
      </c>
      <c r="O562" s="182" t="s">
        <v>67</v>
      </c>
    </row>
    <row r="563" spans="1:15" ht="12">
      <c r="A563" s="148"/>
      <c r="B563" s="174" t="s">
        <v>1171</v>
      </c>
      <c r="C563" s="175" t="s">
        <v>434</v>
      </c>
      <c r="D563" s="176" t="s">
        <v>435</v>
      </c>
      <c r="E563" s="177" t="s">
        <v>155</v>
      </c>
      <c r="F563" s="175">
        <f t="shared" si="24"/>
        <v>9</v>
      </c>
      <c r="G563" s="175" t="str">
        <f t="shared" si="25"/>
        <v>Norfolk</v>
      </c>
      <c r="H563" s="175" t="str">
        <f t="shared" si="26"/>
        <v>Norfolk, VA</v>
      </c>
      <c r="I563" s="178" t="s">
        <v>65</v>
      </c>
      <c r="J563" s="27" t="s">
        <v>435</v>
      </c>
      <c r="K563" s="27">
        <v>1422</v>
      </c>
      <c r="L563" s="179">
        <v>3495</v>
      </c>
      <c r="M563" s="180" t="s">
        <v>66</v>
      </c>
      <c r="N563" s="181" t="s">
        <v>435</v>
      </c>
      <c r="O563" s="182" t="s">
        <v>67</v>
      </c>
    </row>
    <row r="564" spans="1:15" ht="12">
      <c r="A564" s="148"/>
      <c r="B564" s="174" t="s">
        <v>1172</v>
      </c>
      <c r="C564" s="175" t="s">
        <v>1647</v>
      </c>
      <c r="D564" s="176" t="s">
        <v>1648</v>
      </c>
      <c r="E564" s="177" t="s">
        <v>1173</v>
      </c>
      <c r="F564" s="175">
        <f t="shared" si="24"/>
        <v>20</v>
      </c>
      <c r="G564" s="175" t="str">
        <f t="shared" si="25"/>
        <v>North Chicago Sub.</v>
      </c>
      <c r="H564" s="175" t="str">
        <f t="shared" si="26"/>
        <v>North Chicago Sub., IL</v>
      </c>
      <c r="I564" s="178" t="s">
        <v>1174</v>
      </c>
      <c r="J564" s="27" t="s">
        <v>1648</v>
      </c>
      <c r="K564" s="27">
        <v>702</v>
      </c>
      <c r="L564" s="179">
        <v>6969</v>
      </c>
      <c r="M564" s="178" t="s">
        <v>1175</v>
      </c>
      <c r="N564" s="27" t="s">
        <v>1648</v>
      </c>
      <c r="O564" s="182" t="s">
        <v>1176</v>
      </c>
    </row>
    <row r="565" spans="1:15" ht="12">
      <c r="A565" s="148"/>
      <c r="B565" s="174" t="s">
        <v>1177</v>
      </c>
      <c r="C565" s="175" t="s">
        <v>1647</v>
      </c>
      <c r="D565" s="176" t="s">
        <v>1648</v>
      </c>
      <c r="E565" s="177" t="s">
        <v>1173</v>
      </c>
      <c r="F565" s="175">
        <f t="shared" si="24"/>
        <v>20</v>
      </c>
      <c r="G565" s="175" t="str">
        <f t="shared" si="25"/>
        <v>North Chicago Sub.</v>
      </c>
      <c r="H565" s="175" t="str">
        <f t="shared" si="26"/>
        <v>North Chicago Sub., IL</v>
      </c>
      <c r="I565" s="178" t="s">
        <v>1174</v>
      </c>
      <c r="J565" s="27" t="s">
        <v>1648</v>
      </c>
      <c r="K565" s="27">
        <v>702</v>
      </c>
      <c r="L565" s="179">
        <v>6969</v>
      </c>
      <c r="M565" s="178" t="s">
        <v>1175</v>
      </c>
      <c r="N565" s="27" t="s">
        <v>1648</v>
      </c>
      <c r="O565" s="182" t="s">
        <v>1176</v>
      </c>
    </row>
    <row r="566" spans="1:15" ht="12">
      <c r="A566" s="148"/>
      <c r="B566" s="174" t="s">
        <v>1178</v>
      </c>
      <c r="C566" s="175" t="s">
        <v>442</v>
      </c>
      <c r="D566" s="176" t="s">
        <v>443</v>
      </c>
      <c r="E566" s="177" t="s">
        <v>1179</v>
      </c>
      <c r="F566" s="175">
        <f t="shared" si="24"/>
        <v>17</v>
      </c>
      <c r="G566" s="175" t="str">
        <f t="shared" si="25"/>
        <v>North Hollywood</v>
      </c>
      <c r="H566" s="175" t="str">
        <f t="shared" si="26"/>
        <v>North Hollywood, CA</v>
      </c>
      <c r="I566" s="178" t="s">
        <v>445</v>
      </c>
      <c r="J566" s="27" t="s">
        <v>443</v>
      </c>
      <c r="K566" s="27">
        <v>1537</v>
      </c>
      <c r="L566" s="179">
        <v>1154</v>
      </c>
      <c r="M566" s="178" t="s">
        <v>446</v>
      </c>
      <c r="N566" s="27" t="s">
        <v>443</v>
      </c>
      <c r="O566" s="182" t="s">
        <v>447</v>
      </c>
    </row>
    <row r="567" spans="1:15" ht="12">
      <c r="A567" s="148"/>
      <c r="B567" s="174" t="s">
        <v>1180</v>
      </c>
      <c r="C567" s="175" t="s">
        <v>456</v>
      </c>
      <c r="D567" s="176" t="s">
        <v>457</v>
      </c>
      <c r="E567" s="177" t="s">
        <v>1181</v>
      </c>
      <c r="F567" s="175">
        <f t="shared" si="24"/>
        <v>14</v>
      </c>
      <c r="G567" s="175" t="str">
        <f t="shared" si="25"/>
        <v>North_Platte</v>
      </c>
      <c r="H567" s="175" t="str">
        <f t="shared" si="26"/>
        <v>North_Platte, NE</v>
      </c>
      <c r="I567" s="178" t="s">
        <v>1182</v>
      </c>
      <c r="J567" s="27" t="s">
        <v>457</v>
      </c>
      <c r="K567" s="27">
        <v>713</v>
      </c>
      <c r="L567" s="179">
        <v>6859</v>
      </c>
      <c r="M567" s="180" t="s">
        <v>1183</v>
      </c>
      <c r="N567" s="181" t="s">
        <v>457</v>
      </c>
      <c r="O567" s="182" t="s">
        <v>1184</v>
      </c>
    </row>
    <row r="568" spans="1:15" ht="12">
      <c r="A568" s="148"/>
      <c r="B568" s="174" t="s">
        <v>1185</v>
      </c>
      <c r="C568" s="175" t="s">
        <v>434</v>
      </c>
      <c r="D568" s="176" t="s">
        <v>435</v>
      </c>
      <c r="E568" s="177" t="s">
        <v>1186</v>
      </c>
      <c r="F568" s="175">
        <f t="shared" si="24"/>
        <v>13</v>
      </c>
      <c r="G568" s="175" t="str">
        <f t="shared" si="25"/>
        <v>Northern VA</v>
      </c>
      <c r="H568" s="175" t="str">
        <f t="shared" si="26"/>
        <v>Northern VA, VA</v>
      </c>
      <c r="I568" s="178" t="s">
        <v>1676</v>
      </c>
      <c r="J568" s="27" t="s">
        <v>437</v>
      </c>
      <c r="K568" s="27">
        <v>973</v>
      </c>
      <c r="L568" s="179">
        <v>5006</v>
      </c>
      <c r="M568" s="180" t="s">
        <v>438</v>
      </c>
      <c r="N568" s="181" t="s">
        <v>439</v>
      </c>
      <c r="O568" s="182" t="s">
        <v>440</v>
      </c>
    </row>
    <row r="569" spans="1:15" ht="12">
      <c r="A569" s="148"/>
      <c r="B569" s="174" t="s">
        <v>1187</v>
      </c>
      <c r="C569" s="175" t="s">
        <v>434</v>
      </c>
      <c r="D569" s="176" t="s">
        <v>435</v>
      </c>
      <c r="E569" s="177" t="s">
        <v>1186</v>
      </c>
      <c r="F569" s="175">
        <f t="shared" si="24"/>
        <v>13</v>
      </c>
      <c r="G569" s="175" t="str">
        <f t="shared" si="25"/>
        <v>Northern VA</v>
      </c>
      <c r="H569" s="175" t="str">
        <f t="shared" si="26"/>
        <v>Northern VA, VA</v>
      </c>
      <c r="I569" s="178" t="s">
        <v>1676</v>
      </c>
      <c r="J569" s="27" t="s">
        <v>437</v>
      </c>
      <c r="K569" s="27">
        <v>973</v>
      </c>
      <c r="L569" s="179">
        <v>5006</v>
      </c>
      <c r="M569" s="180" t="s">
        <v>438</v>
      </c>
      <c r="N569" s="181" t="s">
        <v>439</v>
      </c>
      <c r="O569" s="182" t="s">
        <v>440</v>
      </c>
    </row>
    <row r="570" spans="1:15" ht="12">
      <c r="A570" s="148"/>
      <c r="B570" s="174" t="s">
        <v>1188</v>
      </c>
      <c r="C570" s="175" t="s">
        <v>1647</v>
      </c>
      <c r="D570" s="176" t="s">
        <v>1648</v>
      </c>
      <c r="E570" s="177" t="s">
        <v>1189</v>
      </c>
      <c r="F570" s="175">
        <f t="shared" si="24"/>
        <v>10</v>
      </c>
      <c r="G570" s="175" t="str">
        <f t="shared" si="25"/>
        <v>Oak Park</v>
      </c>
      <c r="H570" s="175" t="str">
        <f t="shared" si="26"/>
        <v>Oak Park, IL</v>
      </c>
      <c r="I570" s="178" t="s">
        <v>2370</v>
      </c>
      <c r="J570" s="27" t="s">
        <v>1648</v>
      </c>
      <c r="K570" s="27">
        <v>752</v>
      </c>
      <c r="L570" s="179">
        <v>6536</v>
      </c>
      <c r="M570" s="178" t="s">
        <v>2371</v>
      </c>
      <c r="N570" s="27" t="s">
        <v>1648</v>
      </c>
      <c r="O570" s="182" t="s">
        <v>2372</v>
      </c>
    </row>
    <row r="571" spans="1:15" ht="12">
      <c r="A571" s="148"/>
      <c r="B571" s="174" t="s">
        <v>1190</v>
      </c>
      <c r="C571" s="175" t="s">
        <v>442</v>
      </c>
      <c r="D571" s="176" t="s">
        <v>443</v>
      </c>
      <c r="E571" s="177" t="s">
        <v>1191</v>
      </c>
      <c r="F571" s="175">
        <f t="shared" si="24"/>
        <v>9</v>
      </c>
      <c r="G571" s="175" t="str">
        <f t="shared" si="25"/>
        <v>Oakland</v>
      </c>
      <c r="H571" s="175" t="str">
        <f t="shared" si="26"/>
        <v>Oakland, CA</v>
      </c>
      <c r="I571" s="178" t="s">
        <v>1420</v>
      </c>
      <c r="J571" s="27" t="s">
        <v>443</v>
      </c>
      <c r="K571" s="27">
        <v>145</v>
      </c>
      <c r="L571" s="179">
        <v>3016</v>
      </c>
      <c r="M571" s="178" t="s">
        <v>1421</v>
      </c>
      <c r="N571" s="27" t="s">
        <v>443</v>
      </c>
      <c r="O571" s="182" t="s">
        <v>1422</v>
      </c>
    </row>
    <row r="572" spans="1:15" ht="12">
      <c r="A572" s="148"/>
      <c r="B572" s="174" t="s">
        <v>1192</v>
      </c>
      <c r="C572" s="175" t="s">
        <v>670</v>
      </c>
      <c r="D572" s="176" t="s">
        <v>671</v>
      </c>
      <c r="E572" s="177" t="s">
        <v>1193</v>
      </c>
      <c r="F572" s="175">
        <f t="shared" si="24"/>
        <v>7</v>
      </c>
      <c r="G572" s="175" t="str">
        <f t="shared" si="25"/>
        <v>Ocala</v>
      </c>
      <c r="H572" s="175" t="str">
        <f t="shared" si="26"/>
        <v>Ocala, FL</v>
      </c>
      <c r="I572" s="178" t="s">
        <v>1194</v>
      </c>
      <c r="J572" s="27" t="s">
        <v>671</v>
      </c>
      <c r="K572" s="27">
        <v>2919</v>
      </c>
      <c r="L572" s="179">
        <v>909</v>
      </c>
      <c r="M572" s="178" t="s">
        <v>1195</v>
      </c>
      <c r="N572" s="27" t="s">
        <v>671</v>
      </c>
      <c r="O572" s="182" t="s">
        <v>1196</v>
      </c>
    </row>
    <row r="573" spans="1:15" ht="12">
      <c r="A573" s="148"/>
      <c r="B573" s="174" t="s">
        <v>1197</v>
      </c>
      <c r="C573" s="175" t="s">
        <v>1198</v>
      </c>
      <c r="D573" s="176" t="s">
        <v>1199</v>
      </c>
      <c r="E573" s="177" t="s">
        <v>1200</v>
      </c>
      <c r="F573" s="175">
        <f t="shared" si="24"/>
        <v>7</v>
      </c>
      <c r="G573" s="175" t="str">
        <f t="shared" si="25"/>
        <v>Ogden</v>
      </c>
      <c r="H573" s="175" t="str">
        <f t="shared" si="26"/>
        <v>Ogden, UT</v>
      </c>
      <c r="I573" s="178" t="s">
        <v>1201</v>
      </c>
      <c r="J573" s="27" t="s">
        <v>1199</v>
      </c>
      <c r="K573" s="27">
        <v>1047</v>
      </c>
      <c r="L573" s="179">
        <v>5765</v>
      </c>
      <c r="M573" s="180" t="s">
        <v>1202</v>
      </c>
      <c r="N573" s="181" t="s">
        <v>1199</v>
      </c>
      <c r="O573" s="182" t="s">
        <v>1203</v>
      </c>
    </row>
    <row r="574" spans="1:15" ht="12">
      <c r="A574" s="148"/>
      <c r="B574" s="174" t="s">
        <v>1204</v>
      </c>
      <c r="C574" s="175" t="s">
        <v>1198</v>
      </c>
      <c r="D574" s="176" t="s">
        <v>1199</v>
      </c>
      <c r="E574" s="177" t="s">
        <v>1447</v>
      </c>
      <c r="F574" s="175">
        <f t="shared" si="24"/>
        <v>13</v>
      </c>
      <c r="G574" s="175" t="str">
        <f t="shared" si="25"/>
        <v>Ogden/Logan</v>
      </c>
      <c r="H574" s="175" t="str">
        <f t="shared" si="26"/>
        <v>Ogden/Logan, UT</v>
      </c>
      <c r="I574" s="178" t="s">
        <v>1201</v>
      </c>
      <c r="J574" s="27" t="s">
        <v>1199</v>
      </c>
      <c r="K574" s="27">
        <v>1047</v>
      </c>
      <c r="L574" s="179">
        <v>5765</v>
      </c>
      <c r="M574" s="180" t="s">
        <v>1202</v>
      </c>
      <c r="N574" s="181" t="s">
        <v>1199</v>
      </c>
      <c r="O574" s="182" t="s">
        <v>1203</v>
      </c>
    </row>
    <row r="575" spans="1:15" ht="12">
      <c r="A575" s="148"/>
      <c r="B575" s="174" t="s">
        <v>1448</v>
      </c>
      <c r="C575" s="175" t="s">
        <v>449</v>
      </c>
      <c r="D575" s="176" t="s">
        <v>450</v>
      </c>
      <c r="E575" s="177" t="s">
        <v>1449</v>
      </c>
      <c r="F575" s="175">
        <f t="shared" si="24"/>
        <v>10</v>
      </c>
      <c r="G575" s="175" t="str">
        <f t="shared" si="25"/>
        <v>Oil City</v>
      </c>
      <c r="H575" s="175" t="str">
        <f t="shared" si="26"/>
        <v>Oil City, PA</v>
      </c>
      <c r="I575" s="178" t="s">
        <v>1350</v>
      </c>
      <c r="J575" s="27" t="s">
        <v>395</v>
      </c>
      <c r="K575" s="27">
        <v>497</v>
      </c>
      <c r="L575" s="179">
        <v>6544</v>
      </c>
      <c r="M575" s="180" t="s">
        <v>1351</v>
      </c>
      <c r="N575" s="181" t="s">
        <v>395</v>
      </c>
      <c r="O575" s="182" t="s">
        <v>1352</v>
      </c>
    </row>
    <row r="576" spans="1:15" ht="12">
      <c r="A576" s="148"/>
      <c r="B576" s="174" t="s">
        <v>1450</v>
      </c>
      <c r="C576" s="175" t="s">
        <v>509</v>
      </c>
      <c r="D576" s="176" t="s">
        <v>510</v>
      </c>
      <c r="E576" s="177" t="s">
        <v>1451</v>
      </c>
      <c r="F576" s="175">
        <f t="shared" si="24"/>
        <v>15</v>
      </c>
      <c r="G576" s="175" t="str">
        <f t="shared" si="25"/>
        <v>Oklahoma City</v>
      </c>
      <c r="H576" s="175" t="str">
        <f t="shared" si="26"/>
        <v>Oklahoma City, OK</v>
      </c>
      <c r="I576" s="178" t="s">
        <v>606</v>
      </c>
      <c r="J576" s="27" t="s">
        <v>510</v>
      </c>
      <c r="K576" s="27">
        <v>1859</v>
      </c>
      <c r="L576" s="179">
        <v>3659</v>
      </c>
      <c r="M576" s="180" t="s">
        <v>698</v>
      </c>
      <c r="N576" s="181" t="s">
        <v>510</v>
      </c>
      <c r="O576" s="182" t="s">
        <v>699</v>
      </c>
    </row>
    <row r="577" spans="1:15" ht="12">
      <c r="A577" s="148"/>
      <c r="B577" s="174" t="s">
        <v>1452</v>
      </c>
      <c r="C577" s="175" t="s">
        <v>509</v>
      </c>
      <c r="D577" s="176" t="s">
        <v>510</v>
      </c>
      <c r="E577" s="177" t="s">
        <v>1451</v>
      </c>
      <c r="F577" s="175">
        <f t="shared" si="24"/>
        <v>15</v>
      </c>
      <c r="G577" s="175" t="str">
        <f t="shared" si="25"/>
        <v>Oklahoma City</v>
      </c>
      <c r="H577" s="175" t="str">
        <f t="shared" si="26"/>
        <v>Oklahoma City, OK</v>
      </c>
      <c r="I577" s="178" t="s">
        <v>606</v>
      </c>
      <c r="J577" s="27" t="s">
        <v>510</v>
      </c>
      <c r="K577" s="27">
        <v>1859</v>
      </c>
      <c r="L577" s="179">
        <v>3659</v>
      </c>
      <c r="M577" s="180" t="s">
        <v>698</v>
      </c>
      <c r="N577" s="181" t="s">
        <v>510</v>
      </c>
      <c r="O577" s="182" t="s">
        <v>699</v>
      </c>
    </row>
    <row r="578" spans="1:15" ht="12">
      <c r="A578" s="148"/>
      <c r="B578" s="174" t="s">
        <v>1453</v>
      </c>
      <c r="C578" s="175" t="s">
        <v>593</v>
      </c>
      <c r="D578" s="176" t="s">
        <v>1638</v>
      </c>
      <c r="E578" s="177" t="s">
        <v>1454</v>
      </c>
      <c r="F578" s="175">
        <f t="shared" si="24"/>
        <v>9</v>
      </c>
      <c r="G578" s="175" t="str">
        <f t="shared" si="25"/>
        <v>Olympia</v>
      </c>
      <c r="H578" s="175" t="str">
        <f t="shared" si="26"/>
        <v>Olympia, WA</v>
      </c>
      <c r="I578" s="178" t="s">
        <v>1455</v>
      </c>
      <c r="J578" s="27" t="s">
        <v>1638</v>
      </c>
      <c r="K578" s="27">
        <v>101</v>
      </c>
      <c r="L578" s="179">
        <v>5655</v>
      </c>
      <c r="M578" s="180" t="s">
        <v>2403</v>
      </c>
      <c r="N578" s="181" t="s">
        <v>1638</v>
      </c>
      <c r="O578" s="182" t="s">
        <v>2404</v>
      </c>
    </row>
    <row r="579" spans="1:15" ht="12">
      <c r="A579" s="148"/>
      <c r="B579" s="174" t="s">
        <v>1456</v>
      </c>
      <c r="C579" s="175" t="s">
        <v>456</v>
      </c>
      <c r="D579" s="176" t="s">
        <v>457</v>
      </c>
      <c r="E579" s="177" t="s">
        <v>1457</v>
      </c>
      <c r="F579" s="175">
        <f t="shared" si="24"/>
        <v>7</v>
      </c>
      <c r="G579" s="175" t="str">
        <f t="shared" si="25"/>
        <v>Omaha</v>
      </c>
      <c r="H579" s="175" t="str">
        <f t="shared" si="26"/>
        <v>Omaha, NE</v>
      </c>
      <c r="I579" s="178" t="s">
        <v>1458</v>
      </c>
      <c r="J579" s="27" t="s">
        <v>457</v>
      </c>
      <c r="K579" s="27">
        <v>1072</v>
      </c>
      <c r="L579" s="179">
        <v>6300</v>
      </c>
      <c r="M579" s="180" t="s">
        <v>1668</v>
      </c>
      <c r="N579" s="181" t="s">
        <v>457</v>
      </c>
      <c r="O579" s="182" t="s">
        <v>1669</v>
      </c>
    </row>
    <row r="580" spans="1:15" ht="12">
      <c r="A580" s="148"/>
      <c r="B580" s="174" t="s">
        <v>1459</v>
      </c>
      <c r="C580" s="175" t="s">
        <v>456</v>
      </c>
      <c r="D580" s="176" t="s">
        <v>457</v>
      </c>
      <c r="E580" s="177" t="s">
        <v>1457</v>
      </c>
      <c r="F580" s="175">
        <f t="shared" si="24"/>
        <v>7</v>
      </c>
      <c r="G580" s="175" t="str">
        <f t="shared" si="25"/>
        <v>Omaha</v>
      </c>
      <c r="H580" s="175" t="str">
        <f t="shared" si="26"/>
        <v>Omaha, NE</v>
      </c>
      <c r="I580" s="178" t="s">
        <v>1458</v>
      </c>
      <c r="J580" s="27" t="s">
        <v>457</v>
      </c>
      <c r="K580" s="27">
        <v>1072</v>
      </c>
      <c r="L580" s="179">
        <v>6300</v>
      </c>
      <c r="M580" s="180" t="s">
        <v>1668</v>
      </c>
      <c r="N580" s="181" t="s">
        <v>457</v>
      </c>
      <c r="O580" s="182" t="s">
        <v>1669</v>
      </c>
    </row>
    <row r="581" spans="1:15" ht="12">
      <c r="A581" s="148"/>
      <c r="B581" s="174" t="s">
        <v>1460</v>
      </c>
      <c r="C581" s="175" t="s">
        <v>1633</v>
      </c>
      <c r="D581" s="176" t="s">
        <v>1634</v>
      </c>
      <c r="E581" s="177" t="s">
        <v>1461</v>
      </c>
      <c r="F581" s="175">
        <f t="shared" si="24"/>
        <v>9</v>
      </c>
      <c r="G581" s="175" t="str">
        <f t="shared" si="25"/>
        <v>Ontario</v>
      </c>
      <c r="H581" s="175" t="str">
        <f t="shared" si="26"/>
        <v>Ontario, OR</v>
      </c>
      <c r="I581" s="178" t="s">
        <v>2294</v>
      </c>
      <c r="J581" s="27" t="s">
        <v>2292</v>
      </c>
      <c r="K581" s="27">
        <v>754</v>
      </c>
      <c r="L581" s="179">
        <v>5861</v>
      </c>
      <c r="M581" s="180" t="s">
        <v>2295</v>
      </c>
      <c r="N581" s="181" t="s">
        <v>2292</v>
      </c>
      <c r="O581" s="182" t="s">
        <v>2296</v>
      </c>
    </row>
    <row r="582" spans="1:15" ht="12">
      <c r="A582" s="148"/>
      <c r="B582" s="174" t="s">
        <v>1462</v>
      </c>
      <c r="C582" s="175" t="s">
        <v>502</v>
      </c>
      <c r="D582" s="176" t="s">
        <v>503</v>
      </c>
      <c r="E582" s="177" t="s">
        <v>1463</v>
      </c>
      <c r="F582" s="175">
        <f t="shared" ref="F582:F645" si="27">LEN(E582)</f>
        <v>9</v>
      </c>
      <c r="G582" s="175" t="str">
        <f t="shared" ref="G582:G645" si="28">MID(E582,2,F582-2)</f>
        <v>Opelika</v>
      </c>
      <c r="H582" s="175" t="str">
        <f t="shared" ref="H582:H645" si="29">CONCATENATE(G582,", ",+D582)</f>
        <v>Opelika, AL</v>
      </c>
      <c r="I582" s="178" t="s">
        <v>412</v>
      </c>
      <c r="J582" s="27" t="s">
        <v>410</v>
      </c>
      <c r="K582" s="27">
        <v>2284</v>
      </c>
      <c r="L582" s="179">
        <v>2261</v>
      </c>
      <c r="M582" s="180" t="s">
        <v>413</v>
      </c>
      <c r="N582" s="181" t="s">
        <v>410</v>
      </c>
      <c r="O582" s="182" t="s">
        <v>414</v>
      </c>
    </row>
    <row r="583" spans="1:15" ht="12">
      <c r="A583" s="148"/>
      <c r="B583" s="174" t="s">
        <v>1464</v>
      </c>
      <c r="C583" s="175" t="s">
        <v>670</v>
      </c>
      <c r="D583" s="176" t="s">
        <v>671</v>
      </c>
      <c r="E583" s="177" t="s">
        <v>1465</v>
      </c>
      <c r="F583" s="175">
        <f t="shared" si="27"/>
        <v>9</v>
      </c>
      <c r="G583" s="175" t="str">
        <f t="shared" si="28"/>
        <v>Orlando</v>
      </c>
      <c r="H583" s="175" t="str">
        <f t="shared" si="29"/>
        <v>Orlando, FL</v>
      </c>
      <c r="I583" s="178" t="s">
        <v>1466</v>
      </c>
      <c r="J583" s="27" t="s">
        <v>671</v>
      </c>
      <c r="K583" s="27">
        <v>3381</v>
      </c>
      <c r="L583" s="179">
        <v>686</v>
      </c>
      <c r="M583" s="178" t="s">
        <v>1139</v>
      </c>
      <c r="N583" s="27" t="s">
        <v>671</v>
      </c>
      <c r="O583" s="182" t="s">
        <v>1140</v>
      </c>
    </row>
    <row r="584" spans="1:15" ht="12">
      <c r="A584" s="148"/>
      <c r="B584" s="174" t="s">
        <v>1467</v>
      </c>
      <c r="C584" s="175" t="s">
        <v>670</v>
      </c>
      <c r="D584" s="176" t="s">
        <v>671</v>
      </c>
      <c r="E584" s="177" t="s">
        <v>1465</v>
      </c>
      <c r="F584" s="175">
        <f t="shared" si="27"/>
        <v>9</v>
      </c>
      <c r="G584" s="175" t="str">
        <f t="shared" si="28"/>
        <v>Orlando</v>
      </c>
      <c r="H584" s="175" t="str">
        <f t="shared" si="29"/>
        <v>Orlando, FL</v>
      </c>
      <c r="I584" s="178" t="s">
        <v>1466</v>
      </c>
      <c r="J584" s="27" t="s">
        <v>671</v>
      </c>
      <c r="K584" s="27">
        <v>3381</v>
      </c>
      <c r="L584" s="179">
        <v>686</v>
      </c>
      <c r="M584" s="178" t="s">
        <v>1139</v>
      </c>
      <c r="N584" s="27" t="s">
        <v>671</v>
      </c>
      <c r="O584" s="182" t="s">
        <v>1140</v>
      </c>
    </row>
    <row r="585" spans="1:15" ht="12">
      <c r="A585" s="148"/>
      <c r="B585" s="174" t="s">
        <v>1468</v>
      </c>
      <c r="C585" s="175" t="s">
        <v>51</v>
      </c>
      <c r="D585" s="176" t="s">
        <v>1702</v>
      </c>
      <c r="E585" s="177" t="s">
        <v>1469</v>
      </c>
      <c r="F585" s="175">
        <f t="shared" si="27"/>
        <v>9</v>
      </c>
      <c r="G585" s="175" t="str">
        <f t="shared" si="28"/>
        <v>Oshkosh</v>
      </c>
      <c r="H585" s="175" t="str">
        <f t="shared" si="29"/>
        <v>Oshkosh, WI</v>
      </c>
      <c r="I585" s="178" t="s">
        <v>1701</v>
      </c>
      <c r="J585" s="27" t="s">
        <v>1702</v>
      </c>
      <c r="K585" s="27">
        <v>692</v>
      </c>
      <c r="L585" s="179">
        <v>7491</v>
      </c>
      <c r="M585" s="180" t="s">
        <v>945</v>
      </c>
      <c r="N585" s="181" t="s">
        <v>1702</v>
      </c>
      <c r="O585" s="182" t="s">
        <v>946</v>
      </c>
    </row>
    <row r="586" spans="1:15" ht="12">
      <c r="A586" s="148"/>
      <c r="B586" s="174" t="s">
        <v>1470</v>
      </c>
      <c r="C586" s="175" t="s">
        <v>1333</v>
      </c>
      <c r="D586" s="176" t="s">
        <v>1334</v>
      </c>
      <c r="E586" s="177" t="s">
        <v>1471</v>
      </c>
      <c r="F586" s="175">
        <f t="shared" si="27"/>
        <v>9</v>
      </c>
      <c r="G586" s="175" t="str">
        <f t="shared" si="28"/>
        <v>Ottumwa</v>
      </c>
      <c r="H586" s="175" t="str">
        <f t="shared" si="29"/>
        <v>Ottumwa, IA</v>
      </c>
      <c r="I586" s="178" t="s">
        <v>1336</v>
      </c>
      <c r="J586" s="27" t="s">
        <v>1648</v>
      </c>
      <c r="K586" s="27">
        <v>911</v>
      </c>
      <c r="L586" s="179">
        <v>6474</v>
      </c>
      <c r="M586" s="180" t="s">
        <v>1337</v>
      </c>
      <c r="N586" s="181" t="s">
        <v>1334</v>
      </c>
      <c r="O586" s="182" t="s">
        <v>1338</v>
      </c>
    </row>
    <row r="587" spans="1:15" ht="12">
      <c r="A587" s="148"/>
      <c r="B587" s="174" t="s">
        <v>1472</v>
      </c>
      <c r="C587" s="175" t="s">
        <v>525</v>
      </c>
      <c r="D587" s="176" t="s">
        <v>526</v>
      </c>
      <c r="E587" s="177" t="s">
        <v>1473</v>
      </c>
      <c r="F587" s="175">
        <f t="shared" si="27"/>
        <v>11</v>
      </c>
      <c r="G587" s="175" t="str">
        <f t="shared" si="28"/>
        <v>Owensboro</v>
      </c>
      <c r="H587" s="175" t="str">
        <f t="shared" si="29"/>
        <v>Owensboro, KY</v>
      </c>
      <c r="I587" s="178" t="s">
        <v>1523</v>
      </c>
      <c r="J587" s="27" t="s">
        <v>485</v>
      </c>
      <c r="K587" s="27">
        <v>1616</v>
      </c>
      <c r="L587" s="179">
        <v>3729</v>
      </c>
      <c r="M587" s="180" t="s">
        <v>1524</v>
      </c>
      <c r="N587" s="181" t="s">
        <v>485</v>
      </c>
      <c r="O587" s="182" t="s">
        <v>623</v>
      </c>
    </row>
    <row r="588" spans="1:15" ht="12">
      <c r="A588" s="148"/>
      <c r="B588" s="174" t="s">
        <v>1474</v>
      </c>
      <c r="C588" s="175" t="s">
        <v>630</v>
      </c>
      <c r="D588" s="176" t="s">
        <v>1346</v>
      </c>
      <c r="E588" s="177" t="s">
        <v>1475</v>
      </c>
      <c r="F588" s="175">
        <f t="shared" si="27"/>
        <v>8</v>
      </c>
      <c r="G588" s="175" t="str">
        <f t="shared" si="28"/>
        <v>Oxford</v>
      </c>
      <c r="H588" s="175" t="str">
        <f t="shared" si="29"/>
        <v>Oxford, MS</v>
      </c>
      <c r="I588" s="178" t="s">
        <v>1143</v>
      </c>
      <c r="J588" s="27" t="s">
        <v>485</v>
      </c>
      <c r="K588" s="27">
        <v>2118</v>
      </c>
      <c r="L588" s="179">
        <v>3082</v>
      </c>
      <c r="M588" s="180" t="s">
        <v>1144</v>
      </c>
      <c r="N588" s="181" t="s">
        <v>485</v>
      </c>
      <c r="O588" s="182" t="s">
        <v>1210</v>
      </c>
    </row>
    <row r="589" spans="1:15" ht="12">
      <c r="A589" s="148"/>
      <c r="B589" s="174" t="s">
        <v>1476</v>
      </c>
      <c r="C589" s="175" t="s">
        <v>525</v>
      </c>
      <c r="D589" s="176" t="s">
        <v>526</v>
      </c>
      <c r="E589" s="177" t="s">
        <v>1477</v>
      </c>
      <c r="F589" s="175">
        <f t="shared" si="27"/>
        <v>9</v>
      </c>
      <c r="G589" s="175" t="str">
        <f t="shared" si="28"/>
        <v>Paducah</v>
      </c>
      <c r="H589" s="175" t="str">
        <f t="shared" si="29"/>
        <v>Paducah, KY</v>
      </c>
      <c r="I589" s="178" t="s">
        <v>1478</v>
      </c>
      <c r="J589" s="27" t="s">
        <v>526</v>
      </c>
      <c r="K589" s="27">
        <v>1475</v>
      </c>
      <c r="L589" s="179">
        <v>4279</v>
      </c>
      <c r="M589" s="180" t="s">
        <v>1479</v>
      </c>
      <c r="N589" s="181" t="s">
        <v>526</v>
      </c>
      <c r="O589" s="182" t="s">
        <v>2302</v>
      </c>
    </row>
    <row r="590" spans="1:15" ht="12">
      <c r="A590" s="148"/>
      <c r="B590" s="174" t="s">
        <v>2303</v>
      </c>
      <c r="C590" s="175" t="s">
        <v>263</v>
      </c>
      <c r="D590" s="176" t="s">
        <v>264</v>
      </c>
      <c r="E590" s="177" t="s">
        <v>2304</v>
      </c>
      <c r="F590" s="175">
        <f t="shared" si="27"/>
        <v>11</v>
      </c>
      <c r="G590" s="175" t="str">
        <f t="shared" si="28"/>
        <v>Palestine</v>
      </c>
      <c r="H590" s="175" t="str">
        <f t="shared" si="29"/>
        <v>Palestine, TX</v>
      </c>
      <c r="I590" s="178" t="s">
        <v>2160</v>
      </c>
      <c r="J590" s="27" t="s">
        <v>264</v>
      </c>
      <c r="K590" s="27">
        <v>2816</v>
      </c>
      <c r="L590" s="179">
        <v>2179</v>
      </c>
      <c r="M590" s="180" t="s">
        <v>2161</v>
      </c>
      <c r="N590" s="181" t="s">
        <v>264</v>
      </c>
      <c r="O590" s="182" t="s">
        <v>2162</v>
      </c>
    </row>
    <row r="591" spans="1:15" ht="12">
      <c r="A591" s="148"/>
      <c r="B591" s="174" t="s">
        <v>2305</v>
      </c>
      <c r="C591" s="175" t="s">
        <v>442</v>
      </c>
      <c r="D591" s="176" t="s">
        <v>443</v>
      </c>
      <c r="E591" s="177" t="s">
        <v>2306</v>
      </c>
      <c r="F591" s="175">
        <f t="shared" si="27"/>
        <v>14</v>
      </c>
      <c r="G591" s="175" t="str">
        <f t="shared" si="28"/>
        <v>Palm Springs</v>
      </c>
      <c r="H591" s="175" t="str">
        <f t="shared" si="29"/>
        <v>Palm Springs, CA</v>
      </c>
      <c r="I591" s="178" t="s">
        <v>2307</v>
      </c>
      <c r="J591" s="27" t="s">
        <v>443</v>
      </c>
      <c r="K591" s="27">
        <v>984</v>
      </c>
      <c r="L591" s="179">
        <v>1256</v>
      </c>
      <c r="M591" s="178" t="s">
        <v>2308</v>
      </c>
      <c r="N591" s="27" t="s">
        <v>443</v>
      </c>
      <c r="O591" s="182" t="s">
        <v>2309</v>
      </c>
    </row>
    <row r="592" spans="1:15" ht="12">
      <c r="A592" s="148"/>
      <c r="B592" s="174" t="s">
        <v>2310</v>
      </c>
      <c r="C592" s="175" t="s">
        <v>442</v>
      </c>
      <c r="D592" s="176" t="s">
        <v>443</v>
      </c>
      <c r="E592" s="177" t="s">
        <v>607</v>
      </c>
      <c r="F592" s="175">
        <f t="shared" si="27"/>
        <v>11</v>
      </c>
      <c r="G592" s="175" t="str">
        <f t="shared" si="28"/>
        <v>Palo Alto</v>
      </c>
      <c r="H592" s="175" t="str">
        <f t="shared" si="29"/>
        <v>Palo Alto, CA</v>
      </c>
      <c r="I592" s="178" t="s">
        <v>1420</v>
      </c>
      <c r="J592" s="27" t="s">
        <v>443</v>
      </c>
      <c r="K592" s="27">
        <v>145</v>
      </c>
      <c r="L592" s="179">
        <v>3016</v>
      </c>
      <c r="M592" s="178" t="s">
        <v>1421</v>
      </c>
      <c r="N592" s="27" t="s">
        <v>443</v>
      </c>
      <c r="O592" s="182" t="s">
        <v>1422</v>
      </c>
    </row>
    <row r="593" spans="1:15" ht="12">
      <c r="A593" s="148"/>
      <c r="B593" s="174" t="s">
        <v>608</v>
      </c>
      <c r="C593" s="175" t="s">
        <v>670</v>
      </c>
      <c r="D593" s="176" t="s">
        <v>671</v>
      </c>
      <c r="E593" s="177" t="s">
        <v>609</v>
      </c>
      <c r="F593" s="175">
        <f t="shared" si="27"/>
        <v>13</v>
      </c>
      <c r="G593" s="175" t="str">
        <f t="shared" si="28"/>
        <v>Panama City</v>
      </c>
      <c r="H593" s="175" t="str">
        <f t="shared" si="29"/>
        <v>Panama City, FL</v>
      </c>
      <c r="I593" s="178" t="s">
        <v>610</v>
      </c>
      <c r="J593" s="27" t="s">
        <v>671</v>
      </c>
      <c r="K593" s="27">
        <v>2582</v>
      </c>
      <c r="L593" s="179">
        <v>1429</v>
      </c>
      <c r="M593" s="180" t="s">
        <v>611</v>
      </c>
      <c r="N593" s="181" t="s">
        <v>671</v>
      </c>
      <c r="O593" s="182" t="s">
        <v>612</v>
      </c>
    </row>
    <row r="594" spans="1:15" ht="12">
      <c r="A594" s="148"/>
      <c r="B594" s="174" t="s">
        <v>613</v>
      </c>
      <c r="C594" s="175" t="s">
        <v>1617</v>
      </c>
      <c r="D594" s="176" t="s">
        <v>1530</v>
      </c>
      <c r="E594" s="177" t="s">
        <v>614</v>
      </c>
      <c r="F594" s="175">
        <f t="shared" si="27"/>
        <v>13</v>
      </c>
      <c r="G594" s="175" t="str">
        <f t="shared" si="28"/>
        <v>Parkersburg</v>
      </c>
      <c r="H594" s="175" t="str">
        <f t="shared" si="29"/>
        <v>Parkersburg, WV</v>
      </c>
      <c r="I594" s="178" t="s">
        <v>1319</v>
      </c>
      <c r="J594" s="27" t="s">
        <v>1530</v>
      </c>
      <c r="K594" s="27">
        <v>1031</v>
      </c>
      <c r="L594" s="179">
        <v>4646</v>
      </c>
      <c r="M594" s="180" t="s">
        <v>1531</v>
      </c>
      <c r="N594" s="181" t="s">
        <v>1530</v>
      </c>
      <c r="O594" s="182" t="s">
        <v>1532</v>
      </c>
    </row>
    <row r="595" spans="1:15" ht="12">
      <c r="A595" s="148"/>
      <c r="B595" s="174" t="s">
        <v>615</v>
      </c>
      <c r="C595" s="175" t="s">
        <v>442</v>
      </c>
      <c r="D595" s="176" t="s">
        <v>443</v>
      </c>
      <c r="E595" s="177" t="s">
        <v>616</v>
      </c>
      <c r="F595" s="175">
        <f t="shared" si="27"/>
        <v>10</v>
      </c>
      <c r="G595" s="175" t="str">
        <f t="shared" si="28"/>
        <v>Pasadena</v>
      </c>
      <c r="H595" s="175" t="str">
        <f t="shared" si="29"/>
        <v>Pasadena, CA</v>
      </c>
      <c r="I595" s="178" t="s">
        <v>445</v>
      </c>
      <c r="J595" s="27" t="s">
        <v>443</v>
      </c>
      <c r="K595" s="27">
        <v>1537</v>
      </c>
      <c r="L595" s="179">
        <v>1154</v>
      </c>
      <c r="M595" s="178" t="s">
        <v>446</v>
      </c>
      <c r="N595" s="27" t="s">
        <v>443</v>
      </c>
      <c r="O595" s="182" t="s">
        <v>447</v>
      </c>
    </row>
    <row r="596" spans="1:15" ht="12">
      <c r="A596" s="148"/>
      <c r="B596" s="174" t="s">
        <v>617</v>
      </c>
      <c r="C596" s="175" t="s">
        <v>442</v>
      </c>
      <c r="D596" s="176" t="s">
        <v>443</v>
      </c>
      <c r="E596" s="177" t="s">
        <v>616</v>
      </c>
      <c r="F596" s="175">
        <f t="shared" si="27"/>
        <v>10</v>
      </c>
      <c r="G596" s="175" t="str">
        <f t="shared" si="28"/>
        <v>Pasadena</v>
      </c>
      <c r="H596" s="175" t="str">
        <f t="shared" si="29"/>
        <v>Pasadena, CA</v>
      </c>
      <c r="I596" s="178" t="s">
        <v>445</v>
      </c>
      <c r="J596" s="27" t="s">
        <v>443</v>
      </c>
      <c r="K596" s="27">
        <v>1537</v>
      </c>
      <c r="L596" s="179">
        <v>1154</v>
      </c>
      <c r="M596" s="178" t="s">
        <v>446</v>
      </c>
      <c r="N596" s="27" t="s">
        <v>443</v>
      </c>
      <c r="O596" s="182" t="s">
        <v>447</v>
      </c>
    </row>
    <row r="597" spans="1:15" ht="12">
      <c r="A597" s="148"/>
      <c r="B597" s="186" t="s">
        <v>618</v>
      </c>
      <c r="C597" s="175" t="s">
        <v>1548</v>
      </c>
      <c r="D597" s="176" t="s">
        <v>1549</v>
      </c>
      <c r="E597" s="177" t="s">
        <v>619</v>
      </c>
      <c r="F597" s="175">
        <f t="shared" si="27"/>
        <v>10</v>
      </c>
      <c r="G597" s="175" t="str">
        <f t="shared" si="28"/>
        <v>Paterson</v>
      </c>
      <c r="H597" s="175" t="str">
        <f t="shared" si="29"/>
        <v>Paterson, NJ</v>
      </c>
      <c r="I597" s="178" t="s">
        <v>70</v>
      </c>
      <c r="J597" s="27" t="s">
        <v>1549</v>
      </c>
      <c r="K597" s="27">
        <v>1201</v>
      </c>
      <c r="L597" s="179">
        <v>4888</v>
      </c>
      <c r="M597" s="180" t="s">
        <v>71</v>
      </c>
      <c r="N597" s="181" t="s">
        <v>1549</v>
      </c>
      <c r="O597" s="182" t="s">
        <v>72</v>
      </c>
    </row>
    <row r="598" spans="1:15" ht="12">
      <c r="A598" s="148"/>
      <c r="B598" s="186" t="s">
        <v>620</v>
      </c>
      <c r="C598" s="175" t="s">
        <v>1548</v>
      </c>
      <c r="D598" s="176" t="s">
        <v>1549</v>
      </c>
      <c r="E598" s="177" t="s">
        <v>619</v>
      </c>
      <c r="F598" s="175">
        <f t="shared" si="27"/>
        <v>10</v>
      </c>
      <c r="G598" s="175" t="str">
        <f t="shared" si="28"/>
        <v>Paterson</v>
      </c>
      <c r="H598" s="175" t="str">
        <f t="shared" si="29"/>
        <v>Paterson, NJ</v>
      </c>
      <c r="I598" s="178" t="s">
        <v>70</v>
      </c>
      <c r="J598" s="27" t="s">
        <v>1549</v>
      </c>
      <c r="K598" s="27">
        <v>1201</v>
      </c>
      <c r="L598" s="179">
        <v>4888</v>
      </c>
      <c r="M598" s="180" t="s">
        <v>71</v>
      </c>
      <c r="N598" s="181" t="s">
        <v>1549</v>
      </c>
      <c r="O598" s="182" t="s">
        <v>72</v>
      </c>
    </row>
    <row r="599" spans="1:15" ht="12">
      <c r="A599" s="148"/>
      <c r="B599" s="174" t="s">
        <v>621</v>
      </c>
      <c r="C599" s="175" t="s">
        <v>1633</v>
      </c>
      <c r="D599" s="176" t="s">
        <v>1634</v>
      </c>
      <c r="E599" s="177" t="s">
        <v>622</v>
      </c>
      <c r="F599" s="175">
        <f t="shared" si="27"/>
        <v>11</v>
      </c>
      <c r="G599" s="175" t="str">
        <f t="shared" si="28"/>
        <v>Pendleton</v>
      </c>
      <c r="H599" s="175" t="str">
        <f t="shared" si="29"/>
        <v>Pendleton, OR</v>
      </c>
      <c r="I599" s="178" t="s">
        <v>595</v>
      </c>
      <c r="J599" s="27" t="s">
        <v>1634</v>
      </c>
      <c r="K599" s="27">
        <v>701</v>
      </c>
      <c r="L599" s="179">
        <v>5294</v>
      </c>
      <c r="M599" s="180" t="s">
        <v>1637</v>
      </c>
      <c r="N599" s="181" t="s">
        <v>1638</v>
      </c>
      <c r="O599" s="182" t="s">
        <v>1639</v>
      </c>
    </row>
    <row r="600" spans="1:15" ht="12">
      <c r="A600" s="148"/>
      <c r="B600" s="174" t="s">
        <v>2412</v>
      </c>
      <c r="C600" s="175" t="s">
        <v>670</v>
      </c>
      <c r="D600" s="176" t="s">
        <v>671</v>
      </c>
      <c r="E600" s="177" t="s">
        <v>2413</v>
      </c>
      <c r="F600" s="175">
        <f t="shared" si="27"/>
        <v>11</v>
      </c>
      <c r="G600" s="175" t="str">
        <f t="shared" si="28"/>
        <v>Pensacola</v>
      </c>
      <c r="H600" s="175" t="str">
        <f t="shared" si="29"/>
        <v>Pensacola, FL</v>
      </c>
      <c r="I600" s="178" t="s">
        <v>2414</v>
      </c>
      <c r="J600" s="27" t="s">
        <v>671</v>
      </c>
      <c r="K600" s="27">
        <v>2636</v>
      </c>
      <c r="L600" s="179">
        <v>1617</v>
      </c>
      <c r="M600" s="180" t="s">
        <v>762</v>
      </c>
      <c r="N600" s="181" t="s">
        <v>503</v>
      </c>
      <c r="O600" s="182" t="s">
        <v>763</v>
      </c>
    </row>
    <row r="601" spans="1:15" ht="12">
      <c r="A601" s="148"/>
      <c r="B601" s="174" t="s">
        <v>2415</v>
      </c>
      <c r="C601" s="175" t="s">
        <v>1647</v>
      </c>
      <c r="D601" s="176" t="s">
        <v>1648</v>
      </c>
      <c r="E601" s="177" t="s">
        <v>2416</v>
      </c>
      <c r="F601" s="175">
        <f t="shared" si="27"/>
        <v>8</v>
      </c>
      <c r="G601" s="175" t="str">
        <f t="shared" si="28"/>
        <v>Peoria</v>
      </c>
      <c r="H601" s="175" t="str">
        <f t="shared" si="29"/>
        <v>Peoria, IL</v>
      </c>
      <c r="I601" s="178" t="s">
        <v>902</v>
      </c>
      <c r="J601" s="27" t="s">
        <v>1648</v>
      </c>
      <c r="K601" s="27">
        <v>982</v>
      </c>
      <c r="L601" s="179">
        <v>6148</v>
      </c>
      <c r="M601" s="178" t="s">
        <v>2001</v>
      </c>
      <c r="N601" s="27" t="s">
        <v>1648</v>
      </c>
      <c r="O601" s="182" t="s">
        <v>2002</v>
      </c>
    </row>
    <row r="602" spans="1:15" ht="12">
      <c r="A602" s="148"/>
      <c r="B602" s="174" t="s">
        <v>2417</v>
      </c>
      <c r="C602" s="175" t="s">
        <v>1647</v>
      </c>
      <c r="D602" s="176" t="s">
        <v>1648</v>
      </c>
      <c r="E602" s="177" t="s">
        <v>2416</v>
      </c>
      <c r="F602" s="175">
        <f t="shared" si="27"/>
        <v>8</v>
      </c>
      <c r="G602" s="175" t="str">
        <f t="shared" si="28"/>
        <v>Peoria</v>
      </c>
      <c r="H602" s="175" t="str">
        <f t="shared" si="29"/>
        <v>Peoria, IL</v>
      </c>
      <c r="I602" s="178" t="s">
        <v>902</v>
      </c>
      <c r="J602" s="27" t="s">
        <v>1648</v>
      </c>
      <c r="K602" s="27">
        <v>982</v>
      </c>
      <c r="L602" s="179">
        <v>6148</v>
      </c>
      <c r="M602" s="178" t="s">
        <v>2001</v>
      </c>
      <c r="N602" s="27" t="s">
        <v>1648</v>
      </c>
      <c r="O602" s="182" t="s">
        <v>2002</v>
      </c>
    </row>
    <row r="603" spans="1:15" ht="12">
      <c r="A603" s="148"/>
      <c r="B603" s="174" t="s">
        <v>2418</v>
      </c>
      <c r="C603" s="175" t="s">
        <v>434</v>
      </c>
      <c r="D603" s="176" t="s">
        <v>435</v>
      </c>
      <c r="E603" s="177" t="s">
        <v>2419</v>
      </c>
      <c r="F603" s="175">
        <f t="shared" si="27"/>
        <v>12</v>
      </c>
      <c r="G603" s="175" t="str">
        <f t="shared" si="28"/>
        <v>Petersburg</v>
      </c>
      <c r="H603" s="175" t="str">
        <f t="shared" si="29"/>
        <v>Petersburg, VA</v>
      </c>
      <c r="I603" s="178" t="s">
        <v>65</v>
      </c>
      <c r="J603" s="27" t="s">
        <v>435</v>
      </c>
      <c r="K603" s="27">
        <v>1422</v>
      </c>
      <c r="L603" s="179">
        <v>3495</v>
      </c>
      <c r="M603" s="180" t="s">
        <v>66</v>
      </c>
      <c r="N603" s="181" t="s">
        <v>435</v>
      </c>
      <c r="O603" s="182" t="s">
        <v>67</v>
      </c>
    </row>
    <row r="604" spans="1:15" ht="12">
      <c r="A604" s="148"/>
      <c r="B604" s="174" t="s">
        <v>2420</v>
      </c>
      <c r="C604" s="175" t="s">
        <v>1617</v>
      </c>
      <c r="D604" s="176" t="s">
        <v>1530</v>
      </c>
      <c r="E604" s="177" t="s">
        <v>2419</v>
      </c>
      <c r="F604" s="175">
        <f t="shared" si="27"/>
        <v>12</v>
      </c>
      <c r="G604" s="175" t="str">
        <f t="shared" si="28"/>
        <v>Petersburg</v>
      </c>
      <c r="H604" s="175" t="str">
        <f t="shared" si="29"/>
        <v>Petersburg, WV</v>
      </c>
      <c r="I604" s="178" t="s">
        <v>2396</v>
      </c>
      <c r="J604" s="27" t="s">
        <v>1530</v>
      </c>
      <c r="K604" s="27">
        <v>346</v>
      </c>
      <c r="L604" s="179">
        <v>6120</v>
      </c>
      <c r="M604" s="180" t="s">
        <v>2397</v>
      </c>
      <c r="N604" s="181" t="s">
        <v>1530</v>
      </c>
      <c r="O604" s="182" t="s">
        <v>590</v>
      </c>
    </row>
    <row r="605" spans="1:15" ht="12">
      <c r="A605" s="148"/>
      <c r="B605" s="174" t="s">
        <v>2421</v>
      </c>
      <c r="C605" s="175" t="s">
        <v>449</v>
      </c>
      <c r="D605" s="176" t="s">
        <v>450</v>
      </c>
      <c r="E605" s="177" t="s">
        <v>2422</v>
      </c>
      <c r="F605" s="175">
        <f t="shared" si="27"/>
        <v>14</v>
      </c>
      <c r="G605" s="175" t="str">
        <f t="shared" si="28"/>
        <v>Philadelphia</v>
      </c>
      <c r="H605" s="175" t="str">
        <f t="shared" si="29"/>
        <v>Philadelphia, PA</v>
      </c>
      <c r="I605" s="178" t="s">
        <v>1039</v>
      </c>
      <c r="J605" s="27" t="s">
        <v>1736</v>
      </c>
      <c r="K605" s="27">
        <v>1046</v>
      </c>
      <c r="L605" s="179">
        <v>4937</v>
      </c>
      <c r="M605" s="180" t="s">
        <v>1365</v>
      </c>
      <c r="N605" s="181" t="s">
        <v>450</v>
      </c>
      <c r="O605" s="182" t="s">
        <v>1366</v>
      </c>
    </row>
    <row r="606" spans="1:15" ht="12">
      <c r="A606" s="148"/>
      <c r="B606" s="174" t="s">
        <v>2423</v>
      </c>
      <c r="C606" s="175" t="s">
        <v>449</v>
      </c>
      <c r="D606" s="176" t="s">
        <v>450</v>
      </c>
      <c r="E606" s="177" t="s">
        <v>2422</v>
      </c>
      <c r="F606" s="175">
        <f t="shared" si="27"/>
        <v>14</v>
      </c>
      <c r="G606" s="175" t="str">
        <f t="shared" si="28"/>
        <v>Philadelphia</v>
      </c>
      <c r="H606" s="175" t="str">
        <f t="shared" si="29"/>
        <v>Philadelphia, PA</v>
      </c>
      <c r="I606" s="178" t="s">
        <v>1364</v>
      </c>
      <c r="J606" s="27" t="s">
        <v>450</v>
      </c>
      <c r="K606" s="27">
        <v>1101</v>
      </c>
      <c r="L606" s="179">
        <v>4954</v>
      </c>
      <c r="M606" s="180" t="s">
        <v>1365</v>
      </c>
      <c r="N606" s="181" t="s">
        <v>450</v>
      </c>
      <c r="O606" s="182" t="s">
        <v>1366</v>
      </c>
    </row>
    <row r="607" spans="1:15" ht="12">
      <c r="A607" s="148"/>
      <c r="B607" s="174" t="s">
        <v>2424</v>
      </c>
      <c r="C607" s="175" t="s">
        <v>1311</v>
      </c>
      <c r="D607" s="176" t="s">
        <v>1312</v>
      </c>
      <c r="E607" s="177" t="s">
        <v>2425</v>
      </c>
      <c r="F607" s="175">
        <f t="shared" si="27"/>
        <v>9</v>
      </c>
      <c r="G607" s="175" t="str">
        <f t="shared" si="28"/>
        <v>Phoenix</v>
      </c>
      <c r="H607" s="175" t="str">
        <f t="shared" si="29"/>
        <v>Phoenix, AZ</v>
      </c>
      <c r="I607" s="178" t="s">
        <v>2426</v>
      </c>
      <c r="J607" s="27" t="s">
        <v>1312</v>
      </c>
      <c r="K607" s="27">
        <v>4162</v>
      </c>
      <c r="L607" s="179">
        <v>1350</v>
      </c>
      <c r="M607" s="178" t="s">
        <v>2427</v>
      </c>
      <c r="N607" s="27" t="s">
        <v>1312</v>
      </c>
      <c r="O607" s="182" t="s">
        <v>2428</v>
      </c>
    </row>
    <row r="608" spans="1:15" ht="12">
      <c r="A608" s="148"/>
      <c r="B608" s="174" t="s">
        <v>2429</v>
      </c>
      <c r="C608" s="175" t="s">
        <v>1311</v>
      </c>
      <c r="D608" s="176" t="s">
        <v>1312</v>
      </c>
      <c r="E608" s="177" t="s">
        <v>2425</v>
      </c>
      <c r="F608" s="175">
        <f t="shared" si="27"/>
        <v>9</v>
      </c>
      <c r="G608" s="175" t="str">
        <f t="shared" si="28"/>
        <v>Phoenix</v>
      </c>
      <c r="H608" s="175" t="str">
        <f t="shared" si="29"/>
        <v>Phoenix, AZ</v>
      </c>
      <c r="I608" s="178" t="s">
        <v>2426</v>
      </c>
      <c r="J608" s="27" t="s">
        <v>1312</v>
      </c>
      <c r="K608" s="27">
        <v>4162</v>
      </c>
      <c r="L608" s="179">
        <v>1350</v>
      </c>
      <c r="M608" s="178" t="s">
        <v>2427</v>
      </c>
      <c r="N608" s="27" t="s">
        <v>1312</v>
      </c>
      <c r="O608" s="182" t="s">
        <v>2428</v>
      </c>
    </row>
    <row r="609" spans="1:15" ht="12">
      <c r="A609" s="148"/>
      <c r="B609" s="174" t="s">
        <v>2430</v>
      </c>
      <c r="C609" s="175" t="s">
        <v>255</v>
      </c>
      <c r="D609" s="176" t="s">
        <v>256</v>
      </c>
      <c r="E609" s="177" t="s">
        <v>2431</v>
      </c>
      <c r="F609" s="175">
        <f t="shared" si="27"/>
        <v>8</v>
      </c>
      <c r="G609" s="175" t="str">
        <f t="shared" si="28"/>
        <v>Pierre</v>
      </c>
      <c r="H609" s="175" t="str">
        <f t="shared" si="29"/>
        <v>Pierre, SD</v>
      </c>
      <c r="I609" s="178" t="s">
        <v>459</v>
      </c>
      <c r="J609" s="27" t="s">
        <v>256</v>
      </c>
      <c r="K609" s="27">
        <v>611</v>
      </c>
      <c r="L609" s="179">
        <v>7301</v>
      </c>
      <c r="M609" s="180" t="s">
        <v>460</v>
      </c>
      <c r="N609" s="181" t="s">
        <v>256</v>
      </c>
      <c r="O609" s="182" t="s">
        <v>461</v>
      </c>
    </row>
    <row r="610" spans="1:15" ht="12">
      <c r="A610" s="148"/>
      <c r="B610" s="174" t="s">
        <v>2432</v>
      </c>
      <c r="C610" s="175" t="s">
        <v>525</v>
      </c>
      <c r="D610" s="176" t="s">
        <v>526</v>
      </c>
      <c r="E610" s="177" t="s">
        <v>2433</v>
      </c>
      <c r="F610" s="175">
        <f t="shared" si="27"/>
        <v>11</v>
      </c>
      <c r="G610" s="175" t="str">
        <f t="shared" si="28"/>
        <v>Pikeville</v>
      </c>
      <c r="H610" s="175" t="str">
        <f t="shared" si="29"/>
        <v>Pikeville, KY</v>
      </c>
      <c r="I610" s="178" t="s">
        <v>1319</v>
      </c>
      <c r="J610" s="27" t="s">
        <v>1530</v>
      </c>
      <c r="K610" s="27">
        <v>1031</v>
      </c>
      <c r="L610" s="179">
        <v>4646</v>
      </c>
      <c r="M610" s="180" t="s">
        <v>1531</v>
      </c>
      <c r="N610" s="181" t="s">
        <v>1530</v>
      </c>
      <c r="O610" s="182" t="s">
        <v>1532</v>
      </c>
    </row>
    <row r="611" spans="1:15" ht="12">
      <c r="A611" s="148"/>
      <c r="B611" s="174" t="s">
        <v>2434</v>
      </c>
      <c r="C611" s="175" t="s">
        <v>525</v>
      </c>
      <c r="D611" s="176" t="s">
        <v>526</v>
      </c>
      <c r="E611" s="177" t="s">
        <v>2433</v>
      </c>
      <c r="F611" s="175">
        <f t="shared" si="27"/>
        <v>11</v>
      </c>
      <c r="G611" s="175" t="str">
        <f t="shared" si="28"/>
        <v>Pikeville</v>
      </c>
      <c r="H611" s="175" t="str">
        <f t="shared" si="29"/>
        <v>Pikeville, KY</v>
      </c>
      <c r="I611" s="178" t="s">
        <v>1529</v>
      </c>
      <c r="J611" s="27" t="s">
        <v>1530</v>
      </c>
      <c r="K611" s="27">
        <v>1005</v>
      </c>
      <c r="L611" s="179">
        <v>4665</v>
      </c>
      <c r="M611" s="180" t="s">
        <v>1531</v>
      </c>
      <c r="N611" s="181" t="s">
        <v>1530</v>
      </c>
      <c r="O611" s="182" t="s">
        <v>1532</v>
      </c>
    </row>
    <row r="612" spans="1:15" ht="12">
      <c r="A612" s="148"/>
      <c r="B612" s="174" t="s">
        <v>2435</v>
      </c>
      <c r="C612" s="175" t="s">
        <v>1589</v>
      </c>
      <c r="D612" s="176" t="s">
        <v>1590</v>
      </c>
      <c r="E612" s="177" t="s">
        <v>2436</v>
      </c>
      <c r="F612" s="175">
        <f t="shared" si="27"/>
        <v>12</v>
      </c>
      <c r="G612" s="175" t="str">
        <f t="shared" si="28"/>
        <v>Pine Bluff</v>
      </c>
      <c r="H612" s="175" t="str">
        <f t="shared" si="29"/>
        <v>Pine Bluff, AR</v>
      </c>
      <c r="I612" s="178" t="s">
        <v>2074</v>
      </c>
      <c r="J612" s="27" t="s">
        <v>1346</v>
      </c>
      <c r="K612" s="27">
        <v>2215</v>
      </c>
      <c r="L612" s="179">
        <v>2467</v>
      </c>
      <c r="M612" s="180" t="s">
        <v>1347</v>
      </c>
      <c r="N612" s="181" t="s">
        <v>1346</v>
      </c>
      <c r="O612" s="182" t="s">
        <v>1348</v>
      </c>
    </row>
    <row r="613" spans="1:15" ht="12">
      <c r="A613" s="148"/>
      <c r="B613" s="174" t="s">
        <v>2437</v>
      </c>
      <c r="C613" s="175" t="s">
        <v>449</v>
      </c>
      <c r="D613" s="176" t="s">
        <v>450</v>
      </c>
      <c r="E613" s="177" t="s">
        <v>2438</v>
      </c>
      <c r="F613" s="175">
        <f t="shared" si="27"/>
        <v>12</v>
      </c>
      <c r="G613" s="175" t="str">
        <f t="shared" si="28"/>
        <v>Pittsburgh</v>
      </c>
      <c r="H613" s="175" t="str">
        <f t="shared" si="29"/>
        <v>Pittsburgh, PA</v>
      </c>
      <c r="I613" s="178" t="s">
        <v>464</v>
      </c>
      <c r="J613" s="27" t="s">
        <v>450</v>
      </c>
      <c r="K613" s="27">
        <v>654</v>
      </c>
      <c r="L613" s="179">
        <v>5968</v>
      </c>
      <c r="M613" s="180" t="s">
        <v>465</v>
      </c>
      <c r="N613" s="181" t="s">
        <v>450</v>
      </c>
      <c r="O613" s="182" t="s">
        <v>466</v>
      </c>
    </row>
    <row r="614" spans="1:15" ht="12">
      <c r="A614" s="148"/>
      <c r="B614" s="174" t="s">
        <v>2439</v>
      </c>
      <c r="C614" s="175" t="s">
        <v>449</v>
      </c>
      <c r="D614" s="176" t="s">
        <v>450</v>
      </c>
      <c r="E614" s="177" t="s">
        <v>2438</v>
      </c>
      <c r="F614" s="175">
        <f t="shared" si="27"/>
        <v>12</v>
      </c>
      <c r="G614" s="175" t="str">
        <f t="shared" si="28"/>
        <v>Pittsburgh</v>
      </c>
      <c r="H614" s="175" t="str">
        <f t="shared" si="29"/>
        <v>Pittsburgh, PA</v>
      </c>
      <c r="I614" s="178" t="s">
        <v>464</v>
      </c>
      <c r="J614" s="27" t="s">
        <v>450</v>
      </c>
      <c r="K614" s="27">
        <v>654</v>
      </c>
      <c r="L614" s="179">
        <v>5968</v>
      </c>
      <c r="M614" s="180" t="s">
        <v>465</v>
      </c>
      <c r="N614" s="181" t="s">
        <v>450</v>
      </c>
      <c r="O614" s="182" t="s">
        <v>466</v>
      </c>
    </row>
    <row r="615" spans="1:15" ht="12">
      <c r="A615" s="148"/>
      <c r="B615" s="174" t="s">
        <v>2440</v>
      </c>
      <c r="C615" s="175" t="s">
        <v>449</v>
      </c>
      <c r="D615" s="176" t="s">
        <v>450</v>
      </c>
      <c r="E615" s="177" t="s">
        <v>2438</v>
      </c>
      <c r="F615" s="175">
        <f t="shared" si="27"/>
        <v>12</v>
      </c>
      <c r="G615" s="175" t="str">
        <f t="shared" si="28"/>
        <v>Pittsburgh</v>
      </c>
      <c r="H615" s="175" t="str">
        <f t="shared" si="29"/>
        <v>Pittsburgh, PA</v>
      </c>
      <c r="I615" s="178" t="s">
        <v>464</v>
      </c>
      <c r="J615" s="27" t="s">
        <v>450</v>
      </c>
      <c r="K615" s="27">
        <v>654</v>
      </c>
      <c r="L615" s="179">
        <v>5968</v>
      </c>
      <c r="M615" s="180" t="s">
        <v>465</v>
      </c>
      <c r="N615" s="181" t="s">
        <v>450</v>
      </c>
      <c r="O615" s="182" t="s">
        <v>466</v>
      </c>
    </row>
    <row r="616" spans="1:15" ht="12">
      <c r="A616" s="148"/>
      <c r="B616" s="186" t="s">
        <v>2441</v>
      </c>
      <c r="C616" s="175" t="s">
        <v>2299</v>
      </c>
      <c r="D616" s="176" t="s">
        <v>2300</v>
      </c>
      <c r="E616" s="177" t="s">
        <v>2442</v>
      </c>
      <c r="F616" s="175">
        <f t="shared" si="27"/>
        <v>12</v>
      </c>
      <c r="G616" s="175" t="str">
        <f t="shared" si="28"/>
        <v>Pittsfield</v>
      </c>
      <c r="H616" s="175" t="str">
        <f t="shared" si="29"/>
        <v>Pittsfield, MA</v>
      </c>
      <c r="I616" s="178" t="s">
        <v>418</v>
      </c>
      <c r="J616" s="27" t="s">
        <v>417</v>
      </c>
      <c r="K616" s="27">
        <v>507</v>
      </c>
      <c r="L616" s="179">
        <v>6894</v>
      </c>
      <c r="M616" s="180" t="s">
        <v>419</v>
      </c>
      <c r="N616" s="181" t="s">
        <v>417</v>
      </c>
      <c r="O616" s="182" t="s">
        <v>420</v>
      </c>
    </row>
    <row r="617" spans="1:15" ht="12">
      <c r="A617" s="148"/>
      <c r="B617" s="186" t="s">
        <v>2443</v>
      </c>
      <c r="C617" s="175" t="s">
        <v>271</v>
      </c>
      <c r="D617" s="176" t="s">
        <v>272</v>
      </c>
      <c r="E617" s="177" t="s">
        <v>2442</v>
      </c>
      <c r="F617" s="175">
        <f t="shared" si="27"/>
        <v>12</v>
      </c>
      <c r="G617" s="175" t="str">
        <f t="shared" si="28"/>
        <v>Pittsfield</v>
      </c>
      <c r="H617" s="175" t="str">
        <f t="shared" si="29"/>
        <v>Pittsfield, NH</v>
      </c>
      <c r="I617" s="178" t="s">
        <v>274</v>
      </c>
      <c r="J617" s="27" t="s">
        <v>272</v>
      </c>
      <c r="K617" s="27">
        <v>328</v>
      </c>
      <c r="L617" s="179">
        <v>7554</v>
      </c>
      <c r="M617" s="180" t="s">
        <v>275</v>
      </c>
      <c r="N617" s="181" t="s">
        <v>272</v>
      </c>
      <c r="O617" s="182" t="s">
        <v>276</v>
      </c>
    </row>
    <row r="618" spans="1:15" ht="12">
      <c r="A618" s="148"/>
      <c r="B618" s="174" t="s">
        <v>2444</v>
      </c>
      <c r="C618" s="175" t="s">
        <v>51</v>
      </c>
      <c r="D618" s="176" t="s">
        <v>1702</v>
      </c>
      <c r="E618" s="177" t="s">
        <v>2445</v>
      </c>
      <c r="F618" s="175">
        <f t="shared" si="27"/>
        <v>13</v>
      </c>
      <c r="G618" s="175" t="str">
        <f t="shared" si="28"/>
        <v>Platteville</v>
      </c>
      <c r="H618" s="175" t="str">
        <f t="shared" si="29"/>
        <v>Platteville, WI</v>
      </c>
      <c r="I618" s="178" t="s">
        <v>2321</v>
      </c>
      <c r="J618" s="27" t="s">
        <v>1334</v>
      </c>
      <c r="K618" s="27">
        <v>702</v>
      </c>
      <c r="L618" s="179">
        <v>7406</v>
      </c>
      <c r="M618" s="180" t="s">
        <v>945</v>
      </c>
      <c r="N618" s="181" t="s">
        <v>1702</v>
      </c>
      <c r="O618" s="182" t="s">
        <v>946</v>
      </c>
    </row>
    <row r="619" spans="1:15" ht="12">
      <c r="A619" s="148"/>
      <c r="B619" s="174" t="s">
        <v>2446</v>
      </c>
      <c r="C619" s="175" t="s">
        <v>416</v>
      </c>
      <c r="D619" s="176" t="s">
        <v>417</v>
      </c>
      <c r="E619" s="177" t="s">
        <v>2447</v>
      </c>
      <c r="F619" s="175">
        <f t="shared" si="27"/>
        <v>13</v>
      </c>
      <c r="G619" s="175" t="str">
        <f t="shared" si="28"/>
        <v>Plattsburgh</v>
      </c>
      <c r="H619" s="175" t="str">
        <f t="shared" si="29"/>
        <v>Plattsburgh, NY</v>
      </c>
      <c r="I619" s="178" t="s">
        <v>1340</v>
      </c>
      <c r="J619" s="27" t="s">
        <v>1623</v>
      </c>
      <c r="K619" s="27">
        <v>388</v>
      </c>
      <c r="L619" s="179">
        <v>7771</v>
      </c>
      <c r="M619" s="180" t="s">
        <v>1341</v>
      </c>
      <c r="N619" s="181" t="s">
        <v>1623</v>
      </c>
      <c r="O619" s="182" t="s">
        <v>1342</v>
      </c>
    </row>
    <row r="620" spans="1:15" ht="12">
      <c r="A620" s="148"/>
      <c r="B620" s="174" t="s">
        <v>2448</v>
      </c>
      <c r="C620" s="175" t="s">
        <v>2291</v>
      </c>
      <c r="D620" s="176" t="s">
        <v>2292</v>
      </c>
      <c r="E620" s="177" t="s">
        <v>2449</v>
      </c>
      <c r="F620" s="175">
        <f t="shared" si="27"/>
        <v>11</v>
      </c>
      <c r="G620" s="175" t="str">
        <f t="shared" si="28"/>
        <v>Pocatello</v>
      </c>
      <c r="H620" s="175" t="str">
        <f t="shared" si="29"/>
        <v>Pocatello, ID</v>
      </c>
      <c r="I620" s="178" t="s">
        <v>86</v>
      </c>
      <c r="J620" s="27" t="s">
        <v>2292</v>
      </c>
      <c r="K620" s="27">
        <v>421</v>
      </c>
      <c r="L620" s="179">
        <v>7180</v>
      </c>
      <c r="M620" s="180" t="s">
        <v>87</v>
      </c>
      <c r="N620" s="181" t="s">
        <v>2292</v>
      </c>
      <c r="O620" s="182" t="s">
        <v>88</v>
      </c>
    </row>
    <row r="621" spans="1:15" ht="12">
      <c r="A621" s="148"/>
      <c r="B621" s="174" t="s">
        <v>2450</v>
      </c>
      <c r="C621" s="175" t="s">
        <v>442</v>
      </c>
      <c r="D621" s="176" t="s">
        <v>443</v>
      </c>
      <c r="E621" s="177" t="s">
        <v>2451</v>
      </c>
      <c r="F621" s="175">
        <f t="shared" si="27"/>
        <v>15</v>
      </c>
      <c r="G621" s="175" t="str">
        <f t="shared" si="28"/>
        <v>Pollock Pines</v>
      </c>
      <c r="H621" s="175" t="str">
        <f t="shared" si="29"/>
        <v>Pollock Pines, CA</v>
      </c>
      <c r="I621" s="178" t="s">
        <v>1404</v>
      </c>
      <c r="J621" s="27" t="s">
        <v>1402</v>
      </c>
      <c r="K621" s="27">
        <v>508</v>
      </c>
      <c r="L621" s="179">
        <v>5674</v>
      </c>
      <c r="M621" s="180" t="s">
        <v>1405</v>
      </c>
      <c r="N621" s="181" t="s">
        <v>1402</v>
      </c>
      <c r="O621" s="182" t="s">
        <v>1406</v>
      </c>
    </row>
    <row r="622" spans="1:15" ht="12">
      <c r="A622" s="148"/>
      <c r="B622" s="174" t="s">
        <v>2452</v>
      </c>
      <c r="C622" s="175" t="s">
        <v>509</v>
      </c>
      <c r="D622" s="176" t="s">
        <v>510</v>
      </c>
      <c r="E622" s="177" t="s">
        <v>2453</v>
      </c>
      <c r="F622" s="175">
        <f t="shared" si="27"/>
        <v>12</v>
      </c>
      <c r="G622" s="175" t="str">
        <f t="shared" si="28"/>
        <v>Ponca City</v>
      </c>
      <c r="H622" s="175" t="str">
        <f t="shared" si="29"/>
        <v>Ponca City, OK</v>
      </c>
      <c r="I622" s="178" t="s">
        <v>2454</v>
      </c>
      <c r="J622" s="27" t="s">
        <v>510</v>
      </c>
      <c r="K622" s="27">
        <v>2017</v>
      </c>
      <c r="L622" s="179">
        <v>3691</v>
      </c>
      <c r="M622" s="180" t="s">
        <v>2455</v>
      </c>
      <c r="N622" s="181" t="s">
        <v>510</v>
      </c>
      <c r="O622" s="182" t="s">
        <v>2456</v>
      </c>
    </row>
    <row r="623" spans="1:15" ht="12">
      <c r="A623" s="148"/>
      <c r="B623" s="174" t="s">
        <v>2457</v>
      </c>
      <c r="C623" s="175" t="s">
        <v>1377</v>
      </c>
      <c r="D623" s="176" t="s">
        <v>1378</v>
      </c>
      <c r="E623" s="177" t="s">
        <v>2458</v>
      </c>
      <c r="F623" s="175">
        <f t="shared" si="27"/>
        <v>14</v>
      </c>
      <c r="G623" s="175" t="str">
        <f t="shared" si="28"/>
        <v>Poplar Bluff</v>
      </c>
      <c r="H623" s="175" t="str">
        <f t="shared" si="29"/>
        <v>Poplar Bluff, MO</v>
      </c>
      <c r="I623" s="178" t="s">
        <v>1925</v>
      </c>
      <c r="J623" s="27" t="s">
        <v>1378</v>
      </c>
      <c r="K623" s="27">
        <v>1320</v>
      </c>
      <c r="L623" s="179">
        <v>4638</v>
      </c>
      <c r="M623" s="180" t="s">
        <v>1651</v>
      </c>
      <c r="N623" s="181" t="s">
        <v>1378</v>
      </c>
      <c r="O623" s="182" t="s">
        <v>1926</v>
      </c>
    </row>
    <row r="624" spans="1:15" ht="12">
      <c r="A624" s="148"/>
      <c r="B624" s="174" t="s">
        <v>2459</v>
      </c>
      <c r="C624" s="175" t="s">
        <v>51</v>
      </c>
      <c r="D624" s="176" t="s">
        <v>1702</v>
      </c>
      <c r="E624" s="177" t="s">
        <v>2460</v>
      </c>
      <c r="F624" s="175">
        <f t="shared" si="27"/>
        <v>9</v>
      </c>
      <c r="G624" s="175" t="str">
        <f t="shared" si="28"/>
        <v>Portage</v>
      </c>
      <c r="H624" s="175" t="str">
        <f t="shared" si="29"/>
        <v>Portage, WI</v>
      </c>
      <c r="I624" s="178" t="s">
        <v>944</v>
      </c>
      <c r="J624" s="27" t="s">
        <v>1702</v>
      </c>
      <c r="K624" s="27">
        <v>485</v>
      </c>
      <c r="L624" s="179">
        <v>7673</v>
      </c>
      <c r="M624" s="180" t="s">
        <v>945</v>
      </c>
      <c r="N624" s="181" t="s">
        <v>1702</v>
      </c>
      <c r="O624" s="182" t="s">
        <v>946</v>
      </c>
    </row>
    <row r="625" spans="1:15" ht="12">
      <c r="A625" s="148"/>
      <c r="B625" s="186" t="s">
        <v>2461</v>
      </c>
      <c r="C625" s="175" t="s">
        <v>1555</v>
      </c>
      <c r="D625" s="176" t="s">
        <v>1556</v>
      </c>
      <c r="E625" s="177" t="s">
        <v>2462</v>
      </c>
      <c r="F625" s="175">
        <f t="shared" si="27"/>
        <v>10</v>
      </c>
      <c r="G625" s="175" t="str">
        <f t="shared" si="28"/>
        <v>Portland</v>
      </c>
      <c r="H625" s="175" t="str">
        <f t="shared" si="29"/>
        <v>Portland, ME</v>
      </c>
      <c r="I625" s="178" t="s">
        <v>1558</v>
      </c>
      <c r="J625" s="27" t="s">
        <v>1556</v>
      </c>
      <c r="K625" s="27">
        <v>268</v>
      </c>
      <c r="L625" s="179">
        <v>7378</v>
      </c>
      <c r="M625" s="180" t="s">
        <v>1559</v>
      </c>
      <c r="N625" s="181" t="s">
        <v>1556</v>
      </c>
      <c r="O625" s="182" t="s">
        <v>1560</v>
      </c>
    </row>
    <row r="626" spans="1:15" ht="12">
      <c r="A626" s="148"/>
      <c r="B626" s="186" t="s">
        <v>2463</v>
      </c>
      <c r="C626" s="175" t="s">
        <v>1555</v>
      </c>
      <c r="D626" s="176" t="s">
        <v>1556</v>
      </c>
      <c r="E626" s="177" t="s">
        <v>2462</v>
      </c>
      <c r="F626" s="175">
        <f t="shared" si="27"/>
        <v>10</v>
      </c>
      <c r="G626" s="175" t="str">
        <f t="shared" si="28"/>
        <v>Portland</v>
      </c>
      <c r="H626" s="175" t="str">
        <f t="shared" si="29"/>
        <v>Portland, ME</v>
      </c>
      <c r="I626" s="178" t="s">
        <v>1558</v>
      </c>
      <c r="J626" s="27" t="s">
        <v>1556</v>
      </c>
      <c r="K626" s="27">
        <v>268</v>
      </c>
      <c r="L626" s="179">
        <v>7378</v>
      </c>
      <c r="M626" s="180" t="s">
        <v>1559</v>
      </c>
      <c r="N626" s="181" t="s">
        <v>1556</v>
      </c>
      <c r="O626" s="182" t="s">
        <v>1560</v>
      </c>
    </row>
    <row r="627" spans="1:15" ht="12">
      <c r="A627" s="148"/>
      <c r="B627" s="174" t="s">
        <v>2464</v>
      </c>
      <c r="C627" s="175" t="s">
        <v>1633</v>
      </c>
      <c r="D627" s="176" t="s">
        <v>1634</v>
      </c>
      <c r="E627" s="177" t="s">
        <v>2462</v>
      </c>
      <c r="F627" s="175">
        <f t="shared" si="27"/>
        <v>10</v>
      </c>
      <c r="G627" s="175" t="str">
        <f t="shared" si="28"/>
        <v>Portland</v>
      </c>
      <c r="H627" s="175" t="str">
        <f t="shared" si="29"/>
        <v>Portland, OR</v>
      </c>
      <c r="I627" s="178" t="s">
        <v>2465</v>
      </c>
      <c r="J627" s="27" t="s">
        <v>1634</v>
      </c>
      <c r="K627" s="27">
        <v>371</v>
      </c>
      <c r="L627" s="179">
        <v>4522</v>
      </c>
      <c r="M627" s="180" t="s">
        <v>1559</v>
      </c>
      <c r="N627" s="181" t="s">
        <v>1634</v>
      </c>
      <c r="O627" s="182" t="s">
        <v>2466</v>
      </c>
    </row>
    <row r="628" spans="1:15" ht="12">
      <c r="A628" s="148"/>
      <c r="B628" s="174" t="s">
        <v>2467</v>
      </c>
      <c r="C628" s="175" t="s">
        <v>1633</v>
      </c>
      <c r="D628" s="176" t="s">
        <v>1634</v>
      </c>
      <c r="E628" s="177" t="s">
        <v>2462</v>
      </c>
      <c r="F628" s="175">
        <f t="shared" si="27"/>
        <v>10</v>
      </c>
      <c r="G628" s="175" t="str">
        <f t="shared" si="28"/>
        <v>Portland</v>
      </c>
      <c r="H628" s="175" t="str">
        <f t="shared" si="29"/>
        <v>Portland, OR</v>
      </c>
      <c r="I628" s="178" t="s">
        <v>2465</v>
      </c>
      <c r="J628" s="27" t="s">
        <v>1634</v>
      </c>
      <c r="K628" s="27">
        <v>371</v>
      </c>
      <c r="L628" s="179">
        <v>4522</v>
      </c>
      <c r="M628" s="180" t="s">
        <v>1559</v>
      </c>
      <c r="N628" s="181" t="s">
        <v>1634</v>
      </c>
      <c r="O628" s="182" t="s">
        <v>2466</v>
      </c>
    </row>
    <row r="629" spans="1:15" ht="12">
      <c r="A629" s="148"/>
      <c r="B629" s="186" t="s">
        <v>2468</v>
      </c>
      <c r="C629" s="175" t="s">
        <v>271</v>
      </c>
      <c r="D629" s="176" t="s">
        <v>272</v>
      </c>
      <c r="E629" s="177" t="s">
        <v>2469</v>
      </c>
      <c r="F629" s="175">
        <f t="shared" si="27"/>
        <v>12</v>
      </c>
      <c r="G629" s="175" t="str">
        <f t="shared" si="28"/>
        <v>Portsmouth</v>
      </c>
      <c r="H629" s="175" t="str">
        <f t="shared" si="29"/>
        <v>Portsmouth, NH</v>
      </c>
      <c r="I629" s="178" t="s">
        <v>1558</v>
      </c>
      <c r="J629" s="27" t="s">
        <v>1556</v>
      </c>
      <c r="K629" s="27">
        <v>268</v>
      </c>
      <c r="L629" s="179">
        <v>7378</v>
      </c>
      <c r="M629" s="180" t="s">
        <v>1559</v>
      </c>
      <c r="N629" s="181" t="s">
        <v>1556</v>
      </c>
      <c r="O629" s="182" t="s">
        <v>1560</v>
      </c>
    </row>
    <row r="630" spans="1:15" ht="12">
      <c r="A630" s="148"/>
      <c r="B630" s="174" t="s">
        <v>2470</v>
      </c>
      <c r="C630" s="175" t="s">
        <v>434</v>
      </c>
      <c r="D630" s="176" t="s">
        <v>435</v>
      </c>
      <c r="E630" s="177" t="s">
        <v>2469</v>
      </c>
      <c r="F630" s="175">
        <f t="shared" si="27"/>
        <v>12</v>
      </c>
      <c r="G630" s="175" t="str">
        <f t="shared" si="28"/>
        <v>Portsmouth</v>
      </c>
      <c r="H630" s="175" t="str">
        <f t="shared" si="29"/>
        <v>Portsmouth, VA</v>
      </c>
      <c r="I630" s="178" t="s">
        <v>65</v>
      </c>
      <c r="J630" s="27" t="s">
        <v>435</v>
      </c>
      <c r="K630" s="27">
        <v>1422</v>
      </c>
      <c r="L630" s="179">
        <v>3495</v>
      </c>
      <c r="M630" s="180" t="s">
        <v>66</v>
      </c>
      <c r="N630" s="181" t="s">
        <v>435</v>
      </c>
      <c r="O630" s="182" t="s">
        <v>67</v>
      </c>
    </row>
    <row r="631" spans="1:15" ht="12">
      <c r="A631" s="148"/>
      <c r="B631" s="174" t="s">
        <v>2471</v>
      </c>
      <c r="C631" s="175" t="s">
        <v>509</v>
      </c>
      <c r="D631" s="176" t="s">
        <v>510</v>
      </c>
      <c r="E631" s="177" t="s">
        <v>2472</v>
      </c>
      <c r="F631" s="175">
        <f t="shared" si="27"/>
        <v>8</v>
      </c>
      <c r="G631" s="175" t="str">
        <f t="shared" si="28"/>
        <v>Poteau</v>
      </c>
      <c r="H631" s="175" t="str">
        <f t="shared" si="29"/>
        <v>Poteau, OK</v>
      </c>
      <c r="I631" s="178" t="s">
        <v>1966</v>
      </c>
      <c r="J631" s="27" t="s">
        <v>1590</v>
      </c>
      <c r="K631" s="27">
        <v>1894</v>
      </c>
      <c r="L631" s="179">
        <v>3478</v>
      </c>
      <c r="M631" s="178" t="s">
        <v>1967</v>
      </c>
      <c r="N631" s="27" t="s">
        <v>1590</v>
      </c>
      <c r="O631" s="182" t="s">
        <v>1968</v>
      </c>
    </row>
    <row r="632" spans="1:15" ht="12">
      <c r="A632" s="148"/>
      <c r="B632" s="174" t="s">
        <v>2473</v>
      </c>
      <c r="C632" s="175" t="s">
        <v>449</v>
      </c>
      <c r="D632" s="176" t="s">
        <v>450</v>
      </c>
      <c r="E632" s="177" t="s">
        <v>2474</v>
      </c>
      <c r="F632" s="175">
        <f t="shared" si="27"/>
        <v>12</v>
      </c>
      <c r="G632" s="175" t="str">
        <f t="shared" si="28"/>
        <v>Pottsville</v>
      </c>
      <c r="H632" s="175" t="str">
        <f t="shared" si="29"/>
        <v>Pottsville, PA</v>
      </c>
      <c r="I632" s="178" t="s">
        <v>452</v>
      </c>
      <c r="J632" s="27" t="s">
        <v>450</v>
      </c>
      <c r="K632" s="27">
        <v>773</v>
      </c>
      <c r="L632" s="179">
        <v>5785</v>
      </c>
      <c r="M632" s="178" t="s">
        <v>453</v>
      </c>
      <c r="N632" s="27" t="s">
        <v>450</v>
      </c>
      <c r="O632" s="182" t="s">
        <v>454</v>
      </c>
    </row>
    <row r="633" spans="1:15" ht="12">
      <c r="A633" s="148"/>
      <c r="B633" s="174" t="s">
        <v>2475</v>
      </c>
      <c r="C633" s="175" t="s">
        <v>416</v>
      </c>
      <c r="D633" s="176" t="s">
        <v>417</v>
      </c>
      <c r="E633" s="177" t="s">
        <v>2476</v>
      </c>
      <c r="F633" s="175">
        <f t="shared" si="27"/>
        <v>14</v>
      </c>
      <c r="G633" s="175" t="str">
        <f t="shared" si="28"/>
        <v>Poughkeepsie</v>
      </c>
      <c r="H633" s="175" t="str">
        <f t="shared" si="29"/>
        <v>Poughkeepsie, NY</v>
      </c>
      <c r="I633" s="178" t="s">
        <v>756</v>
      </c>
      <c r="J633" s="27" t="s">
        <v>690</v>
      </c>
      <c r="K633" s="27">
        <v>677</v>
      </c>
      <c r="L633" s="179">
        <v>6151</v>
      </c>
      <c r="M633" s="178" t="s">
        <v>753</v>
      </c>
      <c r="N633" s="27" t="s">
        <v>690</v>
      </c>
      <c r="O633" s="182" t="s">
        <v>754</v>
      </c>
    </row>
    <row r="634" spans="1:15" ht="12">
      <c r="A634" s="148"/>
      <c r="B634" s="174" t="s">
        <v>2477</v>
      </c>
      <c r="C634" s="175" t="s">
        <v>416</v>
      </c>
      <c r="D634" s="176" t="s">
        <v>417</v>
      </c>
      <c r="E634" s="177" t="s">
        <v>2476</v>
      </c>
      <c r="F634" s="175">
        <f t="shared" si="27"/>
        <v>14</v>
      </c>
      <c r="G634" s="175" t="str">
        <f t="shared" si="28"/>
        <v>Poughkeepsie</v>
      </c>
      <c r="H634" s="175" t="str">
        <f t="shared" si="29"/>
        <v>Poughkeepsie, NY</v>
      </c>
      <c r="I634" s="178" t="s">
        <v>692</v>
      </c>
      <c r="J634" s="27" t="s">
        <v>690</v>
      </c>
      <c r="K634" s="27">
        <v>724</v>
      </c>
      <c r="L634" s="179">
        <v>5537</v>
      </c>
      <c r="M634" s="178" t="s">
        <v>693</v>
      </c>
      <c r="N634" s="27" t="s">
        <v>690</v>
      </c>
      <c r="O634" s="182" t="s">
        <v>694</v>
      </c>
    </row>
    <row r="635" spans="1:15" ht="12">
      <c r="A635" s="148"/>
      <c r="B635" s="174" t="s">
        <v>2478</v>
      </c>
      <c r="C635" s="175" t="s">
        <v>1311</v>
      </c>
      <c r="D635" s="176" t="s">
        <v>1312</v>
      </c>
      <c r="E635" s="177" t="s">
        <v>2479</v>
      </c>
      <c r="F635" s="175">
        <f t="shared" si="27"/>
        <v>10</v>
      </c>
      <c r="G635" s="175" t="str">
        <f t="shared" si="28"/>
        <v>Prescott</v>
      </c>
      <c r="H635" s="175" t="str">
        <f t="shared" si="29"/>
        <v>Prescott, AZ</v>
      </c>
      <c r="I635" s="178" t="s">
        <v>1930</v>
      </c>
      <c r="J635" s="27" t="s">
        <v>1312</v>
      </c>
      <c r="K635" s="27">
        <v>145</v>
      </c>
      <c r="L635" s="179">
        <v>7131</v>
      </c>
      <c r="M635" s="178" t="s">
        <v>1931</v>
      </c>
      <c r="N635" s="27" t="s">
        <v>1312</v>
      </c>
      <c r="O635" s="182" t="s">
        <v>1932</v>
      </c>
    </row>
    <row r="636" spans="1:15" ht="12">
      <c r="A636" s="148"/>
      <c r="B636" s="186" t="s">
        <v>2480</v>
      </c>
      <c r="C636" s="175" t="s">
        <v>2481</v>
      </c>
      <c r="D636" s="176" t="s">
        <v>2270</v>
      </c>
      <c r="E636" s="177" t="s">
        <v>2482</v>
      </c>
      <c r="F636" s="175">
        <f t="shared" si="27"/>
        <v>12</v>
      </c>
      <c r="G636" s="175" t="str">
        <f t="shared" si="28"/>
        <v>Providence</v>
      </c>
      <c r="H636" s="175" t="str">
        <f t="shared" si="29"/>
        <v>Providence, RI</v>
      </c>
      <c r="I636" s="178" t="s">
        <v>649</v>
      </c>
      <c r="J636" s="27" t="s">
        <v>2300</v>
      </c>
      <c r="K636" s="27">
        <v>333</v>
      </c>
      <c r="L636" s="179">
        <v>6979</v>
      </c>
      <c r="M636" s="180" t="s">
        <v>2271</v>
      </c>
      <c r="N636" s="181" t="s">
        <v>2270</v>
      </c>
      <c r="O636" s="182" t="s">
        <v>2272</v>
      </c>
    </row>
    <row r="637" spans="1:15" ht="12">
      <c r="A637" s="148"/>
      <c r="B637" s="186" t="s">
        <v>2483</v>
      </c>
      <c r="C637" s="175" t="s">
        <v>2481</v>
      </c>
      <c r="D637" s="176" t="s">
        <v>2270</v>
      </c>
      <c r="E637" s="177" t="s">
        <v>2482</v>
      </c>
      <c r="F637" s="175">
        <f t="shared" si="27"/>
        <v>12</v>
      </c>
      <c r="G637" s="175" t="str">
        <f t="shared" si="28"/>
        <v>Providence</v>
      </c>
      <c r="H637" s="175" t="str">
        <f t="shared" si="29"/>
        <v>Providence, RI</v>
      </c>
      <c r="I637" s="178" t="s">
        <v>2269</v>
      </c>
      <c r="J637" s="27" t="s">
        <v>2270</v>
      </c>
      <c r="K637" s="27">
        <v>606</v>
      </c>
      <c r="L637" s="179">
        <v>5884</v>
      </c>
      <c r="M637" s="180" t="s">
        <v>2271</v>
      </c>
      <c r="N637" s="181" t="s">
        <v>2270</v>
      </c>
      <c r="O637" s="182" t="s">
        <v>2272</v>
      </c>
    </row>
    <row r="638" spans="1:15" ht="12">
      <c r="A638" s="148"/>
      <c r="B638" s="174" t="s">
        <v>2484</v>
      </c>
      <c r="C638" s="175" t="s">
        <v>1198</v>
      </c>
      <c r="D638" s="176" t="s">
        <v>1199</v>
      </c>
      <c r="E638" s="177" t="s">
        <v>2485</v>
      </c>
      <c r="F638" s="175">
        <f t="shared" si="27"/>
        <v>7</v>
      </c>
      <c r="G638" s="175" t="str">
        <f t="shared" si="28"/>
        <v>Provo</v>
      </c>
      <c r="H638" s="175" t="str">
        <f t="shared" si="29"/>
        <v>Provo, UT</v>
      </c>
      <c r="I638" s="178" t="s">
        <v>1201</v>
      </c>
      <c r="J638" s="27" t="s">
        <v>1199</v>
      </c>
      <c r="K638" s="27">
        <v>1047</v>
      </c>
      <c r="L638" s="179">
        <v>5765</v>
      </c>
      <c r="M638" s="180" t="s">
        <v>1202</v>
      </c>
      <c r="N638" s="181" t="s">
        <v>1199</v>
      </c>
      <c r="O638" s="182" t="s">
        <v>1203</v>
      </c>
    </row>
    <row r="639" spans="1:15" ht="12">
      <c r="A639" s="148"/>
      <c r="B639" s="174" t="s">
        <v>2486</v>
      </c>
      <c r="C639" s="175" t="s">
        <v>402</v>
      </c>
      <c r="D639" s="176" t="s">
        <v>403</v>
      </c>
      <c r="E639" s="177" t="s">
        <v>2487</v>
      </c>
      <c r="F639" s="175">
        <f t="shared" si="27"/>
        <v>8</v>
      </c>
      <c r="G639" s="175" t="str">
        <f t="shared" si="28"/>
        <v>Pueblo</v>
      </c>
      <c r="H639" s="175" t="str">
        <f t="shared" si="29"/>
        <v>Pueblo, CO</v>
      </c>
      <c r="I639" s="178" t="s">
        <v>2100</v>
      </c>
      <c r="J639" s="27" t="s">
        <v>403</v>
      </c>
      <c r="K639" s="27">
        <v>973</v>
      </c>
      <c r="L639" s="179">
        <v>5413</v>
      </c>
      <c r="M639" s="180" t="s">
        <v>2101</v>
      </c>
      <c r="N639" s="181" t="s">
        <v>403</v>
      </c>
      <c r="O639" s="182" t="s">
        <v>2102</v>
      </c>
    </row>
    <row r="640" spans="1:15" ht="12">
      <c r="A640" s="148"/>
      <c r="B640" s="174" t="s">
        <v>2488</v>
      </c>
      <c r="C640" s="175" t="s">
        <v>434</v>
      </c>
      <c r="D640" s="176" t="s">
        <v>435</v>
      </c>
      <c r="E640" s="177" t="s">
        <v>2489</v>
      </c>
      <c r="F640" s="175">
        <f t="shared" si="27"/>
        <v>9</v>
      </c>
      <c r="G640" s="175" t="str">
        <f t="shared" si="28"/>
        <v>Pulaski</v>
      </c>
      <c r="H640" s="175" t="str">
        <f t="shared" si="29"/>
        <v>Pulaski, VA</v>
      </c>
      <c r="I640" s="178" t="s">
        <v>2287</v>
      </c>
      <c r="J640" s="27" t="s">
        <v>435</v>
      </c>
      <c r="K640" s="27">
        <v>1052</v>
      </c>
      <c r="L640" s="179">
        <v>4360</v>
      </c>
      <c r="M640" s="180" t="s">
        <v>2288</v>
      </c>
      <c r="N640" s="181" t="s">
        <v>435</v>
      </c>
      <c r="O640" s="182" t="s">
        <v>2289</v>
      </c>
    </row>
    <row r="641" spans="1:15" ht="12">
      <c r="A641" s="148"/>
      <c r="B641" s="174" t="s">
        <v>2490</v>
      </c>
      <c r="C641" s="175" t="s">
        <v>416</v>
      </c>
      <c r="D641" s="176" t="s">
        <v>417</v>
      </c>
      <c r="E641" s="177" t="s">
        <v>2491</v>
      </c>
      <c r="F641" s="175">
        <f t="shared" si="27"/>
        <v>8</v>
      </c>
      <c r="G641" s="175" t="str">
        <f t="shared" si="28"/>
        <v>Queens</v>
      </c>
      <c r="H641" s="175" t="str">
        <f t="shared" si="29"/>
        <v>Queens, NY</v>
      </c>
      <c r="I641" s="178" t="s">
        <v>2276</v>
      </c>
      <c r="J641" s="27" t="s">
        <v>417</v>
      </c>
      <c r="K641" s="27">
        <v>1052</v>
      </c>
      <c r="L641" s="179">
        <v>4910</v>
      </c>
      <c r="M641" s="180" t="s">
        <v>2277</v>
      </c>
      <c r="N641" s="181" t="s">
        <v>417</v>
      </c>
      <c r="O641" s="182" t="s">
        <v>1298</v>
      </c>
    </row>
    <row r="642" spans="1:15" ht="12">
      <c r="A642" s="148"/>
      <c r="B642" s="174" t="s">
        <v>2492</v>
      </c>
      <c r="C642" s="175" t="s">
        <v>1647</v>
      </c>
      <c r="D642" s="176" t="s">
        <v>1648</v>
      </c>
      <c r="E642" s="177" t="s">
        <v>2493</v>
      </c>
      <c r="F642" s="175">
        <f t="shared" si="27"/>
        <v>8</v>
      </c>
      <c r="G642" s="175" t="str">
        <f t="shared" si="28"/>
        <v>Quincy</v>
      </c>
      <c r="H642" s="175" t="str">
        <f t="shared" si="29"/>
        <v>Quincy, IL</v>
      </c>
      <c r="I642" s="178" t="s">
        <v>1650</v>
      </c>
      <c r="J642" s="27" t="s">
        <v>1648</v>
      </c>
      <c r="K642" s="27">
        <v>1141</v>
      </c>
      <c r="L642" s="179">
        <v>5688</v>
      </c>
      <c r="M642" s="178" t="s">
        <v>1651</v>
      </c>
      <c r="N642" s="27" t="s">
        <v>1648</v>
      </c>
      <c r="O642" s="182" t="s">
        <v>2278</v>
      </c>
    </row>
    <row r="643" spans="1:15" ht="12">
      <c r="A643" s="148"/>
      <c r="B643" s="174" t="s">
        <v>2494</v>
      </c>
      <c r="C643" s="175" t="s">
        <v>51</v>
      </c>
      <c r="D643" s="176" t="s">
        <v>1702</v>
      </c>
      <c r="E643" s="177" t="s">
        <v>2495</v>
      </c>
      <c r="F643" s="175">
        <f t="shared" si="27"/>
        <v>8</v>
      </c>
      <c r="G643" s="175" t="str">
        <f t="shared" si="28"/>
        <v>Racine</v>
      </c>
      <c r="H643" s="175" t="str">
        <f t="shared" si="29"/>
        <v>Racine, WI</v>
      </c>
      <c r="I643" s="178" t="s">
        <v>177</v>
      </c>
      <c r="J643" s="27" t="s">
        <v>1702</v>
      </c>
      <c r="K643" s="27">
        <v>479</v>
      </c>
      <c r="L643" s="179">
        <v>7324</v>
      </c>
      <c r="M643" s="180" t="s">
        <v>173</v>
      </c>
      <c r="N643" s="181" t="s">
        <v>1702</v>
      </c>
      <c r="O643" s="182" t="s">
        <v>174</v>
      </c>
    </row>
    <row r="644" spans="1:15" ht="12">
      <c r="A644" s="148"/>
      <c r="B644" s="174" t="s">
        <v>2496</v>
      </c>
      <c r="C644" s="175" t="s">
        <v>481</v>
      </c>
      <c r="D644" s="176" t="s">
        <v>482</v>
      </c>
      <c r="E644" s="177" t="s">
        <v>2497</v>
      </c>
      <c r="F644" s="175">
        <f t="shared" si="27"/>
        <v>9</v>
      </c>
      <c r="G644" s="175" t="str">
        <f t="shared" si="28"/>
        <v>Raleigh</v>
      </c>
      <c r="H644" s="175" t="str">
        <f t="shared" si="29"/>
        <v>Raleigh, NC</v>
      </c>
      <c r="I644" s="178" t="s">
        <v>2314</v>
      </c>
      <c r="J644" s="27" t="s">
        <v>482</v>
      </c>
      <c r="K644" s="27">
        <v>1417</v>
      </c>
      <c r="L644" s="179">
        <v>3457</v>
      </c>
      <c r="M644" s="180" t="s">
        <v>530</v>
      </c>
      <c r="N644" s="181" t="s">
        <v>482</v>
      </c>
      <c r="O644" s="182" t="s">
        <v>531</v>
      </c>
    </row>
    <row r="645" spans="1:15" ht="12">
      <c r="A645" s="148"/>
      <c r="B645" s="174" t="s">
        <v>2498</v>
      </c>
      <c r="C645" s="175" t="s">
        <v>481</v>
      </c>
      <c r="D645" s="176" t="s">
        <v>482</v>
      </c>
      <c r="E645" s="177" t="s">
        <v>2497</v>
      </c>
      <c r="F645" s="175">
        <f t="shared" si="27"/>
        <v>9</v>
      </c>
      <c r="G645" s="175" t="str">
        <f t="shared" si="28"/>
        <v>Raleigh</v>
      </c>
      <c r="H645" s="175" t="str">
        <f t="shared" si="29"/>
        <v>Raleigh, NC</v>
      </c>
      <c r="I645" s="178" t="s">
        <v>2314</v>
      </c>
      <c r="J645" s="27" t="s">
        <v>482</v>
      </c>
      <c r="K645" s="27">
        <v>1417</v>
      </c>
      <c r="L645" s="179">
        <v>3457</v>
      </c>
      <c r="M645" s="180" t="s">
        <v>530</v>
      </c>
      <c r="N645" s="181" t="s">
        <v>482</v>
      </c>
      <c r="O645" s="182" t="s">
        <v>531</v>
      </c>
    </row>
    <row r="646" spans="1:15" ht="12">
      <c r="A646" s="148"/>
      <c r="B646" s="174" t="s">
        <v>2499</v>
      </c>
      <c r="C646" s="175" t="s">
        <v>255</v>
      </c>
      <c r="D646" s="176" t="s">
        <v>256</v>
      </c>
      <c r="E646" s="177" t="s">
        <v>2500</v>
      </c>
      <c r="F646" s="175">
        <f t="shared" ref="F646:F709" si="30">LEN(E646)</f>
        <v>12</v>
      </c>
      <c r="G646" s="175" t="str">
        <f t="shared" ref="G646:G709" si="31">MID(E646,2,F646-2)</f>
        <v>Rapid City</v>
      </c>
      <c r="H646" s="175" t="str">
        <f t="shared" ref="H646:H709" si="32">CONCATENATE(G646,", ",+D646)</f>
        <v>Rapid City, SD</v>
      </c>
      <c r="I646" s="178" t="s">
        <v>459</v>
      </c>
      <c r="J646" s="27" t="s">
        <v>256</v>
      </c>
      <c r="K646" s="27">
        <v>611</v>
      </c>
      <c r="L646" s="179">
        <v>7301</v>
      </c>
      <c r="M646" s="180" t="s">
        <v>460</v>
      </c>
      <c r="N646" s="181" t="s">
        <v>256</v>
      </c>
      <c r="O646" s="182" t="s">
        <v>461</v>
      </c>
    </row>
    <row r="647" spans="1:15" ht="12">
      <c r="A647" s="148"/>
      <c r="B647" s="174" t="s">
        <v>2501</v>
      </c>
      <c r="C647" s="175" t="s">
        <v>1413</v>
      </c>
      <c r="D647" s="176" t="s">
        <v>1414</v>
      </c>
      <c r="E647" s="177" t="s">
        <v>2502</v>
      </c>
      <c r="F647" s="175">
        <f t="shared" si="30"/>
        <v>9</v>
      </c>
      <c r="G647" s="175" t="str">
        <f t="shared" si="31"/>
        <v>Rawlins</v>
      </c>
      <c r="H647" s="175" t="str">
        <f t="shared" si="32"/>
        <v>Rawlins, WY</v>
      </c>
      <c r="I647" s="178" t="s">
        <v>2365</v>
      </c>
      <c r="J647" s="27" t="s">
        <v>1414</v>
      </c>
      <c r="K647" s="27">
        <v>285</v>
      </c>
      <c r="L647" s="179">
        <v>7326</v>
      </c>
      <c r="M647" s="180" t="s">
        <v>2366</v>
      </c>
      <c r="N647" s="181" t="s">
        <v>1414</v>
      </c>
      <c r="O647" s="182" t="s">
        <v>2367</v>
      </c>
    </row>
    <row r="648" spans="1:15" ht="12">
      <c r="A648" s="148"/>
      <c r="B648" s="174" t="s">
        <v>2503</v>
      </c>
      <c r="C648" s="175" t="s">
        <v>449</v>
      </c>
      <c r="D648" s="176" t="s">
        <v>450</v>
      </c>
      <c r="E648" s="177" t="s">
        <v>2504</v>
      </c>
      <c r="F648" s="175">
        <f t="shared" si="30"/>
        <v>9</v>
      </c>
      <c r="G648" s="175" t="str">
        <f t="shared" si="31"/>
        <v>Reading</v>
      </c>
      <c r="H648" s="175" t="str">
        <f t="shared" si="32"/>
        <v>Reading, PA</v>
      </c>
      <c r="I648" s="178" t="s">
        <v>452</v>
      </c>
      <c r="J648" s="27" t="s">
        <v>450</v>
      </c>
      <c r="K648" s="27">
        <v>773</v>
      </c>
      <c r="L648" s="179">
        <v>5785</v>
      </c>
      <c r="M648" s="178" t="s">
        <v>453</v>
      </c>
      <c r="N648" s="27" t="s">
        <v>450</v>
      </c>
      <c r="O648" s="182" t="s">
        <v>454</v>
      </c>
    </row>
    <row r="649" spans="1:15" ht="12">
      <c r="A649" s="148"/>
      <c r="B649" s="174" t="s">
        <v>2505</v>
      </c>
      <c r="C649" s="175" t="s">
        <v>449</v>
      </c>
      <c r="D649" s="176" t="s">
        <v>450</v>
      </c>
      <c r="E649" s="177" t="s">
        <v>2504</v>
      </c>
      <c r="F649" s="175">
        <f t="shared" si="30"/>
        <v>9</v>
      </c>
      <c r="G649" s="175" t="str">
        <f t="shared" si="31"/>
        <v>Reading</v>
      </c>
      <c r="H649" s="175" t="str">
        <f t="shared" si="32"/>
        <v>Reading, PA</v>
      </c>
      <c r="I649" s="178" t="s">
        <v>452</v>
      </c>
      <c r="J649" s="27" t="s">
        <v>450</v>
      </c>
      <c r="K649" s="27">
        <v>773</v>
      </c>
      <c r="L649" s="179">
        <v>5785</v>
      </c>
      <c r="M649" s="178" t="s">
        <v>453</v>
      </c>
      <c r="N649" s="27" t="s">
        <v>450</v>
      </c>
      <c r="O649" s="182" t="s">
        <v>454</v>
      </c>
    </row>
    <row r="650" spans="1:15" ht="12">
      <c r="A650" s="148"/>
      <c r="B650" s="186" t="s">
        <v>2506</v>
      </c>
      <c r="C650" s="175" t="s">
        <v>1548</v>
      </c>
      <c r="D650" s="176" t="s">
        <v>1549</v>
      </c>
      <c r="E650" s="177" t="s">
        <v>2507</v>
      </c>
      <c r="F650" s="175">
        <f t="shared" si="30"/>
        <v>10</v>
      </c>
      <c r="G650" s="175" t="str">
        <f t="shared" si="31"/>
        <v>Red Bank</v>
      </c>
      <c r="H650" s="175" t="str">
        <f t="shared" si="32"/>
        <v>Red Bank, NJ</v>
      </c>
      <c r="I650" s="178" t="s">
        <v>70</v>
      </c>
      <c r="J650" s="27" t="s">
        <v>1549</v>
      </c>
      <c r="K650" s="27">
        <v>1201</v>
      </c>
      <c r="L650" s="179">
        <v>4888</v>
      </c>
      <c r="M650" s="180" t="s">
        <v>71</v>
      </c>
      <c r="N650" s="181" t="s">
        <v>1549</v>
      </c>
      <c r="O650" s="182" t="s">
        <v>72</v>
      </c>
    </row>
    <row r="651" spans="1:15" ht="12">
      <c r="A651" s="148"/>
      <c r="B651" s="174" t="s">
        <v>2508</v>
      </c>
      <c r="C651" s="175" t="s">
        <v>442</v>
      </c>
      <c r="D651" s="176" t="s">
        <v>443</v>
      </c>
      <c r="E651" s="177" t="s">
        <v>2509</v>
      </c>
      <c r="F651" s="175">
        <f t="shared" si="30"/>
        <v>9</v>
      </c>
      <c r="G651" s="175" t="str">
        <f t="shared" si="31"/>
        <v>Redding</v>
      </c>
      <c r="H651" s="175" t="str">
        <f t="shared" si="32"/>
        <v>Redding, CA</v>
      </c>
      <c r="I651" s="178" t="s">
        <v>2510</v>
      </c>
      <c r="J651" s="27" t="s">
        <v>443</v>
      </c>
      <c r="K651" s="27">
        <v>1797</v>
      </c>
      <c r="L651" s="179">
        <v>2855</v>
      </c>
      <c r="M651" s="178" t="s">
        <v>641</v>
      </c>
      <c r="N651" s="27" t="s">
        <v>443</v>
      </c>
      <c r="O651" s="182" t="s">
        <v>642</v>
      </c>
    </row>
    <row r="652" spans="1:15" ht="12">
      <c r="A652" s="148"/>
      <c r="B652" s="174" t="s">
        <v>2511</v>
      </c>
      <c r="C652" s="175" t="s">
        <v>1401</v>
      </c>
      <c r="D652" s="176" t="s">
        <v>1402</v>
      </c>
      <c r="E652" s="177" t="s">
        <v>2512</v>
      </c>
      <c r="F652" s="175">
        <f t="shared" si="30"/>
        <v>6</v>
      </c>
      <c r="G652" s="175" t="str">
        <f t="shared" si="31"/>
        <v>Reno</v>
      </c>
      <c r="H652" s="175" t="str">
        <f t="shared" si="32"/>
        <v>Reno, NV</v>
      </c>
      <c r="I652" s="178" t="s">
        <v>1404</v>
      </c>
      <c r="J652" s="27" t="s">
        <v>1402</v>
      </c>
      <c r="K652" s="27">
        <v>508</v>
      </c>
      <c r="L652" s="179">
        <v>5674</v>
      </c>
      <c r="M652" s="180" t="s">
        <v>1405</v>
      </c>
      <c r="N652" s="181" t="s">
        <v>1402</v>
      </c>
      <c r="O652" s="182" t="s">
        <v>1406</v>
      </c>
    </row>
    <row r="653" spans="1:15" ht="12">
      <c r="A653" s="148"/>
      <c r="B653" s="174" t="s">
        <v>2513</v>
      </c>
      <c r="C653" s="175" t="s">
        <v>1401</v>
      </c>
      <c r="D653" s="176" t="s">
        <v>1402</v>
      </c>
      <c r="E653" s="177" t="s">
        <v>2512</v>
      </c>
      <c r="F653" s="175">
        <f t="shared" si="30"/>
        <v>6</v>
      </c>
      <c r="G653" s="175" t="str">
        <f t="shared" si="31"/>
        <v>Reno</v>
      </c>
      <c r="H653" s="175" t="str">
        <f t="shared" si="32"/>
        <v>Reno, NV</v>
      </c>
      <c r="I653" s="178" t="s">
        <v>1404</v>
      </c>
      <c r="J653" s="27" t="s">
        <v>1402</v>
      </c>
      <c r="K653" s="27">
        <v>508</v>
      </c>
      <c r="L653" s="179">
        <v>5674</v>
      </c>
      <c r="M653" s="180" t="s">
        <v>1405</v>
      </c>
      <c r="N653" s="181" t="s">
        <v>1402</v>
      </c>
      <c r="O653" s="182" t="s">
        <v>1406</v>
      </c>
    </row>
    <row r="654" spans="1:15" ht="12">
      <c r="A654" s="148"/>
      <c r="B654" s="174" t="s">
        <v>2514</v>
      </c>
      <c r="C654" s="175" t="s">
        <v>1401</v>
      </c>
      <c r="D654" s="176" t="s">
        <v>1402</v>
      </c>
      <c r="E654" s="177" t="s">
        <v>2512</v>
      </c>
      <c r="F654" s="175">
        <f t="shared" si="30"/>
        <v>6</v>
      </c>
      <c r="G654" s="175" t="str">
        <f t="shared" si="31"/>
        <v>Reno</v>
      </c>
      <c r="H654" s="175" t="str">
        <f t="shared" si="32"/>
        <v>Reno, NV</v>
      </c>
      <c r="I654" s="178" t="s">
        <v>1404</v>
      </c>
      <c r="J654" s="27" t="s">
        <v>1402</v>
      </c>
      <c r="K654" s="27">
        <v>508</v>
      </c>
      <c r="L654" s="179">
        <v>5674</v>
      </c>
      <c r="M654" s="180" t="s">
        <v>1405</v>
      </c>
      <c r="N654" s="181" t="s">
        <v>1402</v>
      </c>
      <c r="O654" s="182" t="s">
        <v>1406</v>
      </c>
    </row>
    <row r="655" spans="1:15" ht="12">
      <c r="A655" s="148"/>
      <c r="B655" s="174" t="s">
        <v>2515</v>
      </c>
      <c r="C655" s="175" t="s">
        <v>51</v>
      </c>
      <c r="D655" s="176" t="s">
        <v>1702</v>
      </c>
      <c r="E655" s="177" t="s">
        <v>2516</v>
      </c>
      <c r="F655" s="175">
        <f t="shared" si="30"/>
        <v>13</v>
      </c>
      <c r="G655" s="175" t="str">
        <f t="shared" si="31"/>
        <v>Rhinelander</v>
      </c>
      <c r="H655" s="175" t="str">
        <f t="shared" si="32"/>
        <v>Rhinelander, WI</v>
      </c>
      <c r="I655" s="178" t="s">
        <v>804</v>
      </c>
      <c r="J655" s="27" t="s">
        <v>490</v>
      </c>
      <c r="K655" s="27">
        <v>256</v>
      </c>
      <c r="L655" s="179">
        <v>8218</v>
      </c>
      <c r="M655" s="180" t="s">
        <v>2057</v>
      </c>
      <c r="N655" s="181" t="s">
        <v>1702</v>
      </c>
      <c r="O655" s="182" t="s">
        <v>2058</v>
      </c>
    </row>
    <row r="656" spans="1:15" ht="12">
      <c r="A656" s="148"/>
      <c r="B656" s="174" t="s">
        <v>41</v>
      </c>
      <c r="C656" s="175" t="s">
        <v>593</v>
      </c>
      <c r="D656" s="176" t="s">
        <v>1638</v>
      </c>
      <c r="E656" s="177" t="s">
        <v>42</v>
      </c>
      <c r="F656" s="175">
        <f t="shared" si="30"/>
        <v>10</v>
      </c>
      <c r="G656" s="175" t="str">
        <f t="shared" si="31"/>
        <v>Richland</v>
      </c>
      <c r="H656" s="175" t="str">
        <f t="shared" si="32"/>
        <v>Richland, WA</v>
      </c>
      <c r="I656" s="178" t="s">
        <v>595</v>
      </c>
      <c r="J656" s="27" t="s">
        <v>1634</v>
      </c>
      <c r="K656" s="27">
        <v>701</v>
      </c>
      <c r="L656" s="179">
        <v>5294</v>
      </c>
      <c r="M656" s="180" t="s">
        <v>1637</v>
      </c>
      <c r="N656" s="181" t="s">
        <v>1638</v>
      </c>
      <c r="O656" s="182" t="s">
        <v>1639</v>
      </c>
    </row>
    <row r="657" spans="1:15" ht="12">
      <c r="A657" s="148"/>
      <c r="B657" s="174" t="s">
        <v>43</v>
      </c>
      <c r="C657" s="175" t="s">
        <v>442</v>
      </c>
      <c r="D657" s="176" t="s">
        <v>443</v>
      </c>
      <c r="E657" s="177" t="s">
        <v>44</v>
      </c>
      <c r="F657" s="175">
        <f t="shared" si="30"/>
        <v>10</v>
      </c>
      <c r="G657" s="175" t="str">
        <f t="shared" si="31"/>
        <v>Richmond</v>
      </c>
      <c r="H657" s="175" t="str">
        <f t="shared" si="32"/>
        <v>Richmond, CA</v>
      </c>
      <c r="I657" s="178" t="s">
        <v>1420</v>
      </c>
      <c r="J657" s="27" t="s">
        <v>443</v>
      </c>
      <c r="K657" s="27">
        <v>145</v>
      </c>
      <c r="L657" s="179">
        <v>3016</v>
      </c>
      <c r="M657" s="178" t="s">
        <v>1421</v>
      </c>
      <c r="N657" s="27" t="s">
        <v>443</v>
      </c>
      <c r="O657" s="182" t="s">
        <v>1422</v>
      </c>
    </row>
    <row r="658" spans="1:15" ht="12">
      <c r="A658" s="148"/>
      <c r="B658" s="174" t="s">
        <v>45</v>
      </c>
      <c r="C658" s="175" t="s">
        <v>434</v>
      </c>
      <c r="D658" s="176" t="s">
        <v>435</v>
      </c>
      <c r="E658" s="177" t="s">
        <v>44</v>
      </c>
      <c r="F658" s="175">
        <f t="shared" si="30"/>
        <v>10</v>
      </c>
      <c r="G658" s="175" t="str">
        <f t="shared" si="31"/>
        <v>Richmond</v>
      </c>
      <c r="H658" s="175" t="str">
        <f t="shared" si="32"/>
        <v>Richmond, VA</v>
      </c>
      <c r="I658" s="178" t="s">
        <v>2350</v>
      </c>
      <c r="J658" s="27" t="s">
        <v>435</v>
      </c>
      <c r="K658" s="27">
        <v>1348</v>
      </c>
      <c r="L658" s="179">
        <v>3963</v>
      </c>
      <c r="M658" s="180" t="s">
        <v>2351</v>
      </c>
      <c r="N658" s="181" t="s">
        <v>435</v>
      </c>
      <c r="O658" s="182" t="s">
        <v>2352</v>
      </c>
    </row>
    <row r="659" spans="1:15" ht="12">
      <c r="A659" s="148"/>
      <c r="B659" s="174" t="s">
        <v>46</v>
      </c>
      <c r="C659" s="175" t="s">
        <v>434</v>
      </c>
      <c r="D659" s="176" t="s">
        <v>435</v>
      </c>
      <c r="E659" s="177" t="s">
        <v>44</v>
      </c>
      <c r="F659" s="175">
        <f t="shared" si="30"/>
        <v>10</v>
      </c>
      <c r="G659" s="175" t="str">
        <f t="shared" si="31"/>
        <v>Richmond</v>
      </c>
      <c r="H659" s="175" t="str">
        <f t="shared" si="32"/>
        <v>Richmond, VA</v>
      </c>
      <c r="I659" s="178" t="s">
        <v>2350</v>
      </c>
      <c r="J659" s="27" t="s">
        <v>435</v>
      </c>
      <c r="K659" s="27">
        <v>1348</v>
      </c>
      <c r="L659" s="179">
        <v>3963</v>
      </c>
      <c r="M659" s="180" t="s">
        <v>2351</v>
      </c>
      <c r="N659" s="181" t="s">
        <v>435</v>
      </c>
      <c r="O659" s="182" t="s">
        <v>2352</v>
      </c>
    </row>
    <row r="660" spans="1:15" ht="12">
      <c r="A660" s="148"/>
      <c r="B660" s="174" t="s">
        <v>47</v>
      </c>
      <c r="C660" s="175" t="s">
        <v>434</v>
      </c>
      <c r="D660" s="176" t="s">
        <v>435</v>
      </c>
      <c r="E660" s="177" t="s">
        <v>44</v>
      </c>
      <c r="F660" s="175">
        <f t="shared" si="30"/>
        <v>10</v>
      </c>
      <c r="G660" s="175" t="str">
        <f t="shared" si="31"/>
        <v>Richmond</v>
      </c>
      <c r="H660" s="175" t="str">
        <f t="shared" si="32"/>
        <v>Richmond, VA</v>
      </c>
      <c r="I660" s="178" t="s">
        <v>2350</v>
      </c>
      <c r="J660" s="27" t="s">
        <v>435</v>
      </c>
      <c r="K660" s="27">
        <v>1348</v>
      </c>
      <c r="L660" s="179">
        <v>3963</v>
      </c>
      <c r="M660" s="180" t="s">
        <v>2351</v>
      </c>
      <c r="N660" s="181" t="s">
        <v>435</v>
      </c>
      <c r="O660" s="182" t="s">
        <v>2352</v>
      </c>
    </row>
    <row r="661" spans="1:15" ht="12">
      <c r="A661" s="148"/>
      <c r="B661" s="174" t="s">
        <v>292</v>
      </c>
      <c r="C661" s="175" t="s">
        <v>51</v>
      </c>
      <c r="D661" s="176" t="s">
        <v>1702</v>
      </c>
      <c r="E661" s="177" t="s">
        <v>293</v>
      </c>
      <c r="F661" s="175">
        <f t="shared" si="30"/>
        <v>13</v>
      </c>
      <c r="G661" s="175" t="str">
        <f t="shared" si="31"/>
        <v>River Falls</v>
      </c>
      <c r="H661" s="175" t="str">
        <f t="shared" si="32"/>
        <v>River Falls, WI</v>
      </c>
      <c r="I661" s="178" t="s">
        <v>53</v>
      </c>
      <c r="J661" s="27" t="s">
        <v>1627</v>
      </c>
      <c r="K661" s="27">
        <v>682</v>
      </c>
      <c r="L661" s="179">
        <v>7981</v>
      </c>
      <c r="M661" s="178" t="s">
        <v>684</v>
      </c>
      <c r="N661" s="27" t="s">
        <v>1627</v>
      </c>
      <c r="O661" s="182" t="s">
        <v>685</v>
      </c>
    </row>
    <row r="662" spans="1:15" ht="12">
      <c r="A662" s="148"/>
      <c r="B662" s="174" t="s">
        <v>294</v>
      </c>
      <c r="C662" s="175" t="s">
        <v>416</v>
      </c>
      <c r="D662" s="176" t="s">
        <v>417</v>
      </c>
      <c r="E662" s="177" t="s">
        <v>295</v>
      </c>
      <c r="F662" s="175">
        <f t="shared" si="30"/>
        <v>11</v>
      </c>
      <c r="G662" s="175" t="str">
        <f t="shared" si="31"/>
        <v>Riverhead</v>
      </c>
      <c r="H662" s="175" t="str">
        <f t="shared" si="32"/>
        <v>Riverhead, NY</v>
      </c>
      <c r="I662" s="178" t="s">
        <v>692</v>
      </c>
      <c r="J662" s="27" t="s">
        <v>690</v>
      </c>
      <c r="K662" s="27">
        <v>724</v>
      </c>
      <c r="L662" s="179">
        <v>5537</v>
      </c>
      <c r="M662" s="178" t="s">
        <v>693</v>
      </c>
      <c r="N662" s="27" t="s">
        <v>690</v>
      </c>
      <c r="O662" s="182" t="s">
        <v>694</v>
      </c>
    </row>
    <row r="663" spans="1:15" ht="12">
      <c r="A663" s="148"/>
      <c r="B663" s="174" t="s">
        <v>296</v>
      </c>
      <c r="C663" s="175" t="s">
        <v>442</v>
      </c>
      <c r="D663" s="176" t="s">
        <v>443</v>
      </c>
      <c r="E663" s="177" t="s">
        <v>297</v>
      </c>
      <c r="F663" s="175">
        <f t="shared" si="30"/>
        <v>11</v>
      </c>
      <c r="G663" s="175" t="str">
        <f t="shared" si="31"/>
        <v>Riverside</v>
      </c>
      <c r="H663" s="175" t="str">
        <f t="shared" si="32"/>
        <v>Riverside, CA</v>
      </c>
      <c r="I663" s="178" t="s">
        <v>445</v>
      </c>
      <c r="J663" s="27" t="s">
        <v>443</v>
      </c>
      <c r="K663" s="27">
        <v>1537</v>
      </c>
      <c r="L663" s="179">
        <v>1154</v>
      </c>
      <c r="M663" s="178" t="s">
        <v>446</v>
      </c>
      <c r="N663" s="27" t="s">
        <v>443</v>
      </c>
      <c r="O663" s="182" t="s">
        <v>447</v>
      </c>
    </row>
    <row r="664" spans="1:15" ht="12">
      <c r="A664" s="148"/>
      <c r="B664" s="174" t="s">
        <v>298</v>
      </c>
      <c r="C664" s="175" t="s">
        <v>1413</v>
      </c>
      <c r="D664" s="176" t="s">
        <v>1414</v>
      </c>
      <c r="E664" s="177" t="s">
        <v>299</v>
      </c>
      <c r="F664" s="175">
        <f t="shared" si="30"/>
        <v>10</v>
      </c>
      <c r="G664" s="175" t="str">
        <f t="shared" si="31"/>
        <v>Riverton</v>
      </c>
      <c r="H664" s="175" t="str">
        <f t="shared" si="32"/>
        <v>Riverton, WY</v>
      </c>
      <c r="I664" s="178" t="s">
        <v>112</v>
      </c>
      <c r="J664" s="27" t="s">
        <v>1414</v>
      </c>
      <c r="K664" s="27">
        <v>479</v>
      </c>
      <c r="L664" s="179">
        <v>7889</v>
      </c>
      <c r="M664" s="180" t="s">
        <v>1417</v>
      </c>
      <c r="N664" s="181" t="s">
        <v>1414</v>
      </c>
      <c r="O664" s="182" t="s">
        <v>2315</v>
      </c>
    </row>
    <row r="665" spans="1:15" ht="12">
      <c r="A665" s="148"/>
      <c r="B665" s="174" t="s">
        <v>300</v>
      </c>
      <c r="C665" s="175" t="s">
        <v>434</v>
      </c>
      <c r="D665" s="176" t="s">
        <v>435</v>
      </c>
      <c r="E665" s="177" t="s">
        <v>301</v>
      </c>
      <c r="F665" s="175">
        <f t="shared" si="30"/>
        <v>9</v>
      </c>
      <c r="G665" s="175" t="str">
        <f t="shared" si="31"/>
        <v>Roanoke</v>
      </c>
      <c r="H665" s="175" t="str">
        <f t="shared" si="32"/>
        <v>Roanoke, VA</v>
      </c>
      <c r="I665" s="178" t="s">
        <v>2287</v>
      </c>
      <c r="J665" s="27" t="s">
        <v>435</v>
      </c>
      <c r="K665" s="27">
        <v>1052</v>
      </c>
      <c r="L665" s="179">
        <v>4360</v>
      </c>
      <c r="M665" s="180" t="s">
        <v>2288</v>
      </c>
      <c r="N665" s="181" t="s">
        <v>435</v>
      </c>
      <c r="O665" s="182" t="s">
        <v>2289</v>
      </c>
    </row>
    <row r="666" spans="1:15" ht="12">
      <c r="A666" s="148"/>
      <c r="B666" s="174" t="s">
        <v>302</v>
      </c>
      <c r="C666" s="175" t="s">
        <v>434</v>
      </c>
      <c r="D666" s="176" t="s">
        <v>435</v>
      </c>
      <c r="E666" s="177" t="s">
        <v>301</v>
      </c>
      <c r="F666" s="175">
        <f t="shared" si="30"/>
        <v>9</v>
      </c>
      <c r="G666" s="175" t="str">
        <f t="shared" si="31"/>
        <v>Roanoke</v>
      </c>
      <c r="H666" s="175" t="str">
        <f t="shared" si="32"/>
        <v>Roanoke, VA</v>
      </c>
      <c r="I666" s="178" t="s">
        <v>2287</v>
      </c>
      <c r="J666" s="27" t="s">
        <v>435</v>
      </c>
      <c r="K666" s="27">
        <v>1052</v>
      </c>
      <c r="L666" s="179">
        <v>4360</v>
      </c>
      <c r="M666" s="180" t="s">
        <v>2288</v>
      </c>
      <c r="N666" s="181" t="s">
        <v>435</v>
      </c>
      <c r="O666" s="182" t="s">
        <v>2289</v>
      </c>
    </row>
    <row r="667" spans="1:15" ht="12">
      <c r="A667" s="148"/>
      <c r="B667" s="174" t="s">
        <v>303</v>
      </c>
      <c r="C667" s="175" t="s">
        <v>1626</v>
      </c>
      <c r="D667" s="176" t="s">
        <v>1627</v>
      </c>
      <c r="E667" s="177" t="s">
        <v>304</v>
      </c>
      <c r="F667" s="175">
        <f t="shared" si="30"/>
        <v>11</v>
      </c>
      <c r="G667" s="175" t="str">
        <f t="shared" si="31"/>
        <v>Rochester</v>
      </c>
      <c r="H667" s="175" t="str">
        <f t="shared" si="32"/>
        <v>Rochester, MN</v>
      </c>
      <c r="I667" s="178" t="s">
        <v>1149</v>
      </c>
      <c r="J667" s="27" t="s">
        <v>1627</v>
      </c>
      <c r="K667" s="27">
        <v>472</v>
      </c>
      <c r="L667" s="179">
        <v>8250</v>
      </c>
      <c r="M667" s="178" t="s">
        <v>684</v>
      </c>
      <c r="N667" s="27" t="s">
        <v>1627</v>
      </c>
      <c r="O667" s="182" t="s">
        <v>685</v>
      </c>
    </row>
    <row r="668" spans="1:15" ht="12">
      <c r="A668" s="148"/>
      <c r="B668" s="174" t="s">
        <v>305</v>
      </c>
      <c r="C668" s="175" t="s">
        <v>416</v>
      </c>
      <c r="D668" s="176" t="s">
        <v>417</v>
      </c>
      <c r="E668" s="177" t="s">
        <v>304</v>
      </c>
      <c r="F668" s="175">
        <f t="shared" si="30"/>
        <v>11</v>
      </c>
      <c r="G668" s="175" t="str">
        <f t="shared" si="31"/>
        <v>Rochester</v>
      </c>
      <c r="H668" s="175" t="str">
        <f t="shared" si="32"/>
        <v>Rochester, NY</v>
      </c>
      <c r="I668" s="178" t="s">
        <v>1327</v>
      </c>
      <c r="J668" s="27" t="s">
        <v>417</v>
      </c>
      <c r="K668" s="27">
        <v>477</v>
      </c>
      <c r="L668" s="179">
        <v>6747</v>
      </c>
      <c r="M668" s="180" t="s">
        <v>1328</v>
      </c>
      <c r="N668" s="181" t="s">
        <v>417</v>
      </c>
      <c r="O668" s="182" t="s">
        <v>1329</v>
      </c>
    </row>
    <row r="669" spans="1:15" ht="12">
      <c r="A669" s="148"/>
      <c r="B669" s="174" t="s">
        <v>306</v>
      </c>
      <c r="C669" s="175" t="s">
        <v>416</v>
      </c>
      <c r="D669" s="176" t="s">
        <v>417</v>
      </c>
      <c r="E669" s="177" t="s">
        <v>304</v>
      </c>
      <c r="F669" s="175">
        <f t="shared" si="30"/>
        <v>11</v>
      </c>
      <c r="G669" s="175" t="str">
        <f t="shared" si="31"/>
        <v>Rochester</v>
      </c>
      <c r="H669" s="175" t="str">
        <f t="shared" si="32"/>
        <v>Rochester, NY</v>
      </c>
      <c r="I669" s="178" t="s">
        <v>1327</v>
      </c>
      <c r="J669" s="27" t="s">
        <v>417</v>
      </c>
      <c r="K669" s="27">
        <v>477</v>
      </c>
      <c r="L669" s="179">
        <v>6747</v>
      </c>
      <c r="M669" s="180" t="s">
        <v>1328</v>
      </c>
      <c r="N669" s="181" t="s">
        <v>417</v>
      </c>
      <c r="O669" s="182" t="s">
        <v>1329</v>
      </c>
    </row>
    <row r="670" spans="1:15" ht="12">
      <c r="A670" s="148"/>
      <c r="B670" s="174" t="s">
        <v>307</v>
      </c>
      <c r="C670" s="175" t="s">
        <v>416</v>
      </c>
      <c r="D670" s="176" t="s">
        <v>417</v>
      </c>
      <c r="E670" s="177" t="s">
        <v>304</v>
      </c>
      <c r="F670" s="175">
        <f t="shared" si="30"/>
        <v>11</v>
      </c>
      <c r="G670" s="175" t="str">
        <f t="shared" si="31"/>
        <v>Rochester</v>
      </c>
      <c r="H670" s="175" t="str">
        <f t="shared" si="32"/>
        <v>Rochester, NY</v>
      </c>
      <c r="I670" s="178" t="s">
        <v>1323</v>
      </c>
      <c r="J670" s="27" t="s">
        <v>417</v>
      </c>
      <c r="K670" s="27">
        <v>425</v>
      </c>
      <c r="L670" s="179">
        <v>6734</v>
      </c>
      <c r="M670" s="180" t="s">
        <v>1324</v>
      </c>
      <c r="N670" s="181" t="s">
        <v>417</v>
      </c>
      <c r="O670" s="182" t="s">
        <v>1325</v>
      </c>
    </row>
    <row r="671" spans="1:15" ht="12">
      <c r="A671" s="148"/>
      <c r="B671" s="174" t="s">
        <v>308</v>
      </c>
      <c r="C671" s="175" t="s">
        <v>1647</v>
      </c>
      <c r="D671" s="176" t="s">
        <v>1648</v>
      </c>
      <c r="E671" s="177" t="s">
        <v>309</v>
      </c>
      <c r="F671" s="175">
        <f t="shared" si="30"/>
        <v>13</v>
      </c>
      <c r="G671" s="175" t="str">
        <f t="shared" si="31"/>
        <v>Rock Island</v>
      </c>
      <c r="H671" s="175" t="str">
        <f t="shared" si="32"/>
        <v>Rock Island, IL</v>
      </c>
      <c r="I671" s="178" t="s">
        <v>1336</v>
      </c>
      <c r="J671" s="27" t="s">
        <v>1648</v>
      </c>
      <c r="K671" s="27">
        <v>911</v>
      </c>
      <c r="L671" s="179">
        <v>6474</v>
      </c>
      <c r="M671" s="178" t="s">
        <v>2001</v>
      </c>
      <c r="N671" s="27" t="s">
        <v>1648</v>
      </c>
      <c r="O671" s="182" t="s">
        <v>2002</v>
      </c>
    </row>
    <row r="672" spans="1:15" ht="12">
      <c r="A672" s="148"/>
      <c r="B672" s="174" t="s">
        <v>310</v>
      </c>
      <c r="C672" s="175" t="s">
        <v>1413</v>
      </c>
      <c r="D672" s="176" t="s">
        <v>1414</v>
      </c>
      <c r="E672" s="177" t="s">
        <v>311</v>
      </c>
      <c r="F672" s="175">
        <f t="shared" si="30"/>
        <v>14</v>
      </c>
      <c r="G672" s="175" t="str">
        <f t="shared" si="31"/>
        <v>Rock Springs</v>
      </c>
      <c r="H672" s="175" t="str">
        <f t="shared" si="32"/>
        <v>Rock Springs, WY</v>
      </c>
      <c r="I672" s="178" t="s">
        <v>112</v>
      </c>
      <c r="J672" s="27" t="s">
        <v>1414</v>
      </c>
      <c r="K672" s="27">
        <v>479</v>
      </c>
      <c r="L672" s="179">
        <v>7889</v>
      </c>
      <c r="M672" s="180" t="s">
        <v>1417</v>
      </c>
      <c r="N672" s="181" t="s">
        <v>1414</v>
      </c>
      <c r="O672" s="182" t="s">
        <v>2315</v>
      </c>
    </row>
    <row r="673" spans="1:15" ht="12">
      <c r="A673" s="148"/>
      <c r="B673" s="174" t="s">
        <v>312</v>
      </c>
      <c r="C673" s="175" t="s">
        <v>283</v>
      </c>
      <c r="D673" s="176" t="s">
        <v>284</v>
      </c>
      <c r="E673" s="177" t="s">
        <v>313</v>
      </c>
      <c r="F673" s="175">
        <f t="shared" si="30"/>
        <v>11</v>
      </c>
      <c r="G673" s="175" t="str">
        <f t="shared" si="31"/>
        <v>Rock_Hill</v>
      </c>
      <c r="H673" s="175" t="str">
        <f t="shared" si="32"/>
        <v>Rock_Hill, SC</v>
      </c>
      <c r="I673" s="178" t="s">
        <v>286</v>
      </c>
      <c r="J673" s="27" t="s">
        <v>284</v>
      </c>
      <c r="K673" s="27">
        <v>1966</v>
      </c>
      <c r="L673" s="179">
        <v>2649</v>
      </c>
      <c r="M673" s="178" t="s">
        <v>287</v>
      </c>
      <c r="N673" s="27" t="s">
        <v>284</v>
      </c>
      <c r="O673" s="182" t="s">
        <v>288</v>
      </c>
    </row>
    <row r="674" spans="1:15" ht="12">
      <c r="A674" s="148"/>
      <c r="B674" s="174" t="s">
        <v>314</v>
      </c>
      <c r="C674" s="175" t="s">
        <v>1647</v>
      </c>
      <c r="D674" s="176" t="s">
        <v>1648</v>
      </c>
      <c r="E674" s="177" t="s">
        <v>315</v>
      </c>
      <c r="F674" s="175">
        <f t="shared" si="30"/>
        <v>10</v>
      </c>
      <c r="G674" s="175" t="str">
        <f t="shared" si="31"/>
        <v>Rockford</v>
      </c>
      <c r="H674" s="175" t="str">
        <f t="shared" si="32"/>
        <v>Rockford, IL</v>
      </c>
      <c r="I674" s="178" t="s">
        <v>1174</v>
      </c>
      <c r="J674" s="27" t="s">
        <v>1648</v>
      </c>
      <c r="K674" s="27">
        <v>702</v>
      </c>
      <c r="L674" s="179">
        <v>6969</v>
      </c>
      <c r="M674" s="178" t="s">
        <v>1175</v>
      </c>
      <c r="N674" s="27" t="s">
        <v>1648</v>
      </c>
      <c r="O674" s="182" t="s">
        <v>1176</v>
      </c>
    </row>
    <row r="675" spans="1:15" ht="12">
      <c r="A675" s="148"/>
      <c r="B675" s="174" t="s">
        <v>316</v>
      </c>
      <c r="C675" s="175" t="s">
        <v>1647</v>
      </c>
      <c r="D675" s="176" t="s">
        <v>1648</v>
      </c>
      <c r="E675" s="177" t="s">
        <v>315</v>
      </c>
      <c r="F675" s="175">
        <f t="shared" si="30"/>
        <v>10</v>
      </c>
      <c r="G675" s="175" t="str">
        <f t="shared" si="31"/>
        <v>Rockford</v>
      </c>
      <c r="H675" s="175" t="str">
        <f t="shared" si="32"/>
        <v>Rockford, IL</v>
      </c>
      <c r="I675" s="178" t="s">
        <v>1174</v>
      </c>
      <c r="J675" s="27" t="s">
        <v>1648</v>
      </c>
      <c r="K675" s="27">
        <v>702</v>
      </c>
      <c r="L675" s="179">
        <v>6969</v>
      </c>
      <c r="M675" s="178" t="s">
        <v>1175</v>
      </c>
      <c r="N675" s="27" t="s">
        <v>1648</v>
      </c>
      <c r="O675" s="182" t="s">
        <v>1176</v>
      </c>
    </row>
    <row r="676" spans="1:15" ht="12">
      <c r="A676" s="148"/>
      <c r="B676" s="186" t="s">
        <v>317</v>
      </c>
      <c r="C676" s="175" t="s">
        <v>1555</v>
      </c>
      <c r="D676" s="176" t="s">
        <v>1556</v>
      </c>
      <c r="E676" s="177" t="s">
        <v>318</v>
      </c>
      <c r="F676" s="175">
        <f t="shared" si="30"/>
        <v>10</v>
      </c>
      <c r="G676" s="175" t="str">
        <f t="shared" si="31"/>
        <v>Rockland</v>
      </c>
      <c r="H676" s="175" t="str">
        <f t="shared" si="32"/>
        <v>Rockland, ME</v>
      </c>
      <c r="I676" s="178" t="s">
        <v>1558</v>
      </c>
      <c r="J676" s="27" t="s">
        <v>1556</v>
      </c>
      <c r="K676" s="27">
        <v>268</v>
      </c>
      <c r="L676" s="179">
        <v>7378</v>
      </c>
      <c r="M676" s="180" t="s">
        <v>1559</v>
      </c>
      <c r="N676" s="181" t="s">
        <v>1556</v>
      </c>
      <c r="O676" s="182" t="s">
        <v>1560</v>
      </c>
    </row>
    <row r="677" spans="1:15" ht="12">
      <c r="A677" s="148"/>
      <c r="B677" s="174" t="s">
        <v>319</v>
      </c>
      <c r="C677" s="175" t="s">
        <v>496</v>
      </c>
      <c r="D677" s="176" t="s">
        <v>439</v>
      </c>
      <c r="E677" s="177" t="s">
        <v>320</v>
      </c>
      <c r="F677" s="175">
        <f t="shared" si="30"/>
        <v>11</v>
      </c>
      <c r="G677" s="175" t="str">
        <f t="shared" si="31"/>
        <v>Rockville</v>
      </c>
      <c r="H677" s="175" t="str">
        <f t="shared" si="32"/>
        <v>Rockville, MD</v>
      </c>
      <c r="I677" s="178" t="s">
        <v>498</v>
      </c>
      <c r="J677" s="27" t="s">
        <v>439</v>
      </c>
      <c r="K677" s="27">
        <v>1137</v>
      </c>
      <c r="L677" s="179">
        <v>4707</v>
      </c>
      <c r="M677" s="180" t="s">
        <v>499</v>
      </c>
      <c r="N677" s="181" t="s">
        <v>439</v>
      </c>
      <c r="O677" s="182" t="s">
        <v>500</v>
      </c>
    </row>
    <row r="678" spans="1:15" ht="12">
      <c r="A678" s="148"/>
      <c r="B678" s="174" t="s">
        <v>321</v>
      </c>
      <c r="C678" s="175" t="s">
        <v>481</v>
      </c>
      <c r="D678" s="176" t="s">
        <v>482</v>
      </c>
      <c r="E678" s="177" t="s">
        <v>322</v>
      </c>
      <c r="F678" s="175">
        <f t="shared" si="30"/>
        <v>13</v>
      </c>
      <c r="G678" s="175" t="str">
        <f t="shared" si="31"/>
        <v>Rocky Mount</v>
      </c>
      <c r="H678" s="175" t="str">
        <f t="shared" si="32"/>
        <v>Rocky Mount, NC</v>
      </c>
      <c r="I678" s="178" t="s">
        <v>2314</v>
      </c>
      <c r="J678" s="27" t="s">
        <v>482</v>
      </c>
      <c r="K678" s="27">
        <v>1417</v>
      </c>
      <c r="L678" s="179">
        <v>3457</v>
      </c>
      <c r="M678" s="180" t="s">
        <v>530</v>
      </c>
      <c r="N678" s="181" t="s">
        <v>482</v>
      </c>
      <c r="O678" s="182" t="s">
        <v>531</v>
      </c>
    </row>
    <row r="679" spans="1:15" ht="12">
      <c r="A679" s="148"/>
      <c r="B679" s="174" t="s">
        <v>323</v>
      </c>
      <c r="C679" s="175" t="s">
        <v>1377</v>
      </c>
      <c r="D679" s="176" t="s">
        <v>1378</v>
      </c>
      <c r="E679" s="177" t="s">
        <v>324</v>
      </c>
      <c r="F679" s="175">
        <f t="shared" si="30"/>
        <v>7</v>
      </c>
      <c r="G679" s="175" t="str">
        <f t="shared" si="31"/>
        <v>Rolla</v>
      </c>
      <c r="H679" s="175" t="str">
        <f t="shared" si="32"/>
        <v>Rolla, MO</v>
      </c>
      <c r="I679" s="178" t="s">
        <v>1925</v>
      </c>
      <c r="J679" s="27" t="s">
        <v>1378</v>
      </c>
      <c r="K679" s="27">
        <v>1320</v>
      </c>
      <c r="L679" s="179">
        <v>4638</v>
      </c>
      <c r="M679" s="180" t="s">
        <v>1651</v>
      </c>
      <c r="N679" s="181" t="s">
        <v>1378</v>
      </c>
      <c r="O679" s="182" t="s">
        <v>1926</v>
      </c>
    </row>
    <row r="680" spans="1:15" ht="12">
      <c r="A680" s="148"/>
      <c r="B680" s="174" t="s">
        <v>325</v>
      </c>
      <c r="C680" s="175" t="s">
        <v>1377</v>
      </c>
      <c r="D680" s="176" t="s">
        <v>1378</v>
      </c>
      <c r="E680" s="177" t="s">
        <v>324</v>
      </c>
      <c r="F680" s="175">
        <f t="shared" si="30"/>
        <v>7</v>
      </c>
      <c r="G680" s="175" t="str">
        <f t="shared" si="31"/>
        <v>Rolla</v>
      </c>
      <c r="H680" s="175" t="str">
        <f t="shared" si="32"/>
        <v>Rolla, MO</v>
      </c>
      <c r="I680" s="178" t="s">
        <v>1925</v>
      </c>
      <c r="J680" s="27" t="s">
        <v>1378</v>
      </c>
      <c r="K680" s="27">
        <v>1320</v>
      </c>
      <c r="L680" s="179">
        <v>4638</v>
      </c>
      <c r="M680" s="180" t="s">
        <v>1651</v>
      </c>
      <c r="N680" s="181" t="s">
        <v>1378</v>
      </c>
      <c r="O680" s="182" t="s">
        <v>1926</v>
      </c>
    </row>
    <row r="681" spans="1:15" ht="12">
      <c r="A681" s="148"/>
      <c r="B681" s="174" t="s">
        <v>326</v>
      </c>
      <c r="C681" s="175" t="s">
        <v>424</v>
      </c>
      <c r="D681" s="176" t="s">
        <v>425</v>
      </c>
      <c r="E681" s="177" t="s">
        <v>327</v>
      </c>
      <c r="F681" s="175">
        <f t="shared" si="30"/>
        <v>9</v>
      </c>
      <c r="G681" s="175" t="str">
        <f t="shared" si="31"/>
        <v>Roswell</v>
      </c>
      <c r="H681" s="175" t="str">
        <f t="shared" si="32"/>
        <v>Roswell, NM</v>
      </c>
      <c r="I681" s="178" t="s">
        <v>328</v>
      </c>
      <c r="J681" s="27" t="s">
        <v>425</v>
      </c>
      <c r="K681" s="27">
        <v>1776</v>
      </c>
      <c r="L681" s="179">
        <v>3267</v>
      </c>
      <c r="M681" s="180" t="s">
        <v>2377</v>
      </c>
      <c r="N681" s="181" t="s">
        <v>264</v>
      </c>
      <c r="O681" s="182" t="s">
        <v>2378</v>
      </c>
    </row>
    <row r="682" spans="1:15" ht="12">
      <c r="A682" s="148"/>
      <c r="B682" s="174" t="s">
        <v>329</v>
      </c>
      <c r="C682" s="175" t="s">
        <v>489</v>
      </c>
      <c r="D682" s="176" t="s">
        <v>490</v>
      </c>
      <c r="E682" s="177" t="s">
        <v>330</v>
      </c>
      <c r="F682" s="175">
        <f t="shared" si="30"/>
        <v>11</v>
      </c>
      <c r="G682" s="175" t="str">
        <f t="shared" si="31"/>
        <v>Royal Oak</v>
      </c>
      <c r="H682" s="175" t="str">
        <f t="shared" si="32"/>
        <v>Royal Oak, MI</v>
      </c>
      <c r="I682" s="178" t="s">
        <v>492</v>
      </c>
      <c r="J682" s="27" t="s">
        <v>490</v>
      </c>
      <c r="K682" s="27">
        <v>626</v>
      </c>
      <c r="L682" s="179">
        <v>6569</v>
      </c>
      <c r="M682" s="178" t="s">
        <v>493</v>
      </c>
      <c r="N682" s="27" t="s">
        <v>490</v>
      </c>
      <c r="O682" s="182" t="s">
        <v>494</v>
      </c>
    </row>
    <row r="683" spans="1:15" ht="12">
      <c r="A683" s="148"/>
      <c r="B683" s="174" t="s">
        <v>331</v>
      </c>
      <c r="C683" s="175" t="s">
        <v>1589</v>
      </c>
      <c r="D683" s="176" t="s">
        <v>1590</v>
      </c>
      <c r="E683" s="177" t="s">
        <v>332</v>
      </c>
      <c r="F683" s="175">
        <f t="shared" si="30"/>
        <v>14</v>
      </c>
      <c r="G683" s="175" t="str">
        <f t="shared" si="31"/>
        <v>Russellville</v>
      </c>
      <c r="H683" s="175" t="str">
        <f t="shared" si="32"/>
        <v>Russellville, AR</v>
      </c>
      <c r="I683" s="178" t="s">
        <v>1966</v>
      </c>
      <c r="J683" s="27" t="s">
        <v>1590</v>
      </c>
      <c r="K683" s="27">
        <v>1894</v>
      </c>
      <c r="L683" s="179">
        <v>3478</v>
      </c>
      <c r="M683" s="178" t="s">
        <v>1967</v>
      </c>
      <c r="N683" s="27" t="s">
        <v>1590</v>
      </c>
      <c r="O683" s="182" t="s">
        <v>1968</v>
      </c>
    </row>
    <row r="684" spans="1:15" ht="12">
      <c r="A684" s="148"/>
      <c r="B684" s="174" t="s">
        <v>333</v>
      </c>
      <c r="C684" s="175" t="s">
        <v>525</v>
      </c>
      <c r="D684" s="176" t="s">
        <v>526</v>
      </c>
      <c r="E684" s="177" t="s">
        <v>332</v>
      </c>
      <c r="F684" s="175">
        <f t="shared" si="30"/>
        <v>14</v>
      </c>
      <c r="G684" s="175" t="str">
        <f t="shared" si="31"/>
        <v>Russellville</v>
      </c>
      <c r="H684" s="175" t="str">
        <f t="shared" si="32"/>
        <v>Russellville, KY</v>
      </c>
      <c r="I684" s="178" t="s">
        <v>662</v>
      </c>
      <c r="J684" s="27" t="s">
        <v>526</v>
      </c>
      <c r="K684" s="27">
        <v>1288</v>
      </c>
      <c r="L684" s="179">
        <v>4514</v>
      </c>
      <c r="M684" s="180" t="s">
        <v>663</v>
      </c>
      <c r="N684" s="181" t="s">
        <v>526</v>
      </c>
      <c r="O684" s="182" t="s">
        <v>664</v>
      </c>
    </row>
    <row r="685" spans="1:15" ht="12">
      <c r="A685" s="148"/>
      <c r="B685" s="186" t="s">
        <v>334</v>
      </c>
      <c r="C685" s="175" t="s">
        <v>1622</v>
      </c>
      <c r="D685" s="176" t="s">
        <v>1623</v>
      </c>
      <c r="E685" s="177" t="s">
        <v>335</v>
      </c>
      <c r="F685" s="175">
        <f t="shared" si="30"/>
        <v>9</v>
      </c>
      <c r="G685" s="175" t="str">
        <f t="shared" si="31"/>
        <v>Rutland</v>
      </c>
      <c r="H685" s="175" t="str">
        <f t="shared" si="32"/>
        <v>Rutland, VT</v>
      </c>
      <c r="I685" s="178" t="s">
        <v>418</v>
      </c>
      <c r="J685" s="27" t="s">
        <v>417</v>
      </c>
      <c r="K685" s="27">
        <v>507</v>
      </c>
      <c r="L685" s="179">
        <v>6894</v>
      </c>
      <c r="M685" s="180" t="s">
        <v>419</v>
      </c>
      <c r="N685" s="181" t="s">
        <v>417</v>
      </c>
      <c r="O685" s="182" t="s">
        <v>420</v>
      </c>
    </row>
    <row r="686" spans="1:15" ht="12">
      <c r="A686" s="148"/>
      <c r="B686" s="174" t="s">
        <v>336</v>
      </c>
      <c r="C686" s="175" t="s">
        <v>442</v>
      </c>
      <c r="D686" s="176" t="s">
        <v>443</v>
      </c>
      <c r="E686" s="177" t="s">
        <v>337</v>
      </c>
      <c r="F686" s="175">
        <f t="shared" si="30"/>
        <v>12</v>
      </c>
      <c r="G686" s="175" t="str">
        <f t="shared" si="31"/>
        <v>Sacramento</v>
      </c>
      <c r="H686" s="175" t="str">
        <f t="shared" si="32"/>
        <v>Sacramento, CA</v>
      </c>
      <c r="I686" s="178" t="s">
        <v>640</v>
      </c>
      <c r="J686" s="27" t="s">
        <v>443</v>
      </c>
      <c r="K686" s="27">
        <v>1237</v>
      </c>
      <c r="L686" s="179">
        <v>2749</v>
      </c>
      <c r="M686" s="178" t="s">
        <v>641</v>
      </c>
      <c r="N686" s="27" t="s">
        <v>443</v>
      </c>
      <c r="O686" s="182" t="s">
        <v>642</v>
      </c>
    </row>
    <row r="687" spans="1:15" ht="12">
      <c r="A687" s="148"/>
      <c r="B687" s="174" t="s">
        <v>338</v>
      </c>
      <c r="C687" s="175" t="s">
        <v>442</v>
      </c>
      <c r="D687" s="176" t="s">
        <v>443</v>
      </c>
      <c r="E687" s="177" t="s">
        <v>339</v>
      </c>
      <c r="F687" s="175">
        <f t="shared" si="30"/>
        <v>24</v>
      </c>
      <c r="G687" s="175" t="str">
        <f t="shared" si="31"/>
        <v>Sacramento/Placerville</v>
      </c>
      <c r="H687" s="175" t="str">
        <f t="shared" si="32"/>
        <v>Sacramento/Placerville, CA</v>
      </c>
      <c r="I687" s="178" t="s">
        <v>1420</v>
      </c>
      <c r="J687" s="27" t="s">
        <v>443</v>
      </c>
      <c r="K687" s="27">
        <v>145</v>
      </c>
      <c r="L687" s="179">
        <v>3016</v>
      </c>
      <c r="M687" s="178" t="s">
        <v>641</v>
      </c>
      <c r="N687" s="27" t="s">
        <v>443</v>
      </c>
      <c r="O687" s="182" t="s">
        <v>642</v>
      </c>
    </row>
    <row r="688" spans="1:15" ht="12">
      <c r="A688" s="148"/>
      <c r="B688" s="174" t="s">
        <v>340</v>
      </c>
      <c r="C688" s="175" t="s">
        <v>442</v>
      </c>
      <c r="D688" s="176" t="s">
        <v>443</v>
      </c>
      <c r="E688" s="177" t="s">
        <v>339</v>
      </c>
      <c r="F688" s="175">
        <f t="shared" si="30"/>
        <v>24</v>
      </c>
      <c r="G688" s="175" t="str">
        <f t="shared" si="31"/>
        <v>Sacramento/Placerville</v>
      </c>
      <c r="H688" s="175" t="str">
        <f t="shared" si="32"/>
        <v>Sacramento/Placerville, CA</v>
      </c>
      <c r="I688" s="178" t="s">
        <v>640</v>
      </c>
      <c r="J688" s="27" t="s">
        <v>443</v>
      </c>
      <c r="K688" s="27">
        <v>1237</v>
      </c>
      <c r="L688" s="179">
        <v>2749</v>
      </c>
      <c r="M688" s="178" t="s">
        <v>641</v>
      </c>
      <c r="N688" s="27" t="s">
        <v>443</v>
      </c>
      <c r="O688" s="182" t="s">
        <v>642</v>
      </c>
    </row>
    <row r="689" spans="1:15" ht="12">
      <c r="A689" s="148"/>
      <c r="B689" s="174" t="s">
        <v>341</v>
      </c>
      <c r="C689" s="175" t="s">
        <v>489</v>
      </c>
      <c r="D689" s="176" t="s">
        <v>490</v>
      </c>
      <c r="E689" s="177" t="s">
        <v>342</v>
      </c>
      <c r="F689" s="175">
        <f t="shared" si="30"/>
        <v>9</v>
      </c>
      <c r="G689" s="175" t="str">
        <f t="shared" si="31"/>
        <v>Saginaw</v>
      </c>
      <c r="H689" s="175" t="str">
        <f t="shared" si="32"/>
        <v>Saginaw, MI</v>
      </c>
      <c r="I689" s="178" t="s">
        <v>1937</v>
      </c>
      <c r="J689" s="27" t="s">
        <v>490</v>
      </c>
      <c r="K689" s="27">
        <v>490</v>
      </c>
      <c r="L689" s="179">
        <v>7101</v>
      </c>
      <c r="M689" s="180" t="s">
        <v>968</v>
      </c>
      <c r="N689" s="181" t="s">
        <v>490</v>
      </c>
      <c r="O689" s="182" t="s">
        <v>969</v>
      </c>
    </row>
    <row r="690" spans="1:15" ht="12">
      <c r="A690" s="148"/>
      <c r="B690" s="174" t="s">
        <v>343</v>
      </c>
      <c r="C690" s="175" t="s">
        <v>489</v>
      </c>
      <c r="D690" s="176" t="s">
        <v>490</v>
      </c>
      <c r="E690" s="177" t="s">
        <v>342</v>
      </c>
      <c r="F690" s="175">
        <f t="shared" si="30"/>
        <v>9</v>
      </c>
      <c r="G690" s="175" t="str">
        <f t="shared" si="31"/>
        <v>Saginaw</v>
      </c>
      <c r="H690" s="175" t="str">
        <f t="shared" si="32"/>
        <v>Saginaw, MI</v>
      </c>
      <c r="I690" s="178" t="s">
        <v>1941</v>
      </c>
      <c r="J690" s="27" t="s">
        <v>490</v>
      </c>
      <c r="K690" s="27">
        <v>483</v>
      </c>
      <c r="L690" s="179">
        <v>6979</v>
      </c>
      <c r="M690" s="180" t="s">
        <v>1938</v>
      </c>
      <c r="N690" s="181" t="s">
        <v>490</v>
      </c>
      <c r="O690" s="182" t="s">
        <v>1939</v>
      </c>
    </row>
    <row r="691" spans="1:15" ht="12">
      <c r="A691" s="148"/>
      <c r="B691" s="174" t="s">
        <v>344</v>
      </c>
      <c r="C691" s="175" t="s">
        <v>1377</v>
      </c>
      <c r="D691" s="176" t="s">
        <v>1378</v>
      </c>
      <c r="E691" s="177" t="s">
        <v>345</v>
      </c>
      <c r="F691" s="175">
        <f t="shared" si="30"/>
        <v>15</v>
      </c>
      <c r="G691" s="175" t="str">
        <f t="shared" si="31"/>
        <v>Saint Charles</v>
      </c>
      <c r="H691" s="175" t="str">
        <f t="shared" si="32"/>
        <v>Saint Charles, MO</v>
      </c>
      <c r="I691" s="178" t="s">
        <v>1380</v>
      </c>
      <c r="J691" s="27" t="s">
        <v>1378</v>
      </c>
      <c r="K691" s="27">
        <v>1534</v>
      </c>
      <c r="L691" s="179">
        <v>4758</v>
      </c>
      <c r="M691" s="178" t="s">
        <v>1381</v>
      </c>
      <c r="N691" s="27" t="s">
        <v>1378</v>
      </c>
      <c r="O691" s="182" t="s">
        <v>1382</v>
      </c>
    </row>
    <row r="692" spans="1:15" ht="12">
      <c r="A692" s="148"/>
      <c r="B692" s="174" t="s">
        <v>346</v>
      </c>
      <c r="C692" s="175" t="s">
        <v>1626</v>
      </c>
      <c r="D692" s="176" t="s">
        <v>1627</v>
      </c>
      <c r="E692" s="177" t="s">
        <v>347</v>
      </c>
      <c r="F692" s="175">
        <f t="shared" si="30"/>
        <v>13</v>
      </c>
      <c r="G692" s="175" t="str">
        <f t="shared" si="31"/>
        <v>Saint Cloud</v>
      </c>
      <c r="H692" s="175" t="str">
        <f t="shared" si="32"/>
        <v>Saint Cloud, MN</v>
      </c>
      <c r="I692" s="178" t="s">
        <v>683</v>
      </c>
      <c r="J692" s="27" t="s">
        <v>1627</v>
      </c>
      <c r="K692" s="27">
        <v>415</v>
      </c>
      <c r="L692" s="179">
        <v>8928</v>
      </c>
      <c r="M692" s="178" t="s">
        <v>684</v>
      </c>
      <c r="N692" s="27" t="s">
        <v>1627</v>
      </c>
      <c r="O692" s="182" t="s">
        <v>685</v>
      </c>
    </row>
    <row r="693" spans="1:15" ht="12">
      <c r="A693" s="148"/>
      <c r="B693" s="174" t="s">
        <v>348</v>
      </c>
      <c r="C693" s="175" t="s">
        <v>1377</v>
      </c>
      <c r="D693" s="176" t="s">
        <v>1378</v>
      </c>
      <c r="E693" s="177" t="s">
        <v>349</v>
      </c>
      <c r="F693" s="175">
        <f t="shared" si="30"/>
        <v>14</v>
      </c>
      <c r="G693" s="175" t="str">
        <f t="shared" si="31"/>
        <v>Saint Joseph</v>
      </c>
      <c r="H693" s="175" t="str">
        <f t="shared" si="32"/>
        <v>Saint Joseph, MO</v>
      </c>
      <c r="I693" s="178" t="s">
        <v>905</v>
      </c>
      <c r="J693" s="27" t="s">
        <v>1507</v>
      </c>
      <c r="K693" s="27">
        <v>1304</v>
      </c>
      <c r="L693" s="179">
        <v>5265</v>
      </c>
      <c r="M693" s="180" t="s">
        <v>647</v>
      </c>
      <c r="N693" s="181" t="s">
        <v>1507</v>
      </c>
      <c r="O693" s="182" t="s">
        <v>648</v>
      </c>
    </row>
    <row r="694" spans="1:15" ht="12">
      <c r="A694" s="148"/>
      <c r="B694" s="174" t="s">
        <v>350</v>
      </c>
      <c r="C694" s="175" t="s">
        <v>1377</v>
      </c>
      <c r="D694" s="176" t="s">
        <v>1378</v>
      </c>
      <c r="E694" s="177" t="s">
        <v>349</v>
      </c>
      <c r="F694" s="175">
        <f t="shared" si="30"/>
        <v>14</v>
      </c>
      <c r="G694" s="175" t="str">
        <f t="shared" si="31"/>
        <v>Saint Joseph</v>
      </c>
      <c r="H694" s="175" t="str">
        <f t="shared" si="32"/>
        <v>Saint Joseph, MO</v>
      </c>
      <c r="I694" s="178" t="s">
        <v>2381</v>
      </c>
      <c r="J694" s="27" t="s">
        <v>1378</v>
      </c>
      <c r="K694" s="27">
        <v>1288</v>
      </c>
      <c r="L694" s="179">
        <v>5393</v>
      </c>
      <c r="M694" s="180" t="s">
        <v>2382</v>
      </c>
      <c r="N694" s="181" t="s">
        <v>1378</v>
      </c>
      <c r="O694" s="182" t="s">
        <v>2383</v>
      </c>
    </row>
    <row r="695" spans="1:15" ht="12">
      <c r="A695" s="148"/>
      <c r="B695" s="174" t="s">
        <v>351</v>
      </c>
      <c r="C695" s="175" t="s">
        <v>1377</v>
      </c>
      <c r="D695" s="176" t="s">
        <v>1378</v>
      </c>
      <c r="E695" s="177" t="s">
        <v>352</v>
      </c>
      <c r="F695" s="175">
        <f t="shared" si="30"/>
        <v>13</v>
      </c>
      <c r="G695" s="175" t="str">
        <f t="shared" si="31"/>
        <v>Saint Louis</v>
      </c>
      <c r="H695" s="175" t="str">
        <f t="shared" si="32"/>
        <v>Saint Louis, MO</v>
      </c>
      <c r="I695" s="178" t="s">
        <v>1380</v>
      </c>
      <c r="J695" s="27" t="s">
        <v>1378</v>
      </c>
      <c r="K695" s="27">
        <v>1534</v>
      </c>
      <c r="L695" s="179">
        <v>4758</v>
      </c>
      <c r="M695" s="178" t="s">
        <v>1381</v>
      </c>
      <c r="N695" s="27" t="s">
        <v>1378</v>
      </c>
      <c r="O695" s="182" t="s">
        <v>1382</v>
      </c>
    </row>
    <row r="696" spans="1:15" ht="12">
      <c r="A696" s="148"/>
      <c r="B696" s="174" t="s">
        <v>353</v>
      </c>
      <c r="C696" s="175" t="s">
        <v>1377</v>
      </c>
      <c r="D696" s="176" t="s">
        <v>1378</v>
      </c>
      <c r="E696" s="177" t="s">
        <v>352</v>
      </c>
      <c r="F696" s="175">
        <f t="shared" si="30"/>
        <v>13</v>
      </c>
      <c r="G696" s="175" t="str">
        <f t="shared" si="31"/>
        <v>Saint Louis</v>
      </c>
      <c r="H696" s="175" t="str">
        <f t="shared" si="32"/>
        <v>Saint Louis, MO</v>
      </c>
      <c r="I696" s="178" t="s">
        <v>1380</v>
      </c>
      <c r="J696" s="27" t="s">
        <v>1378</v>
      </c>
      <c r="K696" s="27">
        <v>1534</v>
      </c>
      <c r="L696" s="179">
        <v>4758</v>
      </c>
      <c r="M696" s="178" t="s">
        <v>1381</v>
      </c>
      <c r="N696" s="27" t="s">
        <v>1378</v>
      </c>
      <c r="O696" s="182" t="s">
        <v>1382</v>
      </c>
    </row>
    <row r="697" spans="1:15" ht="12">
      <c r="A697" s="148"/>
      <c r="B697" s="174" t="s">
        <v>354</v>
      </c>
      <c r="C697" s="175" t="s">
        <v>1377</v>
      </c>
      <c r="D697" s="176" t="s">
        <v>1378</v>
      </c>
      <c r="E697" s="177" t="s">
        <v>352</v>
      </c>
      <c r="F697" s="175">
        <f t="shared" si="30"/>
        <v>13</v>
      </c>
      <c r="G697" s="175" t="str">
        <f t="shared" si="31"/>
        <v>Saint Louis</v>
      </c>
      <c r="H697" s="175" t="str">
        <f t="shared" si="32"/>
        <v>Saint Louis, MO</v>
      </c>
      <c r="I697" s="178" t="s">
        <v>1380</v>
      </c>
      <c r="J697" s="27" t="s">
        <v>1378</v>
      </c>
      <c r="K697" s="27">
        <v>1534</v>
      </c>
      <c r="L697" s="179">
        <v>4758</v>
      </c>
      <c r="M697" s="178" t="s">
        <v>1381</v>
      </c>
      <c r="N697" s="27" t="s">
        <v>1378</v>
      </c>
      <c r="O697" s="182" t="s">
        <v>1382</v>
      </c>
    </row>
    <row r="698" spans="1:15" ht="12">
      <c r="A698" s="148"/>
      <c r="B698" s="174" t="s">
        <v>355</v>
      </c>
      <c r="C698" s="175" t="s">
        <v>1626</v>
      </c>
      <c r="D698" s="176" t="s">
        <v>1627</v>
      </c>
      <c r="E698" s="177" t="s">
        <v>356</v>
      </c>
      <c r="F698" s="175">
        <f t="shared" si="30"/>
        <v>12</v>
      </c>
      <c r="G698" s="175" t="str">
        <f t="shared" si="31"/>
        <v>Saint Paul</v>
      </c>
      <c r="H698" s="175" t="str">
        <f t="shared" si="32"/>
        <v>Saint Paul, MN</v>
      </c>
      <c r="I698" s="178" t="s">
        <v>53</v>
      </c>
      <c r="J698" s="27" t="s">
        <v>1627</v>
      </c>
      <c r="K698" s="27">
        <v>682</v>
      </c>
      <c r="L698" s="179">
        <v>7981</v>
      </c>
      <c r="M698" s="178" t="s">
        <v>684</v>
      </c>
      <c r="N698" s="27" t="s">
        <v>1627</v>
      </c>
      <c r="O698" s="182" t="s">
        <v>685</v>
      </c>
    </row>
    <row r="699" spans="1:15" ht="12">
      <c r="A699" s="148"/>
      <c r="B699" s="174" t="s">
        <v>357</v>
      </c>
      <c r="C699" s="175" t="s">
        <v>1626</v>
      </c>
      <c r="D699" s="176" t="s">
        <v>1627</v>
      </c>
      <c r="E699" s="177" t="s">
        <v>356</v>
      </c>
      <c r="F699" s="175">
        <f t="shared" si="30"/>
        <v>12</v>
      </c>
      <c r="G699" s="175" t="str">
        <f t="shared" si="31"/>
        <v>Saint Paul</v>
      </c>
      <c r="H699" s="175" t="str">
        <f t="shared" si="32"/>
        <v>Saint Paul, MN</v>
      </c>
      <c r="I699" s="178" t="s">
        <v>53</v>
      </c>
      <c r="J699" s="27" t="s">
        <v>1627</v>
      </c>
      <c r="K699" s="27">
        <v>682</v>
      </c>
      <c r="L699" s="179">
        <v>7981</v>
      </c>
      <c r="M699" s="178" t="s">
        <v>684</v>
      </c>
      <c r="N699" s="27" t="s">
        <v>1627</v>
      </c>
      <c r="O699" s="182" t="s">
        <v>685</v>
      </c>
    </row>
    <row r="700" spans="1:15" ht="12">
      <c r="A700" s="148"/>
      <c r="B700" s="174" t="s">
        <v>358</v>
      </c>
      <c r="C700" s="175" t="s">
        <v>1633</v>
      </c>
      <c r="D700" s="176" t="s">
        <v>1634</v>
      </c>
      <c r="E700" s="177" t="s">
        <v>359</v>
      </c>
      <c r="F700" s="175">
        <f t="shared" si="30"/>
        <v>7</v>
      </c>
      <c r="G700" s="175" t="str">
        <f t="shared" si="31"/>
        <v>Salem</v>
      </c>
      <c r="H700" s="175" t="str">
        <f t="shared" si="32"/>
        <v>Salem, OR</v>
      </c>
      <c r="I700" s="178" t="s">
        <v>795</v>
      </c>
      <c r="J700" s="27" t="s">
        <v>1634</v>
      </c>
      <c r="K700" s="27">
        <v>247</v>
      </c>
      <c r="L700" s="179">
        <v>4927</v>
      </c>
      <c r="M700" s="178" t="s">
        <v>796</v>
      </c>
      <c r="N700" s="27" t="s">
        <v>1634</v>
      </c>
      <c r="O700" s="182" t="s">
        <v>797</v>
      </c>
    </row>
    <row r="701" spans="1:15" ht="12">
      <c r="A701" s="148"/>
      <c r="B701" s="174" t="s">
        <v>360</v>
      </c>
      <c r="C701" s="175" t="s">
        <v>402</v>
      </c>
      <c r="D701" s="176" t="s">
        <v>403</v>
      </c>
      <c r="E701" s="177" t="s">
        <v>361</v>
      </c>
      <c r="F701" s="175">
        <f t="shared" si="30"/>
        <v>8</v>
      </c>
      <c r="G701" s="175" t="str">
        <f t="shared" si="31"/>
        <v>Salida</v>
      </c>
      <c r="H701" s="175" t="str">
        <f t="shared" si="32"/>
        <v>Salida, CO</v>
      </c>
      <c r="I701" s="178" t="s">
        <v>405</v>
      </c>
      <c r="J701" s="27" t="s">
        <v>403</v>
      </c>
      <c r="K701" s="27">
        <v>62</v>
      </c>
      <c r="L701" s="179">
        <v>8749</v>
      </c>
      <c r="M701" s="180" t="s">
        <v>2101</v>
      </c>
      <c r="N701" s="181" t="s">
        <v>403</v>
      </c>
      <c r="O701" s="182" t="s">
        <v>2102</v>
      </c>
    </row>
    <row r="702" spans="1:15" ht="12">
      <c r="A702" s="148"/>
      <c r="B702" s="174" t="s">
        <v>362</v>
      </c>
      <c r="C702" s="175" t="s">
        <v>1506</v>
      </c>
      <c r="D702" s="176" t="s">
        <v>1507</v>
      </c>
      <c r="E702" s="177" t="s">
        <v>363</v>
      </c>
      <c r="F702" s="175">
        <f t="shared" si="30"/>
        <v>8</v>
      </c>
      <c r="G702" s="175" t="str">
        <f t="shared" si="31"/>
        <v>Salina</v>
      </c>
      <c r="H702" s="175" t="str">
        <f t="shared" si="32"/>
        <v>Salina, KS</v>
      </c>
      <c r="I702" s="178" t="s">
        <v>905</v>
      </c>
      <c r="J702" s="27" t="s">
        <v>1507</v>
      </c>
      <c r="K702" s="27">
        <v>1304</v>
      </c>
      <c r="L702" s="179">
        <v>5265</v>
      </c>
      <c r="M702" s="180" t="s">
        <v>647</v>
      </c>
      <c r="N702" s="181" t="s">
        <v>1507</v>
      </c>
      <c r="O702" s="182" t="s">
        <v>648</v>
      </c>
    </row>
    <row r="703" spans="1:15" ht="12">
      <c r="A703" s="148"/>
      <c r="B703" s="174" t="s">
        <v>364</v>
      </c>
      <c r="C703" s="175" t="s">
        <v>496</v>
      </c>
      <c r="D703" s="176" t="s">
        <v>439</v>
      </c>
      <c r="E703" s="177" t="s">
        <v>365</v>
      </c>
      <c r="F703" s="175">
        <f t="shared" si="30"/>
        <v>11</v>
      </c>
      <c r="G703" s="175" t="str">
        <f t="shared" si="31"/>
        <v>Salisbury</v>
      </c>
      <c r="H703" s="175" t="str">
        <f t="shared" si="32"/>
        <v>Salisbury, MD</v>
      </c>
      <c r="I703" s="178" t="s">
        <v>366</v>
      </c>
      <c r="J703" s="27" t="s">
        <v>435</v>
      </c>
      <c r="K703" s="27">
        <v>1096</v>
      </c>
      <c r="L703" s="179">
        <v>4261</v>
      </c>
      <c r="M703" s="180" t="s">
        <v>2351</v>
      </c>
      <c r="N703" s="181" t="s">
        <v>435</v>
      </c>
      <c r="O703" s="182" t="s">
        <v>2352</v>
      </c>
    </row>
    <row r="704" spans="1:15" ht="12">
      <c r="A704" s="148"/>
      <c r="B704" s="174" t="s">
        <v>367</v>
      </c>
      <c r="C704" s="175" t="s">
        <v>1198</v>
      </c>
      <c r="D704" s="176" t="s">
        <v>1199</v>
      </c>
      <c r="E704" s="177" t="s">
        <v>368</v>
      </c>
      <c r="F704" s="175">
        <f t="shared" si="30"/>
        <v>16</v>
      </c>
      <c r="G704" s="175" t="str">
        <f t="shared" si="31"/>
        <v>Salt Lake City</v>
      </c>
      <c r="H704" s="175" t="str">
        <f t="shared" si="32"/>
        <v>Salt Lake City, UT</v>
      </c>
      <c r="I704" s="178" t="s">
        <v>1201</v>
      </c>
      <c r="J704" s="27" t="s">
        <v>1199</v>
      </c>
      <c r="K704" s="27">
        <v>1047</v>
      </c>
      <c r="L704" s="179">
        <v>5765</v>
      </c>
      <c r="M704" s="180" t="s">
        <v>1202</v>
      </c>
      <c r="N704" s="181" t="s">
        <v>1199</v>
      </c>
      <c r="O704" s="182" t="s">
        <v>1203</v>
      </c>
    </row>
    <row r="705" spans="1:15" ht="12">
      <c r="A705" s="148"/>
      <c r="B705" s="174" t="s">
        <v>369</v>
      </c>
      <c r="C705" s="175" t="s">
        <v>1198</v>
      </c>
      <c r="D705" s="176" t="s">
        <v>1199</v>
      </c>
      <c r="E705" s="177" t="s">
        <v>370</v>
      </c>
      <c r="F705" s="175">
        <f t="shared" si="30"/>
        <v>27</v>
      </c>
      <c r="G705" s="175" t="str">
        <f t="shared" si="31"/>
        <v>Salt Lake City/Heber City</v>
      </c>
      <c r="H705" s="175" t="str">
        <f t="shared" si="32"/>
        <v>Salt Lake City/Heber City, UT</v>
      </c>
      <c r="I705" s="178" t="s">
        <v>1201</v>
      </c>
      <c r="J705" s="27" t="s">
        <v>1199</v>
      </c>
      <c r="K705" s="27">
        <v>1047</v>
      </c>
      <c r="L705" s="179">
        <v>5765</v>
      </c>
      <c r="M705" s="180" t="s">
        <v>1202</v>
      </c>
      <c r="N705" s="181" t="s">
        <v>1199</v>
      </c>
      <c r="O705" s="182" t="s">
        <v>1203</v>
      </c>
    </row>
    <row r="706" spans="1:15" ht="12">
      <c r="A706" s="148"/>
      <c r="B706" s="174" t="s">
        <v>371</v>
      </c>
      <c r="C706" s="175" t="s">
        <v>263</v>
      </c>
      <c r="D706" s="176" t="s">
        <v>264</v>
      </c>
      <c r="E706" s="177" t="s">
        <v>372</v>
      </c>
      <c r="F706" s="175">
        <f t="shared" si="30"/>
        <v>12</v>
      </c>
      <c r="G706" s="175" t="str">
        <f t="shared" si="31"/>
        <v>San Angelo</v>
      </c>
      <c r="H706" s="175" t="str">
        <f t="shared" si="32"/>
        <v>San Angelo, TX</v>
      </c>
      <c r="I706" s="178" t="s">
        <v>373</v>
      </c>
      <c r="J706" s="27" t="s">
        <v>264</v>
      </c>
      <c r="K706" s="27">
        <v>2400</v>
      </c>
      <c r="L706" s="179">
        <v>2414</v>
      </c>
      <c r="M706" s="180" t="s">
        <v>374</v>
      </c>
      <c r="N706" s="181" t="s">
        <v>264</v>
      </c>
      <c r="O706" s="182" t="s">
        <v>375</v>
      </c>
    </row>
    <row r="707" spans="1:15" ht="12">
      <c r="A707" s="148"/>
      <c r="B707" s="174" t="s">
        <v>376</v>
      </c>
      <c r="C707" s="175" t="s">
        <v>263</v>
      </c>
      <c r="D707" s="176" t="s">
        <v>264</v>
      </c>
      <c r="E707" s="177" t="s">
        <v>377</v>
      </c>
      <c r="F707" s="175">
        <f t="shared" si="30"/>
        <v>13</v>
      </c>
      <c r="G707" s="175" t="str">
        <f t="shared" si="31"/>
        <v>San Antonio</v>
      </c>
      <c r="H707" s="175" t="str">
        <f t="shared" si="32"/>
        <v>San Antonio, TX</v>
      </c>
      <c r="I707" s="178" t="s">
        <v>1572</v>
      </c>
      <c r="J707" s="27" t="s">
        <v>264</v>
      </c>
      <c r="K707" s="27">
        <v>3016</v>
      </c>
      <c r="L707" s="179">
        <v>1688</v>
      </c>
      <c r="M707" s="180" t="s">
        <v>974</v>
      </c>
      <c r="N707" s="181" t="s">
        <v>264</v>
      </c>
      <c r="O707" s="182" t="s">
        <v>975</v>
      </c>
    </row>
    <row r="708" spans="1:15" ht="12">
      <c r="A708" s="148"/>
      <c r="B708" s="174" t="s">
        <v>378</v>
      </c>
      <c r="C708" s="175" t="s">
        <v>263</v>
      </c>
      <c r="D708" s="176" t="s">
        <v>264</v>
      </c>
      <c r="E708" s="177" t="s">
        <v>377</v>
      </c>
      <c r="F708" s="175">
        <f t="shared" si="30"/>
        <v>13</v>
      </c>
      <c r="G708" s="175" t="str">
        <f t="shared" si="31"/>
        <v>San Antonio</v>
      </c>
      <c r="H708" s="175" t="str">
        <f t="shared" si="32"/>
        <v>San Antonio, TX</v>
      </c>
      <c r="I708" s="178" t="s">
        <v>1568</v>
      </c>
      <c r="J708" s="27" t="s">
        <v>264</v>
      </c>
      <c r="K708" s="27">
        <v>2996</v>
      </c>
      <c r="L708" s="179">
        <v>1644</v>
      </c>
      <c r="M708" s="180" t="s">
        <v>974</v>
      </c>
      <c r="N708" s="181" t="s">
        <v>264</v>
      </c>
      <c r="O708" s="182" t="s">
        <v>975</v>
      </c>
    </row>
    <row r="709" spans="1:15" ht="12">
      <c r="A709" s="148"/>
      <c r="B709" s="174" t="s">
        <v>379</v>
      </c>
      <c r="C709" s="175" t="s">
        <v>442</v>
      </c>
      <c r="D709" s="176" t="s">
        <v>443</v>
      </c>
      <c r="E709" s="177" t="s">
        <v>380</v>
      </c>
      <c r="F709" s="175">
        <f t="shared" si="30"/>
        <v>32</v>
      </c>
      <c r="G709" s="175" t="str">
        <f t="shared" si="31"/>
        <v>San Bern./Victorville/Redlands</v>
      </c>
      <c r="H709" s="175" t="str">
        <f t="shared" si="32"/>
        <v>San Bern./Victorville/Redlands, CA</v>
      </c>
      <c r="I709" s="178" t="s">
        <v>920</v>
      </c>
      <c r="J709" s="27" t="s">
        <v>1402</v>
      </c>
      <c r="K709" s="27">
        <v>3201</v>
      </c>
      <c r="L709" s="179">
        <v>2407</v>
      </c>
      <c r="M709" s="180" t="s">
        <v>921</v>
      </c>
      <c r="N709" s="181" t="s">
        <v>1402</v>
      </c>
      <c r="O709" s="182" t="s">
        <v>922</v>
      </c>
    </row>
    <row r="710" spans="1:15" ht="12">
      <c r="A710" s="148"/>
      <c r="B710" s="174" t="s">
        <v>381</v>
      </c>
      <c r="C710" s="175" t="s">
        <v>442</v>
      </c>
      <c r="D710" s="176" t="s">
        <v>443</v>
      </c>
      <c r="E710" s="177" t="s">
        <v>382</v>
      </c>
      <c r="F710" s="175">
        <f t="shared" ref="F710:F773" si="33">LEN(E710)</f>
        <v>16</v>
      </c>
      <c r="G710" s="175" t="str">
        <f t="shared" ref="G710:G773" si="34">MID(E710,2,F710-2)</f>
        <v>San Bernardino</v>
      </c>
      <c r="H710" s="175" t="str">
        <f t="shared" ref="H710:H773" si="35">CONCATENATE(G710,", ",+D710)</f>
        <v>San Bernardino, CA</v>
      </c>
      <c r="I710" s="178" t="s">
        <v>445</v>
      </c>
      <c r="J710" s="27" t="s">
        <v>443</v>
      </c>
      <c r="K710" s="27">
        <v>1537</v>
      </c>
      <c r="L710" s="179">
        <v>1154</v>
      </c>
      <c r="M710" s="178" t="s">
        <v>446</v>
      </c>
      <c r="N710" s="27" t="s">
        <v>443</v>
      </c>
      <c r="O710" s="182" t="s">
        <v>447</v>
      </c>
    </row>
    <row r="711" spans="1:15" ht="12">
      <c r="A711" s="148"/>
      <c r="B711" s="174" t="s">
        <v>383</v>
      </c>
      <c r="C711" s="175" t="s">
        <v>442</v>
      </c>
      <c r="D711" s="176" t="s">
        <v>443</v>
      </c>
      <c r="E711" s="177" t="s">
        <v>384</v>
      </c>
      <c r="F711" s="175">
        <f t="shared" si="33"/>
        <v>11</v>
      </c>
      <c r="G711" s="175" t="str">
        <f t="shared" si="34"/>
        <v>San Diego</v>
      </c>
      <c r="H711" s="175" t="str">
        <f t="shared" si="35"/>
        <v>San Diego, CA</v>
      </c>
      <c r="I711" s="178" t="s">
        <v>2307</v>
      </c>
      <c r="J711" s="27" t="s">
        <v>443</v>
      </c>
      <c r="K711" s="27">
        <v>984</v>
      </c>
      <c r="L711" s="179">
        <v>1256</v>
      </c>
      <c r="M711" s="178" t="s">
        <v>2308</v>
      </c>
      <c r="N711" s="27" t="s">
        <v>443</v>
      </c>
      <c r="O711" s="182" t="s">
        <v>2309</v>
      </c>
    </row>
    <row r="712" spans="1:15" ht="12">
      <c r="A712" s="148"/>
      <c r="B712" s="174" t="s">
        <v>385</v>
      </c>
      <c r="C712" s="175" t="s">
        <v>442</v>
      </c>
      <c r="D712" s="176" t="s">
        <v>443</v>
      </c>
      <c r="E712" s="177" t="s">
        <v>384</v>
      </c>
      <c r="F712" s="175">
        <f t="shared" si="33"/>
        <v>11</v>
      </c>
      <c r="G712" s="175" t="str">
        <f t="shared" si="34"/>
        <v>San Diego</v>
      </c>
      <c r="H712" s="175" t="str">
        <f t="shared" si="35"/>
        <v>San Diego, CA</v>
      </c>
      <c r="I712" s="178" t="s">
        <v>471</v>
      </c>
      <c r="J712" s="27" t="s">
        <v>443</v>
      </c>
      <c r="K712" s="27">
        <v>1201</v>
      </c>
      <c r="L712" s="179">
        <v>1430</v>
      </c>
      <c r="M712" s="178" t="s">
        <v>2308</v>
      </c>
      <c r="N712" s="27" t="s">
        <v>443</v>
      </c>
      <c r="O712" s="182" t="s">
        <v>2309</v>
      </c>
    </row>
    <row r="713" spans="1:15" ht="12">
      <c r="A713" s="148"/>
      <c r="B713" s="174" t="s">
        <v>386</v>
      </c>
      <c r="C713" s="175" t="s">
        <v>442</v>
      </c>
      <c r="D713" s="176" t="s">
        <v>443</v>
      </c>
      <c r="E713" s="177" t="s">
        <v>384</v>
      </c>
      <c r="F713" s="175">
        <f t="shared" si="33"/>
        <v>11</v>
      </c>
      <c r="G713" s="175" t="str">
        <f t="shared" si="34"/>
        <v>San Diego</v>
      </c>
      <c r="H713" s="175" t="str">
        <f t="shared" si="35"/>
        <v>San Diego, CA</v>
      </c>
      <c r="I713" s="178" t="s">
        <v>2307</v>
      </c>
      <c r="J713" s="27" t="s">
        <v>443</v>
      </c>
      <c r="K713" s="27">
        <v>984</v>
      </c>
      <c r="L713" s="179">
        <v>1256</v>
      </c>
      <c r="M713" s="178" t="s">
        <v>2308</v>
      </c>
      <c r="N713" s="27" t="s">
        <v>443</v>
      </c>
      <c r="O713" s="182" t="s">
        <v>2309</v>
      </c>
    </row>
    <row r="714" spans="1:15" ht="12">
      <c r="A714" s="148"/>
      <c r="B714" s="174" t="s">
        <v>387</v>
      </c>
      <c r="C714" s="175" t="s">
        <v>442</v>
      </c>
      <c r="D714" s="176" t="s">
        <v>443</v>
      </c>
      <c r="E714" s="177" t="s">
        <v>388</v>
      </c>
      <c r="F714" s="175">
        <f t="shared" si="33"/>
        <v>15</v>
      </c>
      <c r="G714" s="175" t="str">
        <f t="shared" si="34"/>
        <v>San Francisco</v>
      </c>
      <c r="H714" s="175" t="str">
        <f t="shared" si="35"/>
        <v>San Francisco, CA</v>
      </c>
      <c r="I714" s="178" t="s">
        <v>200</v>
      </c>
      <c r="J714" s="27" t="s">
        <v>443</v>
      </c>
      <c r="K714" s="27">
        <v>65</v>
      </c>
      <c r="L714" s="179">
        <v>3005</v>
      </c>
      <c r="M714" s="178" t="s">
        <v>201</v>
      </c>
      <c r="N714" s="27" t="s">
        <v>443</v>
      </c>
      <c r="O714" s="182" t="s">
        <v>202</v>
      </c>
    </row>
    <row r="715" spans="1:15" ht="12">
      <c r="A715" s="148"/>
      <c r="B715" s="174" t="s">
        <v>993</v>
      </c>
      <c r="C715" s="175" t="s">
        <v>442</v>
      </c>
      <c r="D715" s="176" t="s">
        <v>443</v>
      </c>
      <c r="E715" s="177" t="s">
        <v>994</v>
      </c>
      <c r="F715" s="175">
        <f t="shared" si="33"/>
        <v>10</v>
      </c>
      <c r="G715" s="175" t="str">
        <f t="shared" si="34"/>
        <v>San Jose</v>
      </c>
      <c r="H715" s="175" t="str">
        <f t="shared" si="35"/>
        <v>San Jose, CA</v>
      </c>
      <c r="I715" s="178" t="s">
        <v>1420</v>
      </c>
      <c r="J715" s="27" t="s">
        <v>443</v>
      </c>
      <c r="K715" s="27">
        <v>145</v>
      </c>
      <c r="L715" s="179">
        <v>3016</v>
      </c>
      <c r="M715" s="178" t="s">
        <v>1421</v>
      </c>
      <c r="N715" s="27" t="s">
        <v>443</v>
      </c>
      <c r="O715" s="182" t="s">
        <v>1422</v>
      </c>
    </row>
    <row r="716" spans="1:15" ht="12">
      <c r="A716" s="148"/>
      <c r="B716" s="186" t="s">
        <v>995</v>
      </c>
      <c r="C716" s="175" t="s">
        <v>996</v>
      </c>
      <c r="D716" s="176" t="s">
        <v>997</v>
      </c>
      <c r="E716" s="177" t="s">
        <v>998</v>
      </c>
      <c r="F716" s="175">
        <f t="shared" si="33"/>
        <v>10</v>
      </c>
      <c r="G716" s="175" t="str">
        <f t="shared" si="34"/>
        <v>San Juan</v>
      </c>
      <c r="H716" s="175" t="str">
        <f t="shared" si="35"/>
        <v>San Juan, PR</v>
      </c>
      <c r="I716" s="178" t="s">
        <v>999</v>
      </c>
      <c r="J716" s="27" t="s">
        <v>997</v>
      </c>
      <c r="K716" s="27">
        <v>5558</v>
      </c>
      <c r="L716" s="179">
        <v>0</v>
      </c>
      <c r="M716" s="178" t="s">
        <v>1000</v>
      </c>
      <c r="N716" s="27" t="s">
        <v>997</v>
      </c>
      <c r="O716" s="182" t="s">
        <v>1001</v>
      </c>
    </row>
    <row r="717" spans="1:15" ht="12">
      <c r="A717" s="148"/>
      <c r="B717" s="174" t="s">
        <v>1002</v>
      </c>
      <c r="C717" s="175" t="s">
        <v>442</v>
      </c>
      <c r="D717" s="176" t="s">
        <v>443</v>
      </c>
      <c r="E717" s="177" t="s">
        <v>1003</v>
      </c>
      <c r="F717" s="175">
        <f t="shared" si="33"/>
        <v>17</v>
      </c>
      <c r="G717" s="175" t="str">
        <f t="shared" si="34"/>
        <v>San Luis Obispo</v>
      </c>
      <c r="H717" s="175" t="str">
        <f t="shared" si="35"/>
        <v>San Luis Obispo, CA</v>
      </c>
      <c r="I717" s="178" t="s">
        <v>1004</v>
      </c>
      <c r="J717" s="27" t="s">
        <v>443</v>
      </c>
      <c r="K717" s="27">
        <v>169</v>
      </c>
      <c r="L717" s="179">
        <v>2984</v>
      </c>
      <c r="M717" s="178" t="s">
        <v>1576</v>
      </c>
      <c r="N717" s="27" t="s">
        <v>443</v>
      </c>
      <c r="O717" s="182" t="s">
        <v>1577</v>
      </c>
    </row>
    <row r="718" spans="1:15" ht="12">
      <c r="A718" s="148"/>
      <c r="B718" s="174" t="s">
        <v>1005</v>
      </c>
      <c r="C718" s="175" t="s">
        <v>442</v>
      </c>
      <c r="D718" s="176" t="s">
        <v>443</v>
      </c>
      <c r="E718" s="177" t="s">
        <v>1006</v>
      </c>
      <c r="F718" s="175">
        <f t="shared" si="33"/>
        <v>11</v>
      </c>
      <c r="G718" s="175" t="str">
        <f t="shared" si="34"/>
        <v>San Mateo</v>
      </c>
      <c r="H718" s="175" t="str">
        <f t="shared" si="35"/>
        <v>San Mateo, CA</v>
      </c>
      <c r="I718" s="178" t="s">
        <v>1420</v>
      </c>
      <c r="J718" s="27" t="s">
        <v>443</v>
      </c>
      <c r="K718" s="27">
        <v>145</v>
      </c>
      <c r="L718" s="179">
        <v>3016</v>
      </c>
      <c r="M718" s="178" t="s">
        <v>1421</v>
      </c>
      <c r="N718" s="27" t="s">
        <v>443</v>
      </c>
      <c r="O718" s="182" t="s">
        <v>1422</v>
      </c>
    </row>
    <row r="719" spans="1:15" ht="12">
      <c r="A719" s="148"/>
      <c r="B719" s="174" t="s">
        <v>1007</v>
      </c>
      <c r="C719" s="175" t="s">
        <v>442</v>
      </c>
      <c r="D719" s="176" t="s">
        <v>443</v>
      </c>
      <c r="E719" s="177" t="s">
        <v>1008</v>
      </c>
      <c r="F719" s="175">
        <f t="shared" si="33"/>
        <v>11</v>
      </c>
      <c r="G719" s="175" t="str">
        <f t="shared" si="34"/>
        <v>San Pedro</v>
      </c>
      <c r="H719" s="175" t="str">
        <f t="shared" si="35"/>
        <v>San Pedro, CA</v>
      </c>
      <c r="I719" s="178" t="s">
        <v>471</v>
      </c>
      <c r="J719" s="27" t="s">
        <v>443</v>
      </c>
      <c r="K719" s="27">
        <v>1201</v>
      </c>
      <c r="L719" s="179">
        <v>1430</v>
      </c>
      <c r="M719" s="178" t="s">
        <v>446</v>
      </c>
      <c r="N719" s="27" t="s">
        <v>443</v>
      </c>
      <c r="O719" s="182" t="s">
        <v>447</v>
      </c>
    </row>
    <row r="720" spans="1:15" ht="12">
      <c r="A720" s="148"/>
      <c r="B720" s="174" t="s">
        <v>1009</v>
      </c>
      <c r="C720" s="175" t="s">
        <v>442</v>
      </c>
      <c r="D720" s="176" t="s">
        <v>443</v>
      </c>
      <c r="E720" s="177" t="s">
        <v>1010</v>
      </c>
      <c r="F720" s="175">
        <f t="shared" si="33"/>
        <v>12</v>
      </c>
      <c r="G720" s="175" t="str">
        <f t="shared" si="34"/>
        <v>San Rafael</v>
      </c>
      <c r="H720" s="175" t="str">
        <f t="shared" si="35"/>
        <v>San Rafael, CA</v>
      </c>
      <c r="I720" s="178" t="s">
        <v>1420</v>
      </c>
      <c r="J720" s="27" t="s">
        <v>443</v>
      </c>
      <c r="K720" s="27">
        <v>145</v>
      </c>
      <c r="L720" s="179">
        <v>3016</v>
      </c>
      <c r="M720" s="178" t="s">
        <v>1421</v>
      </c>
      <c r="N720" s="27" t="s">
        <v>443</v>
      </c>
      <c r="O720" s="182" t="s">
        <v>1422</v>
      </c>
    </row>
    <row r="721" spans="1:15" ht="12">
      <c r="A721" s="148"/>
      <c r="B721" s="174" t="s">
        <v>1011</v>
      </c>
      <c r="C721" s="175" t="s">
        <v>442</v>
      </c>
      <c r="D721" s="176" t="s">
        <v>443</v>
      </c>
      <c r="E721" s="177" t="s">
        <v>1012</v>
      </c>
      <c r="F721" s="175">
        <f t="shared" si="33"/>
        <v>11</v>
      </c>
      <c r="G721" s="175" t="str">
        <f t="shared" si="34"/>
        <v>Santa Ana</v>
      </c>
      <c r="H721" s="175" t="str">
        <f t="shared" si="35"/>
        <v>Santa Ana, CA</v>
      </c>
      <c r="I721" s="178" t="s">
        <v>471</v>
      </c>
      <c r="J721" s="27" t="s">
        <v>443</v>
      </c>
      <c r="K721" s="27">
        <v>1201</v>
      </c>
      <c r="L721" s="179">
        <v>1430</v>
      </c>
      <c r="M721" s="178" t="s">
        <v>446</v>
      </c>
      <c r="N721" s="27" t="s">
        <v>443</v>
      </c>
      <c r="O721" s="182" t="s">
        <v>447</v>
      </c>
    </row>
    <row r="722" spans="1:15" ht="12">
      <c r="A722" s="148"/>
      <c r="B722" s="174" t="s">
        <v>1013</v>
      </c>
      <c r="C722" s="175" t="s">
        <v>442</v>
      </c>
      <c r="D722" s="176" t="s">
        <v>443</v>
      </c>
      <c r="E722" s="177" t="s">
        <v>1012</v>
      </c>
      <c r="F722" s="175">
        <f t="shared" si="33"/>
        <v>11</v>
      </c>
      <c r="G722" s="175" t="str">
        <f t="shared" si="34"/>
        <v>Santa Ana</v>
      </c>
      <c r="H722" s="175" t="str">
        <f t="shared" si="35"/>
        <v>Santa Ana, CA</v>
      </c>
      <c r="I722" s="178" t="s">
        <v>471</v>
      </c>
      <c r="J722" s="27" t="s">
        <v>443</v>
      </c>
      <c r="K722" s="27">
        <v>1201</v>
      </c>
      <c r="L722" s="179">
        <v>1430</v>
      </c>
      <c r="M722" s="178" t="s">
        <v>446</v>
      </c>
      <c r="N722" s="27" t="s">
        <v>443</v>
      </c>
      <c r="O722" s="182" t="s">
        <v>447</v>
      </c>
    </row>
    <row r="723" spans="1:15" ht="12">
      <c r="A723" s="148"/>
      <c r="B723" s="174" t="s">
        <v>1014</v>
      </c>
      <c r="C723" s="175" t="s">
        <v>442</v>
      </c>
      <c r="D723" s="176" t="s">
        <v>443</v>
      </c>
      <c r="E723" s="177" t="s">
        <v>1015</v>
      </c>
      <c r="F723" s="175">
        <f t="shared" si="33"/>
        <v>15</v>
      </c>
      <c r="G723" s="175" t="str">
        <f t="shared" si="34"/>
        <v>Santa Barbara</v>
      </c>
      <c r="H723" s="175" t="str">
        <f t="shared" si="35"/>
        <v>Santa Barbara, CA</v>
      </c>
      <c r="I723" s="178" t="s">
        <v>1016</v>
      </c>
      <c r="J723" s="27" t="s">
        <v>443</v>
      </c>
      <c r="K723" s="27">
        <v>289</v>
      </c>
      <c r="L723" s="179">
        <v>2438</v>
      </c>
      <c r="M723" s="178" t="s">
        <v>446</v>
      </c>
      <c r="N723" s="27" t="s">
        <v>443</v>
      </c>
      <c r="O723" s="182" t="s">
        <v>447</v>
      </c>
    </row>
    <row r="724" spans="1:15" ht="12">
      <c r="A724" s="148"/>
      <c r="B724" s="174" t="s">
        <v>1017</v>
      </c>
      <c r="C724" s="175" t="s">
        <v>424</v>
      </c>
      <c r="D724" s="176" t="s">
        <v>425</v>
      </c>
      <c r="E724" s="177" t="s">
        <v>1018</v>
      </c>
      <c r="F724" s="175">
        <f t="shared" si="33"/>
        <v>10</v>
      </c>
      <c r="G724" s="175" t="str">
        <f t="shared" si="34"/>
        <v>Santa Fe</v>
      </c>
      <c r="H724" s="175" t="str">
        <f t="shared" si="35"/>
        <v>Santa Fe, NM</v>
      </c>
      <c r="I724" s="178" t="s">
        <v>427</v>
      </c>
      <c r="J724" s="27" t="s">
        <v>425</v>
      </c>
      <c r="K724" s="27">
        <v>1244</v>
      </c>
      <c r="L724" s="179">
        <v>4425</v>
      </c>
      <c r="M724" s="180" t="s">
        <v>1019</v>
      </c>
      <c r="N724" s="181" t="s">
        <v>425</v>
      </c>
      <c r="O724" s="182" t="s">
        <v>1020</v>
      </c>
    </row>
    <row r="725" spans="1:15" ht="12">
      <c r="A725" s="148"/>
      <c r="B725" s="174" t="s">
        <v>1021</v>
      </c>
      <c r="C725" s="175" t="s">
        <v>442</v>
      </c>
      <c r="D725" s="176" t="s">
        <v>443</v>
      </c>
      <c r="E725" s="177" t="s">
        <v>1022</v>
      </c>
      <c r="F725" s="175">
        <f t="shared" si="33"/>
        <v>14</v>
      </c>
      <c r="G725" s="175" t="str">
        <f t="shared" si="34"/>
        <v>Santa Monica</v>
      </c>
      <c r="H725" s="175" t="str">
        <f t="shared" si="35"/>
        <v>Santa Monica, CA</v>
      </c>
      <c r="I725" s="178" t="s">
        <v>98</v>
      </c>
      <c r="J725" s="27" t="s">
        <v>443</v>
      </c>
      <c r="K725" s="27">
        <v>727</v>
      </c>
      <c r="L725" s="179">
        <v>1458</v>
      </c>
      <c r="M725" s="178" t="s">
        <v>446</v>
      </c>
      <c r="N725" s="27" t="s">
        <v>443</v>
      </c>
      <c r="O725" s="182" t="s">
        <v>447</v>
      </c>
    </row>
    <row r="726" spans="1:15" ht="12">
      <c r="A726" s="148"/>
      <c r="B726" s="174" t="s">
        <v>1023</v>
      </c>
      <c r="C726" s="175" t="s">
        <v>442</v>
      </c>
      <c r="D726" s="176" t="s">
        <v>443</v>
      </c>
      <c r="E726" s="177" t="s">
        <v>1024</v>
      </c>
      <c r="F726" s="175">
        <f t="shared" si="33"/>
        <v>12</v>
      </c>
      <c r="G726" s="175" t="str">
        <f t="shared" si="34"/>
        <v>Santa Rosa</v>
      </c>
      <c r="H726" s="175" t="str">
        <f t="shared" si="35"/>
        <v>Santa Rosa, CA</v>
      </c>
      <c r="I726" s="178" t="s">
        <v>640</v>
      </c>
      <c r="J726" s="27" t="s">
        <v>443</v>
      </c>
      <c r="K726" s="27">
        <v>1237</v>
      </c>
      <c r="L726" s="179">
        <v>2749</v>
      </c>
      <c r="M726" s="178" t="s">
        <v>641</v>
      </c>
      <c r="N726" s="27" t="s">
        <v>443</v>
      </c>
      <c r="O726" s="182" t="s">
        <v>642</v>
      </c>
    </row>
    <row r="727" spans="1:15" ht="12">
      <c r="A727" s="148"/>
      <c r="B727" s="174" t="s">
        <v>1025</v>
      </c>
      <c r="C727" s="175" t="s">
        <v>409</v>
      </c>
      <c r="D727" s="176" t="s">
        <v>410</v>
      </c>
      <c r="E727" s="177" t="s">
        <v>1026</v>
      </c>
      <c r="F727" s="175">
        <f t="shared" si="33"/>
        <v>10</v>
      </c>
      <c r="G727" s="175" t="str">
        <f t="shared" si="34"/>
        <v>Savannah</v>
      </c>
      <c r="H727" s="175" t="str">
        <f t="shared" si="35"/>
        <v>Savannah, GA</v>
      </c>
      <c r="I727" s="178" t="s">
        <v>1607</v>
      </c>
      <c r="J727" s="27" t="s">
        <v>410</v>
      </c>
      <c r="K727" s="27">
        <v>2365</v>
      </c>
      <c r="L727" s="179">
        <v>1847</v>
      </c>
      <c r="M727" s="180" t="s">
        <v>1608</v>
      </c>
      <c r="N727" s="181" t="s">
        <v>410</v>
      </c>
      <c r="O727" s="182" t="s">
        <v>1609</v>
      </c>
    </row>
    <row r="728" spans="1:15" ht="12">
      <c r="A728" s="148"/>
      <c r="B728" s="174" t="s">
        <v>1027</v>
      </c>
      <c r="C728" s="175" t="s">
        <v>409</v>
      </c>
      <c r="D728" s="176" t="s">
        <v>410</v>
      </c>
      <c r="E728" s="177" t="s">
        <v>1026</v>
      </c>
      <c r="F728" s="175">
        <f t="shared" si="33"/>
        <v>10</v>
      </c>
      <c r="G728" s="175" t="str">
        <f t="shared" si="34"/>
        <v>Savannah</v>
      </c>
      <c r="H728" s="175" t="str">
        <f t="shared" si="35"/>
        <v>Savannah, GA</v>
      </c>
      <c r="I728" s="178" t="s">
        <v>1607</v>
      </c>
      <c r="J728" s="27" t="s">
        <v>410</v>
      </c>
      <c r="K728" s="27">
        <v>2365</v>
      </c>
      <c r="L728" s="179">
        <v>1847</v>
      </c>
      <c r="M728" s="180" t="s">
        <v>1608</v>
      </c>
      <c r="N728" s="181" t="s">
        <v>410</v>
      </c>
      <c r="O728" s="182" t="s">
        <v>1609</v>
      </c>
    </row>
    <row r="729" spans="1:15" ht="12">
      <c r="A729" s="148"/>
      <c r="B729" s="174" t="s">
        <v>1028</v>
      </c>
      <c r="C729" s="175" t="s">
        <v>416</v>
      </c>
      <c r="D729" s="176" t="s">
        <v>417</v>
      </c>
      <c r="E729" s="177" t="s">
        <v>1029</v>
      </c>
      <c r="F729" s="175">
        <f t="shared" si="33"/>
        <v>13</v>
      </c>
      <c r="G729" s="175" t="str">
        <f t="shared" si="34"/>
        <v>Schenectady</v>
      </c>
      <c r="H729" s="175" t="str">
        <f t="shared" si="35"/>
        <v>Schenectady, NY</v>
      </c>
      <c r="I729" s="178" t="s">
        <v>418</v>
      </c>
      <c r="J729" s="27" t="s">
        <v>417</v>
      </c>
      <c r="K729" s="27">
        <v>507</v>
      </c>
      <c r="L729" s="179">
        <v>6894</v>
      </c>
      <c r="M729" s="180" t="s">
        <v>419</v>
      </c>
      <c r="N729" s="181" t="s">
        <v>417</v>
      </c>
      <c r="O729" s="182" t="s">
        <v>420</v>
      </c>
    </row>
    <row r="730" spans="1:15" ht="12">
      <c r="A730" s="148"/>
      <c r="B730" s="174" t="s">
        <v>1030</v>
      </c>
      <c r="C730" s="175" t="s">
        <v>449</v>
      </c>
      <c r="D730" s="176" t="s">
        <v>450</v>
      </c>
      <c r="E730" s="177" t="s">
        <v>1031</v>
      </c>
      <c r="F730" s="175">
        <f t="shared" si="33"/>
        <v>10</v>
      </c>
      <c r="G730" s="175" t="str">
        <f t="shared" si="34"/>
        <v>Scranton</v>
      </c>
      <c r="H730" s="175" t="str">
        <f t="shared" si="35"/>
        <v>Scranton, PA</v>
      </c>
      <c r="I730" s="178" t="s">
        <v>773</v>
      </c>
      <c r="J730" s="27" t="s">
        <v>450</v>
      </c>
      <c r="K730" s="27">
        <v>539</v>
      </c>
      <c r="L730" s="179">
        <v>6291</v>
      </c>
      <c r="M730" s="180" t="s">
        <v>1438</v>
      </c>
      <c r="N730" s="181" t="s">
        <v>450</v>
      </c>
      <c r="O730" s="182" t="s">
        <v>1439</v>
      </c>
    </row>
    <row r="731" spans="1:15" ht="12">
      <c r="A731" s="148"/>
      <c r="B731" s="174" t="s">
        <v>1032</v>
      </c>
      <c r="C731" s="175" t="s">
        <v>449</v>
      </c>
      <c r="D731" s="176" t="s">
        <v>450</v>
      </c>
      <c r="E731" s="177" t="s">
        <v>1031</v>
      </c>
      <c r="F731" s="175">
        <f t="shared" si="33"/>
        <v>10</v>
      </c>
      <c r="G731" s="175" t="str">
        <f t="shared" si="34"/>
        <v>Scranton</v>
      </c>
      <c r="H731" s="175" t="str">
        <f t="shared" si="35"/>
        <v>Scranton, PA</v>
      </c>
      <c r="I731" s="178" t="s">
        <v>773</v>
      </c>
      <c r="J731" s="27" t="s">
        <v>450</v>
      </c>
      <c r="K731" s="27">
        <v>539</v>
      </c>
      <c r="L731" s="179">
        <v>6291</v>
      </c>
      <c r="M731" s="180" t="s">
        <v>1438</v>
      </c>
      <c r="N731" s="181" t="s">
        <v>450</v>
      </c>
      <c r="O731" s="182" t="s">
        <v>1439</v>
      </c>
    </row>
    <row r="732" spans="1:15" ht="12">
      <c r="A732" s="148"/>
      <c r="B732" s="174" t="s">
        <v>1033</v>
      </c>
      <c r="C732" s="175" t="s">
        <v>593</v>
      </c>
      <c r="D732" s="176" t="s">
        <v>1638</v>
      </c>
      <c r="E732" s="177" t="s">
        <v>1277</v>
      </c>
      <c r="F732" s="175">
        <f t="shared" si="33"/>
        <v>9</v>
      </c>
      <c r="G732" s="175" t="str">
        <f t="shared" si="34"/>
        <v>Seattle</v>
      </c>
      <c r="H732" s="175" t="str">
        <f t="shared" si="35"/>
        <v>Seattle, WA</v>
      </c>
      <c r="I732" s="178" t="s">
        <v>1278</v>
      </c>
      <c r="J732" s="27" t="s">
        <v>1638</v>
      </c>
      <c r="K732" s="27">
        <v>167</v>
      </c>
      <c r="L732" s="179">
        <v>4611</v>
      </c>
      <c r="M732" s="180" t="s">
        <v>2403</v>
      </c>
      <c r="N732" s="181" t="s">
        <v>1638</v>
      </c>
      <c r="O732" s="182" t="s">
        <v>2404</v>
      </c>
    </row>
    <row r="733" spans="1:15" ht="12">
      <c r="A733" s="148"/>
      <c r="B733" s="174" t="s">
        <v>1279</v>
      </c>
      <c r="C733" s="175" t="s">
        <v>593</v>
      </c>
      <c r="D733" s="176" t="s">
        <v>1638</v>
      </c>
      <c r="E733" s="177" t="s">
        <v>1277</v>
      </c>
      <c r="F733" s="175">
        <f t="shared" si="33"/>
        <v>9</v>
      </c>
      <c r="G733" s="175" t="str">
        <f t="shared" si="34"/>
        <v>Seattle</v>
      </c>
      <c r="H733" s="175" t="str">
        <f t="shared" si="35"/>
        <v>Seattle, WA</v>
      </c>
      <c r="I733" s="178" t="s">
        <v>1278</v>
      </c>
      <c r="J733" s="27" t="s">
        <v>1638</v>
      </c>
      <c r="K733" s="27">
        <v>167</v>
      </c>
      <c r="L733" s="179">
        <v>4611</v>
      </c>
      <c r="M733" s="180" t="s">
        <v>2403</v>
      </c>
      <c r="N733" s="181" t="s">
        <v>1638</v>
      </c>
      <c r="O733" s="182" t="s">
        <v>2404</v>
      </c>
    </row>
    <row r="734" spans="1:15" ht="12">
      <c r="A734" s="148"/>
      <c r="B734" s="174" t="s">
        <v>1280</v>
      </c>
      <c r="C734" s="175" t="s">
        <v>1377</v>
      </c>
      <c r="D734" s="176" t="s">
        <v>1378</v>
      </c>
      <c r="E734" s="177" t="s">
        <v>1281</v>
      </c>
      <c r="F734" s="175">
        <f t="shared" si="33"/>
        <v>9</v>
      </c>
      <c r="G734" s="175" t="str">
        <f t="shared" si="34"/>
        <v>Sedalia</v>
      </c>
      <c r="H734" s="175" t="str">
        <f t="shared" si="35"/>
        <v>Sedalia, MO</v>
      </c>
      <c r="I734" s="178" t="s">
        <v>1518</v>
      </c>
      <c r="J734" s="27" t="s">
        <v>1378</v>
      </c>
      <c r="K734" s="27">
        <v>1189</v>
      </c>
      <c r="L734" s="179">
        <v>5212</v>
      </c>
      <c r="M734" s="178" t="s">
        <v>1381</v>
      </c>
      <c r="N734" s="27" t="s">
        <v>1378</v>
      </c>
      <c r="O734" s="182" t="s">
        <v>1382</v>
      </c>
    </row>
    <row r="735" spans="1:15" ht="12">
      <c r="A735" s="148"/>
      <c r="B735" s="174" t="s">
        <v>1282</v>
      </c>
      <c r="C735" s="175" t="s">
        <v>502</v>
      </c>
      <c r="D735" s="176" t="s">
        <v>503</v>
      </c>
      <c r="E735" s="177" t="s">
        <v>1283</v>
      </c>
      <c r="F735" s="175">
        <f t="shared" si="33"/>
        <v>7</v>
      </c>
      <c r="G735" s="175" t="str">
        <f t="shared" si="34"/>
        <v>Selma</v>
      </c>
      <c r="H735" s="175" t="str">
        <f t="shared" si="35"/>
        <v>Selma, AL</v>
      </c>
      <c r="I735" s="178" t="s">
        <v>1731</v>
      </c>
      <c r="J735" s="27" t="s">
        <v>503</v>
      </c>
      <c r="K735" s="27">
        <v>2212</v>
      </c>
      <c r="L735" s="179">
        <v>2224</v>
      </c>
      <c r="M735" s="178" t="s">
        <v>1732</v>
      </c>
      <c r="N735" s="27" t="s">
        <v>503</v>
      </c>
      <c r="O735" s="187" t="s">
        <v>1733</v>
      </c>
    </row>
    <row r="736" spans="1:15" ht="12">
      <c r="A736" s="148"/>
      <c r="B736" s="174" t="s">
        <v>1284</v>
      </c>
      <c r="C736" s="175" t="s">
        <v>509</v>
      </c>
      <c r="D736" s="176" t="s">
        <v>510</v>
      </c>
      <c r="E736" s="177" t="s">
        <v>1285</v>
      </c>
      <c r="F736" s="175">
        <f t="shared" si="33"/>
        <v>9</v>
      </c>
      <c r="G736" s="175" t="str">
        <f t="shared" si="34"/>
        <v>Shawnee</v>
      </c>
      <c r="H736" s="175" t="str">
        <f t="shared" si="35"/>
        <v>Shawnee, OK</v>
      </c>
      <c r="I736" s="178" t="s">
        <v>2110</v>
      </c>
      <c r="J736" s="27" t="s">
        <v>264</v>
      </c>
      <c r="K736" s="27">
        <v>2340</v>
      </c>
      <c r="L736" s="179">
        <v>3042</v>
      </c>
      <c r="M736" s="180" t="s">
        <v>2111</v>
      </c>
      <c r="N736" s="181" t="s">
        <v>264</v>
      </c>
      <c r="O736" s="182" t="s">
        <v>2112</v>
      </c>
    </row>
    <row r="737" spans="1:15" ht="12">
      <c r="A737" s="148"/>
      <c r="B737" s="174" t="s">
        <v>1286</v>
      </c>
      <c r="C737" s="175" t="s">
        <v>1506</v>
      </c>
      <c r="D737" s="176" t="s">
        <v>1507</v>
      </c>
      <c r="E737" s="177" t="s">
        <v>1287</v>
      </c>
      <c r="F737" s="175">
        <f t="shared" si="33"/>
        <v>17</v>
      </c>
      <c r="G737" s="175" t="str">
        <f t="shared" si="34"/>
        <v>Shawnee/Mission</v>
      </c>
      <c r="H737" s="175" t="str">
        <f t="shared" si="35"/>
        <v>Shawnee/Mission, KS</v>
      </c>
      <c r="I737" s="178" t="s">
        <v>2381</v>
      </c>
      <c r="J737" s="27" t="s">
        <v>1378</v>
      </c>
      <c r="K737" s="27">
        <v>1288</v>
      </c>
      <c r="L737" s="179">
        <v>5393</v>
      </c>
      <c r="M737" s="180" t="s">
        <v>2382</v>
      </c>
      <c r="N737" s="181" t="s">
        <v>1378</v>
      </c>
      <c r="O737" s="182" t="s">
        <v>2383</v>
      </c>
    </row>
    <row r="738" spans="1:15" ht="12">
      <c r="A738" s="148"/>
      <c r="B738" s="174" t="s">
        <v>1288</v>
      </c>
      <c r="C738" s="175" t="s">
        <v>1333</v>
      </c>
      <c r="D738" s="176" t="s">
        <v>1334</v>
      </c>
      <c r="E738" s="177" t="s">
        <v>1289</v>
      </c>
      <c r="F738" s="175">
        <f t="shared" si="33"/>
        <v>9</v>
      </c>
      <c r="G738" s="175" t="str">
        <f t="shared" si="34"/>
        <v>Sheldon</v>
      </c>
      <c r="H738" s="175" t="str">
        <f t="shared" si="35"/>
        <v>Sheldon, IA</v>
      </c>
      <c r="I738" s="178" t="s">
        <v>1290</v>
      </c>
      <c r="J738" s="27" t="s">
        <v>256</v>
      </c>
      <c r="K738" s="27">
        <v>744</v>
      </c>
      <c r="L738" s="179">
        <v>7809</v>
      </c>
      <c r="M738" s="180" t="s">
        <v>1291</v>
      </c>
      <c r="N738" s="181" t="s">
        <v>256</v>
      </c>
      <c r="O738" s="182" t="s">
        <v>1292</v>
      </c>
    </row>
    <row r="739" spans="1:15" ht="12">
      <c r="A739" s="148"/>
      <c r="B739" s="174" t="s">
        <v>1293</v>
      </c>
      <c r="C739" s="175" t="s">
        <v>1333</v>
      </c>
      <c r="D739" s="176" t="s">
        <v>1334</v>
      </c>
      <c r="E739" s="177" t="s">
        <v>1294</v>
      </c>
      <c r="F739" s="175">
        <f t="shared" si="33"/>
        <v>12</v>
      </c>
      <c r="G739" s="175" t="str">
        <f t="shared" si="34"/>
        <v>Shenandoah</v>
      </c>
      <c r="H739" s="175" t="str">
        <f t="shared" si="35"/>
        <v>Shenandoah, IA</v>
      </c>
      <c r="I739" s="178" t="s">
        <v>1667</v>
      </c>
      <c r="J739" s="27" t="s">
        <v>457</v>
      </c>
      <c r="K739" s="27">
        <v>1037</v>
      </c>
      <c r="L739" s="179">
        <v>6413</v>
      </c>
      <c r="M739" s="180" t="s">
        <v>1668</v>
      </c>
      <c r="N739" s="181" t="s">
        <v>457</v>
      </c>
      <c r="O739" s="182" t="s">
        <v>1669</v>
      </c>
    </row>
    <row r="740" spans="1:15" ht="12">
      <c r="A740" s="148"/>
      <c r="B740" s="174" t="s">
        <v>1295</v>
      </c>
      <c r="C740" s="175" t="s">
        <v>1413</v>
      </c>
      <c r="D740" s="176" t="s">
        <v>1414</v>
      </c>
      <c r="E740" s="177" t="s">
        <v>1296</v>
      </c>
      <c r="F740" s="175">
        <f t="shared" si="33"/>
        <v>10</v>
      </c>
      <c r="G740" s="175" t="str">
        <f t="shared" si="34"/>
        <v>Sheridan</v>
      </c>
      <c r="H740" s="175" t="str">
        <f t="shared" si="35"/>
        <v>Sheridan, WY</v>
      </c>
      <c r="I740" s="178" t="s">
        <v>1416</v>
      </c>
      <c r="J740" s="27" t="s">
        <v>1414</v>
      </c>
      <c r="K740" s="27">
        <v>439</v>
      </c>
      <c r="L740" s="179">
        <v>7804</v>
      </c>
      <c r="M740" s="180" t="s">
        <v>1417</v>
      </c>
      <c r="N740" s="181" t="s">
        <v>1414</v>
      </c>
      <c r="O740" s="182" t="s">
        <v>2315</v>
      </c>
    </row>
    <row r="741" spans="1:15" ht="12">
      <c r="A741" s="148"/>
      <c r="B741" s="174" t="s">
        <v>1297</v>
      </c>
      <c r="C741" s="175" t="s">
        <v>1311</v>
      </c>
      <c r="D741" s="176" t="s">
        <v>1312</v>
      </c>
      <c r="E741" s="177" t="s">
        <v>2236</v>
      </c>
      <c r="F741" s="175">
        <f t="shared" si="33"/>
        <v>10</v>
      </c>
      <c r="G741" s="175" t="str">
        <f t="shared" si="34"/>
        <v>Show Low</v>
      </c>
      <c r="H741" s="175" t="str">
        <f t="shared" si="35"/>
        <v>Show Low, AZ</v>
      </c>
      <c r="I741" s="178" t="s">
        <v>427</v>
      </c>
      <c r="J741" s="27" t="s">
        <v>425</v>
      </c>
      <c r="K741" s="27">
        <v>1244</v>
      </c>
      <c r="L741" s="179">
        <v>4425</v>
      </c>
      <c r="M741" s="180" t="s">
        <v>428</v>
      </c>
      <c r="N741" s="181" t="s">
        <v>425</v>
      </c>
      <c r="O741" s="182" t="s">
        <v>429</v>
      </c>
    </row>
    <row r="742" spans="1:15" ht="12">
      <c r="A742" s="148"/>
      <c r="B742" s="174" t="s">
        <v>2237</v>
      </c>
      <c r="C742" s="175" t="s">
        <v>290</v>
      </c>
      <c r="D742" s="176" t="s">
        <v>291</v>
      </c>
      <c r="E742" s="177" t="s">
        <v>2238</v>
      </c>
      <c r="F742" s="175">
        <f t="shared" si="33"/>
        <v>12</v>
      </c>
      <c r="G742" s="175" t="str">
        <f t="shared" si="34"/>
        <v>Shreveport</v>
      </c>
      <c r="H742" s="175" t="str">
        <f t="shared" si="35"/>
        <v>Shreveport, LA</v>
      </c>
      <c r="I742" s="178" t="s">
        <v>390</v>
      </c>
      <c r="J742" s="27" t="s">
        <v>291</v>
      </c>
      <c r="K742" s="27">
        <v>2368</v>
      </c>
      <c r="L742" s="179">
        <v>2264</v>
      </c>
      <c r="M742" s="180" t="s">
        <v>391</v>
      </c>
      <c r="N742" s="181" t="s">
        <v>291</v>
      </c>
      <c r="O742" s="182" t="s">
        <v>392</v>
      </c>
    </row>
    <row r="743" spans="1:15" ht="12">
      <c r="A743" s="148"/>
      <c r="B743" s="174" t="s">
        <v>2239</v>
      </c>
      <c r="C743" s="175" t="s">
        <v>290</v>
      </c>
      <c r="D743" s="176" t="s">
        <v>291</v>
      </c>
      <c r="E743" s="177" t="s">
        <v>2238</v>
      </c>
      <c r="F743" s="175">
        <f t="shared" si="33"/>
        <v>12</v>
      </c>
      <c r="G743" s="175" t="str">
        <f t="shared" si="34"/>
        <v>Shreveport</v>
      </c>
      <c r="H743" s="175" t="str">
        <f t="shared" si="35"/>
        <v>Shreveport, LA</v>
      </c>
      <c r="I743" s="178" t="s">
        <v>390</v>
      </c>
      <c r="J743" s="27" t="s">
        <v>291</v>
      </c>
      <c r="K743" s="27">
        <v>2368</v>
      </c>
      <c r="L743" s="179">
        <v>2264</v>
      </c>
      <c r="M743" s="180" t="s">
        <v>391</v>
      </c>
      <c r="N743" s="181" t="s">
        <v>291</v>
      </c>
      <c r="O743" s="182" t="s">
        <v>392</v>
      </c>
    </row>
    <row r="744" spans="1:15" ht="12">
      <c r="A744" s="148"/>
      <c r="B744" s="174" t="s">
        <v>2240</v>
      </c>
      <c r="C744" s="175" t="s">
        <v>1311</v>
      </c>
      <c r="D744" s="176" t="s">
        <v>1312</v>
      </c>
      <c r="E744" s="177" t="s">
        <v>2241</v>
      </c>
      <c r="F744" s="175">
        <f t="shared" si="33"/>
        <v>22</v>
      </c>
      <c r="G744" s="175" t="str">
        <f t="shared" si="34"/>
        <v>Sierra Vista/Nogales</v>
      </c>
      <c r="H744" s="175" t="str">
        <f t="shared" si="35"/>
        <v>Sierra Vista/Nogales, AZ</v>
      </c>
      <c r="I744" s="178" t="s">
        <v>1409</v>
      </c>
      <c r="J744" s="27" t="s">
        <v>1312</v>
      </c>
      <c r="K744" s="27">
        <v>2954</v>
      </c>
      <c r="L744" s="179">
        <v>1678</v>
      </c>
      <c r="M744" s="178" t="s">
        <v>1410</v>
      </c>
      <c r="N744" s="27" t="s">
        <v>1312</v>
      </c>
      <c r="O744" s="182" t="s">
        <v>1411</v>
      </c>
    </row>
    <row r="745" spans="1:15" ht="12">
      <c r="A745" s="148"/>
      <c r="B745" s="174" t="s">
        <v>2242</v>
      </c>
      <c r="C745" s="175" t="s">
        <v>1377</v>
      </c>
      <c r="D745" s="176" t="s">
        <v>1378</v>
      </c>
      <c r="E745" s="177" t="s">
        <v>2243</v>
      </c>
      <c r="F745" s="175">
        <f t="shared" si="33"/>
        <v>10</v>
      </c>
      <c r="G745" s="175" t="str">
        <f t="shared" si="34"/>
        <v>Sikeston</v>
      </c>
      <c r="H745" s="175" t="str">
        <f t="shared" si="35"/>
        <v>Sikeston, MO</v>
      </c>
      <c r="I745" s="178" t="s">
        <v>1385</v>
      </c>
      <c r="J745" s="27" t="s">
        <v>2281</v>
      </c>
      <c r="K745" s="27">
        <v>1376</v>
      </c>
      <c r="L745" s="179">
        <v>4708</v>
      </c>
      <c r="M745" s="178" t="s">
        <v>1386</v>
      </c>
      <c r="N745" s="27" t="s">
        <v>2281</v>
      </c>
      <c r="O745" s="182" t="s">
        <v>1387</v>
      </c>
    </row>
    <row r="746" spans="1:15" ht="12">
      <c r="A746" s="148"/>
      <c r="B746" s="174" t="s">
        <v>2244</v>
      </c>
      <c r="C746" s="175" t="s">
        <v>496</v>
      </c>
      <c r="D746" s="176" t="s">
        <v>439</v>
      </c>
      <c r="E746" s="177" t="s">
        <v>2245</v>
      </c>
      <c r="F746" s="175">
        <f t="shared" si="33"/>
        <v>15</v>
      </c>
      <c r="G746" s="175" t="str">
        <f t="shared" si="34"/>
        <v>Silver Spring</v>
      </c>
      <c r="H746" s="175" t="str">
        <f t="shared" si="35"/>
        <v>Silver Spring, MD</v>
      </c>
      <c r="I746" s="178" t="s">
        <v>436</v>
      </c>
      <c r="J746" s="27" t="s">
        <v>437</v>
      </c>
      <c r="K746" s="27">
        <v>1549</v>
      </c>
      <c r="L746" s="179">
        <v>4047</v>
      </c>
      <c r="M746" s="180" t="s">
        <v>438</v>
      </c>
      <c r="N746" s="181" t="s">
        <v>439</v>
      </c>
      <c r="O746" s="182" t="s">
        <v>440</v>
      </c>
    </row>
    <row r="747" spans="1:15" ht="12">
      <c r="A747" s="148"/>
      <c r="B747" s="174" t="s">
        <v>2246</v>
      </c>
      <c r="C747" s="175" t="s">
        <v>1333</v>
      </c>
      <c r="D747" s="176" t="s">
        <v>1334</v>
      </c>
      <c r="E747" s="177" t="s">
        <v>2247</v>
      </c>
      <c r="F747" s="175">
        <f t="shared" si="33"/>
        <v>12</v>
      </c>
      <c r="G747" s="175" t="str">
        <f t="shared" si="34"/>
        <v>Sioux City</v>
      </c>
      <c r="H747" s="175" t="str">
        <f t="shared" si="35"/>
        <v>Sioux City, IA</v>
      </c>
      <c r="I747" s="178" t="s">
        <v>1397</v>
      </c>
      <c r="J747" s="27" t="s">
        <v>1334</v>
      </c>
      <c r="K747" s="27">
        <v>907</v>
      </c>
      <c r="L747" s="179">
        <v>6893</v>
      </c>
      <c r="M747" s="178" t="s">
        <v>1398</v>
      </c>
      <c r="N747" s="27" t="s">
        <v>1334</v>
      </c>
      <c r="O747" s="182" t="s">
        <v>1399</v>
      </c>
    </row>
    <row r="748" spans="1:15" ht="12">
      <c r="A748" s="148"/>
      <c r="B748" s="174" t="s">
        <v>2248</v>
      </c>
      <c r="C748" s="175" t="s">
        <v>1333</v>
      </c>
      <c r="D748" s="176" t="s">
        <v>1334</v>
      </c>
      <c r="E748" s="177" t="s">
        <v>2247</v>
      </c>
      <c r="F748" s="175">
        <f t="shared" si="33"/>
        <v>12</v>
      </c>
      <c r="G748" s="175" t="str">
        <f t="shared" si="34"/>
        <v>Sioux City</v>
      </c>
      <c r="H748" s="175" t="str">
        <f t="shared" si="35"/>
        <v>Sioux City, IA</v>
      </c>
      <c r="I748" s="178" t="s">
        <v>1397</v>
      </c>
      <c r="J748" s="27" t="s">
        <v>1334</v>
      </c>
      <c r="K748" s="27">
        <v>907</v>
      </c>
      <c r="L748" s="179">
        <v>6893</v>
      </c>
      <c r="M748" s="178" t="s">
        <v>1398</v>
      </c>
      <c r="N748" s="27" t="s">
        <v>1334</v>
      </c>
      <c r="O748" s="182" t="s">
        <v>1399</v>
      </c>
    </row>
    <row r="749" spans="1:15" ht="12">
      <c r="A749" s="148"/>
      <c r="B749" s="174" t="s">
        <v>2249</v>
      </c>
      <c r="C749" s="175" t="s">
        <v>255</v>
      </c>
      <c r="D749" s="176" t="s">
        <v>256</v>
      </c>
      <c r="E749" s="177" t="s">
        <v>2250</v>
      </c>
      <c r="F749" s="175">
        <f t="shared" si="33"/>
        <v>13</v>
      </c>
      <c r="G749" s="175" t="str">
        <f t="shared" si="34"/>
        <v>Sioux Falls</v>
      </c>
      <c r="H749" s="175" t="str">
        <f t="shared" si="35"/>
        <v>Sioux Falls, SD</v>
      </c>
      <c r="I749" s="178" t="s">
        <v>1290</v>
      </c>
      <c r="J749" s="27" t="s">
        <v>256</v>
      </c>
      <c r="K749" s="27">
        <v>744</v>
      </c>
      <c r="L749" s="179">
        <v>7809</v>
      </c>
      <c r="M749" s="180" t="s">
        <v>1291</v>
      </c>
      <c r="N749" s="181" t="s">
        <v>256</v>
      </c>
      <c r="O749" s="182" t="s">
        <v>1292</v>
      </c>
    </row>
    <row r="750" spans="1:15" ht="12">
      <c r="A750" s="148"/>
      <c r="B750" s="174" t="s">
        <v>2251</v>
      </c>
      <c r="C750" s="175" t="s">
        <v>255</v>
      </c>
      <c r="D750" s="176" t="s">
        <v>256</v>
      </c>
      <c r="E750" s="177" t="s">
        <v>2250</v>
      </c>
      <c r="F750" s="175">
        <f t="shared" si="33"/>
        <v>13</v>
      </c>
      <c r="G750" s="175" t="str">
        <f t="shared" si="34"/>
        <v>Sioux Falls</v>
      </c>
      <c r="H750" s="175" t="str">
        <f t="shared" si="35"/>
        <v>Sioux Falls, SD</v>
      </c>
      <c r="I750" s="178" t="s">
        <v>1290</v>
      </c>
      <c r="J750" s="27" t="s">
        <v>256</v>
      </c>
      <c r="K750" s="27">
        <v>744</v>
      </c>
      <c r="L750" s="179">
        <v>7809</v>
      </c>
      <c r="M750" s="180" t="s">
        <v>1291</v>
      </c>
      <c r="N750" s="181" t="s">
        <v>256</v>
      </c>
      <c r="O750" s="182" t="s">
        <v>1292</v>
      </c>
    </row>
    <row r="751" spans="1:15" ht="12">
      <c r="A751" s="148"/>
      <c r="B751" s="174" t="s">
        <v>2252</v>
      </c>
      <c r="C751" s="175" t="s">
        <v>442</v>
      </c>
      <c r="D751" s="176" t="s">
        <v>443</v>
      </c>
      <c r="E751" s="177" t="s">
        <v>2253</v>
      </c>
      <c r="F751" s="175">
        <f t="shared" si="33"/>
        <v>19</v>
      </c>
      <c r="G751" s="175" t="str">
        <f t="shared" si="34"/>
        <v>So. San Francisco</v>
      </c>
      <c r="H751" s="175" t="str">
        <f t="shared" si="35"/>
        <v>So. San Francisco, CA</v>
      </c>
      <c r="I751" s="178" t="s">
        <v>200</v>
      </c>
      <c r="J751" s="27" t="s">
        <v>443</v>
      </c>
      <c r="K751" s="27">
        <v>65</v>
      </c>
      <c r="L751" s="179">
        <v>3005</v>
      </c>
      <c r="M751" s="178" t="s">
        <v>201</v>
      </c>
      <c r="N751" s="27" t="s">
        <v>443</v>
      </c>
      <c r="O751" s="182" t="s">
        <v>202</v>
      </c>
    </row>
    <row r="752" spans="1:15" ht="12">
      <c r="A752" s="148"/>
      <c r="B752" s="174" t="s">
        <v>2254</v>
      </c>
      <c r="C752" s="175" t="s">
        <v>424</v>
      </c>
      <c r="D752" s="176" t="s">
        <v>425</v>
      </c>
      <c r="E752" s="177" t="s">
        <v>2255</v>
      </c>
      <c r="F752" s="175">
        <f t="shared" si="33"/>
        <v>9</v>
      </c>
      <c r="G752" s="175" t="str">
        <f t="shared" si="34"/>
        <v>Socorro</v>
      </c>
      <c r="H752" s="175" t="str">
        <f t="shared" si="35"/>
        <v>Socorro, NM</v>
      </c>
      <c r="I752" s="178" t="s">
        <v>427</v>
      </c>
      <c r="J752" s="27" t="s">
        <v>425</v>
      </c>
      <c r="K752" s="27">
        <v>1244</v>
      </c>
      <c r="L752" s="179">
        <v>4425</v>
      </c>
      <c r="M752" s="180" t="s">
        <v>428</v>
      </c>
      <c r="N752" s="181" t="s">
        <v>425</v>
      </c>
      <c r="O752" s="182" t="s">
        <v>429</v>
      </c>
    </row>
    <row r="753" spans="1:15" ht="12">
      <c r="A753" s="148"/>
      <c r="B753" s="174" t="s">
        <v>2256</v>
      </c>
      <c r="C753" s="175" t="s">
        <v>525</v>
      </c>
      <c r="D753" s="176" t="s">
        <v>526</v>
      </c>
      <c r="E753" s="177" t="s">
        <v>2257</v>
      </c>
      <c r="F753" s="175">
        <f t="shared" si="33"/>
        <v>10</v>
      </c>
      <c r="G753" s="175" t="str">
        <f t="shared" si="34"/>
        <v>Somerset</v>
      </c>
      <c r="H753" s="175" t="str">
        <f t="shared" si="35"/>
        <v>Somerset, KY</v>
      </c>
      <c r="I753" s="178" t="s">
        <v>1525</v>
      </c>
      <c r="J753" s="27" t="s">
        <v>526</v>
      </c>
      <c r="K753" s="27">
        <v>1140</v>
      </c>
      <c r="L753" s="179">
        <v>4783</v>
      </c>
      <c r="M753" s="180" t="s">
        <v>1526</v>
      </c>
      <c r="N753" s="181" t="s">
        <v>526</v>
      </c>
      <c r="O753" s="182" t="s">
        <v>1527</v>
      </c>
    </row>
    <row r="754" spans="1:15" ht="12">
      <c r="A754" s="148"/>
      <c r="B754" s="174" t="s">
        <v>2258</v>
      </c>
      <c r="C754" s="175" t="s">
        <v>525</v>
      </c>
      <c r="D754" s="176" t="s">
        <v>526</v>
      </c>
      <c r="E754" s="177" t="s">
        <v>2257</v>
      </c>
      <c r="F754" s="175">
        <f t="shared" si="33"/>
        <v>10</v>
      </c>
      <c r="G754" s="175" t="str">
        <f t="shared" si="34"/>
        <v>Somerset</v>
      </c>
      <c r="H754" s="175" t="str">
        <f t="shared" si="35"/>
        <v>Somerset, KY</v>
      </c>
      <c r="I754" s="178" t="s">
        <v>1525</v>
      </c>
      <c r="J754" s="27" t="s">
        <v>526</v>
      </c>
      <c r="K754" s="27">
        <v>1140</v>
      </c>
      <c r="L754" s="179">
        <v>4783</v>
      </c>
      <c r="M754" s="180" t="s">
        <v>1526</v>
      </c>
      <c r="N754" s="181" t="s">
        <v>526</v>
      </c>
      <c r="O754" s="182" t="s">
        <v>1527</v>
      </c>
    </row>
    <row r="755" spans="1:15" ht="12">
      <c r="A755" s="148"/>
      <c r="B755" s="174" t="s">
        <v>2259</v>
      </c>
      <c r="C755" s="175" t="s">
        <v>449</v>
      </c>
      <c r="D755" s="176" t="s">
        <v>450</v>
      </c>
      <c r="E755" s="177" t="s">
        <v>2257</v>
      </c>
      <c r="F755" s="175">
        <f t="shared" si="33"/>
        <v>10</v>
      </c>
      <c r="G755" s="175" t="str">
        <f t="shared" si="34"/>
        <v>Somerset</v>
      </c>
      <c r="H755" s="175" t="str">
        <f t="shared" si="35"/>
        <v>Somerset, PA</v>
      </c>
      <c r="I755" s="178" t="s">
        <v>464</v>
      </c>
      <c r="J755" s="27" t="s">
        <v>450</v>
      </c>
      <c r="K755" s="27">
        <v>654</v>
      </c>
      <c r="L755" s="179">
        <v>5968</v>
      </c>
      <c r="M755" s="180" t="s">
        <v>465</v>
      </c>
      <c r="N755" s="181" t="s">
        <v>450</v>
      </c>
      <c r="O755" s="182" t="s">
        <v>466</v>
      </c>
    </row>
    <row r="756" spans="1:15" ht="12">
      <c r="A756" s="148"/>
      <c r="B756" s="174" t="s">
        <v>2260</v>
      </c>
      <c r="C756" s="175" t="s">
        <v>2280</v>
      </c>
      <c r="D756" s="176" t="s">
        <v>2281</v>
      </c>
      <c r="E756" s="177" t="s">
        <v>2261</v>
      </c>
      <c r="F756" s="175">
        <f t="shared" si="33"/>
        <v>12</v>
      </c>
      <c r="G756" s="175" t="str">
        <f t="shared" si="34"/>
        <v>South Bend</v>
      </c>
      <c r="H756" s="175" t="str">
        <f t="shared" si="35"/>
        <v>South Bend, IN</v>
      </c>
      <c r="I756" s="178" t="s">
        <v>1975</v>
      </c>
      <c r="J756" s="27" t="s">
        <v>2281</v>
      </c>
      <c r="K756" s="27">
        <v>824</v>
      </c>
      <c r="L756" s="179">
        <v>6273</v>
      </c>
      <c r="M756" s="178" t="s">
        <v>2010</v>
      </c>
      <c r="N756" s="27" t="s">
        <v>2281</v>
      </c>
      <c r="O756" s="182" t="s">
        <v>2011</v>
      </c>
    </row>
    <row r="757" spans="1:15" ht="12">
      <c r="A757" s="148"/>
      <c r="B757" s="174" t="s">
        <v>2262</v>
      </c>
      <c r="C757" s="175" t="s">
        <v>2280</v>
      </c>
      <c r="D757" s="176" t="s">
        <v>2281</v>
      </c>
      <c r="E757" s="177" t="s">
        <v>2261</v>
      </c>
      <c r="F757" s="175">
        <f t="shared" si="33"/>
        <v>12</v>
      </c>
      <c r="G757" s="175" t="str">
        <f t="shared" si="34"/>
        <v>South Bend</v>
      </c>
      <c r="H757" s="175" t="str">
        <f t="shared" si="35"/>
        <v>South Bend, IN</v>
      </c>
      <c r="I757" s="178" t="s">
        <v>1971</v>
      </c>
      <c r="J757" s="27" t="s">
        <v>2281</v>
      </c>
      <c r="K757" s="27">
        <v>728</v>
      </c>
      <c r="L757" s="179">
        <v>6331</v>
      </c>
      <c r="M757" s="178" t="s">
        <v>2010</v>
      </c>
      <c r="N757" s="27" t="s">
        <v>2281</v>
      </c>
      <c r="O757" s="182" t="s">
        <v>2011</v>
      </c>
    </row>
    <row r="758" spans="1:15" ht="12">
      <c r="A758" s="148"/>
      <c r="B758" s="174" t="s">
        <v>1642</v>
      </c>
      <c r="C758" s="175" t="s">
        <v>1647</v>
      </c>
      <c r="D758" s="176" t="s">
        <v>1648</v>
      </c>
      <c r="E758" s="177" t="s">
        <v>2265</v>
      </c>
      <c r="F758" s="175">
        <f t="shared" si="33"/>
        <v>20</v>
      </c>
      <c r="G758" s="175" t="str">
        <f t="shared" si="34"/>
        <v>South Chicago Sub.</v>
      </c>
      <c r="H758" s="175" t="str">
        <f t="shared" si="35"/>
        <v>South Chicago Sub., IL</v>
      </c>
      <c r="I758" s="178" t="s">
        <v>2370</v>
      </c>
      <c r="J758" s="27" t="s">
        <v>1648</v>
      </c>
      <c r="K758" s="27">
        <v>752</v>
      </c>
      <c r="L758" s="179">
        <v>6536</v>
      </c>
      <c r="M758" s="178" t="s">
        <v>2371</v>
      </c>
      <c r="N758" s="27" t="s">
        <v>1648</v>
      </c>
      <c r="O758" s="182" t="s">
        <v>2372</v>
      </c>
    </row>
    <row r="759" spans="1:15" ht="12">
      <c r="A759" s="148"/>
      <c r="B759" s="174" t="s">
        <v>1218</v>
      </c>
      <c r="C759" s="175" t="s">
        <v>1647</v>
      </c>
      <c r="D759" s="176" t="s">
        <v>1648</v>
      </c>
      <c r="E759" s="177" t="s">
        <v>2265</v>
      </c>
      <c r="F759" s="175">
        <f t="shared" si="33"/>
        <v>20</v>
      </c>
      <c r="G759" s="175" t="str">
        <f t="shared" si="34"/>
        <v>South Chicago Sub.</v>
      </c>
      <c r="H759" s="175" t="str">
        <f t="shared" si="35"/>
        <v>South Chicago Sub., IL</v>
      </c>
      <c r="I759" s="178" t="s">
        <v>2370</v>
      </c>
      <c r="J759" s="27" t="s">
        <v>1648</v>
      </c>
      <c r="K759" s="27">
        <v>752</v>
      </c>
      <c r="L759" s="179">
        <v>6536</v>
      </c>
      <c r="M759" s="178" t="s">
        <v>2371</v>
      </c>
      <c r="N759" s="27" t="s">
        <v>1648</v>
      </c>
      <c r="O759" s="182" t="s">
        <v>2372</v>
      </c>
    </row>
    <row r="760" spans="1:15" ht="12">
      <c r="A760" s="148"/>
      <c r="B760" s="186" t="s">
        <v>1219</v>
      </c>
      <c r="C760" s="175" t="s">
        <v>1548</v>
      </c>
      <c r="D760" s="176" t="s">
        <v>1549</v>
      </c>
      <c r="E760" s="177" t="s">
        <v>1220</v>
      </c>
      <c r="F760" s="175">
        <f t="shared" si="33"/>
        <v>14</v>
      </c>
      <c r="G760" s="175" t="str">
        <f t="shared" si="34"/>
        <v>South Jersey</v>
      </c>
      <c r="H760" s="175" t="str">
        <f t="shared" si="35"/>
        <v>South Jersey, NJ</v>
      </c>
      <c r="I760" s="178" t="s">
        <v>1551</v>
      </c>
      <c r="J760" s="27" t="s">
        <v>1549</v>
      </c>
      <c r="K760" s="27">
        <v>826</v>
      </c>
      <c r="L760" s="179">
        <v>5169</v>
      </c>
      <c r="M760" s="180" t="s">
        <v>1552</v>
      </c>
      <c r="N760" s="181" t="s">
        <v>1549</v>
      </c>
      <c r="O760" s="182" t="s">
        <v>1553</v>
      </c>
    </row>
    <row r="761" spans="1:15" ht="12">
      <c r="A761" s="148"/>
      <c r="B761" s="186" t="s">
        <v>1221</v>
      </c>
      <c r="C761" s="175" t="s">
        <v>1548</v>
      </c>
      <c r="D761" s="176" t="s">
        <v>1549</v>
      </c>
      <c r="E761" s="177" t="s">
        <v>1220</v>
      </c>
      <c r="F761" s="175">
        <f t="shared" si="33"/>
        <v>14</v>
      </c>
      <c r="G761" s="175" t="str">
        <f t="shared" si="34"/>
        <v>South Jersey</v>
      </c>
      <c r="H761" s="175" t="str">
        <f t="shared" si="35"/>
        <v>South Jersey, NJ</v>
      </c>
      <c r="I761" s="178" t="s">
        <v>1039</v>
      </c>
      <c r="J761" s="27" t="s">
        <v>1736</v>
      </c>
      <c r="K761" s="27">
        <v>1046</v>
      </c>
      <c r="L761" s="179">
        <v>4937</v>
      </c>
      <c r="M761" s="180" t="s">
        <v>1040</v>
      </c>
      <c r="N761" s="181" t="s">
        <v>1736</v>
      </c>
      <c r="O761" s="182" t="s">
        <v>1041</v>
      </c>
    </row>
    <row r="762" spans="1:15" ht="12">
      <c r="A762" s="148"/>
      <c r="B762" s="174" t="s">
        <v>1222</v>
      </c>
      <c r="C762" s="175" t="s">
        <v>1198</v>
      </c>
      <c r="D762" s="176" t="s">
        <v>1199</v>
      </c>
      <c r="E762" s="177" t="s">
        <v>1223</v>
      </c>
      <c r="F762" s="175">
        <f t="shared" si="33"/>
        <v>28</v>
      </c>
      <c r="G762" s="175" t="str">
        <f t="shared" si="34"/>
        <v>Southeast Utah/Green River</v>
      </c>
      <c r="H762" s="175" t="str">
        <f t="shared" si="35"/>
        <v>Southeast Utah/Green River, UT</v>
      </c>
      <c r="I762" s="178" t="s">
        <v>1754</v>
      </c>
      <c r="J762" s="27" t="s">
        <v>403</v>
      </c>
      <c r="K762" s="27">
        <v>1183</v>
      </c>
      <c r="L762" s="179">
        <v>5548</v>
      </c>
      <c r="M762" s="178" t="s">
        <v>1755</v>
      </c>
      <c r="N762" s="27" t="s">
        <v>403</v>
      </c>
      <c r="O762" s="182" t="s">
        <v>1756</v>
      </c>
    </row>
    <row r="763" spans="1:15" ht="12">
      <c r="A763" s="148"/>
      <c r="B763" s="174" t="s">
        <v>1224</v>
      </c>
      <c r="C763" s="175" t="s">
        <v>449</v>
      </c>
      <c r="D763" s="176" t="s">
        <v>450</v>
      </c>
      <c r="E763" s="177" t="s">
        <v>1225</v>
      </c>
      <c r="F763" s="175">
        <f t="shared" si="33"/>
        <v>14</v>
      </c>
      <c r="G763" s="175" t="str">
        <f t="shared" si="34"/>
        <v>Southeastern</v>
      </c>
      <c r="H763" s="175" t="str">
        <f t="shared" si="35"/>
        <v>Southeastern, PA</v>
      </c>
      <c r="I763" s="178" t="s">
        <v>1039</v>
      </c>
      <c r="J763" s="27" t="s">
        <v>1736</v>
      </c>
      <c r="K763" s="27">
        <v>1046</v>
      </c>
      <c r="L763" s="179">
        <v>4937</v>
      </c>
      <c r="M763" s="180" t="s">
        <v>1040</v>
      </c>
      <c r="N763" s="181" t="s">
        <v>1736</v>
      </c>
      <c r="O763" s="182" t="s">
        <v>1041</v>
      </c>
    </row>
    <row r="764" spans="1:15" ht="12">
      <c r="A764" s="148"/>
      <c r="B764" s="174" t="s">
        <v>1226</v>
      </c>
      <c r="C764" s="175" t="s">
        <v>449</v>
      </c>
      <c r="D764" s="176" t="s">
        <v>450</v>
      </c>
      <c r="E764" s="177" t="s">
        <v>1225</v>
      </c>
      <c r="F764" s="175">
        <f t="shared" si="33"/>
        <v>14</v>
      </c>
      <c r="G764" s="175" t="str">
        <f t="shared" si="34"/>
        <v>Southeastern</v>
      </c>
      <c r="H764" s="175" t="str">
        <f t="shared" si="35"/>
        <v>Southeastern, PA</v>
      </c>
      <c r="I764" s="178" t="s">
        <v>1039</v>
      </c>
      <c r="J764" s="27" t="s">
        <v>1736</v>
      </c>
      <c r="K764" s="27">
        <v>1046</v>
      </c>
      <c r="L764" s="179">
        <v>4937</v>
      </c>
      <c r="M764" s="180" t="s">
        <v>1040</v>
      </c>
      <c r="N764" s="181" t="s">
        <v>1736</v>
      </c>
      <c r="O764" s="182" t="s">
        <v>1041</v>
      </c>
    </row>
    <row r="765" spans="1:15" ht="12">
      <c r="A765" s="148"/>
      <c r="B765" s="174" t="s">
        <v>1227</v>
      </c>
      <c r="C765" s="175" t="s">
        <v>1198</v>
      </c>
      <c r="D765" s="176" t="s">
        <v>1199</v>
      </c>
      <c r="E765" s="177" t="s">
        <v>1228</v>
      </c>
      <c r="F765" s="175">
        <f t="shared" si="33"/>
        <v>27</v>
      </c>
      <c r="G765" s="175" t="str">
        <f t="shared" si="34"/>
        <v>Southwest Utah/Cedar City</v>
      </c>
      <c r="H765" s="175" t="str">
        <f t="shared" si="35"/>
        <v>Southwest Utah/Cedar City, UT</v>
      </c>
      <c r="I765" s="178" t="s">
        <v>1229</v>
      </c>
      <c r="J765" s="27" t="s">
        <v>1199</v>
      </c>
      <c r="K765" s="27">
        <v>647</v>
      </c>
      <c r="L765" s="179">
        <v>6511</v>
      </c>
      <c r="M765" s="178" t="s">
        <v>1755</v>
      </c>
      <c r="N765" s="27" t="s">
        <v>403</v>
      </c>
      <c r="O765" s="182" t="s">
        <v>1756</v>
      </c>
    </row>
    <row r="766" spans="1:15" ht="12">
      <c r="A766" s="148"/>
      <c r="B766" s="174" t="s">
        <v>1230</v>
      </c>
      <c r="C766" s="175" t="s">
        <v>283</v>
      </c>
      <c r="D766" s="176" t="s">
        <v>284</v>
      </c>
      <c r="E766" s="177" t="s">
        <v>1231</v>
      </c>
      <c r="F766" s="175">
        <f t="shared" si="33"/>
        <v>13</v>
      </c>
      <c r="G766" s="175" t="str">
        <f t="shared" si="34"/>
        <v>Spartanburg</v>
      </c>
      <c r="H766" s="175" t="str">
        <f t="shared" si="35"/>
        <v>Spartanburg, SC</v>
      </c>
      <c r="I766" s="178" t="s">
        <v>2342</v>
      </c>
      <c r="J766" s="27" t="s">
        <v>284</v>
      </c>
      <c r="K766" s="27">
        <v>1473</v>
      </c>
      <c r="L766" s="179">
        <v>3272</v>
      </c>
      <c r="M766" s="180" t="s">
        <v>2343</v>
      </c>
      <c r="N766" s="181" t="s">
        <v>482</v>
      </c>
      <c r="O766" s="182" t="s">
        <v>2344</v>
      </c>
    </row>
    <row r="767" spans="1:15" ht="12">
      <c r="A767" s="148"/>
      <c r="B767" s="174" t="s">
        <v>1232</v>
      </c>
      <c r="C767" s="175" t="s">
        <v>1333</v>
      </c>
      <c r="D767" s="176" t="s">
        <v>1334</v>
      </c>
      <c r="E767" s="177" t="s">
        <v>1233</v>
      </c>
      <c r="F767" s="175">
        <f t="shared" si="33"/>
        <v>9</v>
      </c>
      <c r="G767" s="175" t="str">
        <f t="shared" si="34"/>
        <v>Spencer</v>
      </c>
      <c r="H767" s="175" t="str">
        <f t="shared" si="35"/>
        <v>Spencer, IA</v>
      </c>
      <c r="I767" s="178" t="s">
        <v>1290</v>
      </c>
      <c r="J767" s="27" t="s">
        <v>256</v>
      </c>
      <c r="K767" s="27">
        <v>744</v>
      </c>
      <c r="L767" s="179">
        <v>7809</v>
      </c>
      <c r="M767" s="180" t="s">
        <v>1291</v>
      </c>
      <c r="N767" s="181" t="s">
        <v>256</v>
      </c>
      <c r="O767" s="182" t="s">
        <v>1292</v>
      </c>
    </row>
    <row r="768" spans="1:15" ht="12">
      <c r="A768" s="148"/>
      <c r="B768" s="174" t="s">
        <v>1234</v>
      </c>
      <c r="C768" s="175" t="s">
        <v>593</v>
      </c>
      <c r="D768" s="176" t="s">
        <v>1638</v>
      </c>
      <c r="E768" s="177" t="s">
        <v>1235</v>
      </c>
      <c r="F768" s="175">
        <f t="shared" si="33"/>
        <v>9</v>
      </c>
      <c r="G768" s="175" t="str">
        <f t="shared" si="34"/>
        <v>Spokane</v>
      </c>
      <c r="H768" s="175" t="str">
        <f t="shared" si="35"/>
        <v>Spokane, WA</v>
      </c>
      <c r="I768" s="178" t="s">
        <v>1502</v>
      </c>
      <c r="J768" s="27" t="s">
        <v>1638</v>
      </c>
      <c r="K768" s="27">
        <v>398</v>
      </c>
      <c r="L768" s="179">
        <v>6842</v>
      </c>
      <c r="M768" s="180" t="s">
        <v>1503</v>
      </c>
      <c r="N768" s="181" t="s">
        <v>1638</v>
      </c>
      <c r="O768" s="182" t="s">
        <v>1504</v>
      </c>
    </row>
    <row r="769" spans="1:15" ht="12">
      <c r="A769" s="148"/>
      <c r="B769" s="174" t="s">
        <v>1236</v>
      </c>
      <c r="C769" s="175" t="s">
        <v>593</v>
      </c>
      <c r="D769" s="176" t="s">
        <v>1638</v>
      </c>
      <c r="E769" s="177" t="s">
        <v>1235</v>
      </c>
      <c r="F769" s="175">
        <f t="shared" si="33"/>
        <v>9</v>
      </c>
      <c r="G769" s="175" t="str">
        <f t="shared" si="34"/>
        <v>Spokane</v>
      </c>
      <c r="H769" s="175" t="str">
        <f t="shared" si="35"/>
        <v>Spokane, WA</v>
      </c>
      <c r="I769" s="178" t="s">
        <v>1502</v>
      </c>
      <c r="J769" s="27" t="s">
        <v>1638</v>
      </c>
      <c r="K769" s="27">
        <v>398</v>
      </c>
      <c r="L769" s="179">
        <v>6842</v>
      </c>
      <c r="M769" s="180" t="s">
        <v>1503</v>
      </c>
      <c r="N769" s="181" t="s">
        <v>1638</v>
      </c>
      <c r="O769" s="182" t="s">
        <v>1504</v>
      </c>
    </row>
    <row r="770" spans="1:15" ht="12">
      <c r="A770" s="148"/>
      <c r="B770" s="174" t="s">
        <v>1237</v>
      </c>
      <c r="C770" s="175" t="s">
        <v>593</v>
      </c>
      <c r="D770" s="176" t="s">
        <v>1638</v>
      </c>
      <c r="E770" s="177" t="s">
        <v>1235</v>
      </c>
      <c r="F770" s="175">
        <f t="shared" si="33"/>
        <v>9</v>
      </c>
      <c r="G770" s="175" t="str">
        <f t="shared" si="34"/>
        <v>Spokane</v>
      </c>
      <c r="H770" s="175" t="str">
        <f t="shared" si="35"/>
        <v>Spokane, WA</v>
      </c>
      <c r="I770" s="178" t="s">
        <v>1502</v>
      </c>
      <c r="J770" s="27" t="s">
        <v>1638</v>
      </c>
      <c r="K770" s="27">
        <v>398</v>
      </c>
      <c r="L770" s="179">
        <v>6842</v>
      </c>
      <c r="M770" s="180" t="s">
        <v>1503</v>
      </c>
      <c r="N770" s="181" t="s">
        <v>1638</v>
      </c>
      <c r="O770" s="182" t="s">
        <v>1504</v>
      </c>
    </row>
    <row r="771" spans="1:15" ht="12">
      <c r="A771" s="148"/>
      <c r="B771" s="174" t="s">
        <v>1238</v>
      </c>
      <c r="C771" s="175" t="s">
        <v>51</v>
      </c>
      <c r="D771" s="176" t="s">
        <v>1702</v>
      </c>
      <c r="E771" s="177" t="s">
        <v>1239</v>
      </c>
      <c r="F771" s="175">
        <f t="shared" si="33"/>
        <v>9</v>
      </c>
      <c r="G771" s="175" t="str">
        <f t="shared" si="34"/>
        <v>Spooner</v>
      </c>
      <c r="H771" s="175" t="str">
        <f t="shared" si="35"/>
        <v>Spooner, WI</v>
      </c>
      <c r="I771" s="178" t="s">
        <v>683</v>
      </c>
      <c r="J771" s="27" t="s">
        <v>1627</v>
      </c>
      <c r="K771" s="27">
        <v>415</v>
      </c>
      <c r="L771" s="179">
        <v>8928</v>
      </c>
      <c r="M771" s="180" t="s">
        <v>945</v>
      </c>
      <c r="N771" s="181" t="s">
        <v>1702</v>
      </c>
      <c r="O771" s="182" t="s">
        <v>946</v>
      </c>
    </row>
    <row r="772" spans="1:15" ht="12">
      <c r="A772" s="148"/>
      <c r="B772" s="174" t="s">
        <v>1240</v>
      </c>
      <c r="C772" s="175" t="s">
        <v>1647</v>
      </c>
      <c r="D772" s="176" t="s">
        <v>1648</v>
      </c>
      <c r="E772" s="177" t="s">
        <v>1241</v>
      </c>
      <c r="F772" s="175">
        <f t="shared" si="33"/>
        <v>13</v>
      </c>
      <c r="G772" s="175" t="str">
        <f t="shared" si="34"/>
        <v>Springfield</v>
      </c>
      <c r="H772" s="175" t="str">
        <f t="shared" si="35"/>
        <v>Springfield, IL</v>
      </c>
      <c r="I772" s="178" t="s">
        <v>1650</v>
      </c>
      <c r="J772" s="27" t="s">
        <v>1648</v>
      </c>
      <c r="K772" s="27">
        <v>1141</v>
      </c>
      <c r="L772" s="179">
        <v>5688</v>
      </c>
      <c r="M772" s="178" t="s">
        <v>1651</v>
      </c>
      <c r="N772" s="27" t="s">
        <v>1648</v>
      </c>
      <c r="O772" s="182" t="s">
        <v>2278</v>
      </c>
    </row>
    <row r="773" spans="1:15" ht="12">
      <c r="A773" s="148"/>
      <c r="B773" s="174" t="s">
        <v>1242</v>
      </c>
      <c r="C773" s="175" t="s">
        <v>1647</v>
      </c>
      <c r="D773" s="176" t="s">
        <v>1648</v>
      </c>
      <c r="E773" s="177" t="s">
        <v>1241</v>
      </c>
      <c r="F773" s="175">
        <f t="shared" si="33"/>
        <v>13</v>
      </c>
      <c r="G773" s="175" t="str">
        <f t="shared" si="34"/>
        <v>Springfield</v>
      </c>
      <c r="H773" s="175" t="str">
        <f t="shared" si="35"/>
        <v>Springfield, IL</v>
      </c>
      <c r="I773" s="178" t="s">
        <v>1650</v>
      </c>
      <c r="J773" s="27" t="s">
        <v>1648</v>
      </c>
      <c r="K773" s="27">
        <v>1141</v>
      </c>
      <c r="L773" s="179">
        <v>5688</v>
      </c>
      <c r="M773" s="178" t="s">
        <v>1651</v>
      </c>
      <c r="N773" s="27" t="s">
        <v>1648</v>
      </c>
      <c r="O773" s="182" t="s">
        <v>2278</v>
      </c>
    </row>
    <row r="774" spans="1:15" ht="12">
      <c r="A774" s="148"/>
      <c r="B774" s="174" t="s">
        <v>1243</v>
      </c>
      <c r="C774" s="175" t="s">
        <v>1647</v>
      </c>
      <c r="D774" s="176" t="s">
        <v>1648</v>
      </c>
      <c r="E774" s="177" t="s">
        <v>1241</v>
      </c>
      <c r="F774" s="175">
        <f t="shared" ref="F774:F837" si="36">LEN(E774)</f>
        <v>13</v>
      </c>
      <c r="G774" s="175" t="str">
        <f t="shared" ref="G774:G837" si="37">MID(E774,2,F774-2)</f>
        <v>Springfield</v>
      </c>
      <c r="H774" s="175" t="str">
        <f t="shared" ref="H774:H837" si="38">CONCATENATE(G774,", ",+D774)</f>
        <v>Springfield, IL</v>
      </c>
      <c r="I774" s="178" t="s">
        <v>1650</v>
      </c>
      <c r="J774" s="27" t="s">
        <v>1648</v>
      </c>
      <c r="K774" s="27">
        <v>1141</v>
      </c>
      <c r="L774" s="179">
        <v>5688</v>
      </c>
      <c r="M774" s="178" t="s">
        <v>1651</v>
      </c>
      <c r="N774" s="27" t="s">
        <v>1648</v>
      </c>
      <c r="O774" s="182" t="s">
        <v>2278</v>
      </c>
    </row>
    <row r="775" spans="1:15" ht="12">
      <c r="A775" s="148"/>
      <c r="B775" s="186" t="s">
        <v>1244</v>
      </c>
      <c r="C775" s="175" t="s">
        <v>2299</v>
      </c>
      <c r="D775" s="176" t="s">
        <v>2300</v>
      </c>
      <c r="E775" s="177" t="s">
        <v>1241</v>
      </c>
      <c r="F775" s="175">
        <f t="shared" si="36"/>
        <v>13</v>
      </c>
      <c r="G775" s="175" t="str">
        <f t="shared" si="37"/>
        <v>Springfield</v>
      </c>
      <c r="H775" s="175" t="str">
        <f t="shared" si="38"/>
        <v>Springfield, MA</v>
      </c>
      <c r="I775" s="178" t="s">
        <v>649</v>
      </c>
      <c r="J775" s="27" t="s">
        <v>2300</v>
      </c>
      <c r="K775" s="27">
        <v>333</v>
      </c>
      <c r="L775" s="179">
        <v>6979</v>
      </c>
      <c r="M775" s="178" t="s">
        <v>753</v>
      </c>
      <c r="N775" s="27" t="s">
        <v>690</v>
      </c>
      <c r="O775" s="182" t="s">
        <v>754</v>
      </c>
    </row>
    <row r="776" spans="1:15" ht="12">
      <c r="A776" s="148"/>
      <c r="B776" s="186" t="s">
        <v>1245</v>
      </c>
      <c r="C776" s="175" t="s">
        <v>2299</v>
      </c>
      <c r="D776" s="176" t="s">
        <v>2300</v>
      </c>
      <c r="E776" s="177" t="s">
        <v>1241</v>
      </c>
      <c r="F776" s="175">
        <f t="shared" si="36"/>
        <v>13</v>
      </c>
      <c r="G776" s="175" t="str">
        <f t="shared" si="37"/>
        <v>Springfield</v>
      </c>
      <c r="H776" s="175" t="str">
        <f t="shared" si="38"/>
        <v>Springfield, MA</v>
      </c>
      <c r="I776" s="178" t="s">
        <v>756</v>
      </c>
      <c r="J776" s="27" t="s">
        <v>690</v>
      </c>
      <c r="K776" s="27">
        <v>677</v>
      </c>
      <c r="L776" s="179">
        <v>6151</v>
      </c>
      <c r="M776" s="178" t="s">
        <v>753</v>
      </c>
      <c r="N776" s="27" t="s">
        <v>690</v>
      </c>
      <c r="O776" s="182" t="s">
        <v>754</v>
      </c>
    </row>
    <row r="777" spans="1:15" ht="12">
      <c r="A777" s="148"/>
      <c r="B777" s="174" t="s">
        <v>1246</v>
      </c>
      <c r="C777" s="175" t="s">
        <v>1377</v>
      </c>
      <c r="D777" s="176" t="s">
        <v>1378</v>
      </c>
      <c r="E777" s="177" t="s">
        <v>1241</v>
      </c>
      <c r="F777" s="175">
        <f t="shared" si="36"/>
        <v>13</v>
      </c>
      <c r="G777" s="175" t="str">
        <f t="shared" si="37"/>
        <v>Springfield</v>
      </c>
      <c r="H777" s="175" t="str">
        <f t="shared" si="38"/>
        <v>Springfield, MO</v>
      </c>
      <c r="I777" s="178" t="s">
        <v>1925</v>
      </c>
      <c r="J777" s="27" t="s">
        <v>1378</v>
      </c>
      <c r="K777" s="27">
        <v>1320</v>
      </c>
      <c r="L777" s="179">
        <v>4638</v>
      </c>
      <c r="M777" s="180" t="s">
        <v>1651</v>
      </c>
      <c r="N777" s="181" t="s">
        <v>1378</v>
      </c>
      <c r="O777" s="182" t="s">
        <v>1926</v>
      </c>
    </row>
    <row r="778" spans="1:15" ht="12">
      <c r="A778" s="148"/>
      <c r="B778" s="174" t="s">
        <v>1247</v>
      </c>
      <c r="C778" s="175" t="s">
        <v>1377</v>
      </c>
      <c r="D778" s="176" t="s">
        <v>1378</v>
      </c>
      <c r="E778" s="177" t="s">
        <v>1241</v>
      </c>
      <c r="F778" s="175">
        <f t="shared" si="36"/>
        <v>13</v>
      </c>
      <c r="G778" s="175" t="str">
        <f t="shared" si="37"/>
        <v>Springfield</v>
      </c>
      <c r="H778" s="175" t="str">
        <f t="shared" si="38"/>
        <v>Springfield, MO</v>
      </c>
      <c r="I778" s="178" t="s">
        <v>1925</v>
      </c>
      <c r="J778" s="27" t="s">
        <v>1378</v>
      </c>
      <c r="K778" s="27">
        <v>1320</v>
      </c>
      <c r="L778" s="179">
        <v>4638</v>
      </c>
      <c r="M778" s="180" t="s">
        <v>1651</v>
      </c>
      <c r="N778" s="181" t="s">
        <v>1378</v>
      </c>
      <c r="O778" s="182" t="s">
        <v>1926</v>
      </c>
    </row>
    <row r="779" spans="1:15" ht="12">
      <c r="A779" s="148"/>
      <c r="B779" s="174" t="s">
        <v>1248</v>
      </c>
      <c r="C779" s="175" t="s">
        <v>1377</v>
      </c>
      <c r="D779" s="176" t="s">
        <v>1378</v>
      </c>
      <c r="E779" s="177" t="s">
        <v>1241</v>
      </c>
      <c r="F779" s="175">
        <f t="shared" si="36"/>
        <v>13</v>
      </c>
      <c r="G779" s="175" t="str">
        <f t="shared" si="37"/>
        <v>Springfield</v>
      </c>
      <c r="H779" s="175" t="str">
        <f t="shared" si="38"/>
        <v>Springfield, MO</v>
      </c>
      <c r="I779" s="178" t="s">
        <v>1925</v>
      </c>
      <c r="J779" s="27" t="s">
        <v>1378</v>
      </c>
      <c r="K779" s="27">
        <v>1320</v>
      </c>
      <c r="L779" s="179">
        <v>4638</v>
      </c>
      <c r="M779" s="180" t="s">
        <v>1651</v>
      </c>
      <c r="N779" s="181" t="s">
        <v>1378</v>
      </c>
      <c r="O779" s="182" t="s">
        <v>1926</v>
      </c>
    </row>
    <row r="780" spans="1:15" ht="12">
      <c r="A780" s="148"/>
      <c r="B780" s="174" t="s">
        <v>1249</v>
      </c>
      <c r="C780" s="175" t="s">
        <v>394</v>
      </c>
      <c r="D780" s="176" t="s">
        <v>395</v>
      </c>
      <c r="E780" s="177" t="s">
        <v>1241</v>
      </c>
      <c r="F780" s="175">
        <f t="shared" si="36"/>
        <v>13</v>
      </c>
      <c r="G780" s="175" t="str">
        <f t="shared" si="37"/>
        <v>Springfield</v>
      </c>
      <c r="H780" s="175" t="str">
        <f t="shared" si="38"/>
        <v>Springfield, OH</v>
      </c>
      <c r="I780" s="178" t="s">
        <v>1694</v>
      </c>
      <c r="J780" s="27" t="s">
        <v>395</v>
      </c>
      <c r="K780" s="27">
        <v>886</v>
      </c>
      <c r="L780" s="179">
        <v>5708</v>
      </c>
      <c r="M780" s="180" t="s">
        <v>1691</v>
      </c>
      <c r="N780" s="181" t="s">
        <v>395</v>
      </c>
      <c r="O780" s="182" t="s">
        <v>1692</v>
      </c>
    </row>
    <row r="781" spans="1:15" ht="12">
      <c r="A781" s="148"/>
      <c r="B781" s="186" t="s">
        <v>1250</v>
      </c>
      <c r="C781" s="175" t="s">
        <v>1622</v>
      </c>
      <c r="D781" s="176" t="s">
        <v>1623</v>
      </c>
      <c r="E781" s="177" t="s">
        <v>1251</v>
      </c>
      <c r="F781" s="175">
        <f t="shared" si="36"/>
        <v>15</v>
      </c>
      <c r="G781" s="175" t="str">
        <f t="shared" si="37"/>
        <v>St. Johnsbury</v>
      </c>
      <c r="H781" s="175" t="str">
        <f t="shared" si="38"/>
        <v>St. Johnsbury, VT</v>
      </c>
      <c r="I781" s="178" t="s">
        <v>1340</v>
      </c>
      <c r="J781" s="27" t="s">
        <v>1623</v>
      </c>
      <c r="K781" s="27">
        <v>388</v>
      </c>
      <c r="L781" s="179">
        <v>7771</v>
      </c>
      <c r="M781" s="180" t="s">
        <v>1341</v>
      </c>
      <c r="N781" s="181" t="s">
        <v>1623</v>
      </c>
      <c r="O781" s="182" t="s">
        <v>1342</v>
      </c>
    </row>
    <row r="782" spans="1:15" ht="12">
      <c r="A782" s="148"/>
      <c r="B782" s="174" t="s">
        <v>1252</v>
      </c>
      <c r="C782" s="175" t="s">
        <v>670</v>
      </c>
      <c r="D782" s="176" t="s">
        <v>671</v>
      </c>
      <c r="E782" s="177" t="s">
        <v>1253</v>
      </c>
      <c r="F782" s="175">
        <f t="shared" si="36"/>
        <v>16</v>
      </c>
      <c r="G782" s="175" t="str">
        <f t="shared" si="37"/>
        <v>St. Petersburg</v>
      </c>
      <c r="H782" s="175" t="str">
        <f t="shared" si="38"/>
        <v>St. Petersburg, FL</v>
      </c>
      <c r="I782" s="178" t="s">
        <v>673</v>
      </c>
      <c r="J782" s="27" t="s">
        <v>671</v>
      </c>
      <c r="K782" s="27">
        <v>3427</v>
      </c>
      <c r="L782" s="179">
        <v>725</v>
      </c>
      <c r="M782" s="178" t="s">
        <v>674</v>
      </c>
      <c r="N782" s="27" t="s">
        <v>671</v>
      </c>
      <c r="O782" s="182" t="s">
        <v>675</v>
      </c>
    </row>
    <row r="783" spans="1:15" ht="12">
      <c r="A783" s="148"/>
      <c r="B783" s="186" t="s">
        <v>1254</v>
      </c>
      <c r="C783" s="175" t="s">
        <v>689</v>
      </c>
      <c r="D783" s="176" t="s">
        <v>690</v>
      </c>
      <c r="E783" s="177" t="s">
        <v>1255</v>
      </c>
      <c r="F783" s="175">
        <f t="shared" si="36"/>
        <v>10</v>
      </c>
      <c r="G783" s="175" t="str">
        <f t="shared" si="37"/>
        <v>Stamford</v>
      </c>
      <c r="H783" s="175" t="str">
        <f t="shared" si="38"/>
        <v>Stamford, CT</v>
      </c>
      <c r="I783" s="178" t="s">
        <v>692</v>
      </c>
      <c r="J783" s="27" t="s">
        <v>690</v>
      </c>
      <c r="K783" s="27">
        <v>724</v>
      </c>
      <c r="L783" s="179">
        <v>5537</v>
      </c>
      <c r="M783" s="178" t="s">
        <v>693</v>
      </c>
      <c r="N783" s="27" t="s">
        <v>690</v>
      </c>
      <c r="O783" s="182" t="s">
        <v>694</v>
      </c>
    </row>
    <row r="784" spans="1:15" ht="12">
      <c r="A784" s="148"/>
      <c r="B784" s="186" t="s">
        <v>1256</v>
      </c>
      <c r="C784" s="175" t="s">
        <v>689</v>
      </c>
      <c r="D784" s="176" t="s">
        <v>690</v>
      </c>
      <c r="E784" s="177" t="s">
        <v>1255</v>
      </c>
      <c r="F784" s="175">
        <f t="shared" si="36"/>
        <v>10</v>
      </c>
      <c r="G784" s="175" t="str">
        <f t="shared" si="37"/>
        <v>Stamford</v>
      </c>
      <c r="H784" s="175" t="str">
        <f t="shared" si="38"/>
        <v>Stamford, CT</v>
      </c>
      <c r="I784" s="178" t="s">
        <v>692</v>
      </c>
      <c r="J784" s="27" t="s">
        <v>690</v>
      </c>
      <c r="K784" s="27">
        <v>724</v>
      </c>
      <c r="L784" s="179">
        <v>5537</v>
      </c>
      <c r="M784" s="178" t="s">
        <v>693</v>
      </c>
      <c r="N784" s="27" t="s">
        <v>690</v>
      </c>
      <c r="O784" s="182" t="s">
        <v>694</v>
      </c>
    </row>
    <row r="785" spans="1:15" ht="12">
      <c r="A785" s="148"/>
      <c r="B785" s="174" t="s">
        <v>1257</v>
      </c>
      <c r="C785" s="175" t="s">
        <v>449</v>
      </c>
      <c r="D785" s="176" t="s">
        <v>450</v>
      </c>
      <c r="E785" s="177" t="s">
        <v>1258</v>
      </c>
      <c r="F785" s="175">
        <f t="shared" si="36"/>
        <v>15</v>
      </c>
      <c r="G785" s="175" t="str">
        <f t="shared" si="37"/>
        <v>State College</v>
      </c>
      <c r="H785" s="175" t="str">
        <f t="shared" si="38"/>
        <v>State College, PA</v>
      </c>
      <c r="I785" s="178" t="s">
        <v>1743</v>
      </c>
      <c r="J785" s="27" t="s">
        <v>450</v>
      </c>
      <c r="K785" s="27">
        <v>622</v>
      </c>
      <c r="L785" s="179">
        <v>6087</v>
      </c>
      <c r="M785" s="180" t="s">
        <v>2327</v>
      </c>
      <c r="N785" s="181" t="s">
        <v>450</v>
      </c>
      <c r="O785" s="182" t="s">
        <v>2328</v>
      </c>
    </row>
    <row r="786" spans="1:15" ht="12">
      <c r="A786" s="148"/>
      <c r="B786" s="174" t="s">
        <v>1259</v>
      </c>
      <c r="C786" s="175" t="s">
        <v>416</v>
      </c>
      <c r="D786" s="176" t="s">
        <v>417</v>
      </c>
      <c r="E786" s="177" t="s">
        <v>1260</v>
      </c>
      <c r="F786" s="175">
        <f t="shared" si="36"/>
        <v>15</v>
      </c>
      <c r="G786" s="175" t="str">
        <f t="shared" si="37"/>
        <v>Staten Island</v>
      </c>
      <c r="H786" s="175" t="str">
        <f t="shared" si="38"/>
        <v>Staten Island, NY</v>
      </c>
      <c r="I786" s="178" t="s">
        <v>2276</v>
      </c>
      <c r="J786" s="27" t="s">
        <v>417</v>
      </c>
      <c r="K786" s="27">
        <v>1052</v>
      </c>
      <c r="L786" s="179">
        <v>4910</v>
      </c>
      <c r="M786" s="180" t="s">
        <v>2277</v>
      </c>
      <c r="N786" s="181" t="s">
        <v>417</v>
      </c>
      <c r="O786" s="182" t="s">
        <v>1298</v>
      </c>
    </row>
    <row r="787" spans="1:15" ht="12">
      <c r="A787" s="148"/>
      <c r="B787" s="174" t="s">
        <v>1261</v>
      </c>
      <c r="C787" s="175" t="s">
        <v>434</v>
      </c>
      <c r="D787" s="176" t="s">
        <v>435</v>
      </c>
      <c r="E787" s="177" t="s">
        <v>1262</v>
      </c>
      <c r="F787" s="175">
        <f t="shared" si="36"/>
        <v>10</v>
      </c>
      <c r="G787" s="175" t="str">
        <f t="shared" si="37"/>
        <v>Staunton</v>
      </c>
      <c r="H787" s="175" t="str">
        <f t="shared" si="38"/>
        <v>Staunton, VA</v>
      </c>
      <c r="I787" s="178" t="s">
        <v>2287</v>
      </c>
      <c r="J787" s="27" t="s">
        <v>435</v>
      </c>
      <c r="K787" s="27">
        <v>1052</v>
      </c>
      <c r="L787" s="179">
        <v>4360</v>
      </c>
      <c r="M787" s="180" t="s">
        <v>2288</v>
      </c>
      <c r="N787" s="181" t="s">
        <v>435</v>
      </c>
      <c r="O787" s="182" t="s">
        <v>2289</v>
      </c>
    </row>
    <row r="788" spans="1:15" ht="12">
      <c r="A788" s="148"/>
      <c r="B788" s="174" t="s">
        <v>1263</v>
      </c>
      <c r="C788" s="175" t="s">
        <v>263</v>
      </c>
      <c r="D788" s="176" t="s">
        <v>264</v>
      </c>
      <c r="E788" s="177" t="s">
        <v>1264</v>
      </c>
      <c r="F788" s="175">
        <f t="shared" si="36"/>
        <v>14</v>
      </c>
      <c r="G788" s="175" t="str">
        <f t="shared" si="37"/>
        <v>Stephenville</v>
      </c>
      <c r="H788" s="175" t="str">
        <f t="shared" si="38"/>
        <v>Stephenville, TX</v>
      </c>
      <c r="I788" s="178" t="s">
        <v>266</v>
      </c>
      <c r="J788" s="27" t="s">
        <v>264</v>
      </c>
      <c r="K788" s="27">
        <v>2451</v>
      </c>
      <c r="L788" s="179">
        <v>2584</v>
      </c>
      <c r="M788" s="180" t="s">
        <v>267</v>
      </c>
      <c r="N788" s="181" t="s">
        <v>264</v>
      </c>
      <c r="O788" s="182" t="s">
        <v>268</v>
      </c>
    </row>
    <row r="789" spans="1:15" ht="12">
      <c r="A789" s="148"/>
      <c r="B789" s="174" t="s">
        <v>822</v>
      </c>
      <c r="C789" s="175" t="s">
        <v>442</v>
      </c>
      <c r="D789" s="176" t="s">
        <v>443</v>
      </c>
      <c r="E789" s="177" t="s">
        <v>823</v>
      </c>
      <c r="F789" s="175">
        <f t="shared" si="36"/>
        <v>10</v>
      </c>
      <c r="G789" s="175" t="str">
        <f t="shared" si="37"/>
        <v>Stockton</v>
      </c>
      <c r="H789" s="175" t="str">
        <f t="shared" si="38"/>
        <v>Stockton, CA</v>
      </c>
      <c r="I789" s="178" t="s">
        <v>824</v>
      </c>
      <c r="J789" s="27" t="s">
        <v>443</v>
      </c>
      <c r="K789" s="27">
        <v>1470</v>
      </c>
      <c r="L789" s="179">
        <v>2707</v>
      </c>
      <c r="M789" s="178" t="s">
        <v>641</v>
      </c>
      <c r="N789" s="27" t="s">
        <v>443</v>
      </c>
      <c r="O789" s="182" t="s">
        <v>642</v>
      </c>
    </row>
    <row r="790" spans="1:15" ht="12">
      <c r="A790" s="148"/>
      <c r="B790" s="174" t="s">
        <v>825</v>
      </c>
      <c r="C790" s="175" t="s">
        <v>449</v>
      </c>
      <c r="D790" s="176" t="s">
        <v>450</v>
      </c>
      <c r="E790" s="177" t="s">
        <v>826</v>
      </c>
      <c r="F790" s="175">
        <f t="shared" si="36"/>
        <v>13</v>
      </c>
      <c r="G790" s="175" t="str">
        <f t="shared" si="37"/>
        <v>Stroudsburg</v>
      </c>
      <c r="H790" s="175" t="str">
        <f t="shared" si="38"/>
        <v>Stroudsburg, PA</v>
      </c>
      <c r="I790" s="178" t="s">
        <v>452</v>
      </c>
      <c r="J790" s="27" t="s">
        <v>450</v>
      </c>
      <c r="K790" s="27">
        <v>773</v>
      </c>
      <c r="L790" s="179">
        <v>5785</v>
      </c>
      <c r="M790" s="178" t="s">
        <v>453</v>
      </c>
      <c r="N790" s="27" t="s">
        <v>450</v>
      </c>
      <c r="O790" s="182" t="s">
        <v>454</v>
      </c>
    </row>
    <row r="791" spans="1:15" ht="12">
      <c r="A791" s="148"/>
      <c r="B791" s="174" t="s">
        <v>827</v>
      </c>
      <c r="C791" s="175" t="s">
        <v>394</v>
      </c>
      <c r="D791" s="176" t="s">
        <v>395</v>
      </c>
      <c r="E791" s="177" t="s">
        <v>828</v>
      </c>
      <c r="F791" s="175">
        <f t="shared" si="36"/>
        <v>14</v>
      </c>
      <c r="G791" s="175" t="str">
        <f t="shared" si="37"/>
        <v>Stuebenville</v>
      </c>
      <c r="H791" s="175" t="str">
        <f t="shared" si="38"/>
        <v>Stuebenville, OH</v>
      </c>
      <c r="I791" s="178" t="s">
        <v>464</v>
      </c>
      <c r="J791" s="27" t="s">
        <v>450</v>
      </c>
      <c r="K791" s="27">
        <v>654</v>
      </c>
      <c r="L791" s="179">
        <v>5968</v>
      </c>
      <c r="M791" s="180" t="s">
        <v>465</v>
      </c>
      <c r="N791" s="181" t="s">
        <v>450</v>
      </c>
      <c r="O791" s="182" t="s">
        <v>466</v>
      </c>
    </row>
    <row r="792" spans="1:15" ht="12">
      <c r="A792" s="148"/>
      <c r="B792" s="174" t="s">
        <v>829</v>
      </c>
      <c r="C792" s="175" t="s">
        <v>416</v>
      </c>
      <c r="D792" s="176" t="s">
        <v>417</v>
      </c>
      <c r="E792" s="177" t="s">
        <v>830</v>
      </c>
      <c r="F792" s="175">
        <f t="shared" si="36"/>
        <v>9</v>
      </c>
      <c r="G792" s="175" t="str">
        <f t="shared" si="37"/>
        <v>Suffern</v>
      </c>
      <c r="H792" s="175" t="str">
        <f t="shared" si="38"/>
        <v>Suffern, NY</v>
      </c>
      <c r="I792" s="178" t="s">
        <v>692</v>
      </c>
      <c r="J792" s="27" t="s">
        <v>690</v>
      </c>
      <c r="K792" s="27">
        <v>724</v>
      </c>
      <c r="L792" s="179">
        <v>5537</v>
      </c>
      <c r="M792" s="178" t="s">
        <v>693</v>
      </c>
      <c r="N792" s="27" t="s">
        <v>690</v>
      </c>
      <c r="O792" s="182" t="s">
        <v>694</v>
      </c>
    </row>
    <row r="793" spans="1:15" ht="12">
      <c r="A793" s="148"/>
      <c r="B793" s="186" t="s">
        <v>831</v>
      </c>
      <c r="C793" s="175" t="s">
        <v>1548</v>
      </c>
      <c r="D793" s="176" t="s">
        <v>1549</v>
      </c>
      <c r="E793" s="177" t="s">
        <v>832</v>
      </c>
      <c r="F793" s="175">
        <f t="shared" si="36"/>
        <v>8</v>
      </c>
      <c r="G793" s="175" t="str">
        <f t="shared" si="37"/>
        <v>Summit</v>
      </c>
      <c r="H793" s="175" t="str">
        <f t="shared" si="38"/>
        <v>Summit, NJ</v>
      </c>
      <c r="I793" s="178" t="s">
        <v>70</v>
      </c>
      <c r="J793" s="27" t="s">
        <v>1549</v>
      </c>
      <c r="K793" s="27">
        <v>1201</v>
      </c>
      <c r="L793" s="179">
        <v>4888</v>
      </c>
      <c r="M793" s="180" t="s">
        <v>71</v>
      </c>
      <c r="N793" s="181" t="s">
        <v>1549</v>
      </c>
      <c r="O793" s="182" t="s">
        <v>72</v>
      </c>
    </row>
    <row r="794" spans="1:15" ht="12">
      <c r="A794" s="148"/>
      <c r="B794" s="174" t="s">
        <v>833</v>
      </c>
      <c r="C794" s="175" t="s">
        <v>449</v>
      </c>
      <c r="D794" s="176" t="s">
        <v>450</v>
      </c>
      <c r="E794" s="177" t="s">
        <v>834</v>
      </c>
      <c r="F794" s="175">
        <f t="shared" si="36"/>
        <v>9</v>
      </c>
      <c r="G794" s="175" t="str">
        <f t="shared" si="37"/>
        <v>Sunbury</v>
      </c>
      <c r="H794" s="175" t="str">
        <f t="shared" si="38"/>
        <v>Sunbury, PA</v>
      </c>
      <c r="I794" s="178" t="s">
        <v>1743</v>
      </c>
      <c r="J794" s="27" t="s">
        <v>450</v>
      </c>
      <c r="K794" s="27">
        <v>622</v>
      </c>
      <c r="L794" s="179">
        <v>6087</v>
      </c>
      <c r="M794" s="180" t="s">
        <v>2327</v>
      </c>
      <c r="N794" s="181" t="s">
        <v>450</v>
      </c>
      <c r="O794" s="182" t="s">
        <v>2328</v>
      </c>
    </row>
    <row r="795" spans="1:15" ht="12">
      <c r="A795" s="148"/>
      <c r="B795" s="174" t="s">
        <v>835</v>
      </c>
      <c r="C795" s="175" t="s">
        <v>442</v>
      </c>
      <c r="D795" s="176" t="s">
        <v>443</v>
      </c>
      <c r="E795" s="177" t="s">
        <v>836</v>
      </c>
      <c r="F795" s="175">
        <f t="shared" si="36"/>
        <v>12</v>
      </c>
      <c r="G795" s="175" t="str">
        <f t="shared" si="37"/>
        <v>Susanville</v>
      </c>
      <c r="H795" s="175" t="str">
        <f t="shared" si="38"/>
        <v>Susanville, CA</v>
      </c>
      <c r="I795" s="178" t="s">
        <v>837</v>
      </c>
      <c r="J795" s="27" t="s">
        <v>1402</v>
      </c>
      <c r="K795" s="27">
        <v>538</v>
      </c>
      <c r="L795" s="179">
        <v>6315</v>
      </c>
      <c r="M795" s="178" t="s">
        <v>641</v>
      </c>
      <c r="N795" s="27" t="s">
        <v>443</v>
      </c>
      <c r="O795" s="182" t="s">
        <v>642</v>
      </c>
    </row>
    <row r="796" spans="1:15" ht="12">
      <c r="A796" s="148"/>
      <c r="B796" s="174" t="s">
        <v>838</v>
      </c>
      <c r="C796" s="175" t="s">
        <v>409</v>
      </c>
      <c r="D796" s="176" t="s">
        <v>410</v>
      </c>
      <c r="E796" s="177" t="s">
        <v>839</v>
      </c>
      <c r="F796" s="175">
        <f t="shared" si="36"/>
        <v>12</v>
      </c>
      <c r="G796" s="175" t="str">
        <f t="shared" si="37"/>
        <v>Swainsboro</v>
      </c>
      <c r="H796" s="175" t="str">
        <f t="shared" si="38"/>
        <v>Swainsboro, GA</v>
      </c>
      <c r="I796" s="178" t="s">
        <v>1607</v>
      </c>
      <c r="J796" s="27" t="s">
        <v>410</v>
      </c>
      <c r="K796" s="27">
        <v>2365</v>
      </c>
      <c r="L796" s="179">
        <v>1847</v>
      </c>
      <c r="M796" s="180" t="s">
        <v>1608</v>
      </c>
      <c r="N796" s="181" t="s">
        <v>410</v>
      </c>
      <c r="O796" s="182" t="s">
        <v>1609</v>
      </c>
    </row>
    <row r="797" spans="1:15" ht="12">
      <c r="A797" s="148"/>
      <c r="B797" s="174" t="s">
        <v>840</v>
      </c>
      <c r="C797" s="175" t="s">
        <v>416</v>
      </c>
      <c r="D797" s="176" t="s">
        <v>417</v>
      </c>
      <c r="E797" s="177" t="s">
        <v>841</v>
      </c>
      <c r="F797" s="175">
        <f t="shared" si="36"/>
        <v>10</v>
      </c>
      <c r="G797" s="175" t="str">
        <f t="shared" si="37"/>
        <v>Syracuse</v>
      </c>
      <c r="H797" s="175" t="str">
        <f t="shared" si="38"/>
        <v>Syracuse, NY</v>
      </c>
      <c r="I797" s="178" t="s">
        <v>104</v>
      </c>
      <c r="J797" s="27" t="s">
        <v>417</v>
      </c>
      <c r="K797" s="27">
        <v>438</v>
      </c>
      <c r="L797" s="179">
        <v>6834</v>
      </c>
      <c r="M797" s="180" t="s">
        <v>1046</v>
      </c>
      <c r="N797" s="181" t="s">
        <v>417</v>
      </c>
      <c r="O797" s="182" t="s">
        <v>1047</v>
      </c>
    </row>
    <row r="798" spans="1:15" ht="12">
      <c r="A798" s="148"/>
      <c r="B798" s="174" t="s">
        <v>842</v>
      </c>
      <c r="C798" s="175" t="s">
        <v>416</v>
      </c>
      <c r="D798" s="176" t="s">
        <v>417</v>
      </c>
      <c r="E798" s="177" t="s">
        <v>841</v>
      </c>
      <c r="F798" s="175">
        <f t="shared" si="36"/>
        <v>10</v>
      </c>
      <c r="G798" s="175" t="str">
        <f t="shared" si="37"/>
        <v>Syracuse</v>
      </c>
      <c r="H798" s="175" t="str">
        <f t="shared" si="38"/>
        <v>Syracuse, NY</v>
      </c>
      <c r="I798" s="178" t="s">
        <v>1323</v>
      </c>
      <c r="J798" s="27" t="s">
        <v>417</v>
      </c>
      <c r="K798" s="27">
        <v>425</v>
      </c>
      <c r="L798" s="179">
        <v>6734</v>
      </c>
      <c r="M798" s="180" t="s">
        <v>1046</v>
      </c>
      <c r="N798" s="181" t="s">
        <v>417</v>
      </c>
      <c r="O798" s="182" t="s">
        <v>1047</v>
      </c>
    </row>
    <row r="799" spans="1:15" ht="12">
      <c r="A799" s="148"/>
      <c r="B799" s="174" t="s">
        <v>843</v>
      </c>
      <c r="C799" s="175" t="s">
        <v>416</v>
      </c>
      <c r="D799" s="176" t="s">
        <v>417</v>
      </c>
      <c r="E799" s="177" t="s">
        <v>841</v>
      </c>
      <c r="F799" s="175">
        <f t="shared" si="36"/>
        <v>10</v>
      </c>
      <c r="G799" s="175" t="str">
        <f t="shared" si="37"/>
        <v>Syracuse</v>
      </c>
      <c r="H799" s="175" t="str">
        <f t="shared" si="38"/>
        <v>Syracuse, NY</v>
      </c>
      <c r="I799" s="178" t="s">
        <v>104</v>
      </c>
      <c r="J799" s="27" t="s">
        <v>417</v>
      </c>
      <c r="K799" s="27">
        <v>438</v>
      </c>
      <c r="L799" s="179">
        <v>6834</v>
      </c>
      <c r="M799" s="180" t="s">
        <v>1046</v>
      </c>
      <c r="N799" s="181" t="s">
        <v>417</v>
      </c>
      <c r="O799" s="182" t="s">
        <v>1047</v>
      </c>
    </row>
    <row r="800" spans="1:15" ht="12">
      <c r="A800" s="148"/>
      <c r="B800" s="174" t="s">
        <v>844</v>
      </c>
      <c r="C800" s="175" t="s">
        <v>593</v>
      </c>
      <c r="D800" s="176" t="s">
        <v>1638</v>
      </c>
      <c r="E800" s="177" t="s">
        <v>845</v>
      </c>
      <c r="F800" s="175">
        <f t="shared" si="36"/>
        <v>8</v>
      </c>
      <c r="G800" s="175" t="str">
        <f t="shared" si="37"/>
        <v>Tacoma</v>
      </c>
      <c r="H800" s="175" t="str">
        <f t="shared" si="38"/>
        <v>Tacoma, WA</v>
      </c>
      <c r="I800" s="178" t="s">
        <v>846</v>
      </c>
      <c r="J800" s="27" t="s">
        <v>1638</v>
      </c>
      <c r="K800" s="27">
        <v>190</v>
      </c>
      <c r="L800" s="179">
        <v>4908</v>
      </c>
      <c r="M800" s="180" t="s">
        <v>2403</v>
      </c>
      <c r="N800" s="181" t="s">
        <v>1638</v>
      </c>
      <c r="O800" s="182" t="s">
        <v>2404</v>
      </c>
    </row>
    <row r="801" spans="1:15" ht="12">
      <c r="A801" s="148"/>
      <c r="B801" s="174" t="s">
        <v>847</v>
      </c>
      <c r="C801" s="175" t="s">
        <v>593</v>
      </c>
      <c r="D801" s="176" t="s">
        <v>1638</v>
      </c>
      <c r="E801" s="177" t="s">
        <v>845</v>
      </c>
      <c r="F801" s="175">
        <f t="shared" si="36"/>
        <v>8</v>
      </c>
      <c r="G801" s="175" t="str">
        <f t="shared" si="37"/>
        <v>Tacoma</v>
      </c>
      <c r="H801" s="175" t="str">
        <f t="shared" si="38"/>
        <v>Tacoma, WA</v>
      </c>
      <c r="I801" s="178" t="s">
        <v>846</v>
      </c>
      <c r="J801" s="27" t="s">
        <v>1638</v>
      </c>
      <c r="K801" s="27">
        <v>190</v>
      </c>
      <c r="L801" s="179">
        <v>4908</v>
      </c>
      <c r="M801" s="180" t="s">
        <v>2403</v>
      </c>
      <c r="N801" s="181" t="s">
        <v>1638</v>
      </c>
      <c r="O801" s="182" t="s">
        <v>2404</v>
      </c>
    </row>
    <row r="802" spans="1:15" ht="12">
      <c r="A802" s="148"/>
      <c r="B802" s="174" t="s">
        <v>848</v>
      </c>
      <c r="C802" s="175" t="s">
        <v>670</v>
      </c>
      <c r="D802" s="176" t="s">
        <v>671</v>
      </c>
      <c r="E802" s="177" t="s">
        <v>849</v>
      </c>
      <c r="F802" s="175">
        <f t="shared" si="36"/>
        <v>13</v>
      </c>
      <c r="G802" s="175" t="str">
        <f t="shared" si="37"/>
        <v>Tallahassee</v>
      </c>
      <c r="H802" s="175" t="str">
        <f t="shared" si="38"/>
        <v>Tallahassee, FL</v>
      </c>
      <c r="I802" s="178" t="s">
        <v>850</v>
      </c>
      <c r="J802" s="27" t="s">
        <v>671</v>
      </c>
      <c r="K802" s="27">
        <v>2518</v>
      </c>
      <c r="L802" s="179">
        <v>1705</v>
      </c>
      <c r="M802" s="180" t="s">
        <v>611</v>
      </c>
      <c r="N802" s="181" t="s">
        <v>671</v>
      </c>
      <c r="O802" s="182" t="s">
        <v>612</v>
      </c>
    </row>
    <row r="803" spans="1:15" ht="12">
      <c r="A803" s="148"/>
      <c r="B803" s="174" t="s">
        <v>851</v>
      </c>
      <c r="C803" s="175" t="s">
        <v>670</v>
      </c>
      <c r="D803" s="176" t="s">
        <v>671</v>
      </c>
      <c r="E803" s="177" t="s">
        <v>852</v>
      </c>
      <c r="F803" s="175">
        <f t="shared" si="36"/>
        <v>7</v>
      </c>
      <c r="G803" s="175" t="str">
        <f t="shared" si="37"/>
        <v>Tampa</v>
      </c>
      <c r="H803" s="175" t="str">
        <f t="shared" si="38"/>
        <v>Tampa, FL</v>
      </c>
      <c r="I803" s="178" t="s">
        <v>673</v>
      </c>
      <c r="J803" s="27" t="s">
        <v>671</v>
      </c>
      <c r="K803" s="27">
        <v>3427</v>
      </c>
      <c r="L803" s="179">
        <v>725</v>
      </c>
      <c r="M803" s="178" t="s">
        <v>674</v>
      </c>
      <c r="N803" s="27" t="s">
        <v>671</v>
      </c>
      <c r="O803" s="182" t="s">
        <v>675</v>
      </c>
    </row>
    <row r="804" spans="1:15" ht="12">
      <c r="A804" s="148"/>
      <c r="B804" s="174" t="s">
        <v>853</v>
      </c>
      <c r="C804" s="175" t="s">
        <v>670</v>
      </c>
      <c r="D804" s="176" t="s">
        <v>671</v>
      </c>
      <c r="E804" s="177" t="s">
        <v>852</v>
      </c>
      <c r="F804" s="175">
        <f t="shared" si="36"/>
        <v>7</v>
      </c>
      <c r="G804" s="175" t="str">
        <f t="shared" si="37"/>
        <v>Tampa</v>
      </c>
      <c r="H804" s="175" t="str">
        <f t="shared" si="38"/>
        <v>Tampa, FL</v>
      </c>
      <c r="I804" s="178" t="s">
        <v>673</v>
      </c>
      <c r="J804" s="27" t="s">
        <v>671</v>
      </c>
      <c r="K804" s="27">
        <v>3427</v>
      </c>
      <c r="L804" s="179">
        <v>725</v>
      </c>
      <c r="M804" s="178" t="s">
        <v>674</v>
      </c>
      <c r="N804" s="27" t="s">
        <v>671</v>
      </c>
      <c r="O804" s="182" t="s">
        <v>675</v>
      </c>
    </row>
    <row r="805" spans="1:15" ht="12">
      <c r="A805" s="148"/>
      <c r="B805" s="174" t="s">
        <v>854</v>
      </c>
      <c r="C805" s="175" t="s">
        <v>434</v>
      </c>
      <c r="D805" s="176" t="s">
        <v>435</v>
      </c>
      <c r="E805" s="177" t="s">
        <v>855</v>
      </c>
      <c r="F805" s="175">
        <f t="shared" si="36"/>
        <v>10</v>
      </c>
      <c r="G805" s="175" t="str">
        <f t="shared" si="37"/>
        <v>Tazewell</v>
      </c>
      <c r="H805" s="175" t="str">
        <f t="shared" si="38"/>
        <v>Tazewell, VA</v>
      </c>
      <c r="I805" s="178" t="s">
        <v>2287</v>
      </c>
      <c r="J805" s="27" t="s">
        <v>435</v>
      </c>
      <c r="K805" s="27">
        <v>1052</v>
      </c>
      <c r="L805" s="179">
        <v>4360</v>
      </c>
      <c r="M805" s="180" t="s">
        <v>2288</v>
      </c>
      <c r="N805" s="181" t="s">
        <v>435</v>
      </c>
      <c r="O805" s="182" t="s">
        <v>2289</v>
      </c>
    </row>
    <row r="806" spans="1:15" ht="12">
      <c r="A806" s="148"/>
      <c r="B806" s="174" t="s">
        <v>856</v>
      </c>
      <c r="C806" s="175" t="s">
        <v>263</v>
      </c>
      <c r="D806" s="176" t="s">
        <v>264</v>
      </c>
      <c r="E806" s="177" t="s">
        <v>857</v>
      </c>
      <c r="F806" s="175">
        <f t="shared" si="36"/>
        <v>8</v>
      </c>
      <c r="G806" s="175" t="str">
        <f t="shared" si="37"/>
        <v>Temple</v>
      </c>
      <c r="H806" s="175" t="str">
        <f t="shared" si="38"/>
        <v>Temple, TX</v>
      </c>
      <c r="I806" s="178" t="s">
        <v>2160</v>
      </c>
      <c r="J806" s="27" t="s">
        <v>264</v>
      </c>
      <c r="K806" s="27">
        <v>2816</v>
      </c>
      <c r="L806" s="179">
        <v>2179</v>
      </c>
      <c r="M806" s="180" t="s">
        <v>2161</v>
      </c>
      <c r="N806" s="181" t="s">
        <v>264</v>
      </c>
      <c r="O806" s="182" t="s">
        <v>2162</v>
      </c>
    </row>
    <row r="807" spans="1:15" ht="12">
      <c r="A807" s="148"/>
      <c r="B807" s="174" t="s">
        <v>858</v>
      </c>
      <c r="C807" s="175" t="s">
        <v>2280</v>
      </c>
      <c r="D807" s="176" t="s">
        <v>2281</v>
      </c>
      <c r="E807" s="177" t="s">
        <v>859</v>
      </c>
      <c r="F807" s="175">
        <f t="shared" si="36"/>
        <v>13</v>
      </c>
      <c r="G807" s="175" t="str">
        <f t="shared" si="37"/>
        <v>Terre Haute</v>
      </c>
      <c r="H807" s="175" t="str">
        <f t="shared" si="38"/>
        <v>Terre Haute, IN</v>
      </c>
      <c r="I807" s="178" t="s">
        <v>2282</v>
      </c>
      <c r="J807" s="27" t="s">
        <v>2281</v>
      </c>
      <c r="K807" s="27">
        <v>1014</v>
      </c>
      <c r="L807" s="179">
        <v>5615</v>
      </c>
      <c r="M807" s="178" t="s">
        <v>2283</v>
      </c>
      <c r="N807" s="27" t="s">
        <v>2281</v>
      </c>
      <c r="O807" s="182" t="s">
        <v>2284</v>
      </c>
    </row>
    <row r="808" spans="1:15" ht="12">
      <c r="A808" s="148"/>
      <c r="B808" s="174" t="s">
        <v>860</v>
      </c>
      <c r="C808" s="175" t="s">
        <v>263</v>
      </c>
      <c r="D808" s="176" t="s">
        <v>264</v>
      </c>
      <c r="E808" s="177" t="s">
        <v>861</v>
      </c>
      <c r="F808" s="175">
        <f t="shared" si="36"/>
        <v>11</v>
      </c>
      <c r="G808" s="175" t="str">
        <f t="shared" si="37"/>
        <v>Texarkana</v>
      </c>
      <c r="H808" s="175" t="str">
        <f t="shared" si="38"/>
        <v>Texarkana, TX</v>
      </c>
      <c r="I808" s="178" t="s">
        <v>390</v>
      </c>
      <c r="J808" s="27" t="s">
        <v>291</v>
      </c>
      <c r="K808" s="27">
        <v>2368</v>
      </c>
      <c r="L808" s="179">
        <v>2264</v>
      </c>
      <c r="M808" s="180" t="s">
        <v>391</v>
      </c>
      <c r="N808" s="181" t="s">
        <v>291</v>
      </c>
      <c r="O808" s="182" t="s">
        <v>392</v>
      </c>
    </row>
    <row r="809" spans="1:15" ht="12">
      <c r="A809" s="148"/>
      <c r="B809" s="174" t="s">
        <v>862</v>
      </c>
      <c r="C809" s="175" t="s">
        <v>290</v>
      </c>
      <c r="D809" s="176" t="s">
        <v>291</v>
      </c>
      <c r="E809" s="177" t="s">
        <v>863</v>
      </c>
      <c r="F809" s="175">
        <f t="shared" si="36"/>
        <v>11</v>
      </c>
      <c r="G809" s="175" t="str">
        <f t="shared" si="37"/>
        <v>Thibodaux</v>
      </c>
      <c r="H809" s="175" t="str">
        <f t="shared" si="38"/>
        <v>Thibodaux, LA</v>
      </c>
      <c r="I809" s="178" t="s">
        <v>2083</v>
      </c>
      <c r="J809" s="27" t="s">
        <v>291</v>
      </c>
      <c r="K809" s="27">
        <v>2655</v>
      </c>
      <c r="L809" s="179">
        <v>1513</v>
      </c>
      <c r="M809" s="180" t="s">
        <v>2084</v>
      </c>
      <c r="N809" s="181" t="s">
        <v>291</v>
      </c>
      <c r="O809" s="182" t="s">
        <v>2085</v>
      </c>
    </row>
    <row r="810" spans="1:15" ht="12">
      <c r="A810" s="148"/>
      <c r="B810" s="174" t="s">
        <v>864</v>
      </c>
      <c r="C810" s="175" t="s">
        <v>1626</v>
      </c>
      <c r="D810" s="176" t="s">
        <v>1627</v>
      </c>
      <c r="E810" s="177" t="s">
        <v>865</v>
      </c>
      <c r="F810" s="175">
        <f t="shared" si="36"/>
        <v>19</v>
      </c>
      <c r="G810" s="175" t="str">
        <f t="shared" si="37"/>
        <v>Thief River Falls</v>
      </c>
      <c r="H810" s="175" t="str">
        <f t="shared" si="38"/>
        <v>Thief River Falls, MN</v>
      </c>
      <c r="I810" s="178" t="s">
        <v>1716</v>
      </c>
      <c r="J810" s="27" t="s">
        <v>260</v>
      </c>
      <c r="K810" s="27">
        <v>537</v>
      </c>
      <c r="L810" s="179">
        <v>9254</v>
      </c>
      <c r="M810" s="180" t="s">
        <v>259</v>
      </c>
      <c r="N810" s="181" t="s">
        <v>260</v>
      </c>
      <c r="O810" s="182" t="s">
        <v>261</v>
      </c>
    </row>
    <row r="811" spans="1:15" ht="12">
      <c r="A811" s="148"/>
      <c r="B811" s="174" t="s">
        <v>866</v>
      </c>
      <c r="C811" s="175" t="s">
        <v>670</v>
      </c>
      <c r="D811" s="176" t="s">
        <v>671</v>
      </c>
      <c r="E811" s="177" t="s">
        <v>867</v>
      </c>
      <c r="F811" s="175">
        <f t="shared" si="36"/>
        <v>12</v>
      </c>
      <c r="G811" s="175" t="str">
        <f t="shared" si="37"/>
        <v>Titusville</v>
      </c>
      <c r="H811" s="175" t="str">
        <f t="shared" si="38"/>
        <v>Titusville, FL</v>
      </c>
      <c r="I811" s="178" t="s">
        <v>1194</v>
      </c>
      <c r="J811" s="27" t="s">
        <v>671</v>
      </c>
      <c r="K811" s="27">
        <v>2919</v>
      </c>
      <c r="L811" s="179">
        <v>909</v>
      </c>
      <c r="M811" s="178" t="s">
        <v>1195</v>
      </c>
      <c r="N811" s="27" t="s">
        <v>671</v>
      </c>
      <c r="O811" s="182" t="s">
        <v>1196</v>
      </c>
    </row>
    <row r="812" spans="1:15" ht="12">
      <c r="A812" s="148"/>
      <c r="B812" s="174" t="s">
        <v>868</v>
      </c>
      <c r="C812" s="175" t="s">
        <v>394</v>
      </c>
      <c r="D812" s="176" t="s">
        <v>395</v>
      </c>
      <c r="E812" s="177" t="s">
        <v>869</v>
      </c>
      <c r="F812" s="175">
        <f t="shared" si="36"/>
        <v>8</v>
      </c>
      <c r="G812" s="175" t="str">
        <f t="shared" si="37"/>
        <v>Toledo</v>
      </c>
      <c r="H812" s="175" t="str">
        <f t="shared" si="38"/>
        <v>Toledo, OH</v>
      </c>
      <c r="I812" s="178" t="s">
        <v>666</v>
      </c>
      <c r="J812" s="27" t="s">
        <v>395</v>
      </c>
      <c r="K812" s="27">
        <v>610</v>
      </c>
      <c r="L812" s="179">
        <v>6579</v>
      </c>
      <c r="M812" s="180" t="s">
        <v>667</v>
      </c>
      <c r="N812" s="181" t="s">
        <v>395</v>
      </c>
      <c r="O812" s="182" t="s">
        <v>668</v>
      </c>
    </row>
    <row r="813" spans="1:15" ht="12">
      <c r="A813" s="148"/>
      <c r="B813" s="174" t="s">
        <v>870</v>
      </c>
      <c r="C813" s="175" t="s">
        <v>1401</v>
      </c>
      <c r="D813" s="176" t="s">
        <v>1402</v>
      </c>
      <c r="E813" s="177" t="s">
        <v>871</v>
      </c>
      <c r="F813" s="175">
        <f t="shared" si="36"/>
        <v>9</v>
      </c>
      <c r="G813" s="175" t="str">
        <f t="shared" si="37"/>
        <v>Tonopah</v>
      </c>
      <c r="H813" s="175" t="str">
        <f t="shared" si="38"/>
        <v>Tonopah, NV</v>
      </c>
      <c r="I813" s="178" t="s">
        <v>1229</v>
      </c>
      <c r="J813" s="27" t="s">
        <v>1199</v>
      </c>
      <c r="K813" s="27">
        <v>647</v>
      </c>
      <c r="L813" s="179">
        <v>6511</v>
      </c>
      <c r="M813" s="180" t="s">
        <v>921</v>
      </c>
      <c r="N813" s="181" t="s">
        <v>1402</v>
      </c>
      <c r="O813" s="182" t="s">
        <v>922</v>
      </c>
    </row>
    <row r="814" spans="1:15" ht="12">
      <c r="A814" s="148"/>
      <c r="B814" s="174" t="s">
        <v>872</v>
      </c>
      <c r="C814" s="175" t="s">
        <v>1506</v>
      </c>
      <c r="D814" s="176" t="s">
        <v>1507</v>
      </c>
      <c r="E814" s="177" t="s">
        <v>873</v>
      </c>
      <c r="F814" s="175">
        <f t="shared" si="36"/>
        <v>8</v>
      </c>
      <c r="G814" s="175" t="str">
        <f t="shared" si="37"/>
        <v>Topeka</v>
      </c>
      <c r="H814" s="175" t="str">
        <f t="shared" si="38"/>
        <v>Topeka, KS</v>
      </c>
      <c r="I814" s="178" t="s">
        <v>905</v>
      </c>
      <c r="J814" s="27" t="s">
        <v>1507</v>
      </c>
      <c r="K814" s="27">
        <v>1304</v>
      </c>
      <c r="L814" s="179">
        <v>5265</v>
      </c>
      <c r="M814" s="180" t="s">
        <v>647</v>
      </c>
      <c r="N814" s="181" t="s">
        <v>1507</v>
      </c>
      <c r="O814" s="182" t="s">
        <v>648</v>
      </c>
    </row>
    <row r="815" spans="1:15" ht="12">
      <c r="A815" s="148"/>
      <c r="B815" s="174" t="s">
        <v>874</v>
      </c>
      <c r="C815" s="175" t="s">
        <v>1506</v>
      </c>
      <c r="D815" s="176" t="s">
        <v>1507</v>
      </c>
      <c r="E815" s="177" t="s">
        <v>873</v>
      </c>
      <c r="F815" s="175">
        <f t="shared" si="36"/>
        <v>8</v>
      </c>
      <c r="G815" s="175" t="str">
        <f t="shared" si="37"/>
        <v>Topeka</v>
      </c>
      <c r="H815" s="175" t="str">
        <f t="shared" si="38"/>
        <v>Topeka, KS</v>
      </c>
      <c r="I815" s="178" t="s">
        <v>905</v>
      </c>
      <c r="J815" s="27" t="s">
        <v>1507</v>
      </c>
      <c r="K815" s="27">
        <v>1304</v>
      </c>
      <c r="L815" s="179">
        <v>5265</v>
      </c>
      <c r="M815" s="180" t="s">
        <v>647</v>
      </c>
      <c r="N815" s="181" t="s">
        <v>1507</v>
      </c>
      <c r="O815" s="182" t="s">
        <v>648</v>
      </c>
    </row>
    <row r="816" spans="1:15" ht="12">
      <c r="A816" s="148"/>
      <c r="B816" s="174" t="s">
        <v>875</v>
      </c>
      <c r="C816" s="175" t="s">
        <v>1506</v>
      </c>
      <c r="D816" s="176" t="s">
        <v>1507</v>
      </c>
      <c r="E816" s="177" t="s">
        <v>873</v>
      </c>
      <c r="F816" s="175">
        <f t="shared" si="36"/>
        <v>8</v>
      </c>
      <c r="G816" s="175" t="str">
        <f t="shared" si="37"/>
        <v>Topeka</v>
      </c>
      <c r="H816" s="175" t="str">
        <f t="shared" si="38"/>
        <v>Topeka, KS</v>
      </c>
      <c r="I816" s="178" t="s">
        <v>905</v>
      </c>
      <c r="J816" s="27" t="s">
        <v>1507</v>
      </c>
      <c r="K816" s="27">
        <v>1304</v>
      </c>
      <c r="L816" s="179">
        <v>5265</v>
      </c>
      <c r="M816" s="180" t="s">
        <v>647</v>
      </c>
      <c r="N816" s="181" t="s">
        <v>1507</v>
      </c>
      <c r="O816" s="182" t="s">
        <v>648</v>
      </c>
    </row>
    <row r="817" spans="1:15" ht="12">
      <c r="A817" s="148"/>
      <c r="B817" s="174" t="s">
        <v>876</v>
      </c>
      <c r="C817" s="175" t="s">
        <v>442</v>
      </c>
      <c r="D817" s="176" t="s">
        <v>443</v>
      </c>
      <c r="E817" s="177" t="s">
        <v>877</v>
      </c>
      <c r="F817" s="175">
        <f t="shared" si="36"/>
        <v>10</v>
      </c>
      <c r="G817" s="175" t="str">
        <f t="shared" si="37"/>
        <v>Torrance</v>
      </c>
      <c r="H817" s="175" t="str">
        <f t="shared" si="38"/>
        <v>Torrance, CA</v>
      </c>
      <c r="I817" s="178" t="s">
        <v>471</v>
      </c>
      <c r="J817" s="27" t="s">
        <v>443</v>
      </c>
      <c r="K817" s="27">
        <v>1201</v>
      </c>
      <c r="L817" s="179">
        <v>1430</v>
      </c>
      <c r="M817" s="178" t="s">
        <v>446</v>
      </c>
      <c r="N817" s="27" t="s">
        <v>443</v>
      </c>
      <c r="O817" s="182" t="s">
        <v>447</v>
      </c>
    </row>
    <row r="818" spans="1:15" ht="12">
      <c r="A818" s="148"/>
      <c r="B818" s="174" t="s">
        <v>878</v>
      </c>
      <c r="C818" s="175" t="s">
        <v>489</v>
      </c>
      <c r="D818" s="176" t="s">
        <v>490</v>
      </c>
      <c r="E818" s="177" t="s">
        <v>1759</v>
      </c>
      <c r="F818" s="175">
        <f t="shared" si="36"/>
        <v>15</v>
      </c>
      <c r="G818" s="175" t="str">
        <f t="shared" si="37"/>
        <v>Traverse City</v>
      </c>
      <c r="H818" s="175" t="str">
        <f t="shared" si="38"/>
        <v>Traverse City, MI</v>
      </c>
      <c r="I818" s="178" t="s">
        <v>1760</v>
      </c>
      <c r="J818" s="27" t="s">
        <v>490</v>
      </c>
      <c r="K818" s="27">
        <v>231</v>
      </c>
      <c r="L818" s="179">
        <v>8284</v>
      </c>
      <c r="M818" s="180" t="s">
        <v>805</v>
      </c>
      <c r="N818" s="181" t="s">
        <v>490</v>
      </c>
      <c r="O818" s="182" t="s">
        <v>806</v>
      </c>
    </row>
    <row r="819" spans="1:15" ht="12">
      <c r="A819" s="148"/>
      <c r="B819" s="186" t="s">
        <v>1761</v>
      </c>
      <c r="C819" s="175" t="s">
        <v>1548</v>
      </c>
      <c r="D819" s="176" t="s">
        <v>1549</v>
      </c>
      <c r="E819" s="177" t="s">
        <v>1762</v>
      </c>
      <c r="F819" s="175">
        <f t="shared" si="36"/>
        <v>9</v>
      </c>
      <c r="G819" s="175" t="str">
        <f t="shared" si="37"/>
        <v>Trenton</v>
      </c>
      <c r="H819" s="175" t="str">
        <f t="shared" si="38"/>
        <v>Trenton, NJ</v>
      </c>
      <c r="I819" s="178" t="s">
        <v>70</v>
      </c>
      <c r="J819" s="27" t="s">
        <v>1549</v>
      </c>
      <c r="K819" s="27">
        <v>1201</v>
      </c>
      <c r="L819" s="179">
        <v>4888</v>
      </c>
      <c r="M819" s="180" t="s">
        <v>71</v>
      </c>
      <c r="N819" s="181" t="s">
        <v>1549</v>
      </c>
      <c r="O819" s="182" t="s">
        <v>72</v>
      </c>
    </row>
    <row r="820" spans="1:15" ht="12">
      <c r="A820" s="148"/>
      <c r="B820" s="186" t="s">
        <v>1763</v>
      </c>
      <c r="C820" s="175" t="s">
        <v>1548</v>
      </c>
      <c r="D820" s="176" t="s">
        <v>1549</v>
      </c>
      <c r="E820" s="177" t="s">
        <v>1762</v>
      </c>
      <c r="F820" s="175">
        <f t="shared" si="36"/>
        <v>9</v>
      </c>
      <c r="G820" s="175" t="str">
        <f t="shared" si="37"/>
        <v>Trenton</v>
      </c>
      <c r="H820" s="175" t="str">
        <f t="shared" si="38"/>
        <v>Trenton, NJ</v>
      </c>
      <c r="I820" s="178" t="s">
        <v>70</v>
      </c>
      <c r="J820" s="27" t="s">
        <v>1549</v>
      </c>
      <c r="K820" s="27">
        <v>1201</v>
      </c>
      <c r="L820" s="179">
        <v>4888</v>
      </c>
      <c r="M820" s="180" t="s">
        <v>71</v>
      </c>
      <c r="N820" s="181" t="s">
        <v>1549</v>
      </c>
      <c r="O820" s="182" t="s">
        <v>72</v>
      </c>
    </row>
    <row r="821" spans="1:15" ht="12">
      <c r="A821" s="148"/>
      <c r="B821" s="174" t="s">
        <v>1764</v>
      </c>
      <c r="C821" s="175" t="s">
        <v>424</v>
      </c>
      <c r="D821" s="176" t="s">
        <v>425</v>
      </c>
      <c r="E821" s="177" t="s">
        <v>1765</v>
      </c>
      <c r="F821" s="175">
        <f t="shared" si="36"/>
        <v>18</v>
      </c>
      <c r="G821" s="175" t="str">
        <f t="shared" si="37"/>
        <v>Truth or Conseq.</v>
      </c>
      <c r="H821" s="175" t="str">
        <f t="shared" si="38"/>
        <v>Truth or Conseq., NM</v>
      </c>
      <c r="I821" s="178" t="s">
        <v>62</v>
      </c>
      <c r="J821" s="27" t="s">
        <v>264</v>
      </c>
      <c r="K821" s="27">
        <v>2094</v>
      </c>
      <c r="L821" s="179">
        <v>2708</v>
      </c>
      <c r="M821" s="180" t="s">
        <v>59</v>
      </c>
      <c r="N821" s="181" t="s">
        <v>264</v>
      </c>
      <c r="O821" s="182" t="s">
        <v>60</v>
      </c>
    </row>
    <row r="822" spans="1:15" ht="12">
      <c r="A822" s="148"/>
      <c r="B822" s="174" t="s">
        <v>1766</v>
      </c>
      <c r="C822" s="175" t="s">
        <v>1311</v>
      </c>
      <c r="D822" s="176" t="s">
        <v>1312</v>
      </c>
      <c r="E822" s="177" t="s">
        <v>1767</v>
      </c>
      <c r="F822" s="175">
        <f t="shared" si="36"/>
        <v>8</v>
      </c>
      <c r="G822" s="175" t="str">
        <f t="shared" si="37"/>
        <v>Tucson</v>
      </c>
      <c r="H822" s="175" t="str">
        <f t="shared" si="38"/>
        <v>Tucson, AZ</v>
      </c>
      <c r="I822" s="178" t="s">
        <v>1409</v>
      </c>
      <c r="J822" s="27" t="s">
        <v>1312</v>
      </c>
      <c r="K822" s="27">
        <v>2954</v>
      </c>
      <c r="L822" s="179">
        <v>1678</v>
      </c>
      <c r="M822" s="178" t="s">
        <v>1410</v>
      </c>
      <c r="N822" s="27" t="s">
        <v>1312</v>
      </c>
      <c r="O822" s="182" t="s">
        <v>1411</v>
      </c>
    </row>
    <row r="823" spans="1:15" ht="12">
      <c r="A823" s="148"/>
      <c r="B823" s="174" t="s">
        <v>1768</v>
      </c>
      <c r="C823" s="175" t="s">
        <v>424</v>
      </c>
      <c r="D823" s="176" t="s">
        <v>425</v>
      </c>
      <c r="E823" s="177" t="s">
        <v>1769</v>
      </c>
      <c r="F823" s="175">
        <f t="shared" si="36"/>
        <v>11</v>
      </c>
      <c r="G823" s="175" t="str">
        <f t="shared" si="37"/>
        <v>Tucumcari</v>
      </c>
      <c r="H823" s="175" t="str">
        <f t="shared" si="38"/>
        <v>Tucumcari, NM</v>
      </c>
      <c r="I823" s="178" t="s">
        <v>702</v>
      </c>
      <c r="J823" s="27" t="s">
        <v>425</v>
      </c>
      <c r="K823" s="27">
        <v>772</v>
      </c>
      <c r="L823" s="179">
        <v>5064</v>
      </c>
      <c r="M823" s="180" t="s">
        <v>280</v>
      </c>
      <c r="N823" s="181" t="s">
        <v>264</v>
      </c>
      <c r="O823" s="182" t="s">
        <v>281</v>
      </c>
    </row>
    <row r="824" spans="1:15" ht="12">
      <c r="A824" s="148"/>
      <c r="B824" s="174" t="s">
        <v>1770</v>
      </c>
      <c r="C824" s="175" t="s">
        <v>509</v>
      </c>
      <c r="D824" s="176" t="s">
        <v>510</v>
      </c>
      <c r="E824" s="177" t="s">
        <v>1771</v>
      </c>
      <c r="F824" s="175">
        <f t="shared" si="36"/>
        <v>7</v>
      </c>
      <c r="G824" s="175" t="str">
        <f t="shared" si="37"/>
        <v>Tulsa</v>
      </c>
      <c r="H824" s="175" t="str">
        <f t="shared" si="38"/>
        <v>Tulsa, OK</v>
      </c>
      <c r="I824" s="178" t="s">
        <v>606</v>
      </c>
      <c r="J824" s="27" t="s">
        <v>510</v>
      </c>
      <c r="K824" s="27">
        <v>1859</v>
      </c>
      <c r="L824" s="179">
        <v>3659</v>
      </c>
      <c r="M824" s="180" t="s">
        <v>2455</v>
      </c>
      <c r="N824" s="181" t="s">
        <v>510</v>
      </c>
      <c r="O824" s="182" t="s">
        <v>2456</v>
      </c>
    </row>
    <row r="825" spans="1:15" ht="12">
      <c r="A825" s="148"/>
      <c r="B825" s="174" t="s">
        <v>1772</v>
      </c>
      <c r="C825" s="175" t="s">
        <v>509</v>
      </c>
      <c r="D825" s="176" t="s">
        <v>510</v>
      </c>
      <c r="E825" s="177" t="s">
        <v>1771</v>
      </c>
      <c r="F825" s="175">
        <f t="shared" si="36"/>
        <v>7</v>
      </c>
      <c r="G825" s="175" t="str">
        <f t="shared" si="37"/>
        <v>Tulsa</v>
      </c>
      <c r="H825" s="175" t="str">
        <f t="shared" si="38"/>
        <v>Tulsa, OK</v>
      </c>
      <c r="I825" s="178" t="s">
        <v>2454</v>
      </c>
      <c r="J825" s="27" t="s">
        <v>510</v>
      </c>
      <c r="K825" s="27">
        <v>2017</v>
      </c>
      <c r="L825" s="179">
        <v>3691</v>
      </c>
      <c r="M825" s="180" t="s">
        <v>2455</v>
      </c>
      <c r="N825" s="181" t="s">
        <v>510</v>
      </c>
      <c r="O825" s="182" t="s">
        <v>2456</v>
      </c>
    </row>
    <row r="826" spans="1:15" ht="12">
      <c r="A826" s="148"/>
      <c r="B826" s="174" t="s">
        <v>1773</v>
      </c>
      <c r="C826" s="175" t="s">
        <v>630</v>
      </c>
      <c r="D826" s="176" t="s">
        <v>1346</v>
      </c>
      <c r="E826" s="177" t="s">
        <v>1774</v>
      </c>
      <c r="F826" s="175">
        <f t="shared" si="36"/>
        <v>8</v>
      </c>
      <c r="G826" s="175" t="str">
        <f t="shared" si="37"/>
        <v>Tupelo</v>
      </c>
      <c r="H826" s="175" t="str">
        <f t="shared" si="38"/>
        <v>Tupelo, MS</v>
      </c>
      <c r="I826" s="178" t="s">
        <v>1775</v>
      </c>
      <c r="J826" s="27" t="s">
        <v>1346</v>
      </c>
      <c r="K826" s="27">
        <v>1908</v>
      </c>
      <c r="L826" s="179">
        <v>3079</v>
      </c>
      <c r="M826" s="180" t="s">
        <v>2079</v>
      </c>
      <c r="N826" s="181" t="s">
        <v>1346</v>
      </c>
      <c r="O826" s="182" t="s">
        <v>2080</v>
      </c>
    </row>
    <row r="827" spans="1:15" ht="12">
      <c r="A827" s="148"/>
      <c r="B827" s="174" t="s">
        <v>1776</v>
      </c>
      <c r="C827" s="175" t="s">
        <v>502</v>
      </c>
      <c r="D827" s="176" t="s">
        <v>503</v>
      </c>
      <c r="E827" s="177" t="s">
        <v>1777</v>
      </c>
      <c r="F827" s="175">
        <f t="shared" si="36"/>
        <v>12</v>
      </c>
      <c r="G827" s="175" t="str">
        <f t="shared" si="37"/>
        <v>Tuscaloosa</v>
      </c>
      <c r="H827" s="175" t="str">
        <f t="shared" si="38"/>
        <v>Tuscaloosa, AL</v>
      </c>
      <c r="I827" s="178" t="s">
        <v>1345</v>
      </c>
      <c r="J827" s="27" t="s">
        <v>1346</v>
      </c>
      <c r="K827" s="27">
        <v>2138</v>
      </c>
      <c r="L827" s="179">
        <v>2444</v>
      </c>
      <c r="M827" s="180" t="s">
        <v>506</v>
      </c>
      <c r="N827" s="181" t="s">
        <v>503</v>
      </c>
      <c r="O827" s="182" t="s">
        <v>507</v>
      </c>
    </row>
    <row r="828" spans="1:15" ht="12">
      <c r="A828" s="148"/>
      <c r="B828" s="174" t="s">
        <v>1778</v>
      </c>
      <c r="C828" s="175" t="s">
        <v>2291</v>
      </c>
      <c r="D828" s="176" t="s">
        <v>2292</v>
      </c>
      <c r="E828" s="177" t="s">
        <v>1779</v>
      </c>
      <c r="F828" s="175">
        <f t="shared" si="36"/>
        <v>12</v>
      </c>
      <c r="G828" s="175" t="str">
        <f t="shared" si="37"/>
        <v>Twin Falls</v>
      </c>
      <c r="H828" s="175" t="str">
        <f t="shared" si="38"/>
        <v>Twin Falls, ID</v>
      </c>
      <c r="I828" s="178" t="s">
        <v>86</v>
      </c>
      <c r="J828" s="27" t="s">
        <v>2292</v>
      </c>
      <c r="K828" s="27">
        <v>421</v>
      </c>
      <c r="L828" s="179">
        <v>7180</v>
      </c>
      <c r="M828" s="180" t="s">
        <v>87</v>
      </c>
      <c r="N828" s="181" t="s">
        <v>2292</v>
      </c>
      <c r="O828" s="182" t="s">
        <v>88</v>
      </c>
    </row>
    <row r="829" spans="1:15" ht="12">
      <c r="A829" s="148"/>
      <c r="B829" s="174" t="s">
        <v>1780</v>
      </c>
      <c r="C829" s="175" t="s">
        <v>263</v>
      </c>
      <c r="D829" s="176" t="s">
        <v>264</v>
      </c>
      <c r="E829" s="177" t="s">
        <v>1781</v>
      </c>
      <c r="F829" s="175">
        <f t="shared" si="36"/>
        <v>7</v>
      </c>
      <c r="G829" s="175" t="str">
        <f t="shared" si="37"/>
        <v>Tyler</v>
      </c>
      <c r="H829" s="175" t="str">
        <f t="shared" si="38"/>
        <v>Tyler, TX</v>
      </c>
      <c r="I829" s="178" t="s">
        <v>512</v>
      </c>
      <c r="J829" s="27" t="s">
        <v>264</v>
      </c>
      <c r="K829" s="27">
        <v>2603</v>
      </c>
      <c r="L829" s="179">
        <v>2407</v>
      </c>
      <c r="M829" s="180" t="s">
        <v>513</v>
      </c>
      <c r="N829" s="181" t="s">
        <v>264</v>
      </c>
      <c r="O829" s="182" t="s">
        <v>514</v>
      </c>
    </row>
    <row r="830" spans="1:15" ht="12">
      <c r="A830" s="148"/>
      <c r="B830" s="174" t="s">
        <v>1782</v>
      </c>
      <c r="C830" s="175" t="s">
        <v>449</v>
      </c>
      <c r="D830" s="176" t="s">
        <v>450</v>
      </c>
      <c r="E830" s="177" t="s">
        <v>1783</v>
      </c>
      <c r="F830" s="175">
        <f t="shared" si="36"/>
        <v>11</v>
      </c>
      <c r="G830" s="175" t="str">
        <f t="shared" si="37"/>
        <v>Uniontown</v>
      </c>
      <c r="H830" s="175" t="str">
        <f t="shared" si="38"/>
        <v>Uniontown, PA</v>
      </c>
      <c r="I830" s="178" t="s">
        <v>464</v>
      </c>
      <c r="J830" s="27" t="s">
        <v>450</v>
      </c>
      <c r="K830" s="27">
        <v>654</v>
      </c>
      <c r="L830" s="179">
        <v>5968</v>
      </c>
      <c r="M830" s="180" t="s">
        <v>465</v>
      </c>
      <c r="N830" s="181" t="s">
        <v>450</v>
      </c>
      <c r="O830" s="182" t="s">
        <v>466</v>
      </c>
    </row>
    <row r="831" spans="1:15" ht="12">
      <c r="A831" s="148"/>
      <c r="B831" s="174" t="s">
        <v>1784</v>
      </c>
      <c r="C831" s="175" t="s">
        <v>416</v>
      </c>
      <c r="D831" s="176" t="s">
        <v>417</v>
      </c>
      <c r="E831" s="177" t="s">
        <v>1785</v>
      </c>
      <c r="F831" s="175">
        <f t="shared" si="36"/>
        <v>7</v>
      </c>
      <c r="G831" s="175" t="str">
        <f t="shared" si="37"/>
        <v>Utica</v>
      </c>
      <c r="H831" s="175" t="str">
        <f t="shared" si="38"/>
        <v>Utica, NY</v>
      </c>
      <c r="I831" s="178" t="s">
        <v>1437</v>
      </c>
      <c r="J831" s="27" t="s">
        <v>417</v>
      </c>
      <c r="K831" s="27">
        <v>337</v>
      </c>
      <c r="L831" s="179">
        <v>7273</v>
      </c>
      <c r="M831" s="180" t="s">
        <v>1438</v>
      </c>
      <c r="N831" s="181" t="s">
        <v>450</v>
      </c>
      <c r="O831" s="182" t="s">
        <v>1439</v>
      </c>
    </row>
    <row r="832" spans="1:15" ht="12">
      <c r="A832" s="148"/>
      <c r="B832" s="174" t="s">
        <v>1786</v>
      </c>
      <c r="C832" s="175" t="s">
        <v>416</v>
      </c>
      <c r="D832" s="176" t="s">
        <v>417</v>
      </c>
      <c r="E832" s="177" t="s">
        <v>1785</v>
      </c>
      <c r="F832" s="175">
        <f t="shared" si="36"/>
        <v>7</v>
      </c>
      <c r="G832" s="175" t="str">
        <f t="shared" si="37"/>
        <v>Utica</v>
      </c>
      <c r="H832" s="175" t="str">
        <f t="shared" si="38"/>
        <v>Utica, NY</v>
      </c>
      <c r="I832" s="178" t="s">
        <v>1437</v>
      </c>
      <c r="J832" s="27" t="s">
        <v>417</v>
      </c>
      <c r="K832" s="27">
        <v>337</v>
      </c>
      <c r="L832" s="179">
        <v>7273</v>
      </c>
      <c r="M832" s="180" t="s">
        <v>1438</v>
      </c>
      <c r="N832" s="181" t="s">
        <v>450</v>
      </c>
      <c r="O832" s="182" t="s">
        <v>1439</v>
      </c>
    </row>
    <row r="833" spans="1:15" ht="12">
      <c r="A833" s="148"/>
      <c r="B833" s="174" t="s">
        <v>1787</v>
      </c>
      <c r="C833" s="175" t="s">
        <v>416</v>
      </c>
      <c r="D833" s="176" t="s">
        <v>417</v>
      </c>
      <c r="E833" s="177" t="s">
        <v>1785</v>
      </c>
      <c r="F833" s="175">
        <f t="shared" si="36"/>
        <v>7</v>
      </c>
      <c r="G833" s="175" t="str">
        <f t="shared" si="37"/>
        <v>Utica</v>
      </c>
      <c r="H833" s="175" t="str">
        <f t="shared" si="38"/>
        <v>Utica, NY</v>
      </c>
      <c r="I833" s="178" t="s">
        <v>104</v>
      </c>
      <c r="J833" s="27" t="s">
        <v>417</v>
      </c>
      <c r="K833" s="27">
        <v>438</v>
      </c>
      <c r="L833" s="179">
        <v>6834</v>
      </c>
      <c r="M833" s="180" t="s">
        <v>1046</v>
      </c>
      <c r="N833" s="181" t="s">
        <v>417</v>
      </c>
      <c r="O833" s="182" t="s">
        <v>1047</v>
      </c>
    </row>
    <row r="834" spans="1:15" ht="12">
      <c r="A834" s="148"/>
      <c r="B834" s="174" t="s">
        <v>1788</v>
      </c>
      <c r="C834" s="175" t="s">
        <v>263</v>
      </c>
      <c r="D834" s="176" t="s">
        <v>264</v>
      </c>
      <c r="E834" s="177" t="s">
        <v>1789</v>
      </c>
      <c r="F834" s="175">
        <f t="shared" si="36"/>
        <v>8</v>
      </c>
      <c r="G834" s="175" t="str">
        <f t="shared" si="37"/>
        <v>Uvalde</v>
      </c>
      <c r="H834" s="175" t="str">
        <f t="shared" si="38"/>
        <v>Uvalde, TX</v>
      </c>
      <c r="I834" s="178" t="s">
        <v>1790</v>
      </c>
      <c r="J834" s="27" t="s">
        <v>264</v>
      </c>
      <c r="K834" s="27">
        <v>3142</v>
      </c>
      <c r="L834" s="179">
        <v>1506</v>
      </c>
      <c r="M834" s="180" t="s">
        <v>974</v>
      </c>
      <c r="N834" s="181" t="s">
        <v>264</v>
      </c>
      <c r="O834" s="182" t="s">
        <v>975</v>
      </c>
    </row>
    <row r="835" spans="1:15" ht="12">
      <c r="A835" s="148"/>
      <c r="B835" s="174" t="s">
        <v>1791</v>
      </c>
      <c r="C835" s="175" t="s">
        <v>409</v>
      </c>
      <c r="D835" s="176" t="s">
        <v>410</v>
      </c>
      <c r="E835" s="177" t="s">
        <v>1792</v>
      </c>
      <c r="F835" s="175">
        <f t="shared" si="36"/>
        <v>10</v>
      </c>
      <c r="G835" s="175" t="str">
        <f t="shared" si="37"/>
        <v>Valdosta</v>
      </c>
      <c r="H835" s="175" t="str">
        <f t="shared" si="38"/>
        <v>Valdosta, GA</v>
      </c>
      <c r="I835" s="178" t="s">
        <v>850</v>
      </c>
      <c r="J835" s="27" t="s">
        <v>671</v>
      </c>
      <c r="K835" s="27">
        <v>2518</v>
      </c>
      <c r="L835" s="179">
        <v>1705</v>
      </c>
      <c r="M835" s="180" t="s">
        <v>611</v>
      </c>
      <c r="N835" s="181" t="s">
        <v>671</v>
      </c>
      <c r="O835" s="182" t="s">
        <v>612</v>
      </c>
    </row>
    <row r="836" spans="1:15" ht="12">
      <c r="A836" s="148"/>
      <c r="B836" s="174" t="s">
        <v>1793</v>
      </c>
      <c r="C836" s="175" t="s">
        <v>456</v>
      </c>
      <c r="D836" s="176" t="s">
        <v>457</v>
      </c>
      <c r="E836" s="177" t="s">
        <v>1794</v>
      </c>
      <c r="F836" s="175">
        <f t="shared" si="36"/>
        <v>11</v>
      </c>
      <c r="G836" s="175" t="str">
        <f t="shared" si="37"/>
        <v>Valentine</v>
      </c>
      <c r="H836" s="175" t="str">
        <f t="shared" si="38"/>
        <v>Valentine, NE</v>
      </c>
      <c r="I836" s="178" t="s">
        <v>1795</v>
      </c>
      <c r="J836" s="27" t="s">
        <v>457</v>
      </c>
      <c r="K836" s="27">
        <v>752</v>
      </c>
      <c r="L836" s="179">
        <v>7282</v>
      </c>
      <c r="M836" s="180" t="s">
        <v>1183</v>
      </c>
      <c r="N836" s="181" t="s">
        <v>457</v>
      </c>
      <c r="O836" s="182" t="s">
        <v>1184</v>
      </c>
    </row>
    <row r="837" spans="1:15" ht="12">
      <c r="A837" s="148"/>
      <c r="B837" s="174" t="s">
        <v>1796</v>
      </c>
      <c r="C837" s="175" t="s">
        <v>442</v>
      </c>
      <c r="D837" s="176" t="s">
        <v>443</v>
      </c>
      <c r="E837" s="177" t="s">
        <v>1797</v>
      </c>
      <c r="F837" s="175">
        <f t="shared" si="36"/>
        <v>10</v>
      </c>
      <c r="G837" s="175" t="str">
        <f t="shared" si="37"/>
        <v>Van Nuys</v>
      </c>
      <c r="H837" s="175" t="str">
        <f t="shared" si="38"/>
        <v>Van Nuys, CA</v>
      </c>
      <c r="I837" s="178" t="s">
        <v>1575</v>
      </c>
      <c r="J837" s="27" t="s">
        <v>443</v>
      </c>
      <c r="K837" s="27">
        <v>2365</v>
      </c>
      <c r="L837" s="179">
        <v>2182</v>
      </c>
      <c r="M837" s="178" t="s">
        <v>446</v>
      </c>
      <c r="N837" s="27" t="s">
        <v>443</v>
      </c>
      <c r="O837" s="182" t="s">
        <v>447</v>
      </c>
    </row>
    <row r="838" spans="1:15" ht="12">
      <c r="A838" s="148"/>
      <c r="B838" s="174" t="s">
        <v>1798</v>
      </c>
      <c r="C838" s="175" t="s">
        <v>442</v>
      </c>
      <c r="D838" s="176" t="s">
        <v>443</v>
      </c>
      <c r="E838" s="177" t="s">
        <v>1797</v>
      </c>
      <c r="F838" s="175">
        <f t="shared" ref="F838:F901" si="39">LEN(E838)</f>
        <v>10</v>
      </c>
      <c r="G838" s="175" t="str">
        <f t="shared" ref="G838:G901" si="40">MID(E838,2,F838-2)</f>
        <v>Van Nuys</v>
      </c>
      <c r="H838" s="175" t="str">
        <f t="shared" ref="H838:H901" si="41">CONCATENATE(G838,", ",+D838)</f>
        <v>Van Nuys, CA</v>
      </c>
      <c r="I838" s="178" t="s">
        <v>445</v>
      </c>
      <c r="J838" s="27" t="s">
        <v>443</v>
      </c>
      <c r="K838" s="27">
        <v>1537</v>
      </c>
      <c r="L838" s="179">
        <v>1154</v>
      </c>
      <c r="M838" s="178" t="s">
        <v>446</v>
      </c>
      <c r="N838" s="27" t="s">
        <v>443</v>
      </c>
      <c r="O838" s="182" t="s">
        <v>447</v>
      </c>
    </row>
    <row r="839" spans="1:15" ht="12">
      <c r="A839" s="148"/>
      <c r="B839" s="174" t="s">
        <v>1799</v>
      </c>
      <c r="C839" s="175" t="s">
        <v>593</v>
      </c>
      <c r="D839" s="176" t="s">
        <v>1638</v>
      </c>
      <c r="E839" s="177" t="s">
        <v>1800</v>
      </c>
      <c r="F839" s="175">
        <f t="shared" si="39"/>
        <v>11</v>
      </c>
      <c r="G839" s="175" t="str">
        <f t="shared" si="40"/>
        <v>Vancouver</v>
      </c>
      <c r="H839" s="175" t="str">
        <f t="shared" si="41"/>
        <v>Vancouver, WA</v>
      </c>
      <c r="I839" s="178" t="s">
        <v>2465</v>
      </c>
      <c r="J839" s="27" t="s">
        <v>1634</v>
      </c>
      <c r="K839" s="27">
        <v>371</v>
      </c>
      <c r="L839" s="179">
        <v>4522</v>
      </c>
      <c r="M839" s="180" t="s">
        <v>1559</v>
      </c>
      <c r="N839" s="181" t="s">
        <v>1634</v>
      </c>
      <c r="O839" s="182" t="s">
        <v>2466</v>
      </c>
    </row>
    <row r="840" spans="1:15" ht="12">
      <c r="A840" s="148"/>
      <c r="B840" s="174" t="s">
        <v>1801</v>
      </c>
      <c r="C840" s="175" t="s">
        <v>442</v>
      </c>
      <c r="D840" s="176" t="s">
        <v>443</v>
      </c>
      <c r="E840" s="177" t="s">
        <v>1802</v>
      </c>
      <c r="F840" s="175">
        <f t="shared" si="39"/>
        <v>16</v>
      </c>
      <c r="G840" s="175" t="str">
        <f t="shared" si="40"/>
        <v>Ventura/Oxnard</v>
      </c>
      <c r="H840" s="175" t="str">
        <f t="shared" si="41"/>
        <v>Ventura/Oxnard, CA</v>
      </c>
      <c r="I840" s="178" t="s">
        <v>1575</v>
      </c>
      <c r="J840" s="27" t="s">
        <v>443</v>
      </c>
      <c r="K840" s="27">
        <v>2365</v>
      </c>
      <c r="L840" s="179">
        <v>2182</v>
      </c>
      <c r="M840" s="178" t="s">
        <v>446</v>
      </c>
      <c r="N840" s="27" t="s">
        <v>443</v>
      </c>
      <c r="O840" s="182" t="s">
        <v>447</v>
      </c>
    </row>
    <row r="841" spans="1:15" ht="12">
      <c r="A841" s="148"/>
      <c r="B841" s="174" t="s">
        <v>1803</v>
      </c>
      <c r="C841" s="175" t="s">
        <v>263</v>
      </c>
      <c r="D841" s="176" t="s">
        <v>264</v>
      </c>
      <c r="E841" s="177" t="s">
        <v>1804</v>
      </c>
      <c r="F841" s="175">
        <f t="shared" si="39"/>
        <v>10</v>
      </c>
      <c r="G841" s="175" t="str">
        <f t="shared" si="40"/>
        <v>Victoria</v>
      </c>
      <c r="H841" s="175" t="str">
        <f t="shared" si="41"/>
        <v>Victoria, TX</v>
      </c>
      <c r="I841" s="178" t="s">
        <v>973</v>
      </c>
      <c r="J841" s="27" t="s">
        <v>264</v>
      </c>
      <c r="K841" s="27">
        <v>3118</v>
      </c>
      <c r="L841" s="179">
        <v>1296</v>
      </c>
      <c r="M841" s="180" t="s">
        <v>1662</v>
      </c>
      <c r="N841" s="181" t="s">
        <v>264</v>
      </c>
      <c r="O841" s="182" t="s">
        <v>1663</v>
      </c>
    </row>
    <row r="842" spans="1:15" ht="12">
      <c r="A842" s="148"/>
      <c r="B842" s="174" t="s">
        <v>1805</v>
      </c>
      <c r="C842" s="175" t="s">
        <v>509</v>
      </c>
      <c r="D842" s="176" t="s">
        <v>510</v>
      </c>
      <c r="E842" s="177" t="s">
        <v>1806</v>
      </c>
      <c r="F842" s="175">
        <f t="shared" si="39"/>
        <v>8</v>
      </c>
      <c r="G842" s="175" t="str">
        <f t="shared" si="40"/>
        <v>Vinita</v>
      </c>
      <c r="H842" s="175" t="str">
        <f t="shared" si="41"/>
        <v>Vinita, OK</v>
      </c>
      <c r="I842" s="178" t="s">
        <v>2454</v>
      </c>
      <c r="J842" s="27" t="s">
        <v>510</v>
      </c>
      <c r="K842" s="27">
        <v>2017</v>
      </c>
      <c r="L842" s="179">
        <v>3691</v>
      </c>
      <c r="M842" s="180" t="s">
        <v>2455</v>
      </c>
      <c r="N842" s="181" t="s">
        <v>510</v>
      </c>
      <c r="O842" s="182" t="s">
        <v>2456</v>
      </c>
    </row>
    <row r="843" spans="1:15" ht="12">
      <c r="A843" s="148"/>
      <c r="B843" s="174" t="s">
        <v>1807</v>
      </c>
      <c r="C843" s="175" t="s">
        <v>263</v>
      </c>
      <c r="D843" s="176" t="s">
        <v>264</v>
      </c>
      <c r="E843" s="177" t="s">
        <v>1808</v>
      </c>
      <c r="F843" s="175">
        <f t="shared" si="39"/>
        <v>6</v>
      </c>
      <c r="G843" s="175" t="str">
        <f t="shared" si="40"/>
        <v>Waco</v>
      </c>
      <c r="H843" s="175" t="str">
        <f t="shared" si="41"/>
        <v>Waco, TX</v>
      </c>
      <c r="I843" s="178" t="s">
        <v>2160</v>
      </c>
      <c r="J843" s="27" t="s">
        <v>264</v>
      </c>
      <c r="K843" s="27">
        <v>2816</v>
      </c>
      <c r="L843" s="179">
        <v>2179</v>
      </c>
      <c r="M843" s="180" t="s">
        <v>2161</v>
      </c>
      <c r="N843" s="181" t="s">
        <v>264</v>
      </c>
      <c r="O843" s="182" t="s">
        <v>2162</v>
      </c>
    </row>
    <row r="844" spans="1:15" ht="12">
      <c r="A844" s="148"/>
      <c r="B844" s="174" t="s">
        <v>1809</v>
      </c>
      <c r="C844" s="175" t="s">
        <v>263</v>
      </c>
      <c r="D844" s="176" t="s">
        <v>264</v>
      </c>
      <c r="E844" s="177" t="s">
        <v>1808</v>
      </c>
      <c r="F844" s="175">
        <f t="shared" si="39"/>
        <v>6</v>
      </c>
      <c r="G844" s="175" t="str">
        <f t="shared" si="40"/>
        <v>Waco</v>
      </c>
      <c r="H844" s="175" t="str">
        <f t="shared" si="41"/>
        <v>Waco, TX</v>
      </c>
      <c r="I844" s="178" t="s">
        <v>2160</v>
      </c>
      <c r="J844" s="27" t="s">
        <v>264</v>
      </c>
      <c r="K844" s="27">
        <v>2816</v>
      </c>
      <c r="L844" s="179">
        <v>2179</v>
      </c>
      <c r="M844" s="180" t="s">
        <v>2161</v>
      </c>
      <c r="N844" s="181" t="s">
        <v>264</v>
      </c>
      <c r="O844" s="182" t="s">
        <v>2162</v>
      </c>
    </row>
    <row r="845" spans="1:15" ht="12">
      <c r="A845" s="148"/>
      <c r="B845" s="174" t="s">
        <v>1810</v>
      </c>
      <c r="C845" s="175" t="s">
        <v>496</v>
      </c>
      <c r="D845" s="176" t="s">
        <v>439</v>
      </c>
      <c r="E845" s="177" t="s">
        <v>1811</v>
      </c>
      <c r="F845" s="175">
        <f t="shared" si="39"/>
        <v>9</v>
      </c>
      <c r="G845" s="175" t="str">
        <f t="shared" si="40"/>
        <v>Waldorf</v>
      </c>
      <c r="H845" s="175" t="str">
        <f t="shared" si="41"/>
        <v>Waldorf, MD</v>
      </c>
      <c r="I845" s="178" t="s">
        <v>436</v>
      </c>
      <c r="J845" s="27" t="s">
        <v>437</v>
      </c>
      <c r="K845" s="27">
        <v>1549</v>
      </c>
      <c r="L845" s="179">
        <v>4047</v>
      </c>
      <c r="M845" s="180" t="s">
        <v>438</v>
      </c>
      <c r="N845" s="181" t="s">
        <v>439</v>
      </c>
      <c r="O845" s="182" t="s">
        <v>440</v>
      </c>
    </row>
    <row r="846" spans="1:15" ht="12">
      <c r="A846" s="148"/>
      <c r="B846" s="174" t="s">
        <v>1812</v>
      </c>
      <c r="C846" s="175" t="s">
        <v>1813</v>
      </c>
      <c r="D846" s="176" t="s">
        <v>437</v>
      </c>
      <c r="E846" s="177" t="s">
        <v>593</v>
      </c>
      <c r="F846" s="175">
        <f t="shared" si="39"/>
        <v>12</v>
      </c>
      <c r="G846" s="175" t="str">
        <f t="shared" si="40"/>
        <v>Washington</v>
      </c>
      <c r="H846" s="175" t="str">
        <f t="shared" si="41"/>
        <v>Washington, DC</v>
      </c>
      <c r="I846" s="178" t="s">
        <v>436</v>
      </c>
      <c r="J846" s="27" t="s">
        <v>437</v>
      </c>
      <c r="K846" s="27">
        <v>1549</v>
      </c>
      <c r="L846" s="179">
        <v>4047</v>
      </c>
      <c r="M846" s="180" t="s">
        <v>438</v>
      </c>
      <c r="N846" s="181" t="s">
        <v>439</v>
      </c>
      <c r="O846" s="182" t="s">
        <v>440</v>
      </c>
    </row>
    <row r="847" spans="1:15" ht="12">
      <c r="A847" s="148"/>
      <c r="B847" s="174" t="s">
        <v>1814</v>
      </c>
      <c r="C847" s="175" t="s">
        <v>1813</v>
      </c>
      <c r="D847" s="176" t="s">
        <v>437</v>
      </c>
      <c r="E847" s="177" t="s">
        <v>593</v>
      </c>
      <c r="F847" s="175">
        <f t="shared" si="39"/>
        <v>12</v>
      </c>
      <c r="G847" s="175" t="str">
        <f t="shared" si="40"/>
        <v>Washington</v>
      </c>
      <c r="H847" s="175" t="str">
        <f t="shared" si="41"/>
        <v>Washington, DC</v>
      </c>
      <c r="I847" s="178" t="s">
        <v>436</v>
      </c>
      <c r="J847" s="27" t="s">
        <v>437</v>
      </c>
      <c r="K847" s="27">
        <v>1549</v>
      </c>
      <c r="L847" s="179">
        <v>4047</v>
      </c>
      <c r="M847" s="180" t="s">
        <v>438</v>
      </c>
      <c r="N847" s="181" t="s">
        <v>439</v>
      </c>
      <c r="O847" s="182" t="s">
        <v>440</v>
      </c>
    </row>
    <row r="848" spans="1:15" ht="12">
      <c r="A848" s="148"/>
      <c r="B848" s="174" t="s">
        <v>1815</v>
      </c>
      <c r="C848" s="175" t="s">
        <v>1813</v>
      </c>
      <c r="D848" s="176" t="s">
        <v>437</v>
      </c>
      <c r="E848" s="177" t="s">
        <v>593</v>
      </c>
      <c r="F848" s="175">
        <f t="shared" si="39"/>
        <v>12</v>
      </c>
      <c r="G848" s="175" t="str">
        <f t="shared" si="40"/>
        <v>Washington</v>
      </c>
      <c r="H848" s="175" t="str">
        <f t="shared" si="41"/>
        <v>Washington, DC</v>
      </c>
      <c r="I848" s="178" t="s">
        <v>436</v>
      </c>
      <c r="J848" s="27" t="s">
        <v>437</v>
      </c>
      <c r="K848" s="27">
        <v>1549</v>
      </c>
      <c r="L848" s="179">
        <v>4047</v>
      </c>
      <c r="M848" s="180" t="s">
        <v>438</v>
      </c>
      <c r="N848" s="181" t="s">
        <v>439</v>
      </c>
      <c r="O848" s="182" t="s">
        <v>440</v>
      </c>
    </row>
    <row r="849" spans="1:15" ht="12">
      <c r="A849" s="148"/>
      <c r="B849" s="174" t="s">
        <v>1816</v>
      </c>
      <c r="C849" s="175" t="s">
        <v>1813</v>
      </c>
      <c r="D849" s="176" t="s">
        <v>437</v>
      </c>
      <c r="E849" s="177" t="s">
        <v>593</v>
      </c>
      <c r="F849" s="175">
        <f t="shared" si="39"/>
        <v>12</v>
      </c>
      <c r="G849" s="175" t="str">
        <f t="shared" si="40"/>
        <v>Washington</v>
      </c>
      <c r="H849" s="175" t="str">
        <f t="shared" si="41"/>
        <v>Washington, DC</v>
      </c>
      <c r="I849" s="178" t="s">
        <v>436</v>
      </c>
      <c r="J849" s="27" t="s">
        <v>437</v>
      </c>
      <c r="K849" s="27">
        <v>1549</v>
      </c>
      <c r="L849" s="179">
        <v>4047</v>
      </c>
      <c r="M849" s="180" t="s">
        <v>438</v>
      </c>
      <c r="N849" s="181" t="s">
        <v>439</v>
      </c>
      <c r="O849" s="182" t="s">
        <v>440</v>
      </c>
    </row>
    <row r="850" spans="1:15" ht="12">
      <c r="A850" s="148"/>
      <c r="B850" s="174" t="s">
        <v>1817</v>
      </c>
      <c r="C850" s="175" t="s">
        <v>1813</v>
      </c>
      <c r="D850" s="176" t="s">
        <v>437</v>
      </c>
      <c r="E850" s="177" t="s">
        <v>593</v>
      </c>
      <c r="F850" s="175">
        <f t="shared" si="39"/>
        <v>12</v>
      </c>
      <c r="G850" s="175" t="str">
        <f t="shared" si="40"/>
        <v>Washington</v>
      </c>
      <c r="H850" s="175" t="str">
        <f t="shared" si="41"/>
        <v>Washington, DC</v>
      </c>
      <c r="I850" s="178" t="s">
        <v>436</v>
      </c>
      <c r="J850" s="27" t="s">
        <v>437</v>
      </c>
      <c r="K850" s="27">
        <v>1549</v>
      </c>
      <c r="L850" s="179">
        <v>4047</v>
      </c>
      <c r="M850" s="180" t="s">
        <v>438</v>
      </c>
      <c r="N850" s="181" t="s">
        <v>439</v>
      </c>
      <c r="O850" s="182" t="s">
        <v>440</v>
      </c>
    </row>
    <row r="851" spans="1:15" ht="12">
      <c r="A851" s="148"/>
      <c r="B851" s="174" t="s">
        <v>1818</v>
      </c>
      <c r="C851" s="175" t="s">
        <v>1813</v>
      </c>
      <c r="D851" s="176" t="s">
        <v>437</v>
      </c>
      <c r="E851" s="177" t="s">
        <v>593</v>
      </c>
      <c r="F851" s="175">
        <f t="shared" si="39"/>
        <v>12</v>
      </c>
      <c r="G851" s="175" t="str">
        <f t="shared" si="40"/>
        <v>Washington</v>
      </c>
      <c r="H851" s="175" t="str">
        <f t="shared" si="41"/>
        <v>Washington, DC</v>
      </c>
      <c r="I851" s="178" t="s">
        <v>436</v>
      </c>
      <c r="J851" s="27" t="s">
        <v>437</v>
      </c>
      <c r="K851" s="27">
        <v>1549</v>
      </c>
      <c r="L851" s="179">
        <v>4047</v>
      </c>
      <c r="M851" s="180" t="s">
        <v>438</v>
      </c>
      <c r="N851" s="181" t="s">
        <v>439</v>
      </c>
      <c r="O851" s="182" t="s">
        <v>440</v>
      </c>
    </row>
    <row r="852" spans="1:15" ht="12">
      <c r="A852" s="148"/>
      <c r="B852" s="174" t="s">
        <v>1819</v>
      </c>
      <c r="C852" s="175" t="s">
        <v>2280</v>
      </c>
      <c r="D852" s="176" t="s">
        <v>2281</v>
      </c>
      <c r="E852" s="177" t="s">
        <v>593</v>
      </c>
      <c r="F852" s="175">
        <f t="shared" si="39"/>
        <v>12</v>
      </c>
      <c r="G852" s="175" t="str">
        <f t="shared" si="40"/>
        <v>Washington</v>
      </c>
      <c r="H852" s="175" t="str">
        <f t="shared" si="41"/>
        <v>Washington, IN</v>
      </c>
      <c r="I852" s="178" t="s">
        <v>1385</v>
      </c>
      <c r="J852" s="27" t="s">
        <v>2281</v>
      </c>
      <c r="K852" s="27">
        <v>1376</v>
      </c>
      <c r="L852" s="179">
        <v>4708</v>
      </c>
      <c r="M852" s="178" t="s">
        <v>1386</v>
      </c>
      <c r="N852" s="27" t="s">
        <v>2281</v>
      </c>
      <c r="O852" s="182" t="s">
        <v>1387</v>
      </c>
    </row>
    <row r="853" spans="1:15" ht="12">
      <c r="A853" s="148"/>
      <c r="B853" s="174" t="s">
        <v>1820</v>
      </c>
      <c r="C853" s="175" t="s">
        <v>449</v>
      </c>
      <c r="D853" s="176" t="s">
        <v>450</v>
      </c>
      <c r="E853" s="177" t="s">
        <v>593</v>
      </c>
      <c r="F853" s="175">
        <f t="shared" si="39"/>
        <v>12</v>
      </c>
      <c r="G853" s="175" t="str">
        <f t="shared" si="40"/>
        <v>Washington</v>
      </c>
      <c r="H853" s="175" t="str">
        <f t="shared" si="41"/>
        <v>Washington, PA</v>
      </c>
      <c r="I853" s="178" t="s">
        <v>464</v>
      </c>
      <c r="J853" s="27" t="s">
        <v>450</v>
      </c>
      <c r="K853" s="27">
        <v>654</v>
      </c>
      <c r="L853" s="179">
        <v>5968</v>
      </c>
      <c r="M853" s="180" t="s">
        <v>465</v>
      </c>
      <c r="N853" s="181" t="s">
        <v>450</v>
      </c>
      <c r="O853" s="182" t="s">
        <v>466</v>
      </c>
    </row>
    <row r="854" spans="1:15" ht="12">
      <c r="A854" s="148"/>
      <c r="B854" s="186" t="s">
        <v>1821</v>
      </c>
      <c r="C854" s="175" t="s">
        <v>689</v>
      </c>
      <c r="D854" s="176" t="s">
        <v>690</v>
      </c>
      <c r="E854" s="177" t="s">
        <v>1822</v>
      </c>
      <c r="F854" s="175">
        <f t="shared" si="39"/>
        <v>11</v>
      </c>
      <c r="G854" s="175" t="str">
        <f t="shared" si="40"/>
        <v>Waterbury</v>
      </c>
      <c r="H854" s="175" t="str">
        <f t="shared" si="41"/>
        <v>Waterbury, CT</v>
      </c>
      <c r="I854" s="178" t="s">
        <v>756</v>
      </c>
      <c r="J854" s="27" t="s">
        <v>690</v>
      </c>
      <c r="K854" s="27">
        <v>677</v>
      </c>
      <c r="L854" s="179">
        <v>6151</v>
      </c>
      <c r="M854" s="178" t="s">
        <v>753</v>
      </c>
      <c r="N854" s="27" t="s">
        <v>690</v>
      </c>
      <c r="O854" s="182" t="s">
        <v>754</v>
      </c>
    </row>
    <row r="855" spans="1:15" ht="12">
      <c r="A855" s="148"/>
      <c r="B855" s="174" t="s">
        <v>1823</v>
      </c>
      <c r="C855" s="175" t="s">
        <v>1333</v>
      </c>
      <c r="D855" s="176" t="s">
        <v>1334</v>
      </c>
      <c r="E855" s="177" t="s">
        <v>1824</v>
      </c>
      <c r="F855" s="175">
        <f t="shared" si="39"/>
        <v>10</v>
      </c>
      <c r="G855" s="175" t="str">
        <f t="shared" si="40"/>
        <v>Waterloo</v>
      </c>
      <c r="H855" s="175" t="str">
        <f t="shared" si="41"/>
        <v>Waterloo, IA</v>
      </c>
      <c r="I855" s="178" t="s">
        <v>2321</v>
      </c>
      <c r="J855" s="27" t="s">
        <v>1334</v>
      </c>
      <c r="K855" s="27">
        <v>702</v>
      </c>
      <c r="L855" s="179">
        <v>7406</v>
      </c>
      <c r="M855" s="180" t="s">
        <v>1337</v>
      </c>
      <c r="N855" s="181" t="s">
        <v>1334</v>
      </c>
      <c r="O855" s="182" t="s">
        <v>1338</v>
      </c>
    </row>
    <row r="856" spans="1:15" ht="12">
      <c r="A856" s="148"/>
      <c r="B856" s="174" t="s">
        <v>1825</v>
      </c>
      <c r="C856" s="175" t="s">
        <v>1333</v>
      </c>
      <c r="D856" s="176" t="s">
        <v>1334</v>
      </c>
      <c r="E856" s="177" t="s">
        <v>1824</v>
      </c>
      <c r="F856" s="175">
        <f t="shared" si="39"/>
        <v>10</v>
      </c>
      <c r="G856" s="175" t="str">
        <f t="shared" si="40"/>
        <v>Waterloo</v>
      </c>
      <c r="H856" s="175" t="str">
        <f t="shared" si="41"/>
        <v>Waterloo, IA</v>
      </c>
      <c r="I856" s="178" t="s">
        <v>2321</v>
      </c>
      <c r="J856" s="27" t="s">
        <v>1334</v>
      </c>
      <c r="K856" s="27">
        <v>702</v>
      </c>
      <c r="L856" s="179">
        <v>7406</v>
      </c>
      <c r="M856" s="180" t="s">
        <v>1337</v>
      </c>
      <c r="N856" s="181" t="s">
        <v>1334</v>
      </c>
      <c r="O856" s="182" t="s">
        <v>1338</v>
      </c>
    </row>
    <row r="857" spans="1:15" ht="12">
      <c r="A857" s="148"/>
      <c r="B857" s="174" t="s">
        <v>1826</v>
      </c>
      <c r="C857" s="175" t="s">
        <v>416</v>
      </c>
      <c r="D857" s="176" t="s">
        <v>417</v>
      </c>
      <c r="E857" s="177" t="s">
        <v>1827</v>
      </c>
      <c r="F857" s="175">
        <f t="shared" si="39"/>
        <v>11</v>
      </c>
      <c r="G857" s="175" t="str">
        <f t="shared" si="40"/>
        <v>Watertown</v>
      </c>
      <c r="H857" s="175" t="str">
        <f t="shared" si="41"/>
        <v>Watertown, NY</v>
      </c>
      <c r="I857" s="178" t="s">
        <v>104</v>
      </c>
      <c r="J857" s="27" t="s">
        <v>417</v>
      </c>
      <c r="K857" s="27">
        <v>438</v>
      </c>
      <c r="L857" s="179">
        <v>6834</v>
      </c>
      <c r="M857" s="180" t="s">
        <v>1046</v>
      </c>
      <c r="N857" s="181" t="s">
        <v>417</v>
      </c>
      <c r="O857" s="182" t="s">
        <v>1047</v>
      </c>
    </row>
    <row r="858" spans="1:15" ht="12">
      <c r="A858" s="148"/>
      <c r="B858" s="174" t="s">
        <v>1828</v>
      </c>
      <c r="C858" s="175" t="s">
        <v>255</v>
      </c>
      <c r="D858" s="176" t="s">
        <v>256</v>
      </c>
      <c r="E858" s="177" t="s">
        <v>1827</v>
      </c>
      <c r="F858" s="175">
        <f t="shared" si="39"/>
        <v>11</v>
      </c>
      <c r="G858" s="175" t="str">
        <f t="shared" si="40"/>
        <v>Watertown</v>
      </c>
      <c r="H858" s="175" t="str">
        <f t="shared" si="41"/>
        <v>Watertown, SD</v>
      </c>
      <c r="I858" s="178" t="s">
        <v>1716</v>
      </c>
      <c r="J858" s="27" t="s">
        <v>260</v>
      </c>
      <c r="K858" s="27">
        <v>537</v>
      </c>
      <c r="L858" s="179">
        <v>9254</v>
      </c>
      <c r="M858" s="180" t="s">
        <v>259</v>
      </c>
      <c r="N858" s="181" t="s">
        <v>260</v>
      </c>
      <c r="O858" s="182" t="s">
        <v>261</v>
      </c>
    </row>
    <row r="859" spans="1:15" ht="12">
      <c r="A859" s="148"/>
      <c r="B859" s="186" t="s">
        <v>1829</v>
      </c>
      <c r="C859" s="175" t="s">
        <v>1555</v>
      </c>
      <c r="D859" s="176" t="s">
        <v>1556</v>
      </c>
      <c r="E859" s="177" t="s">
        <v>1830</v>
      </c>
      <c r="F859" s="175">
        <f t="shared" si="39"/>
        <v>12</v>
      </c>
      <c r="G859" s="175" t="str">
        <f t="shared" si="40"/>
        <v>Waterville</v>
      </c>
      <c r="H859" s="175" t="str">
        <f t="shared" si="41"/>
        <v>Waterville, ME</v>
      </c>
      <c r="I859" s="178" t="s">
        <v>1558</v>
      </c>
      <c r="J859" s="27" t="s">
        <v>1556</v>
      </c>
      <c r="K859" s="27">
        <v>268</v>
      </c>
      <c r="L859" s="179">
        <v>7378</v>
      </c>
      <c r="M859" s="180" t="s">
        <v>1559</v>
      </c>
      <c r="N859" s="181" t="s">
        <v>1556</v>
      </c>
      <c r="O859" s="182" t="s">
        <v>1560</v>
      </c>
    </row>
    <row r="860" spans="1:15" ht="12">
      <c r="A860" s="148"/>
      <c r="B860" s="174" t="s">
        <v>1831</v>
      </c>
      <c r="C860" s="175" t="s">
        <v>51</v>
      </c>
      <c r="D860" s="176" t="s">
        <v>1702</v>
      </c>
      <c r="E860" s="177" t="s">
        <v>1832</v>
      </c>
      <c r="F860" s="175">
        <f t="shared" si="39"/>
        <v>8</v>
      </c>
      <c r="G860" s="175" t="str">
        <f t="shared" si="40"/>
        <v>Wausau</v>
      </c>
      <c r="H860" s="175" t="str">
        <f t="shared" si="41"/>
        <v>Wausau, WI</v>
      </c>
      <c r="I860" s="178" t="s">
        <v>2056</v>
      </c>
      <c r="J860" s="27" t="s">
        <v>1702</v>
      </c>
      <c r="K860" s="27">
        <v>381</v>
      </c>
      <c r="L860" s="179">
        <v>8089</v>
      </c>
      <c r="M860" s="180" t="s">
        <v>2057</v>
      </c>
      <c r="N860" s="181" t="s">
        <v>1702</v>
      </c>
      <c r="O860" s="182" t="s">
        <v>2058</v>
      </c>
    </row>
    <row r="861" spans="1:15" ht="12">
      <c r="A861" s="148"/>
      <c r="B861" s="174" t="s">
        <v>1833</v>
      </c>
      <c r="C861" s="175" t="s">
        <v>409</v>
      </c>
      <c r="D861" s="176" t="s">
        <v>410</v>
      </c>
      <c r="E861" s="177" t="s">
        <v>1834</v>
      </c>
      <c r="F861" s="175">
        <f t="shared" si="39"/>
        <v>10</v>
      </c>
      <c r="G861" s="175" t="str">
        <f t="shared" si="40"/>
        <v>Waycross</v>
      </c>
      <c r="H861" s="175" t="str">
        <f t="shared" si="41"/>
        <v>Waycross, GA</v>
      </c>
      <c r="I861" s="178" t="s">
        <v>1607</v>
      </c>
      <c r="J861" s="27" t="s">
        <v>410</v>
      </c>
      <c r="K861" s="27">
        <v>2365</v>
      </c>
      <c r="L861" s="179">
        <v>1847</v>
      </c>
      <c r="M861" s="180" t="s">
        <v>1608</v>
      </c>
      <c r="N861" s="181" t="s">
        <v>410</v>
      </c>
      <c r="O861" s="182" t="s">
        <v>1609</v>
      </c>
    </row>
    <row r="862" spans="1:15" ht="12">
      <c r="A862" s="148"/>
      <c r="B862" s="174" t="s">
        <v>1835</v>
      </c>
      <c r="C862" s="175" t="s">
        <v>1617</v>
      </c>
      <c r="D862" s="176" t="s">
        <v>1530</v>
      </c>
      <c r="E862" s="177" t="s">
        <v>1836</v>
      </c>
      <c r="F862" s="175">
        <f t="shared" si="39"/>
        <v>7</v>
      </c>
      <c r="G862" s="175" t="str">
        <f t="shared" si="40"/>
        <v>Welch</v>
      </c>
      <c r="H862" s="175" t="str">
        <f t="shared" si="41"/>
        <v>Welch, WV</v>
      </c>
      <c r="I862" s="178" t="s">
        <v>1319</v>
      </c>
      <c r="J862" s="27" t="s">
        <v>1530</v>
      </c>
      <c r="K862" s="27">
        <v>1031</v>
      </c>
      <c r="L862" s="179">
        <v>4646</v>
      </c>
      <c r="M862" s="180" t="s">
        <v>1531</v>
      </c>
      <c r="N862" s="181" t="s">
        <v>1530</v>
      </c>
      <c r="O862" s="182" t="s">
        <v>1532</v>
      </c>
    </row>
    <row r="863" spans="1:15" ht="12">
      <c r="A863" s="148"/>
      <c r="B863" s="174" t="s">
        <v>1837</v>
      </c>
      <c r="C863" s="175" t="s">
        <v>449</v>
      </c>
      <c r="D863" s="176" t="s">
        <v>450</v>
      </c>
      <c r="E863" s="177" t="s">
        <v>1838</v>
      </c>
      <c r="F863" s="175">
        <f t="shared" si="39"/>
        <v>11</v>
      </c>
      <c r="G863" s="175" t="str">
        <f t="shared" si="40"/>
        <v>Wellsboro</v>
      </c>
      <c r="H863" s="175" t="str">
        <f t="shared" si="41"/>
        <v>Wellsboro, PA</v>
      </c>
      <c r="I863" s="178" t="s">
        <v>1437</v>
      </c>
      <c r="J863" s="27" t="s">
        <v>417</v>
      </c>
      <c r="K863" s="27">
        <v>337</v>
      </c>
      <c r="L863" s="179">
        <v>7273</v>
      </c>
      <c r="M863" s="180" t="s">
        <v>1438</v>
      </c>
      <c r="N863" s="181" t="s">
        <v>450</v>
      </c>
      <c r="O863" s="182" t="s">
        <v>1439</v>
      </c>
    </row>
    <row r="864" spans="1:15" ht="12">
      <c r="A864" s="148"/>
      <c r="B864" s="174" t="s">
        <v>1839</v>
      </c>
      <c r="C864" s="175" t="s">
        <v>593</v>
      </c>
      <c r="D864" s="176" t="s">
        <v>1638</v>
      </c>
      <c r="E864" s="177" t="s">
        <v>1840</v>
      </c>
      <c r="F864" s="175">
        <f t="shared" si="39"/>
        <v>11</v>
      </c>
      <c r="G864" s="175" t="str">
        <f t="shared" si="40"/>
        <v>Wenatchee</v>
      </c>
      <c r="H864" s="175" t="str">
        <f t="shared" si="41"/>
        <v>Wenatchee, WA</v>
      </c>
      <c r="I864" s="178" t="s">
        <v>1841</v>
      </c>
      <c r="J864" s="27" t="s">
        <v>1638</v>
      </c>
      <c r="K864" s="27">
        <v>458</v>
      </c>
      <c r="L864" s="179">
        <v>5967</v>
      </c>
      <c r="M864" s="180" t="s">
        <v>1637</v>
      </c>
      <c r="N864" s="181" t="s">
        <v>1638</v>
      </c>
      <c r="O864" s="182" t="s">
        <v>1639</v>
      </c>
    </row>
    <row r="865" spans="1:15" ht="12">
      <c r="A865" s="148"/>
      <c r="B865" s="174" t="s">
        <v>1842</v>
      </c>
      <c r="C865" s="175" t="s">
        <v>1589</v>
      </c>
      <c r="D865" s="176" t="s">
        <v>1590</v>
      </c>
      <c r="E865" s="177" t="s">
        <v>1843</v>
      </c>
      <c r="F865" s="175">
        <f t="shared" si="39"/>
        <v>14</v>
      </c>
      <c r="G865" s="175" t="str">
        <f t="shared" si="40"/>
        <v>West Memphis</v>
      </c>
      <c r="H865" s="175" t="str">
        <f t="shared" si="41"/>
        <v>West Memphis, AR</v>
      </c>
      <c r="I865" s="178" t="s">
        <v>1592</v>
      </c>
      <c r="J865" s="27" t="s">
        <v>1590</v>
      </c>
      <c r="K865" s="27">
        <v>1916</v>
      </c>
      <c r="L865" s="179">
        <v>3228</v>
      </c>
      <c r="M865" s="178" t="s">
        <v>1593</v>
      </c>
      <c r="N865" s="27" t="s">
        <v>1590</v>
      </c>
      <c r="O865" s="182" t="s">
        <v>1594</v>
      </c>
    </row>
    <row r="866" spans="1:15" ht="12">
      <c r="A866" s="148"/>
      <c r="B866" s="174" t="s">
        <v>1844</v>
      </c>
      <c r="C866" s="175" t="s">
        <v>670</v>
      </c>
      <c r="D866" s="176" t="s">
        <v>671</v>
      </c>
      <c r="E866" s="177" t="s">
        <v>1845</v>
      </c>
      <c r="F866" s="175">
        <f t="shared" si="39"/>
        <v>17</v>
      </c>
      <c r="G866" s="175" t="str">
        <f t="shared" si="40"/>
        <v>West Palm Beach</v>
      </c>
      <c r="H866" s="175" t="str">
        <f t="shared" si="41"/>
        <v>West Palm Beach, FL</v>
      </c>
      <c r="I866" s="178" t="s">
        <v>1846</v>
      </c>
      <c r="J866" s="27" t="s">
        <v>671</v>
      </c>
      <c r="K866" s="27">
        <v>3891</v>
      </c>
      <c r="L866" s="179">
        <v>323</v>
      </c>
      <c r="M866" s="180" t="s">
        <v>1847</v>
      </c>
      <c r="N866" s="181" t="s">
        <v>671</v>
      </c>
      <c r="O866" s="182" t="s">
        <v>1848</v>
      </c>
    </row>
    <row r="867" spans="1:15" ht="12">
      <c r="A867" s="148"/>
      <c r="B867" s="174" t="s">
        <v>1849</v>
      </c>
      <c r="C867" s="175" t="s">
        <v>416</v>
      </c>
      <c r="D867" s="176" t="s">
        <v>417</v>
      </c>
      <c r="E867" s="177" t="s">
        <v>1850</v>
      </c>
      <c r="F867" s="175">
        <f t="shared" si="39"/>
        <v>13</v>
      </c>
      <c r="G867" s="175" t="str">
        <f t="shared" si="40"/>
        <v>Westchester</v>
      </c>
      <c r="H867" s="175" t="str">
        <f t="shared" si="41"/>
        <v>Westchester, NY</v>
      </c>
      <c r="I867" s="178" t="s">
        <v>692</v>
      </c>
      <c r="J867" s="27" t="s">
        <v>690</v>
      </c>
      <c r="K867" s="27">
        <v>724</v>
      </c>
      <c r="L867" s="179">
        <v>5537</v>
      </c>
      <c r="M867" s="178" t="s">
        <v>693</v>
      </c>
      <c r="N867" s="27" t="s">
        <v>690</v>
      </c>
      <c r="O867" s="182" t="s">
        <v>694</v>
      </c>
    </row>
    <row r="868" spans="1:15" ht="12">
      <c r="A868" s="148"/>
      <c r="B868" s="174" t="s">
        <v>1851</v>
      </c>
      <c r="C868" s="175" t="s">
        <v>1413</v>
      </c>
      <c r="D868" s="176" t="s">
        <v>1414</v>
      </c>
      <c r="E868" s="177" t="s">
        <v>1852</v>
      </c>
      <c r="F868" s="175">
        <f t="shared" si="39"/>
        <v>11</v>
      </c>
      <c r="G868" s="175" t="str">
        <f t="shared" si="40"/>
        <v>Wheatland</v>
      </c>
      <c r="H868" s="175" t="str">
        <f t="shared" si="41"/>
        <v>Wheatland, WY</v>
      </c>
      <c r="I868" s="178" t="s">
        <v>1853</v>
      </c>
      <c r="J868" s="27" t="s">
        <v>457</v>
      </c>
      <c r="K868" s="27">
        <v>713</v>
      </c>
      <c r="L868" s="179">
        <v>6729</v>
      </c>
      <c r="M868" s="180" t="s">
        <v>2366</v>
      </c>
      <c r="N868" s="181" t="s">
        <v>1414</v>
      </c>
      <c r="O868" s="182" t="s">
        <v>2367</v>
      </c>
    </row>
    <row r="869" spans="1:15" ht="12">
      <c r="A869" s="148"/>
      <c r="B869" s="174" t="s">
        <v>1854</v>
      </c>
      <c r="C869" s="175" t="s">
        <v>1617</v>
      </c>
      <c r="D869" s="176" t="s">
        <v>1530</v>
      </c>
      <c r="E869" s="177" t="s">
        <v>1855</v>
      </c>
      <c r="F869" s="175">
        <f t="shared" si="39"/>
        <v>10</v>
      </c>
      <c r="G869" s="175" t="str">
        <f t="shared" si="40"/>
        <v>Wheeling</v>
      </c>
      <c r="H869" s="175" t="str">
        <f t="shared" si="41"/>
        <v>Wheeling, WV</v>
      </c>
      <c r="I869" s="178" t="s">
        <v>464</v>
      </c>
      <c r="J869" s="27" t="s">
        <v>450</v>
      </c>
      <c r="K869" s="27">
        <v>654</v>
      </c>
      <c r="L869" s="179">
        <v>5968</v>
      </c>
      <c r="M869" s="180" t="s">
        <v>465</v>
      </c>
      <c r="N869" s="181" t="s">
        <v>450</v>
      </c>
      <c r="O869" s="182" t="s">
        <v>466</v>
      </c>
    </row>
    <row r="870" spans="1:15" ht="12">
      <c r="A870" s="148"/>
      <c r="B870" s="174" t="s">
        <v>1856</v>
      </c>
      <c r="C870" s="175" t="s">
        <v>416</v>
      </c>
      <c r="D870" s="176" t="s">
        <v>417</v>
      </c>
      <c r="E870" s="177" t="s">
        <v>1857</v>
      </c>
      <c r="F870" s="175">
        <f t="shared" si="39"/>
        <v>14</v>
      </c>
      <c r="G870" s="175" t="str">
        <f t="shared" si="40"/>
        <v>White Plains</v>
      </c>
      <c r="H870" s="175" t="str">
        <f t="shared" si="41"/>
        <v>White Plains, NY</v>
      </c>
      <c r="I870" s="178" t="s">
        <v>692</v>
      </c>
      <c r="J870" s="27" t="s">
        <v>690</v>
      </c>
      <c r="K870" s="27">
        <v>724</v>
      </c>
      <c r="L870" s="179">
        <v>5537</v>
      </c>
      <c r="M870" s="178" t="s">
        <v>693</v>
      </c>
      <c r="N870" s="27" t="s">
        <v>690</v>
      </c>
      <c r="O870" s="182" t="s">
        <v>694</v>
      </c>
    </row>
    <row r="871" spans="1:15" ht="12">
      <c r="A871" s="148"/>
      <c r="B871" s="186" t="s">
        <v>1858</v>
      </c>
      <c r="C871" s="175" t="s">
        <v>1622</v>
      </c>
      <c r="D871" s="176" t="s">
        <v>1623</v>
      </c>
      <c r="E871" s="177" t="s">
        <v>1859</v>
      </c>
      <c r="F871" s="175">
        <f t="shared" si="39"/>
        <v>22</v>
      </c>
      <c r="G871" s="175" t="str">
        <f t="shared" si="40"/>
        <v>White River Junction</v>
      </c>
      <c r="H871" s="175" t="str">
        <f t="shared" si="41"/>
        <v>White River Junction, VT</v>
      </c>
      <c r="I871" s="178" t="s">
        <v>1340</v>
      </c>
      <c r="J871" s="27" t="s">
        <v>1623</v>
      </c>
      <c r="K871" s="27">
        <v>388</v>
      </c>
      <c r="L871" s="179">
        <v>7771</v>
      </c>
      <c r="M871" s="180" t="s">
        <v>1341</v>
      </c>
      <c r="N871" s="181" t="s">
        <v>1623</v>
      </c>
      <c r="O871" s="182" t="s">
        <v>1342</v>
      </c>
    </row>
    <row r="872" spans="1:15" ht="12">
      <c r="A872" s="148"/>
      <c r="B872" s="174" t="s">
        <v>1860</v>
      </c>
      <c r="C872" s="175" t="s">
        <v>442</v>
      </c>
      <c r="D872" s="176" t="s">
        <v>443</v>
      </c>
      <c r="E872" s="177" t="s">
        <v>711</v>
      </c>
      <c r="F872" s="175">
        <f t="shared" si="39"/>
        <v>10</v>
      </c>
      <c r="G872" s="175" t="str">
        <f t="shared" si="40"/>
        <v>Whittier</v>
      </c>
      <c r="H872" s="175" t="str">
        <f t="shared" si="41"/>
        <v>Whittier, CA</v>
      </c>
      <c r="I872" s="178" t="s">
        <v>471</v>
      </c>
      <c r="J872" s="27" t="s">
        <v>443</v>
      </c>
      <c r="K872" s="27">
        <v>1201</v>
      </c>
      <c r="L872" s="179">
        <v>1430</v>
      </c>
      <c r="M872" s="178" t="s">
        <v>446</v>
      </c>
      <c r="N872" s="27" t="s">
        <v>443</v>
      </c>
      <c r="O872" s="182" t="s">
        <v>447</v>
      </c>
    </row>
    <row r="873" spans="1:15" ht="12">
      <c r="A873" s="148"/>
      <c r="B873" s="174" t="s">
        <v>712</v>
      </c>
      <c r="C873" s="175" t="s">
        <v>263</v>
      </c>
      <c r="D873" s="176" t="s">
        <v>264</v>
      </c>
      <c r="E873" s="177" t="s">
        <v>713</v>
      </c>
      <c r="F873" s="175">
        <f t="shared" si="39"/>
        <v>15</v>
      </c>
      <c r="G873" s="175" t="str">
        <f t="shared" si="40"/>
        <v>Wichita Falls</v>
      </c>
      <c r="H873" s="175" t="str">
        <f t="shared" si="41"/>
        <v>Wichita Falls, TX</v>
      </c>
      <c r="I873" s="178" t="s">
        <v>2110</v>
      </c>
      <c r="J873" s="27" t="s">
        <v>264</v>
      </c>
      <c r="K873" s="27">
        <v>2340</v>
      </c>
      <c r="L873" s="179">
        <v>3042</v>
      </c>
      <c r="M873" s="180" t="s">
        <v>2111</v>
      </c>
      <c r="N873" s="181" t="s">
        <v>264</v>
      </c>
      <c r="O873" s="182" t="s">
        <v>2112</v>
      </c>
    </row>
    <row r="874" spans="1:15" ht="12">
      <c r="A874" s="148"/>
      <c r="B874" s="174" t="s">
        <v>714</v>
      </c>
      <c r="C874" s="175" t="s">
        <v>1506</v>
      </c>
      <c r="D874" s="176" t="s">
        <v>1507</v>
      </c>
      <c r="E874" s="177" t="s">
        <v>715</v>
      </c>
      <c r="F874" s="175">
        <f t="shared" si="39"/>
        <v>9</v>
      </c>
      <c r="G874" s="175" t="str">
        <f t="shared" si="40"/>
        <v>Wichita</v>
      </c>
      <c r="H874" s="175" t="str">
        <f t="shared" si="41"/>
        <v>Wichita, KS</v>
      </c>
      <c r="I874" s="178" t="s">
        <v>1053</v>
      </c>
      <c r="J874" s="27" t="s">
        <v>1507</v>
      </c>
      <c r="K874" s="27">
        <v>1628</v>
      </c>
      <c r="L874" s="179">
        <v>4791</v>
      </c>
      <c r="M874" s="180" t="s">
        <v>1727</v>
      </c>
      <c r="N874" s="181" t="s">
        <v>1507</v>
      </c>
      <c r="O874" s="182" t="s">
        <v>1728</v>
      </c>
    </row>
    <row r="875" spans="1:15" ht="12">
      <c r="A875" s="148"/>
      <c r="B875" s="174" t="s">
        <v>716</v>
      </c>
      <c r="C875" s="175" t="s">
        <v>1506</v>
      </c>
      <c r="D875" s="176" t="s">
        <v>1507</v>
      </c>
      <c r="E875" s="177" t="s">
        <v>715</v>
      </c>
      <c r="F875" s="175">
        <f t="shared" si="39"/>
        <v>9</v>
      </c>
      <c r="G875" s="175" t="str">
        <f t="shared" si="40"/>
        <v>Wichita</v>
      </c>
      <c r="H875" s="175" t="str">
        <f t="shared" si="41"/>
        <v>Wichita, KS</v>
      </c>
      <c r="I875" s="178" t="s">
        <v>1053</v>
      </c>
      <c r="J875" s="27" t="s">
        <v>1507</v>
      </c>
      <c r="K875" s="27">
        <v>1628</v>
      </c>
      <c r="L875" s="179">
        <v>4791</v>
      </c>
      <c r="M875" s="180" t="s">
        <v>1727</v>
      </c>
      <c r="N875" s="181" t="s">
        <v>1507</v>
      </c>
      <c r="O875" s="182" t="s">
        <v>1728</v>
      </c>
    </row>
    <row r="876" spans="1:15" ht="12">
      <c r="A876" s="148"/>
      <c r="B876" s="174" t="s">
        <v>717</v>
      </c>
      <c r="C876" s="175" t="s">
        <v>1506</v>
      </c>
      <c r="D876" s="176" t="s">
        <v>1507</v>
      </c>
      <c r="E876" s="177" t="s">
        <v>715</v>
      </c>
      <c r="F876" s="175">
        <f t="shared" si="39"/>
        <v>9</v>
      </c>
      <c r="G876" s="175" t="str">
        <f t="shared" si="40"/>
        <v>Wichita</v>
      </c>
      <c r="H876" s="175" t="str">
        <f t="shared" si="41"/>
        <v>Wichita, KS</v>
      </c>
      <c r="I876" s="178" t="s">
        <v>1053</v>
      </c>
      <c r="J876" s="27" t="s">
        <v>1507</v>
      </c>
      <c r="K876" s="27">
        <v>1628</v>
      </c>
      <c r="L876" s="179">
        <v>4791</v>
      </c>
      <c r="M876" s="180" t="s">
        <v>1727</v>
      </c>
      <c r="N876" s="181" t="s">
        <v>1507</v>
      </c>
      <c r="O876" s="182" t="s">
        <v>1728</v>
      </c>
    </row>
    <row r="877" spans="1:15" ht="12">
      <c r="A877" s="148"/>
      <c r="B877" s="174" t="s">
        <v>718</v>
      </c>
      <c r="C877" s="175" t="s">
        <v>449</v>
      </c>
      <c r="D877" s="176" t="s">
        <v>450</v>
      </c>
      <c r="E877" s="177" t="s">
        <v>719</v>
      </c>
      <c r="F877" s="175">
        <f t="shared" si="39"/>
        <v>14</v>
      </c>
      <c r="G877" s="175" t="str">
        <f t="shared" si="40"/>
        <v>Wilkes-Barre</v>
      </c>
      <c r="H877" s="175" t="str">
        <f t="shared" si="41"/>
        <v>Wilkes-Barre, PA</v>
      </c>
      <c r="I877" s="178" t="s">
        <v>773</v>
      </c>
      <c r="J877" s="27" t="s">
        <v>450</v>
      </c>
      <c r="K877" s="27">
        <v>539</v>
      </c>
      <c r="L877" s="179">
        <v>6291</v>
      </c>
      <c r="M877" s="180" t="s">
        <v>1438</v>
      </c>
      <c r="N877" s="181" t="s">
        <v>450</v>
      </c>
      <c r="O877" s="182" t="s">
        <v>1439</v>
      </c>
    </row>
    <row r="878" spans="1:15" ht="12">
      <c r="A878" s="148"/>
      <c r="B878" s="174" t="s">
        <v>720</v>
      </c>
      <c r="C878" s="175" t="s">
        <v>449</v>
      </c>
      <c r="D878" s="176" t="s">
        <v>450</v>
      </c>
      <c r="E878" s="177" t="s">
        <v>719</v>
      </c>
      <c r="F878" s="175">
        <f t="shared" si="39"/>
        <v>14</v>
      </c>
      <c r="G878" s="175" t="str">
        <f t="shared" si="40"/>
        <v>Wilkes-Barre</v>
      </c>
      <c r="H878" s="175" t="str">
        <f t="shared" si="41"/>
        <v>Wilkes-Barre, PA</v>
      </c>
      <c r="I878" s="178" t="s">
        <v>773</v>
      </c>
      <c r="J878" s="27" t="s">
        <v>450</v>
      </c>
      <c r="K878" s="27">
        <v>539</v>
      </c>
      <c r="L878" s="179">
        <v>6291</v>
      </c>
      <c r="M878" s="180" t="s">
        <v>1438</v>
      </c>
      <c r="N878" s="181" t="s">
        <v>450</v>
      </c>
      <c r="O878" s="182" t="s">
        <v>1439</v>
      </c>
    </row>
    <row r="879" spans="1:15" ht="12">
      <c r="A879" s="148"/>
      <c r="B879" s="174" t="s">
        <v>721</v>
      </c>
      <c r="C879" s="175" t="s">
        <v>449</v>
      </c>
      <c r="D879" s="176" t="s">
        <v>450</v>
      </c>
      <c r="E879" s="177" t="s">
        <v>722</v>
      </c>
      <c r="F879" s="175">
        <f t="shared" si="39"/>
        <v>14</v>
      </c>
      <c r="G879" s="175" t="str">
        <f t="shared" si="40"/>
        <v>Williamsport</v>
      </c>
      <c r="H879" s="175" t="str">
        <f t="shared" si="41"/>
        <v>Williamsport, PA</v>
      </c>
      <c r="I879" s="178" t="s">
        <v>1743</v>
      </c>
      <c r="J879" s="27" t="s">
        <v>450</v>
      </c>
      <c r="K879" s="27">
        <v>622</v>
      </c>
      <c r="L879" s="179">
        <v>6087</v>
      </c>
      <c r="M879" s="180" t="s">
        <v>2327</v>
      </c>
      <c r="N879" s="181" t="s">
        <v>450</v>
      </c>
      <c r="O879" s="182" t="s">
        <v>2328</v>
      </c>
    </row>
    <row r="880" spans="1:15" ht="12">
      <c r="A880" s="148"/>
      <c r="B880" s="186" t="s">
        <v>723</v>
      </c>
      <c r="C880" s="175" t="s">
        <v>689</v>
      </c>
      <c r="D880" s="176" t="s">
        <v>690</v>
      </c>
      <c r="E880" s="177" t="s">
        <v>724</v>
      </c>
      <c r="F880" s="175">
        <f t="shared" si="39"/>
        <v>13</v>
      </c>
      <c r="G880" s="175" t="str">
        <f t="shared" si="40"/>
        <v>Willimantic</v>
      </c>
      <c r="H880" s="175" t="str">
        <f t="shared" si="41"/>
        <v>Willimantic, CT</v>
      </c>
      <c r="I880" s="178" t="s">
        <v>649</v>
      </c>
      <c r="J880" s="27" t="s">
        <v>2300</v>
      </c>
      <c r="K880" s="27">
        <v>333</v>
      </c>
      <c r="L880" s="179">
        <v>6979</v>
      </c>
      <c r="M880" s="178" t="s">
        <v>753</v>
      </c>
      <c r="N880" s="27" t="s">
        <v>690</v>
      </c>
      <c r="O880" s="182" t="s">
        <v>754</v>
      </c>
    </row>
    <row r="881" spans="1:15" ht="12">
      <c r="A881" s="148"/>
      <c r="B881" s="174" t="s">
        <v>725</v>
      </c>
      <c r="C881" s="175" t="s">
        <v>1445</v>
      </c>
      <c r="D881" s="176" t="s">
        <v>260</v>
      </c>
      <c r="E881" s="177" t="s">
        <v>726</v>
      </c>
      <c r="F881" s="175">
        <f t="shared" si="39"/>
        <v>11</v>
      </c>
      <c r="G881" s="175" t="str">
        <f t="shared" si="40"/>
        <v>Williston</v>
      </c>
      <c r="H881" s="175" t="str">
        <f t="shared" si="41"/>
        <v>Williston, ND</v>
      </c>
      <c r="I881" s="178" t="s">
        <v>186</v>
      </c>
      <c r="J881" s="27" t="s">
        <v>260</v>
      </c>
      <c r="K881" s="27">
        <v>548</v>
      </c>
      <c r="L881" s="179">
        <v>9090</v>
      </c>
      <c r="M881" s="180" t="s">
        <v>1644</v>
      </c>
      <c r="N881" s="181" t="s">
        <v>260</v>
      </c>
      <c r="O881" s="182" t="s">
        <v>1645</v>
      </c>
    </row>
    <row r="882" spans="1:15" ht="12">
      <c r="A882" s="148"/>
      <c r="B882" s="174" t="s">
        <v>727</v>
      </c>
      <c r="C882" s="175" t="s">
        <v>1626</v>
      </c>
      <c r="D882" s="176" t="s">
        <v>1627</v>
      </c>
      <c r="E882" s="177" t="s">
        <v>728</v>
      </c>
      <c r="F882" s="175">
        <f t="shared" si="39"/>
        <v>9</v>
      </c>
      <c r="G882" s="175" t="str">
        <f t="shared" si="40"/>
        <v>Willmar</v>
      </c>
      <c r="H882" s="175" t="str">
        <f t="shared" si="41"/>
        <v>Willmar, MN</v>
      </c>
      <c r="I882" s="178" t="s">
        <v>729</v>
      </c>
      <c r="J882" s="27" t="s">
        <v>256</v>
      </c>
      <c r="K882" s="27">
        <v>743</v>
      </c>
      <c r="L882" s="179">
        <v>7923</v>
      </c>
      <c r="M882" s="178" t="s">
        <v>684</v>
      </c>
      <c r="N882" s="27" t="s">
        <v>1627</v>
      </c>
      <c r="O882" s="182" t="s">
        <v>685</v>
      </c>
    </row>
    <row r="883" spans="1:15" ht="12">
      <c r="A883" s="148"/>
      <c r="B883" s="174" t="s">
        <v>730</v>
      </c>
      <c r="C883" s="175" t="s">
        <v>1735</v>
      </c>
      <c r="D883" s="176" t="s">
        <v>1736</v>
      </c>
      <c r="E883" s="177" t="s">
        <v>731</v>
      </c>
      <c r="F883" s="175">
        <f t="shared" si="39"/>
        <v>12</v>
      </c>
      <c r="G883" s="175" t="str">
        <f t="shared" si="40"/>
        <v>Wilmington</v>
      </c>
      <c r="H883" s="175" t="str">
        <f t="shared" si="41"/>
        <v>Wilmington, DE</v>
      </c>
      <c r="I883" s="178" t="s">
        <v>1039</v>
      </c>
      <c r="J883" s="27" t="s">
        <v>1736</v>
      </c>
      <c r="K883" s="27">
        <v>1046</v>
      </c>
      <c r="L883" s="179">
        <v>4937</v>
      </c>
      <c r="M883" s="180" t="s">
        <v>1040</v>
      </c>
      <c r="N883" s="181" t="s">
        <v>1736</v>
      </c>
      <c r="O883" s="182" t="s">
        <v>1041</v>
      </c>
    </row>
    <row r="884" spans="1:15" ht="12">
      <c r="A884" s="148"/>
      <c r="B884" s="174" t="s">
        <v>732</v>
      </c>
      <c r="C884" s="175" t="s">
        <v>1735</v>
      </c>
      <c r="D884" s="176" t="s">
        <v>1736</v>
      </c>
      <c r="E884" s="177" t="s">
        <v>731</v>
      </c>
      <c r="F884" s="175">
        <f t="shared" si="39"/>
        <v>12</v>
      </c>
      <c r="G884" s="175" t="str">
        <f t="shared" si="40"/>
        <v>Wilmington</v>
      </c>
      <c r="H884" s="175" t="str">
        <f t="shared" si="41"/>
        <v>Wilmington, DE</v>
      </c>
      <c r="I884" s="178" t="s">
        <v>1039</v>
      </c>
      <c r="J884" s="27" t="s">
        <v>1736</v>
      </c>
      <c r="K884" s="27">
        <v>1046</v>
      </c>
      <c r="L884" s="179">
        <v>4937</v>
      </c>
      <c r="M884" s="180" t="s">
        <v>1040</v>
      </c>
      <c r="N884" s="181" t="s">
        <v>1736</v>
      </c>
      <c r="O884" s="182" t="s">
        <v>1041</v>
      </c>
    </row>
    <row r="885" spans="1:15" ht="12">
      <c r="A885" s="148"/>
      <c r="B885" s="174" t="s">
        <v>733</v>
      </c>
      <c r="C885" s="175" t="s">
        <v>481</v>
      </c>
      <c r="D885" s="176" t="s">
        <v>482</v>
      </c>
      <c r="E885" s="177" t="s">
        <v>731</v>
      </c>
      <c r="F885" s="175">
        <f t="shared" si="39"/>
        <v>12</v>
      </c>
      <c r="G885" s="175" t="str">
        <f t="shared" si="40"/>
        <v>Wilmington</v>
      </c>
      <c r="H885" s="175" t="str">
        <f t="shared" si="41"/>
        <v>Wilmington, NC</v>
      </c>
      <c r="I885" s="178" t="s">
        <v>1944</v>
      </c>
      <c r="J885" s="27" t="s">
        <v>482</v>
      </c>
      <c r="K885" s="27">
        <v>1926</v>
      </c>
      <c r="L885" s="179">
        <v>2470</v>
      </c>
      <c r="M885" s="180" t="s">
        <v>2343</v>
      </c>
      <c r="N885" s="181" t="s">
        <v>482</v>
      </c>
      <c r="O885" s="182" t="s">
        <v>2344</v>
      </c>
    </row>
    <row r="886" spans="1:15" ht="12">
      <c r="A886" s="148"/>
      <c r="B886" s="174" t="s">
        <v>734</v>
      </c>
      <c r="C886" s="175" t="s">
        <v>434</v>
      </c>
      <c r="D886" s="176" t="s">
        <v>435</v>
      </c>
      <c r="E886" s="177" t="s">
        <v>735</v>
      </c>
      <c r="F886" s="175">
        <f t="shared" si="39"/>
        <v>12</v>
      </c>
      <c r="G886" s="175" t="str">
        <f t="shared" si="40"/>
        <v>Winchester</v>
      </c>
      <c r="H886" s="175" t="str">
        <f t="shared" si="41"/>
        <v>Winchester, VA</v>
      </c>
      <c r="I886" s="178" t="s">
        <v>1676</v>
      </c>
      <c r="J886" s="27" t="s">
        <v>437</v>
      </c>
      <c r="K886" s="27">
        <v>973</v>
      </c>
      <c r="L886" s="179">
        <v>5006</v>
      </c>
      <c r="M886" s="180" t="s">
        <v>438</v>
      </c>
      <c r="N886" s="181" t="s">
        <v>439</v>
      </c>
      <c r="O886" s="182" t="s">
        <v>440</v>
      </c>
    </row>
    <row r="887" spans="1:15" ht="12">
      <c r="A887" s="148"/>
      <c r="B887" s="174" t="s">
        <v>736</v>
      </c>
      <c r="C887" s="175" t="s">
        <v>1626</v>
      </c>
      <c r="D887" s="176" t="s">
        <v>1627</v>
      </c>
      <c r="E887" s="177" t="s">
        <v>737</v>
      </c>
      <c r="F887" s="175">
        <f t="shared" si="39"/>
        <v>8</v>
      </c>
      <c r="G887" s="175" t="str">
        <f t="shared" si="40"/>
        <v>Windom</v>
      </c>
      <c r="H887" s="175" t="str">
        <f t="shared" si="41"/>
        <v>Windom, MN</v>
      </c>
      <c r="I887" s="178" t="s">
        <v>1290</v>
      </c>
      <c r="J887" s="27" t="s">
        <v>256</v>
      </c>
      <c r="K887" s="27">
        <v>744</v>
      </c>
      <c r="L887" s="179">
        <v>7809</v>
      </c>
      <c r="M887" s="180" t="s">
        <v>1291</v>
      </c>
      <c r="N887" s="181" t="s">
        <v>256</v>
      </c>
      <c r="O887" s="182" t="s">
        <v>1292</v>
      </c>
    </row>
    <row r="888" spans="1:15" ht="12">
      <c r="A888" s="148"/>
      <c r="B888" s="174" t="s">
        <v>738</v>
      </c>
      <c r="C888" s="175" t="s">
        <v>1311</v>
      </c>
      <c r="D888" s="176" t="s">
        <v>1312</v>
      </c>
      <c r="E888" s="177" t="s">
        <v>739</v>
      </c>
      <c r="F888" s="175">
        <f t="shared" si="39"/>
        <v>13</v>
      </c>
      <c r="G888" s="175" t="str">
        <f t="shared" si="40"/>
        <v>Window Rock</v>
      </c>
      <c r="H888" s="175" t="str">
        <f t="shared" si="41"/>
        <v>Window Rock, AZ</v>
      </c>
      <c r="I888" s="178" t="s">
        <v>1930</v>
      </c>
      <c r="J888" s="27" t="s">
        <v>1312</v>
      </c>
      <c r="K888" s="27">
        <v>145</v>
      </c>
      <c r="L888" s="179">
        <v>7131</v>
      </c>
      <c r="M888" s="178" t="s">
        <v>1931</v>
      </c>
      <c r="N888" s="27" t="s">
        <v>1312</v>
      </c>
      <c r="O888" s="182" t="s">
        <v>1932</v>
      </c>
    </row>
    <row r="889" spans="1:15" ht="12">
      <c r="A889" s="148"/>
      <c r="B889" s="174" t="s">
        <v>740</v>
      </c>
      <c r="C889" s="175" t="s">
        <v>481</v>
      </c>
      <c r="D889" s="176" t="s">
        <v>482</v>
      </c>
      <c r="E889" s="177" t="s">
        <v>741</v>
      </c>
      <c r="F889" s="175">
        <f t="shared" si="39"/>
        <v>15</v>
      </c>
      <c r="G889" s="175" t="str">
        <f t="shared" si="40"/>
        <v>Winston-Salem</v>
      </c>
      <c r="H889" s="175" t="str">
        <f t="shared" si="41"/>
        <v>Winston-Salem, NC</v>
      </c>
      <c r="I889" s="178" t="s">
        <v>2065</v>
      </c>
      <c r="J889" s="27" t="s">
        <v>482</v>
      </c>
      <c r="K889" s="27">
        <v>1253</v>
      </c>
      <c r="L889" s="179">
        <v>3865</v>
      </c>
      <c r="M889" s="180" t="s">
        <v>2066</v>
      </c>
      <c r="N889" s="181" t="s">
        <v>482</v>
      </c>
      <c r="O889" s="182" t="s">
        <v>2067</v>
      </c>
    </row>
    <row r="890" spans="1:15" ht="12">
      <c r="A890" s="148"/>
      <c r="B890" s="174" t="s">
        <v>742</v>
      </c>
      <c r="C890" s="175" t="s">
        <v>481</v>
      </c>
      <c r="D890" s="176" t="s">
        <v>482</v>
      </c>
      <c r="E890" s="177" t="s">
        <v>741</v>
      </c>
      <c r="F890" s="175">
        <f t="shared" si="39"/>
        <v>15</v>
      </c>
      <c r="G890" s="175" t="str">
        <f t="shared" si="40"/>
        <v>Winston-Salem</v>
      </c>
      <c r="H890" s="175" t="str">
        <f t="shared" si="41"/>
        <v>Winston-Salem, NC</v>
      </c>
      <c r="I890" s="178" t="s">
        <v>2065</v>
      </c>
      <c r="J890" s="27" t="s">
        <v>482</v>
      </c>
      <c r="K890" s="27">
        <v>1253</v>
      </c>
      <c r="L890" s="179">
        <v>3865</v>
      </c>
      <c r="M890" s="180" t="s">
        <v>2066</v>
      </c>
      <c r="N890" s="181" t="s">
        <v>482</v>
      </c>
      <c r="O890" s="182" t="s">
        <v>2067</v>
      </c>
    </row>
    <row r="891" spans="1:15" ht="12">
      <c r="A891" s="148"/>
      <c r="B891" s="186" t="s">
        <v>743</v>
      </c>
      <c r="C891" s="175" t="s">
        <v>2299</v>
      </c>
      <c r="D891" s="176" t="s">
        <v>2300</v>
      </c>
      <c r="E891" s="177" t="s">
        <v>744</v>
      </c>
      <c r="F891" s="175">
        <f t="shared" si="39"/>
        <v>8</v>
      </c>
      <c r="G891" s="175" t="str">
        <f t="shared" si="40"/>
        <v>Woburn</v>
      </c>
      <c r="H891" s="175" t="str">
        <f t="shared" si="41"/>
        <v>Woburn, MA</v>
      </c>
      <c r="I891" s="178" t="s">
        <v>649</v>
      </c>
      <c r="J891" s="27" t="s">
        <v>2300</v>
      </c>
      <c r="K891" s="27">
        <v>333</v>
      </c>
      <c r="L891" s="179">
        <v>6979</v>
      </c>
      <c r="M891" s="180" t="s">
        <v>650</v>
      </c>
      <c r="N891" s="181" t="s">
        <v>2300</v>
      </c>
      <c r="O891" s="182" t="s">
        <v>651</v>
      </c>
    </row>
    <row r="892" spans="1:15" ht="12">
      <c r="A892" s="148"/>
      <c r="B892" s="174" t="s">
        <v>745</v>
      </c>
      <c r="C892" s="175" t="s">
        <v>1426</v>
      </c>
      <c r="D892" s="176" t="s">
        <v>1427</v>
      </c>
      <c r="E892" s="177" t="s">
        <v>746</v>
      </c>
      <c r="F892" s="175">
        <f t="shared" si="39"/>
        <v>12</v>
      </c>
      <c r="G892" s="175" t="str">
        <f t="shared" si="40"/>
        <v>Wolf Point</v>
      </c>
      <c r="H892" s="175" t="str">
        <f t="shared" si="41"/>
        <v>Wolf Point, MT</v>
      </c>
      <c r="I892" s="178" t="s">
        <v>170</v>
      </c>
      <c r="J892" s="27" t="s">
        <v>1427</v>
      </c>
      <c r="K892" s="27">
        <v>558</v>
      </c>
      <c r="L892" s="179">
        <v>8745</v>
      </c>
      <c r="M892" s="180" t="s">
        <v>2048</v>
      </c>
      <c r="N892" s="181" t="s">
        <v>1427</v>
      </c>
      <c r="O892" s="182" t="s">
        <v>2049</v>
      </c>
    </row>
    <row r="893" spans="1:15" ht="12">
      <c r="A893" s="148"/>
      <c r="B893" s="174" t="s">
        <v>747</v>
      </c>
      <c r="C893" s="175" t="s">
        <v>509</v>
      </c>
      <c r="D893" s="176" t="s">
        <v>510</v>
      </c>
      <c r="E893" s="177" t="s">
        <v>748</v>
      </c>
      <c r="F893" s="175">
        <f t="shared" si="39"/>
        <v>10</v>
      </c>
      <c r="G893" s="175" t="str">
        <f t="shared" si="40"/>
        <v>Woodward</v>
      </c>
      <c r="H893" s="175" t="str">
        <f t="shared" si="41"/>
        <v>Woodward, OK</v>
      </c>
      <c r="I893" s="178" t="s">
        <v>279</v>
      </c>
      <c r="J893" s="27" t="s">
        <v>264</v>
      </c>
      <c r="K893" s="27">
        <v>1354</v>
      </c>
      <c r="L893" s="179">
        <v>4258</v>
      </c>
      <c r="M893" s="180" t="s">
        <v>280</v>
      </c>
      <c r="N893" s="181" t="s">
        <v>264</v>
      </c>
      <c r="O893" s="182" t="s">
        <v>281</v>
      </c>
    </row>
    <row r="894" spans="1:15" ht="12">
      <c r="A894" s="148"/>
      <c r="B894" s="186" t="s">
        <v>749</v>
      </c>
      <c r="C894" s="175" t="s">
        <v>2299</v>
      </c>
      <c r="D894" s="176" t="s">
        <v>2300</v>
      </c>
      <c r="E894" s="177" t="s">
        <v>750</v>
      </c>
      <c r="F894" s="175">
        <f t="shared" si="39"/>
        <v>11</v>
      </c>
      <c r="G894" s="175" t="str">
        <f t="shared" si="40"/>
        <v>Worcester</v>
      </c>
      <c r="H894" s="175" t="str">
        <f t="shared" si="41"/>
        <v>Worcester, MA</v>
      </c>
      <c r="I894" s="178" t="s">
        <v>649</v>
      </c>
      <c r="J894" s="27" t="s">
        <v>2300</v>
      </c>
      <c r="K894" s="27">
        <v>333</v>
      </c>
      <c r="L894" s="179">
        <v>6979</v>
      </c>
      <c r="M894" s="180" t="s">
        <v>650</v>
      </c>
      <c r="N894" s="181" t="s">
        <v>2300</v>
      </c>
      <c r="O894" s="182" t="s">
        <v>651</v>
      </c>
    </row>
    <row r="895" spans="1:15" ht="12">
      <c r="A895" s="148"/>
      <c r="B895" s="186" t="s">
        <v>751</v>
      </c>
      <c r="C895" s="175" t="s">
        <v>2299</v>
      </c>
      <c r="D895" s="176" t="s">
        <v>2300</v>
      </c>
      <c r="E895" s="177" t="s">
        <v>750</v>
      </c>
      <c r="F895" s="175">
        <f t="shared" si="39"/>
        <v>11</v>
      </c>
      <c r="G895" s="175" t="str">
        <f t="shared" si="40"/>
        <v>Worcester</v>
      </c>
      <c r="H895" s="175" t="str">
        <f t="shared" si="41"/>
        <v>Worcester, MA</v>
      </c>
      <c r="I895" s="178" t="s">
        <v>649</v>
      </c>
      <c r="J895" s="27" t="s">
        <v>2300</v>
      </c>
      <c r="K895" s="27">
        <v>333</v>
      </c>
      <c r="L895" s="179">
        <v>6979</v>
      </c>
      <c r="M895" s="180" t="s">
        <v>650</v>
      </c>
      <c r="N895" s="181" t="s">
        <v>2300</v>
      </c>
      <c r="O895" s="182" t="s">
        <v>651</v>
      </c>
    </row>
    <row r="896" spans="1:15" ht="12">
      <c r="A896" s="148"/>
      <c r="B896" s="186" t="s">
        <v>752</v>
      </c>
      <c r="C896" s="175" t="s">
        <v>2299</v>
      </c>
      <c r="D896" s="176" t="s">
        <v>2300</v>
      </c>
      <c r="E896" s="177" t="s">
        <v>750</v>
      </c>
      <c r="F896" s="175">
        <f t="shared" si="39"/>
        <v>11</v>
      </c>
      <c r="G896" s="175" t="str">
        <f t="shared" si="40"/>
        <v>Worcester</v>
      </c>
      <c r="H896" s="175" t="str">
        <f t="shared" si="41"/>
        <v>Worcester, MA</v>
      </c>
      <c r="I896" s="178" t="s">
        <v>649</v>
      </c>
      <c r="J896" s="27" t="s">
        <v>2300</v>
      </c>
      <c r="K896" s="27">
        <v>333</v>
      </c>
      <c r="L896" s="179">
        <v>6979</v>
      </c>
      <c r="M896" s="180" t="s">
        <v>650</v>
      </c>
      <c r="N896" s="181" t="s">
        <v>2300</v>
      </c>
      <c r="O896" s="182" t="s">
        <v>651</v>
      </c>
    </row>
    <row r="897" spans="1:15" ht="12">
      <c r="A897" s="148"/>
      <c r="B897" s="174" t="s">
        <v>1861</v>
      </c>
      <c r="C897" s="175" t="s">
        <v>1413</v>
      </c>
      <c r="D897" s="176" t="s">
        <v>1414</v>
      </c>
      <c r="E897" s="177" t="s">
        <v>1862</v>
      </c>
      <c r="F897" s="175">
        <f t="shared" si="39"/>
        <v>9</v>
      </c>
      <c r="G897" s="175" t="str">
        <f t="shared" si="40"/>
        <v>Worland</v>
      </c>
      <c r="H897" s="175" t="str">
        <f t="shared" si="41"/>
        <v>Worland, WY</v>
      </c>
      <c r="I897" s="178" t="s">
        <v>112</v>
      </c>
      <c r="J897" s="27" t="s">
        <v>1414</v>
      </c>
      <c r="K897" s="27">
        <v>479</v>
      </c>
      <c r="L897" s="179">
        <v>7889</v>
      </c>
      <c r="M897" s="180" t="s">
        <v>1417</v>
      </c>
      <c r="N897" s="181" t="s">
        <v>1414</v>
      </c>
      <c r="O897" s="182" t="s">
        <v>2315</v>
      </c>
    </row>
    <row r="898" spans="1:15" ht="12">
      <c r="A898" s="148"/>
      <c r="B898" s="174" t="s">
        <v>1863</v>
      </c>
      <c r="C898" s="175" t="s">
        <v>593</v>
      </c>
      <c r="D898" s="176" t="s">
        <v>1638</v>
      </c>
      <c r="E898" s="177" t="s">
        <v>1864</v>
      </c>
      <c r="F898" s="175">
        <f t="shared" si="39"/>
        <v>8</v>
      </c>
      <c r="G898" s="175" t="str">
        <f t="shared" si="40"/>
        <v>Yakima</v>
      </c>
      <c r="H898" s="175" t="str">
        <f t="shared" si="41"/>
        <v>Yakima, WA</v>
      </c>
      <c r="I898" s="178" t="s">
        <v>1841</v>
      </c>
      <c r="J898" s="27" t="s">
        <v>1638</v>
      </c>
      <c r="K898" s="27">
        <v>458</v>
      </c>
      <c r="L898" s="179">
        <v>5967</v>
      </c>
      <c r="M898" s="180" t="s">
        <v>1637</v>
      </c>
      <c r="N898" s="181" t="s">
        <v>1638</v>
      </c>
      <c r="O898" s="182" t="s">
        <v>1639</v>
      </c>
    </row>
    <row r="899" spans="1:15" ht="12">
      <c r="A899" s="148"/>
      <c r="B899" s="174" t="s">
        <v>1865</v>
      </c>
      <c r="C899" s="175" t="s">
        <v>1413</v>
      </c>
      <c r="D899" s="176" t="s">
        <v>1414</v>
      </c>
      <c r="E899" s="177" t="s">
        <v>1866</v>
      </c>
      <c r="F899" s="175">
        <f t="shared" si="39"/>
        <v>20</v>
      </c>
      <c r="G899" s="175" t="str">
        <f t="shared" si="40"/>
        <v>Yellowstone Nat Pk</v>
      </c>
      <c r="H899" s="175" t="str">
        <f t="shared" si="41"/>
        <v>Yellowstone Nat Pk, WY</v>
      </c>
      <c r="I899" s="178" t="s">
        <v>776</v>
      </c>
      <c r="J899" s="27" t="s">
        <v>1427</v>
      </c>
      <c r="K899" s="27">
        <v>386</v>
      </c>
      <c r="L899" s="179">
        <v>8031</v>
      </c>
      <c r="M899" s="180" t="s">
        <v>1356</v>
      </c>
      <c r="N899" s="181" t="s">
        <v>1427</v>
      </c>
      <c r="O899" s="182" t="s">
        <v>1357</v>
      </c>
    </row>
    <row r="900" spans="1:15" ht="12">
      <c r="A900" s="148"/>
      <c r="B900" s="174" t="s">
        <v>1867</v>
      </c>
      <c r="C900" s="175" t="s">
        <v>416</v>
      </c>
      <c r="D900" s="176" t="s">
        <v>417</v>
      </c>
      <c r="E900" s="177" t="s">
        <v>1868</v>
      </c>
      <c r="F900" s="175">
        <f t="shared" si="39"/>
        <v>9</v>
      </c>
      <c r="G900" s="175" t="str">
        <f t="shared" si="40"/>
        <v>Yonkers</v>
      </c>
      <c r="H900" s="175" t="str">
        <f t="shared" si="41"/>
        <v>Yonkers, NY</v>
      </c>
      <c r="I900" s="178" t="s">
        <v>2276</v>
      </c>
      <c r="J900" s="27" t="s">
        <v>417</v>
      </c>
      <c r="K900" s="27">
        <v>1052</v>
      </c>
      <c r="L900" s="179">
        <v>4910</v>
      </c>
      <c r="M900" s="180" t="s">
        <v>2277</v>
      </c>
      <c r="N900" s="181" t="s">
        <v>417</v>
      </c>
      <c r="O900" s="182" t="s">
        <v>1298</v>
      </c>
    </row>
    <row r="901" spans="1:15" ht="12">
      <c r="A901" s="148"/>
      <c r="B901" s="174" t="s">
        <v>1869</v>
      </c>
      <c r="C901" s="175" t="s">
        <v>449</v>
      </c>
      <c r="D901" s="176" t="s">
        <v>450</v>
      </c>
      <c r="E901" s="177" t="s">
        <v>1870</v>
      </c>
      <c r="F901" s="175">
        <f t="shared" si="39"/>
        <v>6</v>
      </c>
      <c r="G901" s="175" t="str">
        <f t="shared" si="40"/>
        <v>York</v>
      </c>
      <c r="H901" s="175" t="str">
        <f t="shared" si="41"/>
        <v>York, PA</v>
      </c>
      <c r="I901" s="178" t="s">
        <v>2326</v>
      </c>
      <c r="J901" s="27" t="s">
        <v>450</v>
      </c>
      <c r="K901" s="27">
        <v>962</v>
      </c>
      <c r="L901" s="179">
        <v>5347</v>
      </c>
      <c r="M901" s="180" t="s">
        <v>2327</v>
      </c>
      <c r="N901" s="181" t="s">
        <v>450</v>
      </c>
      <c r="O901" s="182" t="s">
        <v>2328</v>
      </c>
    </row>
    <row r="902" spans="1:15" ht="12">
      <c r="A902" s="148"/>
      <c r="B902" s="174" t="s">
        <v>1871</v>
      </c>
      <c r="C902" s="175" t="s">
        <v>449</v>
      </c>
      <c r="D902" s="176" t="s">
        <v>450</v>
      </c>
      <c r="E902" s="177" t="s">
        <v>1870</v>
      </c>
      <c r="F902" s="175">
        <f>LEN(E902)</f>
        <v>6</v>
      </c>
      <c r="G902" s="175" t="str">
        <f>MID(E902,2,F902-2)</f>
        <v>York</v>
      </c>
      <c r="H902" s="175" t="str">
        <f>CONCATENATE(G902,", ",+D902)</f>
        <v>York, PA</v>
      </c>
      <c r="I902" s="178" t="s">
        <v>2326</v>
      </c>
      <c r="J902" s="27" t="s">
        <v>450</v>
      </c>
      <c r="K902" s="27">
        <v>962</v>
      </c>
      <c r="L902" s="179">
        <v>5347</v>
      </c>
      <c r="M902" s="180" t="s">
        <v>2327</v>
      </c>
      <c r="N902" s="181" t="s">
        <v>450</v>
      </c>
      <c r="O902" s="182" t="s">
        <v>2328</v>
      </c>
    </row>
    <row r="903" spans="1:15" ht="12">
      <c r="A903" s="148"/>
      <c r="B903" s="174" t="s">
        <v>1872</v>
      </c>
      <c r="C903" s="175" t="s">
        <v>394</v>
      </c>
      <c r="D903" s="176" t="s">
        <v>395</v>
      </c>
      <c r="E903" s="177" t="s">
        <v>1873</v>
      </c>
      <c r="F903" s="175">
        <f>LEN(E903)</f>
        <v>12</v>
      </c>
      <c r="G903" s="175" t="str">
        <f>MID(E903,2,F903-2)</f>
        <v>Youngstown</v>
      </c>
      <c r="H903" s="175" t="str">
        <f>CONCATENATE(G903,", ",+D903)</f>
        <v>Youngstown, OH</v>
      </c>
      <c r="I903" s="178" t="s">
        <v>1350</v>
      </c>
      <c r="J903" s="27" t="s">
        <v>395</v>
      </c>
      <c r="K903" s="27">
        <v>497</v>
      </c>
      <c r="L903" s="179">
        <v>6544</v>
      </c>
      <c r="M903" s="180" t="s">
        <v>1351</v>
      </c>
      <c r="N903" s="181" t="s">
        <v>395</v>
      </c>
      <c r="O903" s="182" t="s">
        <v>1352</v>
      </c>
    </row>
    <row r="904" spans="1:15" ht="12">
      <c r="A904" s="148"/>
      <c r="B904" s="174" t="s">
        <v>1874</v>
      </c>
      <c r="C904" s="175" t="s">
        <v>394</v>
      </c>
      <c r="D904" s="176" t="s">
        <v>395</v>
      </c>
      <c r="E904" s="177" t="s">
        <v>1873</v>
      </c>
      <c r="F904" s="175">
        <f>LEN(E904)</f>
        <v>12</v>
      </c>
      <c r="G904" s="175" t="str">
        <f>MID(E904,2,F904-2)</f>
        <v>Youngstown</v>
      </c>
      <c r="H904" s="175" t="str">
        <f>CONCATENATE(G904,", ",+D904)</f>
        <v>Youngstown, OH</v>
      </c>
      <c r="I904" s="178" t="s">
        <v>1350</v>
      </c>
      <c r="J904" s="27" t="s">
        <v>395</v>
      </c>
      <c r="K904" s="27">
        <v>497</v>
      </c>
      <c r="L904" s="179">
        <v>6544</v>
      </c>
      <c r="M904" s="180" t="s">
        <v>1351</v>
      </c>
      <c r="N904" s="181" t="s">
        <v>395</v>
      </c>
      <c r="O904" s="182" t="s">
        <v>1352</v>
      </c>
    </row>
    <row r="905" spans="1:15" ht="12">
      <c r="A905" s="148"/>
      <c r="B905" s="174" t="s">
        <v>1875</v>
      </c>
      <c r="C905" s="175" t="s">
        <v>394</v>
      </c>
      <c r="D905" s="176" t="s">
        <v>395</v>
      </c>
      <c r="E905" s="177" t="s">
        <v>1876</v>
      </c>
      <c r="F905" s="175">
        <f>LEN(E905)</f>
        <v>12</v>
      </c>
      <c r="G905" s="175" t="str">
        <f>MID(E905,2,F905-2)</f>
        <v>Zanesville</v>
      </c>
      <c r="H905" s="175" t="str">
        <f>CONCATENATE(G905,", ",+D905)</f>
        <v>Zanesville, OH</v>
      </c>
      <c r="I905" s="178" t="s">
        <v>464</v>
      </c>
      <c r="J905" s="27" t="s">
        <v>450</v>
      </c>
      <c r="K905" s="27">
        <v>654</v>
      </c>
      <c r="L905" s="179">
        <v>5968</v>
      </c>
      <c r="M905" s="180" t="s">
        <v>465</v>
      </c>
      <c r="N905" s="181" t="s">
        <v>450</v>
      </c>
      <c r="O905" s="182" t="s">
        <v>466</v>
      </c>
    </row>
    <row r="906" spans="1:15" ht="12">
      <c r="A906" s="148"/>
      <c r="B906" s="174" t="s">
        <v>1877</v>
      </c>
      <c r="C906" s="175" t="s">
        <v>394</v>
      </c>
      <c r="D906" s="176" t="s">
        <v>395</v>
      </c>
      <c r="E906" s="177" t="s">
        <v>1876</v>
      </c>
      <c r="F906" s="175">
        <f>LEN(E906)</f>
        <v>12</v>
      </c>
      <c r="G906" s="175" t="str">
        <f>MID(E906,2,F906-2)</f>
        <v>Zanesville</v>
      </c>
      <c r="H906" s="175" t="str">
        <f>CONCATENATE(G906,", ",+D906)</f>
        <v>Zanesville, OH</v>
      </c>
      <c r="I906" s="178" t="s">
        <v>1539</v>
      </c>
      <c r="J906" s="27" t="s">
        <v>395</v>
      </c>
      <c r="K906" s="27">
        <v>797</v>
      </c>
      <c r="L906" s="179">
        <v>5708</v>
      </c>
      <c r="M906" s="180" t="s">
        <v>413</v>
      </c>
      <c r="N906" s="181" t="s">
        <v>395</v>
      </c>
      <c r="O906" s="182" t="s">
        <v>1540</v>
      </c>
    </row>
    <row r="907" spans="1:15" ht="12">
      <c r="A907" s="148"/>
      <c r="B907" s="189"/>
      <c r="C907" s="190"/>
      <c r="D907" s="181"/>
      <c r="E907" s="191"/>
      <c r="F907" s="190"/>
      <c r="G907" s="190"/>
      <c r="H907" s="190"/>
      <c r="I907" s="192"/>
      <c r="J907" s="190"/>
      <c r="K907" s="190"/>
      <c r="L907" s="191"/>
      <c r="M907" s="192"/>
      <c r="N907" s="190"/>
      <c r="O907" s="191"/>
    </row>
    <row r="908" spans="1:15" ht="12">
      <c r="A908" s="148"/>
      <c r="B908" s="189"/>
      <c r="C908" s="190"/>
      <c r="D908" s="181"/>
      <c r="E908" s="191"/>
      <c r="F908" s="190"/>
      <c r="G908" s="190"/>
      <c r="H908" s="190"/>
      <c r="I908" s="192"/>
      <c r="J908" s="190"/>
      <c r="K908" s="190"/>
      <c r="L908" s="191"/>
      <c r="M908" s="192"/>
      <c r="N908" s="190"/>
      <c r="O908" s="191"/>
    </row>
    <row r="909" spans="1:15" thickBot="1">
      <c r="A909" s="148"/>
      <c r="B909" s="193"/>
      <c r="C909" s="194"/>
      <c r="D909" s="195"/>
      <c r="E909" s="196"/>
      <c r="F909" s="194"/>
      <c r="G909" s="194"/>
      <c r="H909" s="194"/>
      <c r="I909" s="197"/>
      <c r="J909" s="194"/>
      <c r="K909" s="194"/>
      <c r="L909" s="196"/>
      <c r="M909" s="197"/>
      <c r="N909" s="194"/>
      <c r="O909" s="196"/>
    </row>
    <row r="910" spans="1:15" ht="21" thickBot="1">
      <c r="A910" s="148"/>
      <c r="B910" s="2685" t="s">
        <v>1878</v>
      </c>
      <c r="C910" s="2686"/>
      <c r="D910" s="2686"/>
      <c r="E910" s="2687"/>
      <c r="F910" s="198"/>
      <c r="G910" s="198"/>
      <c r="H910" s="198"/>
      <c r="I910" s="2685" t="s">
        <v>1879</v>
      </c>
      <c r="J910" s="2686"/>
      <c r="K910" s="2686"/>
      <c r="L910" s="2687"/>
      <c r="M910" s="2685" t="s">
        <v>1880</v>
      </c>
      <c r="N910" s="2686"/>
      <c r="O910" s="2687"/>
    </row>
    <row r="911" spans="1:15" ht="12">
      <c r="A911" s="148"/>
    </row>
    <row r="912" spans="1:15" ht="12">
      <c r="A912" s="148"/>
    </row>
    <row r="913" spans="1:1" ht="12">
      <c r="A913" s="148"/>
    </row>
    <row r="914" spans="1:1" ht="12">
      <c r="A914" s="148"/>
    </row>
    <row r="915" spans="1:1" ht="12">
      <c r="A915" s="148"/>
    </row>
  </sheetData>
  <mergeCells count="6">
    <mergeCell ref="I1:L1"/>
    <mergeCell ref="P1:R1"/>
    <mergeCell ref="M1:O1"/>
    <mergeCell ref="B910:E910"/>
    <mergeCell ref="I910:L910"/>
    <mergeCell ref="M910:O910"/>
  </mergeCells>
  <phoneticPr fontId="0" type="noConversion"/>
  <pageMargins left="0.75" right="0.75" top="1" bottom="1" header="0.5" footer="0.5"/>
  <pageSetup scale="36" fitToHeight="16"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sheetPr codeName="Sheet19"/>
  <dimension ref="B2:AM31"/>
  <sheetViews>
    <sheetView topLeftCell="F1" zoomScale="75" workbookViewId="0">
      <selection activeCell="Q10" sqref="Q10"/>
    </sheetView>
  </sheetViews>
  <sheetFormatPr defaultRowHeight="12.75"/>
  <cols>
    <col min="1" max="9" width="9.140625" style="199"/>
    <col min="10" max="10" width="16.7109375" style="199" customWidth="1"/>
    <col min="11" max="11" width="11.28515625" style="199" customWidth="1"/>
    <col min="12" max="14" width="9.140625" style="199"/>
    <col min="15" max="15" width="11.28515625" style="199" customWidth="1"/>
    <col min="16" max="16384" width="9.140625" style="199"/>
  </cols>
  <sheetData>
    <row r="2" spans="2:39">
      <c r="B2" s="2688"/>
      <c r="C2" s="2689"/>
      <c r="D2" s="2690"/>
      <c r="E2" s="2688"/>
      <c r="F2" s="2689"/>
      <c r="G2" s="2690"/>
      <c r="H2" s="2688" t="s">
        <v>1881</v>
      </c>
      <c r="I2" s="2689"/>
      <c r="J2" s="2689"/>
      <c r="K2" s="2690"/>
      <c r="L2" s="2688" t="s">
        <v>1882</v>
      </c>
      <c r="M2" s="2689"/>
      <c r="N2" s="2689"/>
      <c r="O2" s="2690"/>
      <c r="P2" s="2688" t="s">
        <v>1883</v>
      </c>
      <c r="Q2" s="2689"/>
      <c r="R2" s="2689"/>
      <c r="S2" s="2690"/>
      <c r="T2" s="2688" t="s">
        <v>1884</v>
      </c>
      <c r="U2" s="2689"/>
      <c r="V2" s="2689"/>
      <c r="W2" s="2690"/>
      <c r="X2" s="2688" t="s">
        <v>1885</v>
      </c>
      <c r="Y2" s="2689"/>
      <c r="Z2" s="2689"/>
      <c r="AA2" s="2690"/>
      <c r="AB2" s="2688" t="s">
        <v>1886</v>
      </c>
      <c r="AC2" s="2689"/>
      <c r="AD2" s="2689"/>
      <c r="AE2" s="2690"/>
      <c r="AF2" s="2688" t="s">
        <v>1887</v>
      </c>
      <c r="AG2" s="2689"/>
      <c r="AH2" s="2689"/>
      <c r="AI2" s="2690"/>
      <c r="AJ2" s="2688" t="s">
        <v>1888</v>
      </c>
      <c r="AK2" s="2689"/>
      <c r="AL2" s="2689"/>
      <c r="AM2" s="2690"/>
    </row>
    <row r="3" spans="2:39">
      <c r="B3" s="200"/>
      <c r="C3" s="201"/>
      <c r="D3" s="202"/>
      <c r="E3" s="200"/>
      <c r="F3" s="201"/>
      <c r="G3" s="201"/>
      <c r="H3" s="200"/>
      <c r="I3" s="201"/>
      <c r="J3" s="201" t="s">
        <v>1889</v>
      </c>
      <c r="K3" s="203" t="s">
        <v>1890</v>
      </c>
      <c r="L3" s="200"/>
      <c r="M3" s="201"/>
      <c r="N3" s="201" t="s">
        <v>1889</v>
      </c>
      <c r="O3" s="203" t="s">
        <v>1890</v>
      </c>
      <c r="P3" s="200"/>
      <c r="Q3" s="201"/>
      <c r="R3" s="201" t="s">
        <v>1889</v>
      </c>
      <c r="S3" s="203" t="s">
        <v>1890</v>
      </c>
      <c r="T3" s="200"/>
      <c r="U3" s="201"/>
      <c r="V3" s="201" t="s">
        <v>1889</v>
      </c>
      <c r="W3" s="203" t="s">
        <v>1890</v>
      </c>
      <c r="X3" s="200"/>
      <c r="Y3" s="201"/>
      <c r="Z3" s="201" t="s">
        <v>1889</v>
      </c>
      <c r="AA3" s="203" t="s">
        <v>1890</v>
      </c>
      <c r="AB3" s="200"/>
      <c r="AC3" s="201"/>
      <c r="AD3" s="201" t="s">
        <v>1891</v>
      </c>
      <c r="AE3" s="203"/>
      <c r="AF3" s="200"/>
      <c r="AG3" s="201" t="s">
        <v>1891</v>
      </c>
      <c r="AH3" s="201"/>
      <c r="AI3" s="203"/>
      <c r="AJ3" s="200"/>
      <c r="AK3" s="201" t="s">
        <v>1891</v>
      </c>
      <c r="AL3" s="201"/>
      <c r="AM3" s="203"/>
    </row>
    <row r="4" spans="2:39" ht="15">
      <c r="B4" s="204"/>
      <c r="C4" s="205"/>
      <c r="D4" s="206"/>
      <c r="E4" s="204"/>
      <c r="F4" s="205"/>
      <c r="G4" s="21"/>
      <c r="H4" s="204">
        <v>2</v>
      </c>
      <c r="I4" s="205" t="str">
        <f ca="1">INDIRECT(ADDRESS($H$4+H5,COLUMN(I$2)))</f>
        <v>kBTU</v>
      </c>
      <c r="J4" s="207">
        <f ca="1">INDIRECT(ADDRESS($H$4+H5,COLUMN(J$2)))</f>
        <v>3.0187573270808912</v>
      </c>
      <c r="K4" s="208">
        <f ca="1">INDIRECT(ADDRESS($H$4+H5,COLUMN(K$2)))</f>
        <v>1</v>
      </c>
      <c r="L4" s="204">
        <v>2</v>
      </c>
      <c r="M4" s="205" t="str">
        <f ca="1">INDIRECT(ADDRESS($L$4+L5,COLUMN(M$2)))</f>
        <v>kBTU</v>
      </c>
      <c r="N4" s="209">
        <f ca="1">INDIRECT(ADDRESS($L$4+L5,COLUMN(N$2)))</f>
        <v>1.024</v>
      </c>
      <c r="O4" s="206">
        <f ca="1">INDIRECT(ADDRESS($L$4+L5,COLUMN(O$2)))</f>
        <v>1</v>
      </c>
      <c r="P4" s="204">
        <v>0</v>
      </c>
      <c r="Q4" s="205">
        <f ca="1">INDIRECT(ADDRESS($P$4+P5,COLUMN(Q$2)))</f>
        <v>0</v>
      </c>
      <c r="R4" s="209">
        <f ca="1">INDIRECT(ADDRESS($P$4+P5,COLUMN(R$2)))</f>
        <v>0</v>
      </c>
      <c r="S4" s="206">
        <f ca="1">INDIRECT(ADDRESS($P$4+P5,COLUMN(S$2)))</f>
        <v>0</v>
      </c>
      <c r="T4" s="204">
        <v>0</v>
      </c>
      <c r="U4" s="205">
        <f ca="1">INDIRECT(ADDRESS($T$4+T5,COLUMN(U$2)))</f>
        <v>0</v>
      </c>
      <c r="V4" s="209">
        <f ca="1">INDIRECT(ADDRESS($T$4+T5,COLUMN(V$2)))</f>
        <v>0</v>
      </c>
      <c r="W4" s="206">
        <f ca="1">INDIRECT(ADDRESS($T$4+T5,COLUMN(W$2)))</f>
        <v>0</v>
      </c>
      <c r="X4" s="204">
        <v>0</v>
      </c>
      <c r="Y4" s="205">
        <f ca="1">INDIRECT(ADDRESS($X$4+X5,COLUMN(Y$2)))</f>
        <v>0</v>
      </c>
      <c r="Z4" s="21">
        <f ca="1">INDIRECT(ADDRESS($X$4+X5,COLUMN(Z$2)))</f>
        <v>0</v>
      </c>
      <c r="AA4" s="206">
        <f ca="1">INDIRECT(ADDRESS($X$4+X5,COLUMN(AA$2)))</f>
        <v>0</v>
      </c>
      <c r="AB4" s="204">
        <v>1</v>
      </c>
      <c r="AC4" s="205" t="str">
        <f ca="1">INDIRECT(ADDRESS($AB$4+AB5,COLUMN(AC$2)))</f>
        <v>Yes</v>
      </c>
      <c r="AD4" s="21">
        <f ca="1">INDIRECT(ADDRESS($AB$4+AB5,COLUMN(AD$2)))</f>
        <v>1</v>
      </c>
      <c r="AE4" s="206"/>
      <c r="AF4" s="204">
        <v>1</v>
      </c>
      <c r="AG4" s="205">
        <f ca="1">INDIRECT(ADDRESS($AF$4+AF5,COLUMN(AG$2)))</f>
        <v>0</v>
      </c>
      <c r="AH4" s="21"/>
      <c r="AI4" s="206"/>
      <c r="AJ4" s="204">
        <v>2</v>
      </c>
      <c r="AK4" s="205">
        <f ca="1">INDIRECT(ADDRESS($AJ$4+AJ5,COLUMN(AK$2)))</f>
        <v>10</v>
      </c>
      <c r="AL4" s="21"/>
      <c r="AM4" s="206"/>
    </row>
    <row r="5" spans="2:39" ht="15">
      <c r="B5" s="210"/>
      <c r="C5" s="23"/>
      <c r="D5" s="211"/>
      <c r="E5" s="210"/>
      <c r="F5" s="23"/>
      <c r="G5" s="24"/>
      <c r="H5" s="210">
        <v>5</v>
      </c>
      <c r="I5" s="23"/>
      <c r="J5" s="24"/>
      <c r="K5" s="211"/>
      <c r="L5" s="210">
        <v>5</v>
      </c>
      <c r="M5" s="23"/>
      <c r="N5" s="24"/>
      <c r="O5" s="211"/>
      <c r="P5" s="210">
        <v>5</v>
      </c>
      <c r="Q5" s="23"/>
      <c r="R5" s="24"/>
      <c r="S5" s="211"/>
      <c r="T5" s="210">
        <v>5</v>
      </c>
      <c r="U5" s="23"/>
      <c r="V5" s="24"/>
      <c r="W5" s="211"/>
      <c r="X5" s="210">
        <v>5</v>
      </c>
      <c r="Y5" s="23"/>
      <c r="Z5" s="212"/>
      <c r="AA5" s="213"/>
      <c r="AB5" s="210">
        <v>5</v>
      </c>
      <c r="AC5" s="23"/>
      <c r="AD5" s="212"/>
      <c r="AE5" s="213"/>
      <c r="AF5" s="210">
        <v>5</v>
      </c>
      <c r="AG5" s="23"/>
      <c r="AH5" s="212"/>
      <c r="AI5" s="213"/>
      <c r="AJ5" s="210">
        <v>5</v>
      </c>
      <c r="AK5" s="23"/>
      <c r="AL5" s="212"/>
      <c r="AM5" s="213"/>
    </row>
    <row r="6" spans="2:39">
      <c r="B6" s="214"/>
      <c r="C6" s="215"/>
      <c r="D6" s="216"/>
      <c r="E6" s="214"/>
      <c r="F6" s="215"/>
      <c r="G6" s="215"/>
      <c r="H6" s="214"/>
      <c r="I6" s="215" t="s">
        <v>148</v>
      </c>
      <c r="J6" s="215">
        <v>10.3</v>
      </c>
      <c r="K6" s="216">
        <v>3.4119999999999999</v>
      </c>
      <c r="L6" s="214"/>
      <c r="M6" s="215" t="s">
        <v>1892</v>
      </c>
      <c r="N6" s="215">
        <f>100*1.024</f>
        <v>102.4</v>
      </c>
      <c r="O6" s="216">
        <v>100</v>
      </c>
      <c r="P6" s="214"/>
      <c r="Q6" s="215" t="s">
        <v>1893</v>
      </c>
      <c r="R6" s="215">
        <v>138.6</v>
      </c>
      <c r="S6" s="216">
        <v>138.6</v>
      </c>
      <c r="T6" s="214"/>
      <c r="U6" s="215" t="s">
        <v>1894</v>
      </c>
      <c r="V6" s="215">
        <f>10.78*1.38</f>
        <v>14.876399999999999</v>
      </c>
      <c r="W6" s="216">
        <v>10.78</v>
      </c>
      <c r="X6" s="214"/>
      <c r="Y6" s="215" t="s">
        <v>1895</v>
      </c>
      <c r="Z6" s="217">
        <v>12000</v>
      </c>
      <c r="AA6" s="218">
        <v>12000</v>
      </c>
      <c r="AB6" s="214"/>
      <c r="AC6" s="215" t="s">
        <v>1493</v>
      </c>
      <c r="AD6" s="217">
        <v>1</v>
      </c>
      <c r="AE6" s="218"/>
      <c r="AF6" s="214"/>
      <c r="AG6" s="215">
        <v>0</v>
      </c>
      <c r="AH6" s="217"/>
      <c r="AI6" s="218"/>
      <c r="AJ6" s="214"/>
      <c r="AK6" s="215">
        <v>9</v>
      </c>
      <c r="AL6" s="217"/>
      <c r="AM6" s="218"/>
    </row>
    <row r="7" spans="2:39">
      <c r="B7" s="219"/>
      <c r="C7" s="220"/>
      <c r="D7" s="221"/>
      <c r="E7" s="219"/>
      <c r="F7" s="220"/>
      <c r="G7" s="220"/>
      <c r="H7" s="219"/>
      <c r="I7" s="220" t="s">
        <v>1896</v>
      </c>
      <c r="J7" s="222">
        <f>+J6/K6</f>
        <v>3.0187573270808912</v>
      </c>
      <c r="K7" s="221">
        <v>1</v>
      </c>
      <c r="L7" s="219"/>
      <c r="M7" s="220" t="s">
        <v>1896</v>
      </c>
      <c r="N7" s="223">
        <v>1.024</v>
      </c>
      <c r="O7" s="221">
        <v>1</v>
      </c>
      <c r="P7" s="219"/>
      <c r="Q7" s="220" t="s">
        <v>1896</v>
      </c>
      <c r="R7" s="224">
        <v>1</v>
      </c>
      <c r="S7" s="221">
        <v>1</v>
      </c>
      <c r="T7" s="219"/>
      <c r="U7" s="220" t="s">
        <v>1896</v>
      </c>
      <c r="V7" s="222">
        <v>1.38</v>
      </c>
      <c r="W7" s="221">
        <v>1</v>
      </c>
      <c r="X7" s="219"/>
      <c r="Y7" s="220" t="s">
        <v>1896</v>
      </c>
      <c r="Z7" s="224">
        <v>1</v>
      </c>
      <c r="AA7" s="225">
        <v>1</v>
      </c>
      <c r="AB7" s="219"/>
      <c r="AC7" s="220" t="s">
        <v>1494</v>
      </c>
      <c r="AD7" s="224">
        <v>0</v>
      </c>
      <c r="AE7" s="225"/>
      <c r="AF7" s="219"/>
      <c r="AG7" s="220">
        <v>10</v>
      </c>
      <c r="AH7" s="224"/>
      <c r="AI7" s="225"/>
      <c r="AJ7" s="219"/>
      <c r="AK7" s="220">
        <v>10</v>
      </c>
      <c r="AL7" s="224"/>
      <c r="AM7" s="225"/>
    </row>
    <row r="8" spans="2:39">
      <c r="AG8" s="226">
        <v>20</v>
      </c>
      <c r="AK8" s="226">
        <v>11</v>
      </c>
    </row>
    <row r="9" spans="2:39">
      <c r="C9" s="227" t="s">
        <v>1897</v>
      </c>
      <c r="D9" s="199">
        <v>131.4</v>
      </c>
      <c r="E9" s="199" t="s">
        <v>1898</v>
      </c>
      <c r="AG9" s="226">
        <v>30</v>
      </c>
      <c r="AK9" s="226">
        <v>12</v>
      </c>
    </row>
    <row r="10" spans="2:39">
      <c r="C10" s="227" t="s">
        <v>1899</v>
      </c>
      <c r="D10" s="199">
        <v>76.3</v>
      </c>
      <c r="E10" s="199" t="s">
        <v>1898</v>
      </c>
      <c r="AG10" s="226">
        <v>40</v>
      </c>
    </row>
    <row r="11" spans="2:39">
      <c r="AG11" s="226">
        <v>50</v>
      </c>
    </row>
    <row r="12" spans="2:39">
      <c r="J12" s="226" t="s">
        <v>1485</v>
      </c>
      <c r="K12" s="226" t="s">
        <v>2197</v>
      </c>
      <c r="L12" s="226" t="s">
        <v>1488</v>
      </c>
      <c r="M12" s="226" t="s">
        <v>2198</v>
      </c>
      <c r="N12" s="226" t="s">
        <v>2199</v>
      </c>
      <c r="O12" s="226" t="s">
        <v>1266</v>
      </c>
      <c r="AG12" s="226">
        <v>60</v>
      </c>
    </row>
    <row r="13" spans="2:39">
      <c r="J13" s="226" t="s">
        <v>2202</v>
      </c>
      <c r="K13" s="226" t="s">
        <v>2202</v>
      </c>
      <c r="L13" s="226" t="s">
        <v>2202</v>
      </c>
      <c r="M13" s="226" t="s">
        <v>2202</v>
      </c>
      <c r="N13" s="226" t="s">
        <v>2202</v>
      </c>
      <c r="O13" s="226" t="s">
        <v>2202</v>
      </c>
      <c r="AG13" s="226">
        <v>70</v>
      </c>
    </row>
    <row r="14" spans="2:39">
      <c r="C14" s="227"/>
      <c r="D14" s="226"/>
      <c r="F14" s="227"/>
      <c r="G14" s="228"/>
      <c r="I14" s="227" t="s">
        <v>1889</v>
      </c>
      <c r="J14" s="229" t="e">
        <f ca="1">+'RECS - Baseline'!C32*'Side Calcs - Baseline'!J4</f>
        <v>#DIV/0!</v>
      </c>
      <c r="K14" s="229" t="e">
        <f ca="1">+'RECS - Baseline'!D32*'Side Calcs - Baseline'!N4</f>
        <v>#DIV/0!</v>
      </c>
      <c r="L14" s="229">
        <f ca="1">+'RECS - Baseline'!E32*'Side Calcs - Baseline'!R4</f>
        <v>0</v>
      </c>
      <c r="M14" s="229">
        <f ca="1">+'RECS - Baseline'!F32*'Side Calcs - Baseline'!V4</f>
        <v>0</v>
      </c>
      <c r="N14" s="229">
        <f ca="1">+'RECS - Baseline'!G32*'Side Calcs - Baseline'!Z4</f>
        <v>0</v>
      </c>
      <c r="O14" s="229" t="e">
        <f ca="1">SUM(J14:N14)</f>
        <v>#DIV/0!</v>
      </c>
      <c r="AG14" s="226">
        <v>80</v>
      </c>
    </row>
    <row r="15" spans="2:39">
      <c r="C15" s="227"/>
      <c r="D15" s="226"/>
      <c r="F15" s="227"/>
      <c r="G15" s="230"/>
      <c r="I15" s="227" t="s">
        <v>1890</v>
      </c>
      <c r="J15" s="229" t="e">
        <f ca="1">+'RECS - Baseline'!C32*'Side Calcs - Baseline'!K4</f>
        <v>#DIV/0!</v>
      </c>
      <c r="K15" s="229" t="e">
        <f ca="1">+'RECS - Baseline'!D32*'Side Calcs - Baseline'!O4</f>
        <v>#DIV/0!</v>
      </c>
      <c r="L15" s="229">
        <f ca="1">+'RECS - Baseline'!E32*'Side Calcs - Baseline'!S4</f>
        <v>0</v>
      </c>
      <c r="M15" s="229">
        <f ca="1">+'RECS - Baseline'!F32*'Side Calcs - Baseline'!W4</f>
        <v>0</v>
      </c>
      <c r="N15" s="229">
        <f ca="1">+'RECS - Baseline'!G32*'Side Calcs - Baseline'!AA4</f>
        <v>0</v>
      </c>
      <c r="O15" s="229" t="e">
        <f ca="1">SUM(J15:N15)</f>
        <v>#DIV/0!</v>
      </c>
      <c r="AG15" s="226">
        <v>90</v>
      </c>
    </row>
    <row r="16" spans="2:39">
      <c r="C16" s="227"/>
      <c r="D16" s="226"/>
      <c r="I16" s="227" t="s">
        <v>1900</v>
      </c>
      <c r="J16" s="231" t="e">
        <f ca="1">+J14/$O$14</f>
        <v>#DIV/0!</v>
      </c>
      <c r="K16" s="231" t="e">
        <f ca="1">+K14/$O$14</f>
        <v>#DIV/0!</v>
      </c>
      <c r="L16" s="230" t="e">
        <f ca="1">+L14/$O$14</f>
        <v>#DIV/0!</v>
      </c>
      <c r="M16" s="230" t="e">
        <f ca="1">+M14/$O$14</f>
        <v>#DIV/0!</v>
      </c>
      <c r="N16" s="230" t="e">
        <f ca="1">+N14/$O$14</f>
        <v>#DIV/0!</v>
      </c>
      <c r="AG16" s="226">
        <v>100</v>
      </c>
    </row>
    <row r="18" spans="3:11">
      <c r="C18" s="227"/>
      <c r="I18" s="232" t="s">
        <v>1901</v>
      </c>
      <c r="J18" s="231" t="e">
        <f ca="1">+J15/(J15+K15)</f>
        <v>#DIV/0!</v>
      </c>
      <c r="K18" s="231" t="e">
        <f ca="1">+K15/(J15+K15)</f>
        <v>#DIV/0!</v>
      </c>
    </row>
    <row r="19" spans="3:11">
      <c r="C19" s="227"/>
    </row>
    <row r="20" spans="3:11">
      <c r="C20" s="227"/>
      <c r="D20" s="233"/>
    </row>
    <row r="21" spans="3:11">
      <c r="C21" s="227"/>
      <c r="D21" s="234"/>
    </row>
    <row r="22" spans="3:11">
      <c r="C22" s="227"/>
      <c r="D22" s="234"/>
    </row>
    <row r="26" spans="3:11">
      <c r="C26" s="227"/>
      <c r="D26" s="230"/>
    </row>
    <row r="27" spans="3:11">
      <c r="C27" s="227"/>
      <c r="D27" s="230"/>
    </row>
    <row r="28" spans="3:11">
      <c r="C28" s="227"/>
      <c r="D28" s="226"/>
    </row>
    <row r="29" spans="3:11">
      <c r="C29" s="227"/>
      <c r="D29" s="235"/>
    </row>
    <row r="30" spans="3:11">
      <c r="C30" s="227"/>
      <c r="D30" s="235"/>
    </row>
    <row r="31" spans="3:11">
      <c r="C31" s="227"/>
      <c r="D31" s="235"/>
    </row>
  </sheetData>
  <mergeCells count="10">
    <mergeCell ref="B2:D2"/>
    <mergeCell ref="P2:S2"/>
    <mergeCell ref="H2:K2"/>
    <mergeCell ref="L2:O2"/>
    <mergeCell ref="E2:G2"/>
    <mergeCell ref="AF2:AI2"/>
    <mergeCell ref="AJ2:AM2"/>
    <mergeCell ref="T2:W2"/>
    <mergeCell ref="X2:AA2"/>
    <mergeCell ref="AB2:AE2"/>
  </mergeCells>
  <phoneticPr fontId="0" type="noConversion"/>
  <pageMargins left="0.75" right="0.75" top="1" bottom="1" header="0.5" footer="0.5"/>
  <headerFooter alignWithMargins="0"/>
</worksheet>
</file>

<file path=xl/worksheets/sheet44.xml><?xml version="1.0" encoding="utf-8"?>
<worksheet xmlns="http://schemas.openxmlformats.org/spreadsheetml/2006/main" xmlns:r="http://schemas.openxmlformats.org/officeDocument/2006/relationships">
  <sheetPr codeName="Sheet20">
    <pageSetUpPr fitToPage="1"/>
  </sheetPr>
  <dimension ref="A1:T912"/>
  <sheetViews>
    <sheetView zoomScale="75" zoomScaleNormal="100" workbookViewId="0">
      <selection activeCell="B6" sqref="B6"/>
    </sheetView>
  </sheetViews>
  <sheetFormatPr defaultColWidth="11.42578125" defaultRowHeight="12"/>
  <cols>
    <col min="1" max="1" width="11.42578125" style="148" customWidth="1"/>
    <col min="2" max="2" width="11.28515625" style="147" bestFit="1" customWidth="1"/>
    <col min="3" max="3" width="15.7109375" style="148" bestFit="1" customWidth="1"/>
    <col min="4" max="4" width="6" style="147" customWidth="1"/>
    <col min="5" max="5" width="21.85546875" style="148" customWidth="1"/>
    <col min="6" max="6" width="3.5703125" style="148" customWidth="1"/>
    <col min="7" max="7" width="12.7109375" style="148" customWidth="1"/>
    <col min="8" max="8" width="20.140625" style="148" customWidth="1"/>
    <col min="9" max="9" width="29.5703125" style="148" customWidth="1"/>
    <col min="10" max="12" width="7.5703125" style="148" customWidth="1"/>
    <col min="13" max="13" width="18.5703125" style="148" customWidth="1"/>
    <col min="14" max="14" width="7.5703125" style="148" customWidth="1"/>
    <col min="15" max="15" width="18.28515625" style="148" customWidth="1"/>
    <col min="16" max="16" width="28.7109375" style="184" customWidth="1"/>
    <col min="17" max="17" width="5.7109375" style="147" customWidth="1"/>
    <col min="18" max="18" width="14" style="185" customWidth="1"/>
    <col min="19" max="19" width="5.140625" style="148" customWidth="1"/>
    <col min="20" max="20" width="6" style="148" customWidth="1"/>
    <col min="21" max="16384" width="11.42578125" style="148"/>
  </cols>
  <sheetData>
    <row r="1" spans="1:20" ht="15.75">
      <c r="B1" s="142" t="s">
        <v>243</v>
      </c>
      <c r="C1" s="143" t="s">
        <v>243</v>
      </c>
      <c r="D1" s="144"/>
      <c r="E1" s="145" t="s">
        <v>243</v>
      </c>
      <c r="F1" s="146"/>
      <c r="G1" s="146"/>
      <c r="H1" s="146"/>
      <c r="I1" s="2679" t="s">
        <v>244</v>
      </c>
      <c r="J1" s="2680"/>
      <c r="K1" s="2680"/>
      <c r="L1" s="2681"/>
      <c r="M1" s="2683" t="s">
        <v>245</v>
      </c>
      <c r="N1" s="2683"/>
      <c r="O1" s="2684"/>
      <c r="P1" s="2682"/>
      <c r="Q1" s="2682"/>
      <c r="R1" s="2682"/>
    </row>
    <row r="2" spans="1:20" ht="16.5" thickBot="1">
      <c r="B2" s="149" t="s">
        <v>246</v>
      </c>
      <c r="C2" s="150" t="s">
        <v>247</v>
      </c>
      <c r="D2" s="151"/>
      <c r="E2" s="152" t="s">
        <v>248</v>
      </c>
      <c r="F2" s="153"/>
      <c r="G2" s="153"/>
      <c r="H2" s="153"/>
      <c r="I2" s="154" t="s">
        <v>249</v>
      </c>
      <c r="J2" s="155" t="s">
        <v>250</v>
      </c>
      <c r="K2" s="155" t="s">
        <v>49</v>
      </c>
      <c r="L2" s="156" t="s">
        <v>50</v>
      </c>
      <c r="M2" s="157" t="s">
        <v>251</v>
      </c>
      <c r="N2" s="155" t="s">
        <v>250</v>
      </c>
      <c r="O2" s="158" t="s">
        <v>252</v>
      </c>
      <c r="P2" s="159"/>
      <c r="Q2" s="160"/>
      <c r="R2" s="161"/>
    </row>
    <row r="3" spans="1:20" ht="15.75">
      <c r="B3" s="162"/>
      <c r="C3" s="163"/>
      <c r="D3" s="164"/>
      <c r="E3" s="165"/>
      <c r="F3" s="163"/>
      <c r="G3" s="163"/>
      <c r="H3" s="163"/>
      <c r="I3" s="162"/>
      <c r="J3" s="164"/>
      <c r="K3" s="164"/>
      <c r="L3" s="166"/>
      <c r="M3" s="167"/>
      <c r="N3" s="164"/>
      <c r="O3" s="168"/>
      <c r="P3" s="159"/>
      <c r="Q3" s="160"/>
      <c r="R3" s="161"/>
    </row>
    <row r="4" spans="1:20" ht="16.5" thickBot="1">
      <c r="B4" s="162"/>
      <c r="C4" s="163"/>
      <c r="D4" s="164"/>
      <c r="E4" s="165"/>
      <c r="F4" s="163"/>
      <c r="G4" s="163"/>
      <c r="H4" s="163"/>
      <c r="I4" s="162"/>
      <c r="J4" s="164"/>
      <c r="K4" s="164"/>
      <c r="L4" s="166"/>
      <c r="M4" s="167"/>
      <c r="N4" s="164"/>
      <c r="O4" s="168"/>
      <c r="P4" s="159"/>
      <c r="Q4" s="160"/>
      <c r="R4" s="161"/>
    </row>
    <row r="5" spans="1:20" s="236" customFormat="1" ht="15.75" thickBot="1">
      <c r="A5" s="236" t="s">
        <v>1902</v>
      </c>
      <c r="B5" s="237" t="str">
        <f>LEFT('RECS - Proposed'!C14,3)</f>
        <v>0</v>
      </c>
      <c r="C5" s="238" t="e">
        <f>LOOKUP($B$5,$B$8:$B$908,C$8:C$908)</f>
        <v>#N/A</v>
      </c>
      <c r="D5" s="238" t="e">
        <f>LOOKUP($B$5,$B$8:$B$908,D$8:D$908)</f>
        <v>#N/A</v>
      </c>
      <c r="E5" s="239" t="e">
        <f>LOOKUP($B$5,$B$8:$B$908,E$8:E$908)</f>
        <v>#N/A</v>
      </c>
      <c r="F5" s="237"/>
      <c r="G5" s="238" t="e">
        <f>LOOKUP($B$5,$B$8:$B$908,G$8:G$908)</f>
        <v>#N/A</v>
      </c>
      <c r="H5" s="239" t="e">
        <f>CONCATENATE(G5,","," ",D5)</f>
        <v>#N/A</v>
      </c>
      <c r="I5" s="237" t="e">
        <f t="shared" ref="I5:O5" si="0">LOOKUP($B$5,$B$8:$B$908,I$8:I$908)</f>
        <v>#N/A</v>
      </c>
      <c r="J5" s="238" t="e">
        <f t="shared" si="0"/>
        <v>#N/A</v>
      </c>
      <c r="K5" s="238" t="e">
        <f>LOOKUP($B$5,$B$8:$B$908,K$8:K$908)</f>
        <v>#N/A</v>
      </c>
      <c r="L5" s="239" t="e">
        <f t="shared" si="0"/>
        <v>#N/A</v>
      </c>
      <c r="M5" s="237" t="e">
        <f t="shared" si="0"/>
        <v>#N/A</v>
      </c>
      <c r="N5" s="238" t="e">
        <f t="shared" si="0"/>
        <v>#N/A</v>
      </c>
      <c r="O5" s="239" t="e">
        <f t="shared" si="0"/>
        <v>#N/A</v>
      </c>
      <c r="P5" s="240"/>
      <c r="Q5" s="240"/>
      <c r="R5" s="240"/>
    </row>
    <row r="6" spans="1:20" ht="15.75">
      <c r="B6" s="162"/>
      <c r="C6" s="163"/>
      <c r="D6" s="164"/>
      <c r="E6" s="165"/>
      <c r="F6" s="163"/>
      <c r="G6" s="163"/>
      <c r="H6" s="163"/>
      <c r="I6" s="162"/>
      <c r="J6" s="164"/>
      <c r="K6" s="164"/>
      <c r="L6" s="166"/>
      <c r="M6" s="167"/>
      <c r="N6" s="164"/>
      <c r="O6" s="168"/>
      <c r="P6" s="159"/>
      <c r="Q6" s="160"/>
      <c r="R6" s="161"/>
    </row>
    <row r="7" spans="1:20" ht="15.75">
      <c r="B7" s="162"/>
      <c r="C7" s="163"/>
      <c r="D7" s="164"/>
      <c r="E7" s="165"/>
      <c r="F7" s="163"/>
      <c r="G7" s="163"/>
      <c r="H7" s="163"/>
      <c r="I7" s="162"/>
      <c r="J7" s="164"/>
      <c r="K7" s="164"/>
      <c r="L7" s="166"/>
      <c r="M7" s="167"/>
      <c r="N7" s="164"/>
      <c r="O7" s="168"/>
      <c r="P7" s="159"/>
      <c r="Q7" s="160"/>
      <c r="R7" s="161"/>
    </row>
    <row r="8" spans="1:20">
      <c r="B8" s="186" t="s">
        <v>995</v>
      </c>
      <c r="C8" s="175" t="s">
        <v>996</v>
      </c>
      <c r="D8" s="176" t="s">
        <v>997</v>
      </c>
      <c r="E8" s="177" t="s">
        <v>998</v>
      </c>
      <c r="F8" s="175">
        <f>LEN(E8)</f>
        <v>10</v>
      </c>
      <c r="G8" s="175" t="str">
        <f>MID(E8,2,F8-2)</f>
        <v>San Juan</v>
      </c>
      <c r="I8" s="178" t="s">
        <v>999</v>
      </c>
      <c r="J8" s="27" t="s">
        <v>997</v>
      </c>
      <c r="K8" s="27">
        <v>5558</v>
      </c>
      <c r="L8" s="179">
        <v>0</v>
      </c>
      <c r="M8" s="178" t="s">
        <v>1000</v>
      </c>
      <c r="N8" s="27" t="s">
        <v>997</v>
      </c>
      <c r="O8" s="182" t="s">
        <v>1001</v>
      </c>
      <c r="P8" s="159"/>
      <c r="Q8" s="160"/>
      <c r="R8" s="161"/>
    </row>
    <row r="9" spans="1:20">
      <c r="B9" s="186" t="s">
        <v>1244</v>
      </c>
      <c r="C9" s="175" t="s">
        <v>2299</v>
      </c>
      <c r="D9" s="176" t="s">
        <v>2300</v>
      </c>
      <c r="E9" s="177" t="s">
        <v>1241</v>
      </c>
      <c r="F9" s="175">
        <f>LEN(E9)</f>
        <v>13</v>
      </c>
      <c r="G9" s="175" t="str">
        <f>MID(E9,2,F9-2)</f>
        <v>Springfield</v>
      </c>
      <c r="I9" s="178" t="s">
        <v>649</v>
      </c>
      <c r="J9" s="27" t="s">
        <v>2300</v>
      </c>
      <c r="K9" s="27">
        <v>333</v>
      </c>
      <c r="L9" s="179">
        <v>6979</v>
      </c>
      <c r="M9" s="178" t="s">
        <v>753</v>
      </c>
      <c r="N9" s="27" t="s">
        <v>690</v>
      </c>
      <c r="O9" s="182" t="s">
        <v>754</v>
      </c>
      <c r="P9" s="26"/>
      <c r="Q9" s="27"/>
      <c r="R9" s="183"/>
      <c r="S9" s="27"/>
      <c r="T9" s="27"/>
    </row>
    <row r="10" spans="1:20">
      <c r="B10" s="186" t="s">
        <v>1245</v>
      </c>
      <c r="C10" s="175" t="s">
        <v>2299</v>
      </c>
      <c r="D10" s="176" t="s">
        <v>2300</v>
      </c>
      <c r="E10" s="177" t="s">
        <v>1241</v>
      </c>
      <c r="F10" s="175">
        <f t="shared" ref="F10:F73" si="1">LEN(E10)</f>
        <v>13</v>
      </c>
      <c r="G10" s="175" t="str">
        <f t="shared" ref="G10:G73" si="2">MID(E10,2,F10-2)</f>
        <v>Springfield</v>
      </c>
      <c r="I10" s="178" t="s">
        <v>756</v>
      </c>
      <c r="J10" s="27" t="s">
        <v>690</v>
      </c>
      <c r="K10" s="27">
        <v>677</v>
      </c>
      <c r="L10" s="179">
        <v>6151</v>
      </c>
      <c r="M10" s="178" t="s">
        <v>753</v>
      </c>
      <c r="N10" s="27" t="s">
        <v>690</v>
      </c>
      <c r="O10" s="182" t="s">
        <v>754</v>
      </c>
    </row>
    <row r="11" spans="1:20">
      <c r="B11" s="186" t="s">
        <v>2441</v>
      </c>
      <c r="C11" s="175" t="s">
        <v>2299</v>
      </c>
      <c r="D11" s="176" t="s">
        <v>2300</v>
      </c>
      <c r="E11" s="177" t="s">
        <v>2442</v>
      </c>
      <c r="F11" s="175">
        <f t="shared" si="1"/>
        <v>12</v>
      </c>
      <c r="G11" s="175" t="str">
        <f t="shared" si="2"/>
        <v>Pittsfield</v>
      </c>
      <c r="I11" s="178" t="s">
        <v>418</v>
      </c>
      <c r="J11" s="27" t="s">
        <v>417</v>
      </c>
      <c r="K11" s="27">
        <v>507</v>
      </c>
      <c r="L11" s="179">
        <v>6894</v>
      </c>
      <c r="M11" s="180" t="s">
        <v>419</v>
      </c>
      <c r="N11" s="181" t="s">
        <v>417</v>
      </c>
      <c r="O11" s="182" t="s">
        <v>420</v>
      </c>
    </row>
    <row r="12" spans="1:20">
      <c r="B12" s="186" t="s">
        <v>2061</v>
      </c>
      <c r="C12" s="175" t="s">
        <v>2299</v>
      </c>
      <c r="D12" s="176" t="s">
        <v>2300</v>
      </c>
      <c r="E12" s="177" t="s">
        <v>2062</v>
      </c>
      <c r="F12" s="175">
        <f t="shared" si="1"/>
        <v>12</v>
      </c>
      <c r="G12" s="175" t="str">
        <f t="shared" si="2"/>
        <v>Greenfield</v>
      </c>
      <c r="I12" s="178" t="s">
        <v>649</v>
      </c>
      <c r="J12" s="27" t="s">
        <v>2300</v>
      </c>
      <c r="K12" s="27">
        <v>333</v>
      </c>
      <c r="L12" s="179">
        <v>6979</v>
      </c>
      <c r="M12" s="180" t="s">
        <v>650</v>
      </c>
      <c r="N12" s="181" t="s">
        <v>2300</v>
      </c>
      <c r="O12" s="182" t="s">
        <v>651</v>
      </c>
    </row>
    <row r="13" spans="1:20">
      <c r="B13" s="186" t="s">
        <v>749</v>
      </c>
      <c r="C13" s="175" t="s">
        <v>2299</v>
      </c>
      <c r="D13" s="176" t="s">
        <v>2300</v>
      </c>
      <c r="E13" s="177" t="s">
        <v>750</v>
      </c>
      <c r="F13" s="175">
        <f t="shared" si="1"/>
        <v>11</v>
      </c>
      <c r="G13" s="175" t="str">
        <f t="shared" si="2"/>
        <v>Worcester</v>
      </c>
      <c r="I13" s="178" t="s">
        <v>649</v>
      </c>
      <c r="J13" s="27" t="s">
        <v>2300</v>
      </c>
      <c r="K13" s="27">
        <v>333</v>
      </c>
      <c r="L13" s="179">
        <v>6979</v>
      </c>
      <c r="M13" s="180" t="s">
        <v>650</v>
      </c>
      <c r="N13" s="181" t="s">
        <v>2300</v>
      </c>
      <c r="O13" s="182" t="s">
        <v>651</v>
      </c>
      <c r="S13" s="160"/>
      <c r="T13" s="160"/>
    </row>
    <row r="14" spans="1:20">
      <c r="B14" s="186" t="s">
        <v>751</v>
      </c>
      <c r="C14" s="175" t="s">
        <v>2299</v>
      </c>
      <c r="D14" s="176" t="s">
        <v>2300</v>
      </c>
      <c r="E14" s="177" t="s">
        <v>750</v>
      </c>
      <c r="F14" s="175">
        <f t="shared" si="1"/>
        <v>11</v>
      </c>
      <c r="G14" s="175" t="str">
        <f t="shared" si="2"/>
        <v>Worcester</v>
      </c>
      <c r="I14" s="178" t="s">
        <v>649</v>
      </c>
      <c r="J14" s="27" t="s">
        <v>2300</v>
      </c>
      <c r="K14" s="27">
        <v>333</v>
      </c>
      <c r="L14" s="179">
        <v>6979</v>
      </c>
      <c r="M14" s="180" t="s">
        <v>650</v>
      </c>
      <c r="N14" s="181" t="s">
        <v>2300</v>
      </c>
      <c r="O14" s="182" t="s">
        <v>651</v>
      </c>
      <c r="S14" s="27"/>
      <c r="T14" s="27"/>
    </row>
    <row r="15" spans="1:20">
      <c r="B15" s="186" t="s">
        <v>752</v>
      </c>
      <c r="C15" s="175" t="s">
        <v>2299</v>
      </c>
      <c r="D15" s="176" t="s">
        <v>2300</v>
      </c>
      <c r="E15" s="177" t="s">
        <v>750</v>
      </c>
      <c r="F15" s="175">
        <f t="shared" si="1"/>
        <v>11</v>
      </c>
      <c r="G15" s="175" t="str">
        <f t="shared" si="2"/>
        <v>Worcester</v>
      </c>
      <c r="I15" s="178" t="s">
        <v>649</v>
      </c>
      <c r="J15" s="27" t="s">
        <v>2300</v>
      </c>
      <c r="K15" s="27">
        <v>333</v>
      </c>
      <c r="L15" s="179">
        <v>6979</v>
      </c>
      <c r="M15" s="180" t="s">
        <v>650</v>
      </c>
      <c r="N15" s="181" t="s">
        <v>2300</v>
      </c>
      <c r="O15" s="182" t="s">
        <v>651</v>
      </c>
      <c r="S15" s="27"/>
      <c r="T15" s="27"/>
    </row>
    <row r="16" spans="1:20">
      <c r="B16" s="186" t="s">
        <v>1979</v>
      </c>
      <c r="C16" s="175" t="s">
        <v>2299</v>
      </c>
      <c r="D16" s="176" t="s">
        <v>2300</v>
      </c>
      <c r="E16" s="177" t="s">
        <v>1980</v>
      </c>
      <c r="F16" s="175">
        <f t="shared" si="1"/>
        <v>12</v>
      </c>
      <c r="G16" s="175" t="str">
        <f t="shared" si="2"/>
        <v>Framingham</v>
      </c>
      <c r="I16" s="178" t="s">
        <v>649</v>
      </c>
      <c r="J16" s="27" t="s">
        <v>2300</v>
      </c>
      <c r="K16" s="27">
        <v>333</v>
      </c>
      <c r="L16" s="179">
        <v>6979</v>
      </c>
      <c r="M16" s="180" t="s">
        <v>650</v>
      </c>
      <c r="N16" s="181" t="s">
        <v>2300</v>
      </c>
      <c r="O16" s="182" t="s">
        <v>651</v>
      </c>
      <c r="S16" s="27"/>
      <c r="T16" s="27"/>
    </row>
    <row r="17" spans="2:20">
      <c r="B17" s="186" t="s">
        <v>743</v>
      </c>
      <c r="C17" s="175" t="s">
        <v>2299</v>
      </c>
      <c r="D17" s="176" t="s">
        <v>2300</v>
      </c>
      <c r="E17" s="177" t="s">
        <v>744</v>
      </c>
      <c r="F17" s="175">
        <f t="shared" si="1"/>
        <v>8</v>
      </c>
      <c r="G17" s="175" t="str">
        <f t="shared" si="2"/>
        <v>Woburn</v>
      </c>
      <c r="I17" s="178" t="s">
        <v>649</v>
      </c>
      <c r="J17" s="27" t="s">
        <v>2300</v>
      </c>
      <c r="K17" s="27">
        <v>333</v>
      </c>
      <c r="L17" s="179">
        <v>6979</v>
      </c>
      <c r="M17" s="180" t="s">
        <v>650</v>
      </c>
      <c r="N17" s="181" t="s">
        <v>2300</v>
      </c>
      <c r="O17" s="182" t="s">
        <v>651</v>
      </c>
      <c r="S17" s="27"/>
      <c r="T17" s="27"/>
    </row>
    <row r="18" spans="2:20">
      <c r="B18" s="186" t="s">
        <v>2166</v>
      </c>
      <c r="C18" s="175" t="s">
        <v>2299</v>
      </c>
      <c r="D18" s="176" t="s">
        <v>2300</v>
      </c>
      <c r="E18" s="177" t="s">
        <v>2167</v>
      </c>
      <c r="F18" s="175">
        <f t="shared" si="1"/>
        <v>6</v>
      </c>
      <c r="G18" s="175" t="str">
        <f t="shared" si="2"/>
        <v>Lynn</v>
      </c>
      <c r="I18" s="178" t="s">
        <v>653</v>
      </c>
      <c r="J18" s="27" t="s">
        <v>2300</v>
      </c>
      <c r="K18" s="27">
        <v>678</v>
      </c>
      <c r="L18" s="179">
        <v>5641</v>
      </c>
      <c r="M18" s="180" t="s">
        <v>650</v>
      </c>
      <c r="N18" s="181" t="s">
        <v>2300</v>
      </c>
      <c r="O18" s="182" t="s">
        <v>651</v>
      </c>
      <c r="S18" s="27"/>
      <c r="T18" s="27"/>
    </row>
    <row r="19" spans="2:20">
      <c r="B19" s="186" t="s">
        <v>2298</v>
      </c>
      <c r="C19" s="175" t="s">
        <v>2299</v>
      </c>
      <c r="D19" s="176" t="s">
        <v>2300</v>
      </c>
      <c r="E19" s="177" t="s">
        <v>2301</v>
      </c>
      <c r="F19" s="175">
        <f t="shared" si="1"/>
        <v>8</v>
      </c>
      <c r="G19" s="175" t="str">
        <f t="shared" si="2"/>
        <v>Boston</v>
      </c>
      <c r="H19" s="175"/>
      <c r="I19" s="178" t="s">
        <v>649</v>
      </c>
      <c r="J19" s="27" t="s">
        <v>2300</v>
      </c>
      <c r="K19" s="27">
        <v>333</v>
      </c>
      <c r="L19" s="179">
        <v>6979</v>
      </c>
      <c r="M19" s="180" t="s">
        <v>650</v>
      </c>
      <c r="N19" s="181" t="s">
        <v>2300</v>
      </c>
      <c r="O19" s="182" t="s">
        <v>651</v>
      </c>
      <c r="S19" s="27"/>
      <c r="T19" s="27"/>
    </row>
    <row r="20" spans="2:20">
      <c r="B20" s="186" t="s">
        <v>652</v>
      </c>
      <c r="C20" s="175" t="s">
        <v>2299</v>
      </c>
      <c r="D20" s="176" t="s">
        <v>2300</v>
      </c>
      <c r="E20" s="177" t="s">
        <v>2301</v>
      </c>
      <c r="F20" s="175">
        <f t="shared" si="1"/>
        <v>8</v>
      </c>
      <c r="G20" s="175" t="str">
        <f t="shared" si="2"/>
        <v>Boston</v>
      </c>
      <c r="H20" s="175"/>
      <c r="I20" s="178" t="s">
        <v>653</v>
      </c>
      <c r="J20" s="27" t="s">
        <v>2300</v>
      </c>
      <c r="K20" s="27">
        <v>678</v>
      </c>
      <c r="L20" s="179">
        <v>5641</v>
      </c>
      <c r="M20" s="180" t="s">
        <v>650</v>
      </c>
      <c r="N20" s="181" t="s">
        <v>2300</v>
      </c>
      <c r="O20" s="182" t="s">
        <v>651</v>
      </c>
      <c r="S20" s="27"/>
      <c r="T20" s="27"/>
    </row>
    <row r="21" spans="2:20">
      <c r="B21" s="186" t="s">
        <v>654</v>
      </c>
      <c r="C21" s="175" t="s">
        <v>2299</v>
      </c>
      <c r="D21" s="176" t="s">
        <v>2300</v>
      </c>
      <c r="E21" s="177" t="s">
        <v>2301</v>
      </c>
      <c r="F21" s="175">
        <f t="shared" si="1"/>
        <v>8</v>
      </c>
      <c r="G21" s="175" t="str">
        <f t="shared" si="2"/>
        <v>Boston</v>
      </c>
      <c r="H21" s="175"/>
      <c r="I21" s="178" t="s">
        <v>653</v>
      </c>
      <c r="J21" s="27" t="s">
        <v>2300</v>
      </c>
      <c r="K21" s="27">
        <v>678</v>
      </c>
      <c r="L21" s="179">
        <v>5641</v>
      </c>
      <c r="M21" s="180" t="s">
        <v>650</v>
      </c>
      <c r="N21" s="181" t="s">
        <v>2300</v>
      </c>
      <c r="O21" s="182" t="s">
        <v>651</v>
      </c>
      <c r="S21" s="27"/>
      <c r="T21" s="27"/>
    </row>
    <row r="22" spans="2:20">
      <c r="B22" s="186" t="s">
        <v>697</v>
      </c>
      <c r="C22" s="175" t="s">
        <v>2299</v>
      </c>
      <c r="D22" s="176" t="s">
        <v>2300</v>
      </c>
      <c r="E22" s="177" t="s">
        <v>2268</v>
      </c>
      <c r="F22" s="175">
        <f t="shared" si="1"/>
        <v>10</v>
      </c>
      <c r="G22" s="175" t="str">
        <f t="shared" si="2"/>
        <v>Brockton</v>
      </c>
      <c r="H22" s="175"/>
      <c r="I22" s="178" t="s">
        <v>2269</v>
      </c>
      <c r="J22" s="27" t="s">
        <v>2270</v>
      </c>
      <c r="K22" s="27">
        <v>606</v>
      </c>
      <c r="L22" s="179">
        <v>5884</v>
      </c>
      <c r="M22" s="180" t="s">
        <v>2271</v>
      </c>
      <c r="N22" s="181" t="s">
        <v>2270</v>
      </c>
      <c r="O22" s="182" t="s">
        <v>2272</v>
      </c>
      <c r="S22" s="27"/>
      <c r="T22" s="27"/>
    </row>
    <row r="23" spans="2:20">
      <c r="B23" s="186" t="s">
        <v>2273</v>
      </c>
      <c r="C23" s="175" t="s">
        <v>2299</v>
      </c>
      <c r="D23" s="176" t="s">
        <v>2300</v>
      </c>
      <c r="E23" s="177" t="s">
        <v>2268</v>
      </c>
      <c r="F23" s="175">
        <f t="shared" si="1"/>
        <v>10</v>
      </c>
      <c r="G23" s="175" t="str">
        <f t="shared" si="2"/>
        <v>Brockton</v>
      </c>
      <c r="H23" s="175"/>
      <c r="I23" s="178" t="s">
        <v>653</v>
      </c>
      <c r="J23" s="27" t="s">
        <v>2300</v>
      </c>
      <c r="K23" s="27">
        <v>678</v>
      </c>
      <c r="L23" s="179">
        <v>5641</v>
      </c>
      <c r="M23" s="180" t="s">
        <v>650</v>
      </c>
      <c r="N23" s="181" t="s">
        <v>2300</v>
      </c>
      <c r="O23" s="182" t="s">
        <v>651</v>
      </c>
      <c r="S23" s="27"/>
      <c r="T23" s="27"/>
    </row>
    <row r="24" spans="2:20">
      <c r="B24" s="186" t="s">
        <v>1358</v>
      </c>
      <c r="C24" s="175" t="s">
        <v>2299</v>
      </c>
      <c r="D24" s="176" t="s">
        <v>2300</v>
      </c>
      <c r="E24" s="177" t="s">
        <v>1359</v>
      </c>
      <c r="F24" s="175">
        <f t="shared" si="1"/>
        <v>14</v>
      </c>
      <c r="G24" s="175" t="str">
        <f t="shared" si="2"/>
        <v>Buzzards Bay</v>
      </c>
      <c r="H24" s="175"/>
      <c r="I24" s="178" t="s">
        <v>2269</v>
      </c>
      <c r="J24" s="27" t="s">
        <v>2270</v>
      </c>
      <c r="K24" s="27">
        <v>606</v>
      </c>
      <c r="L24" s="179">
        <v>5884</v>
      </c>
      <c r="M24" s="180" t="s">
        <v>2271</v>
      </c>
      <c r="N24" s="181" t="s">
        <v>2270</v>
      </c>
      <c r="O24" s="182" t="s">
        <v>2272</v>
      </c>
      <c r="S24" s="27"/>
      <c r="T24" s="27"/>
    </row>
    <row r="25" spans="2:20">
      <c r="B25" s="186" t="s">
        <v>820</v>
      </c>
      <c r="C25" s="175" t="s">
        <v>2299</v>
      </c>
      <c r="D25" s="176" t="s">
        <v>2300</v>
      </c>
      <c r="E25" s="177" t="s">
        <v>83</v>
      </c>
      <c r="F25" s="175">
        <f t="shared" si="1"/>
        <v>9</v>
      </c>
      <c r="G25" s="175" t="str">
        <f t="shared" si="2"/>
        <v>Hyannis</v>
      </c>
      <c r="H25" s="175"/>
      <c r="I25" s="178" t="s">
        <v>2269</v>
      </c>
      <c r="J25" s="27" t="s">
        <v>2270</v>
      </c>
      <c r="K25" s="27">
        <v>606</v>
      </c>
      <c r="L25" s="179">
        <v>5884</v>
      </c>
      <c r="M25" s="180" t="s">
        <v>2271</v>
      </c>
      <c r="N25" s="181" t="s">
        <v>2270</v>
      </c>
      <c r="O25" s="182" t="s">
        <v>2272</v>
      </c>
      <c r="S25" s="27"/>
      <c r="T25" s="27"/>
    </row>
    <row r="26" spans="2:20">
      <c r="B26" s="186" t="s">
        <v>1103</v>
      </c>
      <c r="C26" s="175" t="s">
        <v>2299</v>
      </c>
      <c r="D26" s="176" t="s">
        <v>2300</v>
      </c>
      <c r="E26" s="177" t="s">
        <v>1104</v>
      </c>
      <c r="F26" s="175">
        <f t="shared" si="1"/>
        <v>13</v>
      </c>
      <c r="G26" s="175" t="str">
        <f t="shared" si="2"/>
        <v>New Bedford</v>
      </c>
      <c r="H26" s="175"/>
      <c r="I26" s="178" t="s">
        <v>2269</v>
      </c>
      <c r="J26" s="27" t="s">
        <v>2270</v>
      </c>
      <c r="K26" s="27">
        <v>606</v>
      </c>
      <c r="L26" s="179">
        <v>5884</v>
      </c>
      <c r="M26" s="180" t="s">
        <v>2271</v>
      </c>
      <c r="N26" s="181" t="s">
        <v>2270</v>
      </c>
      <c r="O26" s="182" t="s">
        <v>2272</v>
      </c>
      <c r="S26" s="27"/>
      <c r="T26" s="27"/>
    </row>
    <row r="27" spans="2:20">
      <c r="B27" s="186" t="s">
        <v>2480</v>
      </c>
      <c r="C27" s="175" t="s">
        <v>2481</v>
      </c>
      <c r="D27" s="176" t="s">
        <v>2270</v>
      </c>
      <c r="E27" s="177" t="s">
        <v>2482</v>
      </c>
      <c r="F27" s="175">
        <f t="shared" si="1"/>
        <v>12</v>
      </c>
      <c r="G27" s="175" t="str">
        <f t="shared" si="2"/>
        <v>Providence</v>
      </c>
      <c r="H27" s="175"/>
      <c r="I27" s="178" t="s">
        <v>649</v>
      </c>
      <c r="J27" s="27" t="s">
        <v>2300</v>
      </c>
      <c r="K27" s="27">
        <v>333</v>
      </c>
      <c r="L27" s="179">
        <v>6979</v>
      </c>
      <c r="M27" s="180" t="s">
        <v>2271</v>
      </c>
      <c r="N27" s="181" t="s">
        <v>2270</v>
      </c>
      <c r="O27" s="182" t="s">
        <v>2272</v>
      </c>
      <c r="S27" s="27"/>
      <c r="T27" s="27"/>
    </row>
    <row r="28" spans="2:20">
      <c r="B28" s="186" t="s">
        <v>2483</v>
      </c>
      <c r="C28" s="175" t="s">
        <v>2481</v>
      </c>
      <c r="D28" s="176" t="s">
        <v>2270</v>
      </c>
      <c r="E28" s="177" t="s">
        <v>2482</v>
      </c>
      <c r="F28" s="175">
        <f t="shared" si="1"/>
        <v>12</v>
      </c>
      <c r="G28" s="175" t="str">
        <f t="shared" si="2"/>
        <v>Providence</v>
      </c>
      <c r="H28" s="175"/>
      <c r="I28" s="178" t="s">
        <v>2269</v>
      </c>
      <c r="J28" s="27" t="s">
        <v>2270</v>
      </c>
      <c r="K28" s="27">
        <v>606</v>
      </c>
      <c r="L28" s="179">
        <v>5884</v>
      </c>
      <c r="M28" s="180" t="s">
        <v>2271</v>
      </c>
      <c r="N28" s="181" t="s">
        <v>2270</v>
      </c>
      <c r="O28" s="182" t="s">
        <v>2272</v>
      </c>
      <c r="S28" s="27"/>
      <c r="T28" s="27"/>
    </row>
    <row r="29" spans="2:20">
      <c r="B29" s="186" t="s">
        <v>2181</v>
      </c>
      <c r="C29" s="175" t="s">
        <v>271</v>
      </c>
      <c r="D29" s="176" t="s">
        <v>272</v>
      </c>
      <c r="E29" s="177" t="s">
        <v>2182</v>
      </c>
      <c r="F29" s="175">
        <f t="shared" si="1"/>
        <v>12</v>
      </c>
      <c r="G29" s="175" t="str">
        <f t="shared" si="2"/>
        <v>Manchester</v>
      </c>
      <c r="H29" s="175"/>
      <c r="I29" s="178" t="s">
        <v>649</v>
      </c>
      <c r="J29" s="27" t="s">
        <v>2300</v>
      </c>
      <c r="K29" s="27">
        <v>333</v>
      </c>
      <c r="L29" s="179">
        <v>6979</v>
      </c>
      <c r="M29" s="180" t="s">
        <v>275</v>
      </c>
      <c r="N29" s="181" t="s">
        <v>272</v>
      </c>
      <c r="O29" s="182" t="s">
        <v>276</v>
      </c>
      <c r="S29" s="27"/>
      <c r="T29" s="27"/>
    </row>
    <row r="30" spans="2:20">
      <c r="B30" s="186" t="s">
        <v>2183</v>
      </c>
      <c r="C30" s="175" t="s">
        <v>271</v>
      </c>
      <c r="D30" s="176" t="s">
        <v>272</v>
      </c>
      <c r="E30" s="177" t="s">
        <v>2182</v>
      </c>
      <c r="F30" s="175">
        <f t="shared" si="1"/>
        <v>12</v>
      </c>
      <c r="G30" s="175" t="str">
        <f t="shared" si="2"/>
        <v>Manchester</v>
      </c>
      <c r="H30" s="175"/>
      <c r="I30" s="178" t="s">
        <v>274</v>
      </c>
      <c r="J30" s="27" t="s">
        <v>272</v>
      </c>
      <c r="K30" s="27">
        <v>328</v>
      </c>
      <c r="L30" s="179">
        <v>7554</v>
      </c>
      <c r="M30" s="180" t="s">
        <v>275</v>
      </c>
      <c r="N30" s="181" t="s">
        <v>272</v>
      </c>
      <c r="O30" s="182" t="s">
        <v>276</v>
      </c>
      <c r="S30" s="27"/>
      <c r="T30" s="27"/>
    </row>
    <row r="31" spans="2:20">
      <c r="B31" s="186" t="s">
        <v>2443</v>
      </c>
      <c r="C31" s="175" t="s">
        <v>271</v>
      </c>
      <c r="D31" s="176" t="s">
        <v>272</v>
      </c>
      <c r="E31" s="177" t="s">
        <v>2442</v>
      </c>
      <c r="F31" s="175">
        <f t="shared" si="1"/>
        <v>12</v>
      </c>
      <c r="G31" s="175" t="str">
        <f t="shared" si="2"/>
        <v>Pittsfield</v>
      </c>
      <c r="H31" s="175"/>
      <c r="I31" s="178" t="s">
        <v>274</v>
      </c>
      <c r="J31" s="27" t="s">
        <v>272</v>
      </c>
      <c r="K31" s="27">
        <v>328</v>
      </c>
      <c r="L31" s="179">
        <v>7554</v>
      </c>
      <c r="M31" s="180" t="s">
        <v>275</v>
      </c>
      <c r="N31" s="181" t="s">
        <v>272</v>
      </c>
      <c r="O31" s="182" t="s">
        <v>276</v>
      </c>
    </row>
    <row r="32" spans="2:20">
      <c r="B32" s="186" t="s">
        <v>643</v>
      </c>
      <c r="C32" s="175" t="s">
        <v>271</v>
      </c>
      <c r="D32" s="176" t="s">
        <v>272</v>
      </c>
      <c r="E32" s="177" t="s">
        <v>639</v>
      </c>
      <c r="F32" s="175">
        <f t="shared" si="1"/>
        <v>9</v>
      </c>
      <c r="G32" s="175" t="str">
        <f t="shared" si="2"/>
        <v>Concord</v>
      </c>
      <c r="H32" s="175"/>
      <c r="I32" s="178" t="s">
        <v>274</v>
      </c>
      <c r="J32" s="27" t="s">
        <v>272</v>
      </c>
      <c r="K32" s="27">
        <v>328</v>
      </c>
      <c r="L32" s="179">
        <v>7554</v>
      </c>
      <c r="M32" s="180" t="s">
        <v>275</v>
      </c>
      <c r="N32" s="181" t="s">
        <v>272</v>
      </c>
      <c r="O32" s="182" t="s">
        <v>276</v>
      </c>
      <c r="S32" s="27"/>
      <c r="T32" s="27"/>
    </row>
    <row r="33" spans="2:20">
      <c r="B33" s="186" t="s">
        <v>909</v>
      </c>
      <c r="C33" s="175" t="s">
        <v>271</v>
      </c>
      <c r="D33" s="176" t="s">
        <v>272</v>
      </c>
      <c r="E33" s="177" t="s">
        <v>910</v>
      </c>
      <c r="F33" s="175">
        <f t="shared" si="1"/>
        <v>7</v>
      </c>
      <c r="G33" s="175" t="str">
        <f t="shared" si="2"/>
        <v>Keene</v>
      </c>
      <c r="H33" s="175"/>
      <c r="I33" s="178" t="s">
        <v>649</v>
      </c>
      <c r="J33" s="27" t="s">
        <v>2300</v>
      </c>
      <c r="K33" s="27">
        <v>333</v>
      </c>
      <c r="L33" s="179">
        <v>6979</v>
      </c>
      <c r="M33" s="180" t="s">
        <v>275</v>
      </c>
      <c r="N33" s="181" t="s">
        <v>272</v>
      </c>
      <c r="O33" s="182" t="s">
        <v>276</v>
      </c>
    </row>
    <row r="34" spans="2:20">
      <c r="B34" s="186" t="s">
        <v>2137</v>
      </c>
      <c r="C34" s="175" t="s">
        <v>271</v>
      </c>
      <c r="D34" s="176" t="s">
        <v>272</v>
      </c>
      <c r="E34" s="177" t="s">
        <v>2138</v>
      </c>
      <c r="F34" s="175">
        <f t="shared" si="1"/>
        <v>11</v>
      </c>
      <c r="G34" s="175" t="str">
        <f t="shared" si="2"/>
        <v>Littleton</v>
      </c>
      <c r="H34" s="175"/>
      <c r="I34" s="178" t="s">
        <v>1340</v>
      </c>
      <c r="J34" s="27" t="s">
        <v>1623</v>
      </c>
      <c r="K34" s="27">
        <v>388</v>
      </c>
      <c r="L34" s="179">
        <v>7771</v>
      </c>
      <c r="M34" s="180" t="s">
        <v>1341</v>
      </c>
      <c r="N34" s="181" t="s">
        <v>1623</v>
      </c>
      <c r="O34" s="182" t="s">
        <v>1342</v>
      </c>
      <c r="S34" s="27"/>
      <c r="T34" s="27"/>
    </row>
    <row r="35" spans="2:20">
      <c r="B35" s="186" t="s">
        <v>270</v>
      </c>
      <c r="C35" s="175" t="s">
        <v>271</v>
      </c>
      <c r="D35" s="176" t="s">
        <v>272</v>
      </c>
      <c r="E35" s="177" t="s">
        <v>273</v>
      </c>
      <c r="F35" s="175">
        <f t="shared" si="1"/>
        <v>9</v>
      </c>
      <c r="G35" s="175" t="str">
        <f t="shared" si="2"/>
        <v>Acworth</v>
      </c>
      <c r="H35" s="175"/>
      <c r="I35" s="178" t="s">
        <v>274</v>
      </c>
      <c r="J35" s="27" t="s">
        <v>272</v>
      </c>
      <c r="K35" s="27">
        <v>328</v>
      </c>
      <c r="L35" s="179">
        <v>7554</v>
      </c>
      <c r="M35" s="180" t="s">
        <v>275</v>
      </c>
      <c r="N35" s="181" t="s">
        <v>272</v>
      </c>
      <c r="O35" s="182" t="s">
        <v>276</v>
      </c>
      <c r="S35" s="27"/>
      <c r="T35" s="27"/>
    </row>
    <row r="36" spans="2:20">
      <c r="B36" s="186" t="s">
        <v>2392</v>
      </c>
      <c r="C36" s="175" t="s">
        <v>271</v>
      </c>
      <c r="D36" s="176" t="s">
        <v>272</v>
      </c>
      <c r="E36" s="177" t="s">
        <v>2393</v>
      </c>
      <c r="F36" s="175">
        <f t="shared" si="1"/>
        <v>11</v>
      </c>
      <c r="G36" s="175" t="str">
        <f t="shared" si="2"/>
        <v>Claremont</v>
      </c>
      <c r="H36" s="175"/>
      <c r="I36" s="178" t="s">
        <v>1340</v>
      </c>
      <c r="J36" s="27" t="s">
        <v>1623</v>
      </c>
      <c r="K36" s="27">
        <v>388</v>
      </c>
      <c r="L36" s="179">
        <v>7771</v>
      </c>
      <c r="M36" s="180" t="s">
        <v>1341</v>
      </c>
      <c r="N36" s="181" t="s">
        <v>1623</v>
      </c>
      <c r="O36" s="182" t="s">
        <v>1342</v>
      </c>
    </row>
    <row r="37" spans="2:20">
      <c r="B37" s="186" t="s">
        <v>2468</v>
      </c>
      <c r="C37" s="175" t="s">
        <v>271</v>
      </c>
      <c r="D37" s="176" t="s">
        <v>272</v>
      </c>
      <c r="E37" s="177" t="s">
        <v>2469</v>
      </c>
      <c r="F37" s="175">
        <f t="shared" si="1"/>
        <v>12</v>
      </c>
      <c r="G37" s="175" t="str">
        <f t="shared" si="2"/>
        <v>Portsmouth</v>
      </c>
      <c r="H37" s="175"/>
      <c r="I37" s="178" t="s">
        <v>1558</v>
      </c>
      <c r="J37" s="27" t="s">
        <v>1556</v>
      </c>
      <c r="K37" s="27">
        <v>268</v>
      </c>
      <c r="L37" s="179">
        <v>7378</v>
      </c>
      <c r="M37" s="180" t="s">
        <v>1559</v>
      </c>
      <c r="N37" s="181" t="s">
        <v>1556</v>
      </c>
      <c r="O37" s="182" t="s">
        <v>1560</v>
      </c>
      <c r="S37" s="27"/>
      <c r="T37" s="27"/>
    </row>
    <row r="38" spans="2:20">
      <c r="B38" s="186" t="s">
        <v>931</v>
      </c>
      <c r="C38" s="175" t="s">
        <v>1555</v>
      </c>
      <c r="D38" s="176" t="s">
        <v>1556</v>
      </c>
      <c r="E38" s="177" t="s">
        <v>932</v>
      </c>
      <c r="F38" s="175">
        <f t="shared" si="1"/>
        <v>9</v>
      </c>
      <c r="G38" s="175" t="str">
        <f t="shared" si="2"/>
        <v>Kittery</v>
      </c>
      <c r="H38" s="175"/>
      <c r="I38" s="178" t="s">
        <v>1558</v>
      </c>
      <c r="J38" s="27" t="s">
        <v>1556</v>
      </c>
      <c r="K38" s="27">
        <v>268</v>
      </c>
      <c r="L38" s="179">
        <v>7378</v>
      </c>
      <c r="M38" s="180" t="s">
        <v>1559</v>
      </c>
      <c r="N38" s="181" t="s">
        <v>1556</v>
      </c>
      <c r="O38" s="182" t="s">
        <v>1560</v>
      </c>
      <c r="S38" s="27"/>
      <c r="T38" s="27"/>
    </row>
    <row r="39" spans="2:20">
      <c r="B39" s="186" t="s">
        <v>2461</v>
      </c>
      <c r="C39" s="175" t="s">
        <v>1555</v>
      </c>
      <c r="D39" s="176" t="s">
        <v>1556</v>
      </c>
      <c r="E39" s="177" t="s">
        <v>2462</v>
      </c>
      <c r="F39" s="175">
        <f t="shared" si="1"/>
        <v>10</v>
      </c>
      <c r="G39" s="175" t="str">
        <f t="shared" si="2"/>
        <v>Portland</v>
      </c>
      <c r="H39" s="175"/>
      <c r="I39" s="178" t="s">
        <v>1558</v>
      </c>
      <c r="J39" s="27" t="s">
        <v>1556</v>
      </c>
      <c r="K39" s="27">
        <v>268</v>
      </c>
      <c r="L39" s="179">
        <v>7378</v>
      </c>
      <c r="M39" s="180" t="s">
        <v>1559</v>
      </c>
      <c r="N39" s="181" t="s">
        <v>1556</v>
      </c>
      <c r="O39" s="182" t="s">
        <v>1560</v>
      </c>
    </row>
    <row r="40" spans="2:20">
      <c r="B40" s="186" t="s">
        <v>2463</v>
      </c>
      <c r="C40" s="175" t="s">
        <v>1555</v>
      </c>
      <c r="D40" s="176" t="s">
        <v>1556</v>
      </c>
      <c r="E40" s="177" t="s">
        <v>2462</v>
      </c>
      <c r="F40" s="175">
        <f t="shared" si="1"/>
        <v>10</v>
      </c>
      <c r="G40" s="175" t="str">
        <f t="shared" si="2"/>
        <v>Portland</v>
      </c>
      <c r="H40" s="175"/>
      <c r="I40" s="178" t="s">
        <v>1558</v>
      </c>
      <c r="J40" s="27" t="s">
        <v>1556</v>
      </c>
      <c r="K40" s="27">
        <v>268</v>
      </c>
      <c r="L40" s="179">
        <v>7378</v>
      </c>
      <c r="M40" s="180" t="s">
        <v>1559</v>
      </c>
      <c r="N40" s="181" t="s">
        <v>1556</v>
      </c>
      <c r="O40" s="182" t="s">
        <v>1560</v>
      </c>
      <c r="S40" s="27"/>
      <c r="T40" s="27"/>
    </row>
    <row r="41" spans="2:20">
      <c r="B41" s="186" t="s">
        <v>1554</v>
      </c>
      <c r="C41" s="175" t="s">
        <v>1555</v>
      </c>
      <c r="D41" s="176" t="s">
        <v>1556</v>
      </c>
      <c r="E41" s="177" t="s">
        <v>1557</v>
      </c>
      <c r="F41" s="175">
        <f t="shared" si="1"/>
        <v>8</v>
      </c>
      <c r="G41" s="175" t="str">
        <f t="shared" si="2"/>
        <v>Auburn</v>
      </c>
      <c r="H41" s="175"/>
      <c r="I41" s="178" t="s">
        <v>1558</v>
      </c>
      <c r="J41" s="27" t="s">
        <v>1556</v>
      </c>
      <c r="K41" s="27">
        <v>268</v>
      </c>
      <c r="L41" s="179">
        <v>7378</v>
      </c>
      <c r="M41" s="180" t="s">
        <v>1559</v>
      </c>
      <c r="N41" s="181" t="s">
        <v>1556</v>
      </c>
      <c r="O41" s="182" t="s">
        <v>1560</v>
      </c>
    </row>
    <row r="42" spans="2:20">
      <c r="B42" s="186" t="s">
        <v>1565</v>
      </c>
      <c r="C42" s="175" t="s">
        <v>1555</v>
      </c>
      <c r="D42" s="176" t="s">
        <v>1556</v>
      </c>
      <c r="E42" s="177" t="s">
        <v>1562</v>
      </c>
      <c r="F42" s="175">
        <f t="shared" si="1"/>
        <v>9</v>
      </c>
      <c r="G42" s="175" t="str">
        <f t="shared" si="2"/>
        <v>Augusta</v>
      </c>
      <c r="H42" s="175"/>
      <c r="I42" s="178" t="s">
        <v>1558</v>
      </c>
      <c r="J42" s="27" t="s">
        <v>1556</v>
      </c>
      <c r="K42" s="27">
        <v>268</v>
      </c>
      <c r="L42" s="179">
        <v>7378</v>
      </c>
      <c r="M42" s="180" t="s">
        <v>1559</v>
      </c>
      <c r="N42" s="181" t="s">
        <v>1556</v>
      </c>
      <c r="O42" s="182" t="s">
        <v>1560</v>
      </c>
      <c r="S42" s="27"/>
      <c r="T42" s="27"/>
    </row>
    <row r="43" spans="2:20">
      <c r="B43" s="186" t="s">
        <v>1586</v>
      </c>
      <c r="C43" s="175" t="s">
        <v>1555</v>
      </c>
      <c r="D43" s="176" t="s">
        <v>1556</v>
      </c>
      <c r="E43" s="177" t="s">
        <v>1587</v>
      </c>
      <c r="F43" s="175">
        <f t="shared" si="1"/>
        <v>8</v>
      </c>
      <c r="G43" s="175" t="str">
        <f t="shared" si="2"/>
        <v>Bangor</v>
      </c>
      <c r="H43" s="175"/>
      <c r="I43" s="178" t="s">
        <v>1558</v>
      </c>
      <c r="J43" s="27" t="s">
        <v>1556</v>
      </c>
      <c r="K43" s="27">
        <v>268</v>
      </c>
      <c r="L43" s="179">
        <v>7378</v>
      </c>
      <c r="M43" s="180" t="s">
        <v>1559</v>
      </c>
      <c r="N43" s="181" t="s">
        <v>1556</v>
      </c>
      <c r="O43" s="182" t="s">
        <v>1560</v>
      </c>
    </row>
    <row r="44" spans="2:20">
      <c r="B44" s="186" t="s">
        <v>1595</v>
      </c>
      <c r="C44" s="175" t="s">
        <v>1555</v>
      </c>
      <c r="D44" s="176" t="s">
        <v>1556</v>
      </c>
      <c r="E44" s="177" t="s">
        <v>1596</v>
      </c>
      <c r="F44" s="175">
        <f t="shared" si="1"/>
        <v>6</v>
      </c>
      <c r="G44" s="175" t="str">
        <f t="shared" si="2"/>
        <v>Bath</v>
      </c>
      <c r="H44" s="175"/>
      <c r="I44" s="178" t="s">
        <v>1558</v>
      </c>
      <c r="J44" s="27" t="s">
        <v>1556</v>
      </c>
      <c r="K44" s="27">
        <v>268</v>
      </c>
      <c r="L44" s="179">
        <v>7378</v>
      </c>
      <c r="M44" s="180" t="s">
        <v>1559</v>
      </c>
      <c r="N44" s="181" t="s">
        <v>1556</v>
      </c>
      <c r="O44" s="182" t="s">
        <v>1560</v>
      </c>
      <c r="S44" s="27"/>
      <c r="T44" s="27"/>
    </row>
    <row r="45" spans="2:20">
      <c r="B45" s="186" t="s">
        <v>1042</v>
      </c>
      <c r="C45" s="175" t="s">
        <v>1555</v>
      </c>
      <c r="D45" s="176" t="s">
        <v>1556</v>
      </c>
      <c r="E45" s="177" t="s">
        <v>1043</v>
      </c>
      <c r="F45" s="175">
        <f t="shared" si="1"/>
        <v>11</v>
      </c>
      <c r="G45" s="175" t="str">
        <f t="shared" si="2"/>
        <v>Ellsworth</v>
      </c>
      <c r="H45" s="175"/>
      <c r="I45" s="178" t="s">
        <v>1558</v>
      </c>
      <c r="J45" s="27" t="s">
        <v>1556</v>
      </c>
      <c r="K45" s="27">
        <v>268</v>
      </c>
      <c r="L45" s="179">
        <v>7378</v>
      </c>
      <c r="M45" s="180" t="s">
        <v>1559</v>
      </c>
      <c r="N45" s="181" t="s">
        <v>1556</v>
      </c>
      <c r="O45" s="182" t="s">
        <v>1560</v>
      </c>
    </row>
    <row r="46" spans="2:20">
      <c r="B46" s="186" t="s">
        <v>1388</v>
      </c>
      <c r="C46" s="175" t="s">
        <v>1555</v>
      </c>
      <c r="D46" s="176" t="s">
        <v>1556</v>
      </c>
      <c r="E46" s="177" t="s">
        <v>1389</v>
      </c>
      <c r="F46" s="175">
        <f t="shared" si="1"/>
        <v>9</v>
      </c>
      <c r="G46" s="175" t="str">
        <f t="shared" si="2"/>
        <v>Caribou</v>
      </c>
      <c r="H46" s="175"/>
      <c r="I46" s="178" t="s">
        <v>1390</v>
      </c>
      <c r="J46" s="27" t="s">
        <v>1556</v>
      </c>
      <c r="K46" s="27">
        <v>131</v>
      </c>
      <c r="L46" s="179">
        <v>9651</v>
      </c>
      <c r="M46" s="180" t="s">
        <v>1391</v>
      </c>
      <c r="N46" s="181" t="s">
        <v>1556</v>
      </c>
      <c r="O46" s="182" t="s">
        <v>1392</v>
      </c>
      <c r="S46" s="27"/>
      <c r="T46" s="27"/>
    </row>
    <row r="47" spans="2:20">
      <c r="B47" s="186" t="s">
        <v>317</v>
      </c>
      <c r="C47" s="175" t="s">
        <v>1555</v>
      </c>
      <c r="D47" s="176" t="s">
        <v>1556</v>
      </c>
      <c r="E47" s="177" t="s">
        <v>318</v>
      </c>
      <c r="F47" s="175">
        <f t="shared" si="1"/>
        <v>10</v>
      </c>
      <c r="G47" s="175" t="str">
        <f t="shared" si="2"/>
        <v>Rockland</v>
      </c>
      <c r="H47" s="175"/>
      <c r="I47" s="178" t="s">
        <v>1558</v>
      </c>
      <c r="J47" s="27" t="s">
        <v>1556</v>
      </c>
      <c r="K47" s="27">
        <v>268</v>
      </c>
      <c r="L47" s="179">
        <v>7378</v>
      </c>
      <c r="M47" s="180" t="s">
        <v>1559</v>
      </c>
      <c r="N47" s="181" t="s">
        <v>1556</v>
      </c>
      <c r="O47" s="182" t="s">
        <v>1560</v>
      </c>
    </row>
    <row r="48" spans="2:20">
      <c r="B48" s="186" t="s">
        <v>1829</v>
      </c>
      <c r="C48" s="175" t="s">
        <v>1555</v>
      </c>
      <c r="D48" s="176" t="s">
        <v>1556</v>
      </c>
      <c r="E48" s="177" t="s">
        <v>1830</v>
      </c>
      <c r="F48" s="175">
        <f t="shared" si="1"/>
        <v>12</v>
      </c>
      <c r="G48" s="175" t="str">
        <f t="shared" si="2"/>
        <v>Waterville</v>
      </c>
      <c r="H48" s="175"/>
      <c r="I48" s="178" t="s">
        <v>1558</v>
      </c>
      <c r="J48" s="27" t="s">
        <v>1556</v>
      </c>
      <c r="K48" s="27">
        <v>268</v>
      </c>
      <c r="L48" s="179">
        <v>7378</v>
      </c>
      <c r="M48" s="180" t="s">
        <v>1559</v>
      </c>
      <c r="N48" s="181" t="s">
        <v>1556</v>
      </c>
      <c r="O48" s="182" t="s">
        <v>1560</v>
      </c>
      <c r="S48" s="27"/>
      <c r="T48" s="27"/>
    </row>
    <row r="49" spans="2:20">
      <c r="B49" s="186" t="s">
        <v>1858</v>
      </c>
      <c r="C49" s="175" t="s">
        <v>1622</v>
      </c>
      <c r="D49" s="176" t="s">
        <v>1623</v>
      </c>
      <c r="E49" s="177" t="s">
        <v>1859</v>
      </c>
      <c r="F49" s="175">
        <f t="shared" si="1"/>
        <v>22</v>
      </c>
      <c r="G49" s="175" t="str">
        <f t="shared" si="2"/>
        <v>White River Junction</v>
      </c>
      <c r="H49" s="175"/>
      <c r="I49" s="178" t="s">
        <v>1340</v>
      </c>
      <c r="J49" s="27" t="s">
        <v>1623</v>
      </c>
      <c r="K49" s="27">
        <v>388</v>
      </c>
      <c r="L49" s="179">
        <v>7771</v>
      </c>
      <c r="M49" s="180" t="s">
        <v>1341</v>
      </c>
      <c r="N49" s="181" t="s">
        <v>1623</v>
      </c>
      <c r="O49" s="182" t="s">
        <v>1342</v>
      </c>
    </row>
    <row r="50" spans="2:20">
      <c r="B50" s="186" t="s">
        <v>1621</v>
      </c>
      <c r="C50" s="175" t="s">
        <v>1622</v>
      </c>
      <c r="D50" s="176" t="s">
        <v>1623</v>
      </c>
      <c r="E50" s="177" t="s">
        <v>1624</v>
      </c>
      <c r="F50" s="175">
        <f t="shared" si="1"/>
        <v>15</v>
      </c>
      <c r="G50" s="175" t="str">
        <f t="shared" si="2"/>
        <v>Bellows Falls</v>
      </c>
      <c r="H50" s="175"/>
      <c r="I50" s="178" t="s">
        <v>274</v>
      </c>
      <c r="J50" s="27" t="s">
        <v>272</v>
      </c>
      <c r="K50" s="27">
        <v>328</v>
      </c>
      <c r="L50" s="179">
        <v>7554</v>
      </c>
      <c r="M50" s="180" t="s">
        <v>275</v>
      </c>
      <c r="N50" s="181" t="s">
        <v>272</v>
      </c>
      <c r="O50" s="182" t="s">
        <v>276</v>
      </c>
    </row>
    <row r="51" spans="2:20">
      <c r="B51" s="186" t="s">
        <v>1640</v>
      </c>
      <c r="C51" s="175" t="s">
        <v>1622</v>
      </c>
      <c r="D51" s="176" t="s">
        <v>1623</v>
      </c>
      <c r="E51" s="177" t="s">
        <v>1641</v>
      </c>
      <c r="F51" s="175">
        <f t="shared" si="1"/>
        <v>12</v>
      </c>
      <c r="G51" s="175" t="str">
        <f t="shared" si="2"/>
        <v>Bennington</v>
      </c>
      <c r="H51" s="175"/>
      <c r="I51" s="178" t="s">
        <v>418</v>
      </c>
      <c r="J51" s="27" t="s">
        <v>417</v>
      </c>
      <c r="K51" s="27">
        <v>507</v>
      </c>
      <c r="L51" s="179">
        <v>6894</v>
      </c>
      <c r="M51" s="180" t="s">
        <v>419</v>
      </c>
      <c r="N51" s="181" t="s">
        <v>417</v>
      </c>
      <c r="O51" s="182" t="s">
        <v>420</v>
      </c>
      <c r="S51" s="27"/>
      <c r="T51" s="27"/>
    </row>
    <row r="52" spans="2:20">
      <c r="B52" s="186" t="s">
        <v>686</v>
      </c>
      <c r="C52" s="175" t="s">
        <v>1622</v>
      </c>
      <c r="D52" s="176" t="s">
        <v>1623</v>
      </c>
      <c r="E52" s="177" t="s">
        <v>687</v>
      </c>
      <c r="F52" s="175">
        <f t="shared" si="1"/>
        <v>13</v>
      </c>
      <c r="G52" s="175" t="str">
        <f t="shared" si="2"/>
        <v>Brattleboro</v>
      </c>
      <c r="H52" s="175"/>
      <c r="I52" s="178" t="s">
        <v>649</v>
      </c>
      <c r="J52" s="27" t="s">
        <v>2300</v>
      </c>
      <c r="K52" s="27">
        <v>333</v>
      </c>
      <c r="L52" s="179">
        <v>6979</v>
      </c>
      <c r="M52" s="180" t="s">
        <v>419</v>
      </c>
      <c r="N52" s="181" t="s">
        <v>417</v>
      </c>
      <c r="O52" s="182" t="s">
        <v>420</v>
      </c>
      <c r="S52" s="27"/>
      <c r="T52" s="27"/>
    </row>
    <row r="53" spans="2:20">
      <c r="B53" s="186" t="s">
        <v>1339</v>
      </c>
      <c r="C53" s="175" t="s">
        <v>1622</v>
      </c>
      <c r="D53" s="176" t="s">
        <v>1623</v>
      </c>
      <c r="E53" s="177" t="s">
        <v>1335</v>
      </c>
      <c r="F53" s="175">
        <f t="shared" si="1"/>
        <v>12</v>
      </c>
      <c r="G53" s="175" t="str">
        <f t="shared" si="2"/>
        <v>Burlington</v>
      </c>
      <c r="H53" s="175"/>
      <c r="I53" s="178" t="s">
        <v>1340</v>
      </c>
      <c r="J53" s="27" t="s">
        <v>1623</v>
      </c>
      <c r="K53" s="27">
        <v>388</v>
      </c>
      <c r="L53" s="179">
        <v>7771</v>
      </c>
      <c r="M53" s="180" t="s">
        <v>1341</v>
      </c>
      <c r="N53" s="181" t="s">
        <v>1623</v>
      </c>
      <c r="O53" s="182" t="s">
        <v>1342</v>
      </c>
      <c r="S53" s="27"/>
      <c r="T53" s="27"/>
    </row>
    <row r="54" spans="2:20">
      <c r="B54" s="186" t="s">
        <v>1082</v>
      </c>
      <c r="C54" s="175" t="s">
        <v>1622</v>
      </c>
      <c r="D54" s="176" t="s">
        <v>1623</v>
      </c>
      <c r="E54" s="177" t="s">
        <v>1083</v>
      </c>
      <c r="F54" s="175">
        <f t="shared" si="1"/>
        <v>12</v>
      </c>
      <c r="G54" s="175" t="str">
        <f t="shared" si="2"/>
        <v>Montpelier</v>
      </c>
      <c r="H54" s="175"/>
      <c r="I54" s="178" t="s">
        <v>1340</v>
      </c>
      <c r="J54" s="27" t="s">
        <v>1623</v>
      </c>
      <c r="K54" s="27">
        <v>388</v>
      </c>
      <c r="L54" s="179">
        <v>7771</v>
      </c>
      <c r="M54" s="180" t="s">
        <v>1341</v>
      </c>
      <c r="N54" s="181" t="s">
        <v>1623</v>
      </c>
      <c r="O54" s="182" t="s">
        <v>1342</v>
      </c>
      <c r="S54" s="27"/>
      <c r="T54" s="27"/>
    </row>
    <row r="55" spans="2:20">
      <c r="B55" s="186" t="s">
        <v>334</v>
      </c>
      <c r="C55" s="175" t="s">
        <v>1622</v>
      </c>
      <c r="D55" s="176" t="s">
        <v>1623</v>
      </c>
      <c r="E55" s="177" t="s">
        <v>335</v>
      </c>
      <c r="F55" s="175">
        <f t="shared" si="1"/>
        <v>9</v>
      </c>
      <c r="G55" s="175" t="str">
        <f t="shared" si="2"/>
        <v>Rutland</v>
      </c>
      <c r="H55" s="175"/>
      <c r="I55" s="178" t="s">
        <v>418</v>
      </c>
      <c r="J55" s="27" t="s">
        <v>417</v>
      </c>
      <c r="K55" s="27">
        <v>507</v>
      </c>
      <c r="L55" s="179">
        <v>6894</v>
      </c>
      <c r="M55" s="180" t="s">
        <v>419</v>
      </c>
      <c r="N55" s="181" t="s">
        <v>417</v>
      </c>
      <c r="O55" s="182" t="s">
        <v>420</v>
      </c>
      <c r="S55" s="27"/>
      <c r="T55" s="27"/>
    </row>
    <row r="56" spans="2:20">
      <c r="B56" s="186" t="s">
        <v>1250</v>
      </c>
      <c r="C56" s="175" t="s">
        <v>1622</v>
      </c>
      <c r="D56" s="176" t="s">
        <v>1623</v>
      </c>
      <c r="E56" s="177" t="s">
        <v>1251</v>
      </c>
      <c r="F56" s="175">
        <f t="shared" si="1"/>
        <v>15</v>
      </c>
      <c r="G56" s="175" t="str">
        <f t="shared" si="2"/>
        <v>St. Johnsbury</v>
      </c>
      <c r="H56" s="175"/>
      <c r="I56" s="178" t="s">
        <v>1340</v>
      </c>
      <c r="J56" s="27" t="s">
        <v>1623</v>
      </c>
      <c r="K56" s="27">
        <v>388</v>
      </c>
      <c r="L56" s="179">
        <v>7771</v>
      </c>
      <c r="M56" s="180" t="s">
        <v>1341</v>
      </c>
      <c r="N56" s="181" t="s">
        <v>1623</v>
      </c>
      <c r="O56" s="182" t="s">
        <v>1342</v>
      </c>
      <c r="S56" s="27"/>
      <c r="T56" s="27"/>
    </row>
    <row r="57" spans="2:20">
      <c r="B57" s="186" t="s">
        <v>1371</v>
      </c>
      <c r="C57" s="175" t="s">
        <v>1622</v>
      </c>
      <c r="D57" s="176" t="s">
        <v>1623</v>
      </c>
      <c r="E57" s="177" t="s">
        <v>1372</v>
      </c>
      <c r="F57" s="175">
        <f t="shared" si="1"/>
        <v>8</v>
      </c>
      <c r="G57" s="175" t="str">
        <f t="shared" si="2"/>
        <v>Canaan</v>
      </c>
      <c r="H57" s="175"/>
      <c r="I57" s="178" t="s">
        <v>1340</v>
      </c>
      <c r="J57" s="27" t="s">
        <v>1623</v>
      </c>
      <c r="K57" s="27">
        <v>388</v>
      </c>
      <c r="L57" s="179">
        <v>7771</v>
      </c>
      <c r="M57" s="180" t="s">
        <v>1341</v>
      </c>
      <c r="N57" s="181" t="s">
        <v>1623</v>
      </c>
      <c r="O57" s="182" t="s">
        <v>1342</v>
      </c>
      <c r="S57" s="27"/>
      <c r="T57" s="27"/>
    </row>
    <row r="58" spans="2:20">
      <c r="B58" s="186" t="s">
        <v>2192</v>
      </c>
      <c r="C58" s="175" t="s">
        <v>689</v>
      </c>
      <c r="D58" s="176" t="s">
        <v>690</v>
      </c>
      <c r="E58" s="177" t="s">
        <v>2193</v>
      </c>
      <c r="F58" s="175">
        <f t="shared" si="1"/>
        <v>10</v>
      </c>
      <c r="G58" s="175" t="str">
        <f t="shared" si="2"/>
        <v>Hartford</v>
      </c>
      <c r="H58" s="175"/>
      <c r="I58" s="178" t="s">
        <v>649</v>
      </c>
      <c r="J58" s="27" t="s">
        <v>2300</v>
      </c>
      <c r="K58" s="27">
        <v>333</v>
      </c>
      <c r="L58" s="179">
        <v>6979</v>
      </c>
      <c r="M58" s="178" t="s">
        <v>753</v>
      </c>
      <c r="N58" s="27" t="s">
        <v>690</v>
      </c>
      <c r="O58" s="182" t="s">
        <v>754</v>
      </c>
      <c r="S58" s="27"/>
      <c r="T58" s="27"/>
    </row>
    <row r="59" spans="2:20">
      <c r="B59" s="186" t="s">
        <v>755</v>
      </c>
      <c r="C59" s="175" t="s">
        <v>689</v>
      </c>
      <c r="D59" s="176" t="s">
        <v>690</v>
      </c>
      <c r="E59" s="177" t="s">
        <v>2193</v>
      </c>
      <c r="F59" s="175">
        <f t="shared" si="1"/>
        <v>10</v>
      </c>
      <c r="G59" s="175" t="str">
        <f t="shared" si="2"/>
        <v>Hartford</v>
      </c>
      <c r="H59" s="175"/>
      <c r="I59" s="178" t="s">
        <v>756</v>
      </c>
      <c r="J59" s="27" t="s">
        <v>690</v>
      </c>
      <c r="K59" s="27">
        <v>677</v>
      </c>
      <c r="L59" s="179">
        <v>6151</v>
      </c>
      <c r="M59" s="178" t="s">
        <v>753</v>
      </c>
      <c r="N59" s="27" t="s">
        <v>690</v>
      </c>
      <c r="O59" s="182" t="s">
        <v>754</v>
      </c>
    </row>
    <row r="60" spans="2:20">
      <c r="B60" s="186" t="s">
        <v>723</v>
      </c>
      <c r="C60" s="175" t="s">
        <v>689</v>
      </c>
      <c r="D60" s="176" t="s">
        <v>690</v>
      </c>
      <c r="E60" s="177" t="s">
        <v>724</v>
      </c>
      <c r="F60" s="175">
        <f t="shared" si="1"/>
        <v>13</v>
      </c>
      <c r="G60" s="175" t="str">
        <f t="shared" si="2"/>
        <v>Willimantic</v>
      </c>
      <c r="H60" s="175"/>
      <c r="I60" s="178" t="s">
        <v>649</v>
      </c>
      <c r="J60" s="27" t="s">
        <v>2300</v>
      </c>
      <c r="K60" s="27">
        <v>333</v>
      </c>
      <c r="L60" s="179">
        <v>6979</v>
      </c>
      <c r="M60" s="178" t="s">
        <v>753</v>
      </c>
      <c r="N60" s="27" t="s">
        <v>690</v>
      </c>
      <c r="O60" s="182" t="s">
        <v>754</v>
      </c>
      <c r="S60" s="27"/>
      <c r="T60" s="27"/>
    </row>
    <row r="61" spans="2:20">
      <c r="B61" s="186" t="s">
        <v>1113</v>
      </c>
      <c r="C61" s="175" t="s">
        <v>689</v>
      </c>
      <c r="D61" s="176" t="s">
        <v>690</v>
      </c>
      <c r="E61" s="177" t="s">
        <v>1114</v>
      </c>
      <c r="F61" s="175">
        <f t="shared" si="1"/>
        <v>12</v>
      </c>
      <c r="G61" s="175" t="str">
        <f t="shared" si="2"/>
        <v>New London</v>
      </c>
      <c r="H61" s="175"/>
      <c r="I61" s="178" t="s">
        <v>2269</v>
      </c>
      <c r="J61" s="27" t="s">
        <v>2270</v>
      </c>
      <c r="K61" s="27">
        <v>606</v>
      </c>
      <c r="L61" s="179">
        <v>5884</v>
      </c>
      <c r="M61" s="180" t="s">
        <v>2271</v>
      </c>
      <c r="N61" s="181" t="s">
        <v>2270</v>
      </c>
      <c r="O61" s="182" t="s">
        <v>2272</v>
      </c>
    </row>
    <row r="62" spans="2:20">
      <c r="B62" s="186" t="s">
        <v>1110</v>
      </c>
      <c r="C62" s="175" t="s">
        <v>689</v>
      </c>
      <c r="D62" s="176" t="s">
        <v>690</v>
      </c>
      <c r="E62" s="177" t="s">
        <v>1111</v>
      </c>
      <c r="F62" s="175">
        <f t="shared" si="1"/>
        <v>11</v>
      </c>
      <c r="G62" s="175" t="str">
        <f t="shared" si="2"/>
        <v>New Haven</v>
      </c>
      <c r="H62" s="175"/>
      <c r="I62" s="178" t="s">
        <v>756</v>
      </c>
      <c r="J62" s="27" t="s">
        <v>690</v>
      </c>
      <c r="K62" s="27">
        <v>677</v>
      </c>
      <c r="L62" s="179">
        <v>6151</v>
      </c>
      <c r="M62" s="178" t="s">
        <v>753</v>
      </c>
      <c r="N62" s="27" t="s">
        <v>690</v>
      </c>
      <c r="O62" s="182" t="s">
        <v>754</v>
      </c>
    </row>
    <row r="63" spans="2:20">
      <c r="B63" s="186" t="s">
        <v>1112</v>
      </c>
      <c r="C63" s="175" t="s">
        <v>689</v>
      </c>
      <c r="D63" s="176" t="s">
        <v>690</v>
      </c>
      <c r="E63" s="177" t="s">
        <v>1111</v>
      </c>
      <c r="F63" s="175">
        <f t="shared" si="1"/>
        <v>11</v>
      </c>
      <c r="G63" s="175" t="str">
        <f t="shared" si="2"/>
        <v>New Haven</v>
      </c>
      <c r="H63" s="175"/>
      <c r="I63" s="178" t="s">
        <v>756</v>
      </c>
      <c r="J63" s="27" t="s">
        <v>690</v>
      </c>
      <c r="K63" s="27">
        <v>677</v>
      </c>
      <c r="L63" s="179">
        <v>6151</v>
      </c>
      <c r="M63" s="178" t="s">
        <v>753</v>
      </c>
      <c r="N63" s="27" t="s">
        <v>690</v>
      </c>
      <c r="O63" s="182" t="s">
        <v>754</v>
      </c>
    </row>
    <row r="64" spans="2:20">
      <c r="B64" s="186" t="s">
        <v>688</v>
      </c>
      <c r="C64" s="175" t="s">
        <v>689</v>
      </c>
      <c r="D64" s="176" t="s">
        <v>690</v>
      </c>
      <c r="E64" s="177" t="s">
        <v>691</v>
      </c>
      <c r="F64" s="175">
        <f t="shared" si="1"/>
        <v>12</v>
      </c>
      <c r="G64" s="175" t="str">
        <f t="shared" si="2"/>
        <v>Bridgeport</v>
      </c>
      <c r="H64" s="175"/>
      <c r="I64" s="178" t="s">
        <v>692</v>
      </c>
      <c r="J64" s="27" t="s">
        <v>690</v>
      </c>
      <c r="K64" s="27">
        <v>724</v>
      </c>
      <c r="L64" s="179">
        <v>5537</v>
      </c>
      <c r="M64" s="178" t="s">
        <v>693</v>
      </c>
      <c r="N64" s="27" t="s">
        <v>690</v>
      </c>
      <c r="O64" s="182" t="s">
        <v>694</v>
      </c>
    </row>
    <row r="65" spans="2:20">
      <c r="B65" s="186" t="s">
        <v>1821</v>
      </c>
      <c r="C65" s="175" t="s">
        <v>689</v>
      </c>
      <c r="D65" s="176" t="s">
        <v>690</v>
      </c>
      <c r="E65" s="177" t="s">
        <v>1822</v>
      </c>
      <c r="F65" s="175">
        <f t="shared" si="1"/>
        <v>11</v>
      </c>
      <c r="G65" s="175" t="str">
        <f t="shared" si="2"/>
        <v>Waterbury</v>
      </c>
      <c r="H65" s="175"/>
      <c r="I65" s="178" t="s">
        <v>756</v>
      </c>
      <c r="J65" s="27" t="s">
        <v>690</v>
      </c>
      <c r="K65" s="27">
        <v>677</v>
      </c>
      <c r="L65" s="179">
        <v>6151</v>
      </c>
      <c r="M65" s="178" t="s">
        <v>753</v>
      </c>
      <c r="N65" s="27" t="s">
        <v>690</v>
      </c>
      <c r="O65" s="182" t="s">
        <v>754</v>
      </c>
    </row>
    <row r="66" spans="2:20">
      <c r="B66" s="186" t="s">
        <v>1254</v>
      </c>
      <c r="C66" s="175" t="s">
        <v>689</v>
      </c>
      <c r="D66" s="176" t="s">
        <v>690</v>
      </c>
      <c r="E66" s="177" t="s">
        <v>1255</v>
      </c>
      <c r="F66" s="175">
        <f t="shared" si="1"/>
        <v>10</v>
      </c>
      <c r="G66" s="175" t="str">
        <f t="shared" si="2"/>
        <v>Stamford</v>
      </c>
      <c r="H66" s="175"/>
      <c r="I66" s="178" t="s">
        <v>692</v>
      </c>
      <c r="J66" s="27" t="s">
        <v>690</v>
      </c>
      <c r="K66" s="27">
        <v>724</v>
      </c>
      <c r="L66" s="179">
        <v>5537</v>
      </c>
      <c r="M66" s="178" t="s">
        <v>693</v>
      </c>
      <c r="N66" s="27" t="s">
        <v>690</v>
      </c>
      <c r="O66" s="182" t="s">
        <v>694</v>
      </c>
    </row>
    <row r="67" spans="2:20">
      <c r="B67" s="186" t="s">
        <v>1256</v>
      </c>
      <c r="C67" s="175" t="s">
        <v>689</v>
      </c>
      <c r="D67" s="176" t="s">
        <v>690</v>
      </c>
      <c r="E67" s="177" t="s">
        <v>1255</v>
      </c>
      <c r="F67" s="175">
        <f t="shared" si="1"/>
        <v>10</v>
      </c>
      <c r="G67" s="175" t="str">
        <f t="shared" si="2"/>
        <v>Stamford</v>
      </c>
      <c r="H67" s="175"/>
      <c r="I67" s="178" t="s">
        <v>692</v>
      </c>
      <c r="J67" s="27" t="s">
        <v>690</v>
      </c>
      <c r="K67" s="27">
        <v>724</v>
      </c>
      <c r="L67" s="179">
        <v>5537</v>
      </c>
      <c r="M67" s="178" t="s">
        <v>693</v>
      </c>
      <c r="N67" s="27" t="s">
        <v>690</v>
      </c>
      <c r="O67" s="182" t="s">
        <v>694</v>
      </c>
    </row>
    <row r="68" spans="2:20">
      <c r="B68" s="186" t="s">
        <v>1125</v>
      </c>
      <c r="C68" s="175" t="s">
        <v>1548</v>
      </c>
      <c r="D68" s="176" t="s">
        <v>1549</v>
      </c>
      <c r="E68" s="177" t="s">
        <v>1126</v>
      </c>
      <c r="F68" s="175">
        <f t="shared" si="1"/>
        <v>8</v>
      </c>
      <c r="G68" s="175" t="str">
        <f t="shared" si="2"/>
        <v>Newark</v>
      </c>
      <c r="H68" s="175"/>
      <c r="I68" s="178" t="s">
        <v>2276</v>
      </c>
      <c r="J68" s="27" t="s">
        <v>417</v>
      </c>
      <c r="K68" s="27">
        <v>1052</v>
      </c>
      <c r="L68" s="179">
        <v>4910</v>
      </c>
      <c r="M68" s="180" t="s">
        <v>71</v>
      </c>
      <c r="N68" s="181" t="s">
        <v>1549</v>
      </c>
      <c r="O68" s="182" t="s">
        <v>72</v>
      </c>
    </row>
    <row r="69" spans="2:20">
      <c r="B69" s="186" t="s">
        <v>1127</v>
      </c>
      <c r="C69" s="175" t="s">
        <v>1548</v>
      </c>
      <c r="D69" s="176" t="s">
        <v>1549</v>
      </c>
      <c r="E69" s="177" t="s">
        <v>1126</v>
      </c>
      <c r="F69" s="175">
        <f t="shared" si="1"/>
        <v>8</v>
      </c>
      <c r="G69" s="175" t="str">
        <f t="shared" si="2"/>
        <v>Newark</v>
      </c>
      <c r="H69" s="175"/>
      <c r="I69" s="178" t="s">
        <v>70</v>
      </c>
      <c r="J69" s="27" t="s">
        <v>1549</v>
      </c>
      <c r="K69" s="27">
        <v>1201</v>
      </c>
      <c r="L69" s="179">
        <v>4888</v>
      </c>
      <c r="M69" s="180" t="s">
        <v>71</v>
      </c>
      <c r="N69" s="181" t="s">
        <v>1549</v>
      </c>
      <c r="O69" s="182" t="s">
        <v>72</v>
      </c>
    </row>
    <row r="70" spans="2:20">
      <c r="B70" s="186" t="s">
        <v>68</v>
      </c>
      <c r="C70" s="175" t="s">
        <v>1548</v>
      </c>
      <c r="D70" s="176" t="s">
        <v>1549</v>
      </c>
      <c r="E70" s="177" t="s">
        <v>69</v>
      </c>
      <c r="F70" s="175">
        <f t="shared" si="1"/>
        <v>11</v>
      </c>
      <c r="G70" s="175" t="str">
        <f t="shared" si="2"/>
        <v>Elizabeth</v>
      </c>
      <c r="H70" s="175"/>
      <c r="I70" s="178" t="s">
        <v>70</v>
      </c>
      <c r="J70" s="27" t="s">
        <v>1549</v>
      </c>
      <c r="K70" s="27">
        <v>1201</v>
      </c>
      <c r="L70" s="179">
        <v>4888</v>
      </c>
      <c r="M70" s="180" t="s">
        <v>71</v>
      </c>
      <c r="N70" s="181" t="s">
        <v>1549</v>
      </c>
      <c r="O70" s="182" t="s">
        <v>72</v>
      </c>
    </row>
    <row r="71" spans="2:20">
      <c r="B71" s="186" t="s">
        <v>128</v>
      </c>
      <c r="C71" s="175" t="s">
        <v>1548</v>
      </c>
      <c r="D71" s="176" t="s">
        <v>1549</v>
      </c>
      <c r="E71" s="177" t="s">
        <v>129</v>
      </c>
      <c r="F71" s="175">
        <f t="shared" si="1"/>
        <v>13</v>
      </c>
      <c r="G71" s="175" t="str">
        <f t="shared" si="2"/>
        <v>Jersey_City</v>
      </c>
      <c r="H71" s="175"/>
      <c r="I71" s="178" t="s">
        <v>70</v>
      </c>
      <c r="J71" s="27" t="s">
        <v>1549</v>
      </c>
      <c r="K71" s="27">
        <v>1201</v>
      </c>
      <c r="L71" s="179">
        <v>4888</v>
      </c>
      <c r="M71" s="180" t="s">
        <v>71</v>
      </c>
      <c r="N71" s="181" t="s">
        <v>1549</v>
      </c>
      <c r="O71" s="182" t="s">
        <v>72</v>
      </c>
    </row>
    <row r="72" spans="2:20">
      <c r="B72" s="186" t="s">
        <v>618</v>
      </c>
      <c r="C72" s="175" t="s">
        <v>1548</v>
      </c>
      <c r="D72" s="176" t="s">
        <v>1549</v>
      </c>
      <c r="E72" s="177" t="s">
        <v>619</v>
      </c>
      <c r="F72" s="175">
        <f t="shared" si="1"/>
        <v>10</v>
      </c>
      <c r="G72" s="175" t="str">
        <f t="shared" si="2"/>
        <v>Paterson</v>
      </c>
      <c r="H72" s="175"/>
      <c r="I72" s="178" t="s">
        <v>70</v>
      </c>
      <c r="J72" s="27" t="s">
        <v>1549</v>
      </c>
      <c r="K72" s="27">
        <v>1201</v>
      </c>
      <c r="L72" s="179">
        <v>4888</v>
      </c>
      <c r="M72" s="180" t="s">
        <v>71</v>
      </c>
      <c r="N72" s="181" t="s">
        <v>1549</v>
      </c>
      <c r="O72" s="182" t="s">
        <v>72</v>
      </c>
    </row>
    <row r="73" spans="2:20">
      <c r="B73" s="186" t="s">
        <v>620</v>
      </c>
      <c r="C73" s="175" t="s">
        <v>1548</v>
      </c>
      <c r="D73" s="176" t="s">
        <v>1549</v>
      </c>
      <c r="E73" s="177" t="s">
        <v>619</v>
      </c>
      <c r="F73" s="175">
        <f t="shared" si="1"/>
        <v>10</v>
      </c>
      <c r="G73" s="175" t="str">
        <f t="shared" si="2"/>
        <v>Paterson</v>
      </c>
      <c r="H73" s="175"/>
      <c r="I73" s="178" t="s">
        <v>70</v>
      </c>
      <c r="J73" s="27" t="s">
        <v>1549</v>
      </c>
      <c r="K73" s="27">
        <v>1201</v>
      </c>
      <c r="L73" s="179">
        <v>4888</v>
      </c>
      <c r="M73" s="180" t="s">
        <v>71</v>
      </c>
      <c r="N73" s="181" t="s">
        <v>1549</v>
      </c>
      <c r="O73" s="182" t="s">
        <v>72</v>
      </c>
    </row>
    <row r="74" spans="2:20">
      <c r="B74" s="186" t="s">
        <v>2088</v>
      </c>
      <c r="C74" s="175" t="s">
        <v>1548</v>
      </c>
      <c r="D74" s="176" t="s">
        <v>1549</v>
      </c>
      <c r="E74" s="177" t="s">
        <v>2089</v>
      </c>
      <c r="F74" s="175">
        <f t="shared" ref="F74:F137" si="3">LEN(E74)</f>
        <v>12</v>
      </c>
      <c r="G74" s="175" t="str">
        <f t="shared" ref="G74:G137" si="4">MID(E74,2,F74-2)</f>
        <v>Hackensack</v>
      </c>
      <c r="H74" s="175"/>
      <c r="I74" s="178" t="s">
        <v>70</v>
      </c>
      <c r="J74" s="27" t="s">
        <v>1549</v>
      </c>
      <c r="K74" s="27">
        <v>1201</v>
      </c>
      <c r="L74" s="179">
        <v>4888</v>
      </c>
      <c r="M74" s="180" t="s">
        <v>71</v>
      </c>
      <c r="N74" s="181" t="s">
        <v>1549</v>
      </c>
      <c r="O74" s="182" t="s">
        <v>72</v>
      </c>
    </row>
    <row r="75" spans="2:20">
      <c r="B75" s="186" t="s">
        <v>2506</v>
      </c>
      <c r="C75" s="175" t="s">
        <v>1548</v>
      </c>
      <c r="D75" s="176" t="s">
        <v>1549</v>
      </c>
      <c r="E75" s="177" t="s">
        <v>2507</v>
      </c>
      <c r="F75" s="175">
        <f t="shared" si="3"/>
        <v>10</v>
      </c>
      <c r="G75" s="175" t="str">
        <f t="shared" si="4"/>
        <v>Red Bank</v>
      </c>
      <c r="H75" s="175"/>
      <c r="I75" s="178" t="s">
        <v>70</v>
      </c>
      <c r="J75" s="27" t="s">
        <v>1549</v>
      </c>
      <c r="K75" s="27">
        <v>1201</v>
      </c>
      <c r="L75" s="179">
        <v>4888</v>
      </c>
      <c r="M75" s="180" t="s">
        <v>71</v>
      </c>
      <c r="N75" s="181" t="s">
        <v>1549</v>
      </c>
      <c r="O75" s="182" t="s">
        <v>72</v>
      </c>
    </row>
    <row r="76" spans="2:20">
      <c r="B76" s="186" t="s">
        <v>1738</v>
      </c>
      <c r="C76" s="175" t="s">
        <v>1548</v>
      </c>
      <c r="D76" s="176" t="s">
        <v>1549</v>
      </c>
      <c r="E76" s="177" t="s">
        <v>1737</v>
      </c>
      <c r="F76" s="175">
        <f t="shared" si="3"/>
        <v>7</v>
      </c>
      <c r="G76" s="175" t="str">
        <f t="shared" si="4"/>
        <v>Dover</v>
      </c>
      <c r="H76" s="175"/>
      <c r="I76" s="178" t="s">
        <v>452</v>
      </c>
      <c r="J76" s="27" t="s">
        <v>450</v>
      </c>
      <c r="K76" s="27">
        <v>773</v>
      </c>
      <c r="L76" s="179">
        <v>5785</v>
      </c>
      <c r="M76" s="178" t="s">
        <v>453</v>
      </c>
      <c r="N76" s="27" t="s">
        <v>450</v>
      </c>
      <c r="O76" s="182" t="s">
        <v>454</v>
      </c>
      <c r="S76" s="27"/>
      <c r="T76" s="27"/>
    </row>
    <row r="77" spans="2:20">
      <c r="B77" s="186" t="s">
        <v>831</v>
      </c>
      <c r="C77" s="175" t="s">
        <v>1548</v>
      </c>
      <c r="D77" s="176" t="s">
        <v>1549</v>
      </c>
      <c r="E77" s="177" t="s">
        <v>832</v>
      </c>
      <c r="F77" s="175">
        <f t="shared" si="3"/>
        <v>8</v>
      </c>
      <c r="G77" s="175" t="str">
        <f t="shared" si="4"/>
        <v>Summit</v>
      </c>
      <c r="H77" s="175"/>
      <c r="I77" s="178" t="s">
        <v>70</v>
      </c>
      <c r="J77" s="27" t="s">
        <v>1549</v>
      </c>
      <c r="K77" s="27">
        <v>1201</v>
      </c>
      <c r="L77" s="179">
        <v>4888</v>
      </c>
      <c r="M77" s="180" t="s">
        <v>71</v>
      </c>
      <c r="N77" s="181" t="s">
        <v>1549</v>
      </c>
      <c r="O77" s="182" t="s">
        <v>72</v>
      </c>
    </row>
    <row r="78" spans="2:20">
      <c r="B78" s="186" t="s">
        <v>2361</v>
      </c>
      <c r="C78" s="175" t="s">
        <v>1548</v>
      </c>
      <c r="D78" s="176" t="s">
        <v>1549</v>
      </c>
      <c r="E78" s="177" t="s">
        <v>2362</v>
      </c>
      <c r="F78" s="175">
        <f t="shared" si="3"/>
        <v>13</v>
      </c>
      <c r="G78" s="175" t="str">
        <f t="shared" si="4"/>
        <v>Cherry Hill</v>
      </c>
      <c r="H78" s="175"/>
      <c r="I78" s="178" t="s">
        <v>1364</v>
      </c>
      <c r="J78" s="27" t="s">
        <v>450</v>
      </c>
      <c r="K78" s="27">
        <v>1101</v>
      </c>
      <c r="L78" s="179">
        <v>4954</v>
      </c>
      <c r="M78" s="180" t="s">
        <v>1365</v>
      </c>
      <c r="N78" s="181" t="s">
        <v>450</v>
      </c>
      <c r="O78" s="182" t="s">
        <v>1366</v>
      </c>
    </row>
    <row r="79" spans="2:20">
      <c r="B79" s="186" t="s">
        <v>1363</v>
      </c>
      <c r="C79" s="175" t="s">
        <v>1548</v>
      </c>
      <c r="D79" s="176" t="s">
        <v>1549</v>
      </c>
      <c r="E79" s="177" t="s">
        <v>1361</v>
      </c>
      <c r="F79" s="175">
        <f t="shared" si="3"/>
        <v>8</v>
      </c>
      <c r="G79" s="175" t="str">
        <f t="shared" si="4"/>
        <v>Camden</v>
      </c>
      <c r="H79" s="175"/>
      <c r="I79" s="178" t="s">
        <v>1364</v>
      </c>
      <c r="J79" s="27" t="s">
        <v>450</v>
      </c>
      <c r="K79" s="27">
        <v>1101</v>
      </c>
      <c r="L79" s="179">
        <v>4954</v>
      </c>
      <c r="M79" s="180" t="s">
        <v>1365</v>
      </c>
      <c r="N79" s="181" t="s">
        <v>450</v>
      </c>
      <c r="O79" s="182" t="s">
        <v>1366</v>
      </c>
    </row>
    <row r="80" spans="2:20">
      <c r="B80" s="186" t="s">
        <v>1219</v>
      </c>
      <c r="C80" s="175" t="s">
        <v>1548</v>
      </c>
      <c r="D80" s="176" t="s">
        <v>1549</v>
      </c>
      <c r="E80" s="177" t="s">
        <v>1220</v>
      </c>
      <c r="F80" s="175">
        <f t="shared" si="3"/>
        <v>14</v>
      </c>
      <c r="G80" s="175" t="str">
        <f t="shared" si="4"/>
        <v>South Jersey</v>
      </c>
      <c r="H80" s="175"/>
      <c r="I80" s="178" t="s">
        <v>1551</v>
      </c>
      <c r="J80" s="27" t="s">
        <v>1549</v>
      </c>
      <c r="K80" s="27">
        <v>826</v>
      </c>
      <c r="L80" s="179">
        <v>5169</v>
      </c>
      <c r="M80" s="180" t="s">
        <v>1552</v>
      </c>
      <c r="N80" s="181" t="s">
        <v>1549</v>
      </c>
      <c r="O80" s="182" t="s">
        <v>1553</v>
      </c>
    </row>
    <row r="81" spans="2:20">
      <c r="B81" s="186" t="s">
        <v>1221</v>
      </c>
      <c r="C81" s="175" t="s">
        <v>1548</v>
      </c>
      <c r="D81" s="176" t="s">
        <v>1549</v>
      </c>
      <c r="E81" s="177" t="s">
        <v>1220</v>
      </c>
      <c r="F81" s="175">
        <f t="shared" si="3"/>
        <v>14</v>
      </c>
      <c r="G81" s="175" t="str">
        <f t="shared" si="4"/>
        <v>South Jersey</v>
      </c>
      <c r="H81" s="175"/>
      <c r="I81" s="178" t="s">
        <v>1039</v>
      </c>
      <c r="J81" s="27" t="s">
        <v>1736</v>
      </c>
      <c r="K81" s="27">
        <v>1046</v>
      </c>
      <c r="L81" s="179">
        <v>4937</v>
      </c>
      <c r="M81" s="180" t="s">
        <v>1040</v>
      </c>
      <c r="N81" s="181" t="s">
        <v>1736</v>
      </c>
      <c r="O81" s="182" t="s">
        <v>1041</v>
      </c>
    </row>
    <row r="82" spans="2:20">
      <c r="B82" s="186" t="s">
        <v>1547</v>
      </c>
      <c r="C82" s="175" t="s">
        <v>1548</v>
      </c>
      <c r="D82" s="176" t="s">
        <v>1549</v>
      </c>
      <c r="E82" s="177" t="s">
        <v>1550</v>
      </c>
      <c r="F82" s="175">
        <f t="shared" si="3"/>
        <v>15</v>
      </c>
      <c r="G82" s="175" t="str">
        <f t="shared" si="4"/>
        <v>Atlantic City</v>
      </c>
      <c r="H82" s="175"/>
      <c r="I82" s="178" t="s">
        <v>1551</v>
      </c>
      <c r="J82" s="27" t="s">
        <v>1549</v>
      </c>
      <c r="K82" s="27">
        <v>826</v>
      </c>
      <c r="L82" s="179">
        <v>5169</v>
      </c>
      <c r="M82" s="180" t="s">
        <v>1552</v>
      </c>
      <c r="N82" s="181" t="s">
        <v>1549</v>
      </c>
      <c r="O82" s="182" t="s">
        <v>1553</v>
      </c>
      <c r="S82" s="27"/>
      <c r="T82" s="27"/>
    </row>
    <row r="83" spans="2:20">
      <c r="B83" s="186" t="s">
        <v>1761</v>
      </c>
      <c r="C83" s="175" t="s">
        <v>1548</v>
      </c>
      <c r="D83" s="176" t="s">
        <v>1549</v>
      </c>
      <c r="E83" s="177" t="s">
        <v>1762</v>
      </c>
      <c r="F83" s="175">
        <f t="shared" si="3"/>
        <v>9</v>
      </c>
      <c r="G83" s="175" t="str">
        <f t="shared" si="4"/>
        <v>Trenton</v>
      </c>
      <c r="H83" s="175"/>
      <c r="I83" s="178" t="s">
        <v>70</v>
      </c>
      <c r="J83" s="27" t="s">
        <v>1549</v>
      </c>
      <c r="K83" s="27">
        <v>1201</v>
      </c>
      <c r="L83" s="179">
        <v>4888</v>
      </c>
      <c r="M83" s="180" t="s">
        <v>71</v>
      </c>
      <c r="N83" s="181" t="s">
        <v>1549</v>
      </c>
      <c r="O83" s="182" t="s">
        <v>72</v>
      </c>
    </row>
    <row r="84" spans="2:20">
      <c r="B84" s="186" t="s">
        <v>1763</v>
      </c>
      <c r="C84" s="175" t="s">
        <v>1548</v>
      </c>
      <c r="D84" s="176" t="s">
        <v>1549</v>
      </c>
      <c r="E84" s="177" t="s">
        <v>1762</v>
      </c>
      <c r="F84" s="175">
        <f t="shared" si="3"/>
        <v>9</v>
      </c>
      <c r="G84" s="175" t="str">
        <f t="shared" si="4"/>
        <v>Trenton</v>
      </c>
      <c r="H84" s="175"/>
      <c r="I84" s="178" t="s">
        <v>70</v>
      </c>
      <c r="J84" s="27" t="s">
        <v>1549</v>
      </c>
      <c r="K84" s="27">
        <v>1201</v>
      </c>
      <c r="L84" s="179">
        <v>4888</v>
      </c>
      <c r="M84" s="180" t="s">
        <v>71</v>
      </c>
      <c r="N84" s="181" t="s">
        <v>1549</v>
      </c>
      <c r="O84" s="182" t="s">
        <v>72</v>
      </c>
    </row>
    <row r="85" spans="2:20">
      <c r="B85" s="186" t="s">
        <v>959</v>
      </c>
      <c r="C85" s="175" t="s">
        <v>1548</v>
      </c>
      <c r="D85" s="176" t="s">
        <v>1549</v>
      </c>
      <c r="E85" s="177" t="s">
        <v>960</v>
      </c>
      <c r="F85" s="175">
        <f t="shared" si="3"/>
        <v>10</v>
      </c>
      <c r="G85" s="175" t="str">
        <f t="shared" si="4"/>
        <v>Lakewood</v>
      </c>
      <c r="H85" s="175"/>
      <c r="I85" s="178" t="s">
        <v>1551</v>
      </c>
      <c r="J85" s="27" t="s">
        <v>1549</v>
      </c>
      <c r="K85" s="27">
        <v>826</v>
      </c>
      <c r="L85" s="179">
        <v>5169</v>
      </c>
      <c r="M85" s="180" t="s">
        <v>1552</v>
      </c>
      <c r="N85" s="181" t="s">
        <v>1549</v>
      </c>
      <c r="O85" s="182" t="s">
        <v>1553</v>
      </c>
    </row>
    <row r="86" spans="2:20">
      <c r="B86" s="186" t="s">
        <v>1105</v>
      </c>
      <c r="C86" s="175" t="s">
        <v>1548</v>
      </c>
      <c r="D86" s="176" t="s">
        <v>1549</v>
      </c>
      <c r="E86" s="177" t="s">
        <v>1106</v>
      </c>
      <c r="F86" s="175">
        <f t="shared" si="3"/>
        <v>15</v>
      </c>
      <c r="G86" s="175" t="str">
        <f t="shared" si="4"/>
        <v>New Brunswick</v>
      </c>
      <c r="H86" s="175"/>
      <c r="I86" s="178" t="s">
        <v>70</v>
      </c>
      <c r="J86" s="27" t="s">
        <v>1549</v>
      </c>
      <c r="K86" s="27">
        <v>1201</v>
      </c>
      <c r="L86" s="179">
        <v>4888</v>
      </c>
      <c r="M86" s="180" t="s">
        <v>71</v>
      </c>
      <c r="N86" s="181" t="s">
        <v>1549</v>
      </c>
      <c r="O86" s="182" t="s">
        <v>72</v>
      </c>
    </row>
    <row r="87" spans="2:20">
      <c r="B87" s="186" t="s">
        <v>1107</v>
      </c>
      <c r="C87" s="175" t="s">
        <v>1548</v>
      </c>
      <c r="D87" s="176" t="s">
        <v>1549</v>
      </c>
      <c r="E87" s="177" t="s">
        <v>1106</v>
      </c>
      <c r="F87" s="175">
        <f t="shared" si="3"/>
        <v>15</v>
      </c>
      <c r="G87" s="175" t="str">
        <f t="shared" si="4"/>
        <v>New Brunswick</v>
      </c>
      <c r="H87" s="175"/>
      <c r="I87" s="178" t="s">
        <v>70</v>
      </c>
      <c r="J87" s="27" t="s">
        <v>1549</v>
      </c>
      <c r="K87" s="27">
        <v>1201</v>
      </c>
      <c r="L87" s="179">
        <v>4888</v>
      </c>
      <c r="M87" s="180" t="s">
        <v>71</v>
      </c>
      <c r="N87" s="181" t="s">
        <v>1549</v>
      </c>
      <c r="O87" s="182" t="s">
        <v>72</v>
      </c>
      <c r="S87" s="27"/>
      <c r="T87" s="27"/>
    </row>
    <row r="88" spans="2:20">
      <c r="B88" s="174" t="s">
        <v>1120</v>
      </c>
      <c r="C88" s="175" t="s">
        <v>416</v>
      </c>
      <c r="D88" s="176" t="s">
        <v>417</v>
      </c>
      <c r="E88" s="177" t="s">
        <v>1121</v>
      </c>
      <c r="F88" s="175">
        <f t="shared" si="3"/>
        <v>10</v>
      </c>
      <c r="G88" s="175" t="str">
        <f t="shared" si="4"/>
        <v>New York</v>
      </c>
      <c r="H88" s="175"/>
      <c r="I88" s="178" t="s">
        <v>1122</v>
      </c>
      <c r="J88" s="27" t="s">
        <v>417</v>
      </c>
      <c r="K88" s="27">
        <v>1096</v>
      </c>
      <c r="L88" s="179">
        <v>4805</v>
      </c>
      <c r="M88" s="180" t="s">
        <v>2277</v>
      </c>
      <c r="N88" s="181" t="s">
        <v>417</v>
      </c>
      <c r="O88" s="182" t="s">
        <v>1298</v>
      </c>
    </row>
    <row r="89" spans="2:20">
      <c r="B89" s="174" t="s">
        <v>1123</v>
      </c>
      <c r="C89" s="175" t="s">
        <v>416</v>
      </c>
      <c r="D89" s="176" t="s">
        <v>417</v>
      </c>
      <c r="E89" s="177" t="s">
        <v>1121</v>
      </c>
      <c r="F89" s="175">
        <f t="shared" si="3"/>
        <v>10</v>
      </c>
      <c r="G89" s="175" t="str">
        <f t="shared" si="4"/>
        <v>New York</v>
      </c>
      <c r="H89" s="175"/>
      <c r="I89" s="178" t="s">
        <v>1122</v>
      </c>
      <c r="J89" s="27" t="s">
        <v>417</v>
      </c>
      <c r="K89" s="27">
        <v>1096</v>
      </c>
      <c r="L89" s="179">
        <v>4805</v>
      </c>
      <c r="M89" s="180" t="s">
        <v>2277</v>
      </c>
      <c r="N89" s="181" t="s">
        <v>417</v>
      </c>
      <c r="O89" s="182" t="s">
        <v>1298</v>
      </c>
    </row>
    <row r="90" spans="2:20">
      <c r="B90" s="174" t="s">
        <v>1124</v>
      </c>
      <c r="C90" s="175" t="s">
        <v>416</v>
      </c>
      <c r="D90" s="176" t="s">
        <v>417</v>
      </c>
      <c r="E90" s="177" t="s">
        <v>1121</v>
      </c>
      <c r="F90" s="175">
        <f t="shared" si="3"/>
        <v>10</v>
      </c>
      <c r="G90" s="175" t="str">
        <f t="shared" si="4"/>
        <v>New York</v>
      </c>
      <c r="H90" s="175"/>
      <c r="I90" s="178" t="s">
        <v>1122</v>
      </c>
      <c r="J90" s="27" t="s">
        <v>417</v>
      </c>
      <c r="K90" s="27">
        <v>1096</v>
      </c>
      <c r="L90" s="179">
        <v>4805</v>
      </c>
      <c r="M90" s="180" t="s">
        <v>2277</v>
      </c>
      <c r="N90" s="181" t="s">
        <v>417</v>
      </c>
      <c r="O90" s="182" t="s">
        <v>1298</v>
      </c>
    </row>
    <row r="91" spans="2:20">
      <c r="B91" s="174" t="s">
        <v>1259</v>
      </c>
      <c r="C91" s="175" t="s">
        <v>416</v>
      </c>
      <c r="D91" s="176" t="s">
        <v>417</v>
      </c>
      <c r="E91" s="177" t="s">
        <v>1260</v>
      </c>
      <c r="F91" s="175">
        <f t="shared" si="3"/>
        <v>15</v>
      </c>
      <c r="G91" s="175" t="str">
        <f t="shared" si="4"/>
        <v>Staten Island</v>
      </c>
      <c r="H91" s="175"/>
      <c r="I91" s="178" t="s">
        <v>2276</v>
      </c>
      <c r="J91" s="27" t="s">
        <v>417</v>
      </c>
      <c r="K91" s="27">
        <v>1052</v>
      </c>
      <c r="L91" s="179">
        <v>4910</v>
      </c>
      <c r="M91" s="180" t="s">
        <v>2277</v>
      </c>
      <c r="N91" s="181" t="s">
        <v>417</v>
      </c>
      <c r="O91" s="182" t="s">
        <v>1298</v>
      </c>
    </row>
    <row r="92" spans="2:20">
      <c r="B92" s="174" t="s">
        <v>2274</v>
      </c>
      <c r="C92" s="175" t="s">
        <v>416</v>
      </c>
      <c r="D92" s="176" t="s">
        <v>417</v>
      </c>
      <c r="E92" s="177" t="s">
        <v>2275</v>
      </c>
      <c r="F92" s="175">
        <f t="shared" si="3"/>
        <v>7</v>
      </c>
      <c r="G92" s="175" t="str">
        <f t="shared" si="4"/>
        <v>Bronx</v>
      </c>
      <c r="H92" s="175"/>
      <c r="I92" s="178" t="s">
        <v>2276</v>
      </c>
      <c r="J92" s="27" t="s">
        <v>417</v>
      </c>
      <c r="K92" s="27">
        <v>1052</v>
      </c>
      <c r="L92" s="179">
        <v>4910</v>
      </c>
      <c r="M92" s="180" t="s">
        <v>2277</v>
      </c>
      <c r="N92" s="181" t="s">
        <v>417</v>
      </c>
      <c r="O92" s="182" t="s">
        <v>1298</v>
      </c>
    </row>
    <row r="93" spans="2:20">
      <c r="B93" s="174" t="s">
        <v>1849</v>
      </c>
      <c r="C93" s="175" t="s">
        <v>416</v>
      </c>
      <c r="D93" s="176" t="s">
        <v>417</v>
      </c>
      <c r="E93" s="177" t="s">
        <v>1850</v>
      </c>
      <c r="F93" s="175">
        <f t="shared" si="3"/>
        <v>13</v>
      </c>
      <c r="G93" s="175" t="str">
        <f t="shared" si="4"/>
        <v>Westchester</v>
      </c>
      <c r="H93" s="175"/>
      <c r="I93" s="178" t="s">
        <v>692</v>
      </c>
      <c r="J93" s="27" t="s">
        <v>690</v>
      </c>
      <c r="K93" s="27">
        <v>724</v>
      </c>
      <c r="L93" s="179">
        <v>5537</v>
      </c>
      <c r="M93" s="178" t="s">
        <v>693</v>
      </c>
      <c r="N93" s="27" t="s">
        <v>690</v>
      </c>
      <c r="O93" s="182" t="s">
        <v>694</v>
      </c>
    </row>
    <row r="94" spans="2:20">
      <c r="B94" s="174" t="s">
        <v>1856</v>
      </c>
      <c r="C94" s="175" t="s">
        <v>416</v>
      </c>
      <c r="D94" s="176" t="s">
        <v>417</v>
      </c>
      <c r="E94" s="177" t="s">
        <v>1857</v>
      </c>
      <c r="F94" s="175">
        <f t="shared" si="3"/>
        <v>14</v>
      </c>
      <c r="G94" s="175" t="str">
        <f t="shared" si="4"/>
        <v>White Plains</v>
      </c>
      <c r="H94" s="175"/>
      <c r="I94" s="178" t="s">
        <v>692</v>
      </c>
      <c r="J94" s="27" t="s">
        <v>690</v>
      </c>
      <c r="K94" s="27">
        <v>724</v>
      </c>
      <c r="L94" s="179">
        <v>5537</v>
      </c>
      <c r="M94" s="178" t="s">
        <v>693</v>
      </c>
      <c r="N94" s="27" t="s">
        <v>690</v>
      </c>
      <c r="O94" s="182" t="s">
        <v>694</v>
      </c>
    </row>
    <row r="95" spans="2:20">
      <c r="B95" s="174" t="s">
        <v>1867</v>
      </c>
      <c r="C95" s="175" t="s">
        <v>416</v>
      </c>
      <c r="D95" s="176" t="s">
        <v>417</v>
      </c>
      <c r="E95" s="177" t="s">
        <v>1868</v>
      </c>
      <c r="F95" s="175">
        <f t="shared" si="3"/>
        <v>9</v>
      </c>
      <c r="G95" s="175" t="str">
        <f t="shared" si="4"/>
        <v>Yonkers</v>
      </c>
      <c r="H95" s="175"/>
      <c r="I95" s="178" t="s">
        <v>2276</v>
      </c>
      <c r="J95" s="27" t="s">
        <v>417</v>
      </c>
      <c r="K95" s="27">
        <v>1052</v>
      </c>
      <c r="L95" s="179">
        <v>4910</v>
      </c>
      <c r="M95" s="180" t="s">
        <v>2277</v>
      </c>
      <c r="N95" s="181" t="s">
        <v>417</v>
      </c>
      <c r="O95" s="182" t="s">
        <v>1298</v>
      </c>
    </row>
    <row r="96" spans="2:20">
      <c r="B96" s="174" t="s">
        <v>1118</v>
      </c>
      <c r="C96" s="175" t="s">
        <v>416</v>
      </c>
      <c r="D96" s="176" t="s">
        <v>417</v>
      </c>
      <c r="E96" s="177" t="s">
        <v>1119</v>
      </c>
      <c r="F96" s="175">
        <f t="shared" si="3"/>
        <v>14</v>
      </c>
      <c r="G96" s="175" t="str">
        <f t="shared" si="4"/>
        <v>New Rochelle</v>
      </c>
      <c r="H96" s="175"/>
      <c r="I96" s="178" t="s">
        <v>2276</v>
      </c>
      <c r="J96" s="27" t="s">
        <v>417</v>
      </c>
      <c r="K96" s="27">
        <v>1052</v>
      </c>
      <c r="L96" s="179">
        <v>4910</v>
      </c>
      <c r="M96" s="180" t="s">
        <v>2277</v>
      </c>
      <c r="N96" s="181" t="s">
        <v>417</v>
      </c>
      <c r="O96" s="182" t="s">
        <v>1298</v>
      </c>
    </row>
    <row r="97" spans="2:15">
      <c r="B97" s="174" t="s">
        <v>829</v>
      </c>
      <c r="C97" s="175" t="s">
        <v>416</v>
      </c>
      <c r="D97" s="176" t="s">
        <v>417</v>
      </c>
      <c r="E97" s="177" t="s">
        <v>830</v>
      </c>
      <c r="F97" s="175">
        <f t="shared" si="3"/>
        <v>9</v>
      </c>
      <c r="G97" s="175" t="str">
        <f t="shared" si="4"/>
        <v>Suffern</v>
      </c>
      <c r="H97" s="175"/>
      <c r="I97" s="178" t="s">
        <v>692</v>
      </c>
      <c r="J97" s="27" t="s">
        <v>690</v>
      </c>
      <c r="K97" s="27">
        <v>724</v>
      </c>
      <c r="L97" s="179">
        <v>5537</v>
      </c>
      <c r="M97" s="178" t="s">
        <v>693</v>
      </c>
      <c r="N97" s="27" t="s">
        <v>690</v>
      </c>
      <c r="O97" s="182" t="s">
        <v>694</v>
      </c>
    </row>
    <row r="98" spans="2:15">
      <c r="B98" s="174" t="s">
        <v>2050</v>
      </c>
      <c r="C98" s="175" t="s">
        <v>416</v>
      </c>
      <c r="D98" s="176" t="s">
        <v>417</v>
      </c>
      <c r="E98" s="177" t="s">
        <v>2051</v>
      </c>
      <c r="F98" s="175">
        <f t="shared" si="3"/>
        <v>12</v>
      </c>
      <c r="G98" s="175" t="str">
        <f t="shared" si="4"/>
        <v>Great Neck</v>
      </c>
      <c r="H98" s="175"/>
      <c r="I98" s="178" t="s">
        <v>2276</v>
      </c>
      <c r="J98" s="27" t="s">
        <v>417</v>
      </c>
      <c r="K98" s="27">
        <v>1052</v>
      </c>
      <c r="L98" s="179">
        <v>4910</v>
      </c>
      <c r="M98" s="180" t="s">
        <v>2277</v>
      </c>
      <c r="N98" s="181" t="s">
        <v>417</v>
      </c>
      <c r="O98" s="182" t="s">
        <v>1298</v>
      </c>
    </row>
    <row r="99" spans="2:15">
      <c r="B99" s="174" t="s">
        <v>2490</v>
      </c>
      <c r="C99" s="175" t="s">
        <v>416</v>
      </c>
      <c r="D99" s="176" t="s">
        <v>417</v>
      </c>
      <c r="E99" s="177" t="s">
        <v>2491</v>
      </c>
      <c r="F99" s="175">
        <f t="shared" si="3"/>
        <v>8</v>
      </c>
      <c r="G99" s="175" t="str">
        <f t="shared" si="4"/>
        <v>Queens</v>
      </c>
      <c r="H99" s="175"/>
      <c r="I99" s="178" t="s">
        <v>2276</v>
      </c>
      <c r="J99" s="27" t="s">
        <v>417</v>
      </c>
      <c r="K99" s="27">
        <v>1052</v>
      </c>
      <c r="L99" s="179">
        <v>4910</v>
      </c>
      <c r="M99" s="180" t="s">
        <v>2277</v>
      </c>
      <c r="N99" s="181" t="s">
        <v>417</v>
      </c>
      <c r="O99" s="182" t="s">
        <v>1298</v>
      </c>
    </row>
    <row r="100" spans="2:15">
      <c r="B100" s="174" t="s">
        <v>1299</v>
      </c>
      <c r="C100" s="175" t="s">
        <v>416</v>
      </c>
      <c r="D100" s="176" t="s">
        <v>417</v>
      </c>
      <c r="E100" s="177" t="s">
        <v>1300</v>
      </c>
      <c r="F100" s="175">
        <f t="shared" si="3"/>
        <v>10</v>
      </c>
      <c r="G100" s="175" t="str">
        <f t="shared" si="4"/>
        <v>Brooklyn</v>
      </c>
      <c r="H100" s="175"/>
      <c r="I100" s="178" t="s">
        <v>2276</v>
      </c>
      <c r="J100" s="27" t="s">
        <v>417</v>
      </c>
      <c r="K100" s="27">
        <v>1052</v>
      </c>
      <c r="L100" s="179">
        <v>4910</v>
      </c>
      <c r="M100" s="180" t="s">
        <v>2277</v>
      </c>
      <c r="N100" s="181" t="s">
        <v>417</v>
      </c>
      <c r="O100" s="182" t="s">
        <v>1298</v>
      </c>
    </row>
    <row r="101" spans="2:15">
      <c r="B101" s="174" t="s">
        <v>1945</v>
      </c>
      <c r="C101" s="175" t="s">
        <v>416</v>
      </c>
      <c r="D101" s="176" t="s">
        <v>417</v>
      </c>
      <c r="E101" s="177" t="s">
        <v>1946</v>
      </c>
      <c r="F101" s="175">
        <f t="shared" si="3"/>
        <v>10</v>
      </c>
      <c r="G101" s="175" t="str">
        <f t="shared" si="4"/>
        <v>Flushing</v>
      </c>
      <c r="H101" s="175"/>
      <c r="I101" s="178" t="s">
        <v>1947</v>
      </c>
      <c r="J101" s="27" t="s">
        <v>417</v>
      </c>
      <c r="K101" s="27">
        <v>921</v>
      </c>
      <c r="L101" s="179">
        <v>5027</v>
      </c>
      <c r="M101" s="180" t="s">
        <v>2277</v>
      </c>
      <c r="N101" s="181" t="s">
        <v>417</v>
      </c>
      <c r="O101" s="182" t="s">
        <v>1298</v>
      </c>
    </row>
    <row r="102" spans="2:15">
      <c r="B102" s="174" t="s">
        <v>118</v>
      </c>
      <c r="C102" s="175" t="s">
        <v>416</v>
      </c>
      <c r="D102" s="176" t="s">
        <v>417</v>
      </c>
      <c r="E102" s="177" t="s">
        <v>119</v>
      </c>
      <c r="F102" s="175">
        <f t="shared" si="3"/>
        <v>9</v>
      </c>
      <c r="G102" s="175" t="str">
        <f t="shared" si="4"/>
        <v>Jamaica</v>
      </c>
      <c r="H102" s="175"/>
      <c r="I102" s="178" t="s">
        <v>1947</v>
      </c>
      <c r="J102" s="27" t="s">
        <v>417</v>
      </c>
      <c r="K102" s="27">
        <v>921</v>
      </c>
      <c r="L102" s="179">
        <v>5027</v>
      </c>
      <c r="M102" s="180" t="s">
        <v>2277</v>
      </c>
      <c r="N102" s="181" t="s">
        <v>417</v>
      </c>
      <c r="O102" s="182" t="s">
        <v>1298</v>
      </c>
    </row>
    <row r="103" spans="2:15">
      <c r="B103" s="174" t="s">
        <v>182</v>
      </c>
      <c r="C103" s="175" t="s">
        <v>416</v>
      </c>
      <c r="D103" s="176" t="s">
        <v>417</v>
      </c>
      <c r="E103" s="177" t="s">
        <v>183</v>
      </c>
      <c r="F103" s="175">
        <f t="shared" si="3"/>
        <v>10</v>
      </c>
      <c r="G103" s="175" t="str">
        <f t="shared" si="4"/>
        <v>Minneola</v>
      </c>
      <c r="H103" s="175"/>
      <c r="I103" s="178" t="s">
        <v>1947</v>
      </c>
      <c r="J103" s="27" t="s">
        <v>417</v>
      </c>
      <c r="K103" s="27">
        <v>921</v>
      </c>
      <c r="L103" s="179">
        <v>5027</v>
      </c>
      <c r="M103" s="180" t="s">
        <v>2277</v>
      </c>
      <c r="N103" s="181" t="s">
        <v>417</v>
      </c>
      <c r="O103" s="182" t="s">
        <v>1298</v>
      </c>
    </row>
    <row r="104" spans="2:15">
      <c r="B104" s="174" t="s">
        <v>1913</v>
      </c>
      <c r="C104" s="175" t="s">
        <v>416</v>
      </c>
      <c r="D104" s="176" t="s">
        <v>417</v>
      </c>
      <c r="E104" s="177" t="s">
        <v>1914</v>
      </c>
      <c r="F104" s="175">
        <f t="shared" si="3"/>
        <v>14</v>
      </c>
      <c r="G104" s="175" t="str">
        <f t="shared" si="4"/>
        <v>Far Rockaway</v>
      </c>
      <c r="H104" s="175"/>
      <c r="I104" s="178" t="s">
        <v>1915</v>
      </c>
      <c r="J104" s="27" t="s">
        <v>417</v>
      </c>
      <c r="K104" s="27">
        <v>706</v>
      </c>
      <c r="L104" s="179">
        <v>5647</v>
      </c>
      <c r="M104" s="178" t="s">
        <v>693</v>
      </c>
      <c r="N104" s="27" t="s">
        <v>690</v>
      </c>
      <c r="O104" s="182" t="s">
        <v>694</v>
      </c>
    </row>
    <row r="105" spans="2:15">
      <c r="B105" s="174" t="s">
        <v>781</v>
      </c>
      <c r="C105" s="175" t="s">
        <v>416</v>
      </c>
      <c r="D105" s="176" t="s">
        <v>417</v>
      </c>
      <c r="E105" s="177" t="s">
        <v>782</v>
      </c>
      <c r="F105" s="175">
        <f t="shared" si="3"/>
        <v>12</v>
      </c>
      <c r="G105" s="175" t="str">
        <f t="shared" si="4"/>
        <v>Hicksville</v>
      </c>
      <c r="H105" s="175"/>
      <c r="I105" s="178" t="s">
        <v>1915</v>
      </c>
      <c r="J105" s="27" t="s">
        <v>417</v>
      </c>
      <c r="K105" s="27">
        <v>706</v>
      </c>
      <c r="L105" s="179">
        <v>5647</v>
      </c>
      <c r="M105" s="178" t="s">
        <v>693</v>
      </c>
      <c r="N105" s="27" t="s">
        <v>690</v>
      </c>
      <c r="O105" s="182" t="s">
        <v>694</v>
      </c>
    </row>
    <row r="106" spans="2:15">
      <c r="B106" s="174" t="s">
        <v>783</v>
      </c>
      <c r="C106" s="175" t="s">
        <v>416</v>
      </c>
      <c r="D106" s="176" t="s">
        <v>417</v>
      </c>
      <c r="E106" s="177" t="s">
        <v>782</v>
      </c>
      <c r="F106" s="175">
        <f t="shared" si="3"/>
        <v>12</v>
      </c>
      <c r="G106" s="175" t="str">
        <f t="shared" si="4"/>
        <v>Hicksville</v>
      </c>
      <c r="H106" s="175"/>
      <c r="I106" s="178" t="s">
        <v>1915</v>
      </c>
      <c r="J106" s="27" t="s">
        <v>417</v>
      </c>
      <c r="K106" s="27">
        <v>706</v>
      </c>
      <c r="L106" s="179">
        <v>5647</v>
      </c>
      <c r="M106" s="178" t="s">
        <v>693</v>
      </c>
      <c r="N106" s="27" t="s">
        <v>690</v>
      </c>
      <c r="O106" s="182" t="s">
        <v>694</v>
      </c>
    </row>
    <row r="107" spans="2:15">
      <c r="B107" s="174" t="s">
        <v>294</v>
      </c>
      <c r="C107" s="175" t="s">
        <v>416</v>
      </c>
      <c r="D107" s="176" t="s">
        <v>417</v>
      </c>
      <c r="E107" s="177" t="s">
        <v>295</v>
      </c>
      <c r="F107" s="175">
        <f t="shared" si="3"/>
        <v>11</v>
      </c>
      <c r="G107" s="175" t="str">
        <f t="shared" si="4"/>
        <v>Riverhead</v>
      </c>
      <c r="H107" s="175"/>
      <c r="I107" s="178" t="s">
        <v>692</v>
      </c>
      <c r="J107" s="27" t="s">
        <v>690</v>
      </c>
      <c r="K107" s="27">
        <v>724</v>
      </c>
      <c r="L107" s="179">
        <v>5537</v>
      </c>
      <c r="M107" s="178" t="s">
        <v>693</v>
      </c>
      <c r="N107" s="27" t="s">
        <v>690</v>
      </c>
      <c r="O107" s="182" t="s">
        <v>694</v>
      </c>
    </row>
    <row r="108" spans="2:15">
      <c r="B108" s="174" t="s">
        <v>415</v>
      </c>
      <c r="C108" s="175" t="s">
        <v>416</v>
      </c>
      <c r="D108" s="176" t="s">
        <v>417</v>
      </c>
      <c r="E108" s="177" t="s">
        <v>411</v>
      </c>
      <c r="F108" s="175">
        <f t="shared" si="3"/>
        <v>8</v>
      </c>
      <c r="G108" s="175" t="str">
        <f t="shared" si="4"/>
        <v>Albany</v>
      </c>
      <c r="H108" s="175"/>
      <c r="I108" s="178" t="s">
        <v>418</v>
      </c>
      <c r="J108" s="27" t="s">
        <v>417</v>
      </c>
      <c r="K108" s="27">
        <v>507</v>
      </c>
      <c r="L108" s="179">
        <v>6894</v>
      </c>
      <c r="M108" s="180" t="s">
        <v>419</v>
      </c>
      <c r="N108" s="181" t="s">
        <v>417</v>
      </c>
      <c r="O108" s="182" t="s">
        <v>420</v>
      </c>
    </row>
    <row r="109" spans="2:15">
      <c r="B109" s="174" t="s">
        <v>421</v>
      </c>
      <c r="C109" s="175" t="s">
        <v>416</v>
      </c>
      <c r="D109" s="176" t="s">
        <v>417</v>
      </c>
      <c r="E109" s="177" t="s">
        <v>411</v>
      </c>
      <c r="F109" s="175">
        <f t="shared" si="3"/>
        <v>8</v>
      </c>
      <c r="G109" s="175" t="str">
        <f t="shared" si="4"/>
        <v>Albany</v>
      </c>
      <c r="H109" s="175"/>
      <c r="I109" s="178" t="s">
        <v>418</v>
      </c>
      <c r="J109" s="27" t="s">
        <v>417</v>
      </c>
      <c r="K109" s="27">
        <v>507</v>
      </c>
      <c r="L109" s="179">
        <v>6894</v>
      </c>
      <c r="M109" s="180" t="s">
        <v>419</v>
      </c>
      <c r="N109" s="181" t="s">
        <v>417</v>
      </c>
      <c r="O109" s="182" t="s">
        <v>420</v>
      </c>
    </row>
    <row r="110" spans="2:15">
      <c r="B110" s="174" t="s">
        <v>422</v>
      </c>
      <c r="C110" s="175" t="s">
        <v>416</v>
      </c>
      <c r="D110" s="176" t="s">
        <v>417</v>
      </c>
      <c r="E110" s="177" t="s">
        <v>411</v>
      </c>
      <c r="F110" s="175">
        <f t="shared" si="3"/>
        <v>8</v>
      </c>
      <c r="G110" s="175" t="str">
        <f t="shared" si="4"/>
        <v>Albany</v>
      </c>
      <c r="H110" s="175"/>
      <c r="I110" s="178" t="s">
        <v>418</v>
      </c>
      <c r="J110" s="27" t="s">
        <v>417</v>
      </c>
      <c r="K110" s="27">
        <v>507</v>
      </c>
      <c r="L110" s="179">
        <v>6894</v>
      </c>
      <c r="M110" s="180" t="s">
        <v>419</v>
      </c>
      <c r="N110" s="181" t="s">
        <v>417</v>
      </c>
      <c r="O110" s="182" t="s">
        <v>420</v>
      </c>
    </row>
    <row r="111" spans="2:15">
      <c r="B111" s="174" t="s">
        <v>1028</v>
      </c>
      <c r="C111" s="175" t="s">
        <v>416</v>
      </c>
      <c r="D111" s="176" t="s">
        <v>417</v>
      </c>
      <c r="E111" s="177" t="s">
        <v>1029</v>
      </c>
      <c r="F111" s="175">
        <f t="shared" si="3"/>
        <v>13</v>
      </c>
      <c r="G111" s="175" t="str">
        <f t="shared" si="4"/>
        <v>Schenectady</v>
      </c>
      <c r="H111" s="175"/>
      <c r="I111" s="178" t="s">
        <v>418</v>
      </c>
      <c r="J111" s="27" t="s">
        <v>417</v>
      </c>
      <c r="K111" s="27">
        <v>507</v>
      </c>
      <c r="L111" s="179">
        <v>6894</v>
      </c>
      <c r="M111" s="180" t="s">
        <v>419</v>
      </c>
      <c r="N111" s="181" t="s">
        <v>417</v>
      </c>
      <c r="O111" s="182" t="s">
        <v>420</v>
      </c>
    </row>
    <row r="112" spans="2:15">
      <c r="B112" s="174" t="s">
        <v>923</v>
      </c>
      <c r="C112" s="175" t="s">
        <v>416</v>
      </c>
      <c r="D112" s="176" t="s">
        <v>417</v>
      </c>
      <c r="E112" s="177" t="s">
        <v>924</v>
      </c>
      <c r="F112" s="175">
        <f t="shared" si="3"/>
        <v>10</v>
      </c>
      <c r="G112" s="175" t="str">
        <f t="shared" si="4"/>
        <v>Kingston</v>
      </c>
      <c r="H112" s="175"/>
      <c r="I112" s="178" t="s">
        <v>418</v>
      </c>
      <c r="J112" s="27" t="s">
        <v>417</v>
      </c>
      <c r="K112" s="27">
        <v>507</v>
      </c>
      <c r="L112" s="179">
        <v>6894</v>
      </c>
      <c r="M112" s="180" t="s">
        <v>419</v>
      </c>
      <c r="N112" s="181" t="s">
        <v>417</v>
      </c>
      <c r="O112" s="182" t="s">
        <v>420</v>
      </c>
    </row>
    <row r="113" spans="2:20">
      <c r="B113" s="174" t="s">
        <v>2475</v>
      </c>
      <c r="C113" s="175" t="s">
        <v>416</v>
      </c>
      <c r="D113" s="176" t="s">
        <v>417</v>
      </c>
      <c r="E113" s="177" t="s">
        <v>2476</v>
      </c>
      <c r="F113" s="175">
        <f t="shared" si="3"/>
        <v>14</v>
      </c>
      <c r="G113" s="175" t="str">
        <f t="shared" si="4"/>
        <v>Poughkeepsie</v>
      </c>
      <c r="H113" s="175"/>
      <c r="I113" s="178" t="s">
        <v>756</v>
      </c>
      <c r="J113" s="27" t="s">
        <v>690</v>
      </c>
      <c r="K113" s="27">
        <v>677</v>
      </c>
      <c r="L113" s="179">
        <v>6151</v>
      </c>
      <c r="M113" s="178" t="s">
        <v>753</v>
      </c>
      <c r="N113" s="27" t="s">
        <v>690</v>
      </c>
      <c r="O113" s="182" t="s">
        <v>754</v>
      </c>
    </row>
    <row r="114" spans="2:20">
      <c r="B114" s="174" t="s">
        <v>2477</v>
      </c>
      <c r="C114" s="175" t="s">
        <v>416</v>
      </c>
      <c r="D114" s="176" t="s">
        <v>417</v>
      </c>
      <c r="E114" s="177" t="s">
        <v>2476</v>
      </c>
      <c r="F114" s="175">
        <f t="shared" si="3"/>
        <v>14</v>
      </c>
      <c r="G114" s="175" t="str">
        <f t="shared" si="4"/>
        <v>Poughkeepsie</v>
      </c>
      <c r="H114" s="175"/>
      <c r="I114" s="178" t="s">
        <v>692</v>
      </c>
      <c r="J114" s="27" t="s">
        <v>690</v>
      </c>
      <c r="K114" s="27">
        <v>724</v>
      </c>
      <c r="L114" s="179">
        <v>5537</v>
      </c>
      <c r="M114" s="178" t="s">
        <v>693</v>
      </c>
      <c r="N114" s="27" t="s">
        <v>690</v>
      </c>
      <c r="O114" s="182" t="s">
        <v>694</v>
      </c>
      <c r="S114" s="27"/>
      <c r="T114" s="27"/>
    </row>
    <row r="115" spans="2:20">
      <c r="B115" s="174" t="s">
        <v>1080</v>
      </c>
      <c r="C115" s="175" t="s">
        <v>416</v>
      </c>
      <c r="D115" s="176" t="s">
        <v>417</v>
      </c>
      <c r="E115" s="177" t="s">
        <v>1081</v>
      </c>
      <c r="F115" s="175">
        <f t="shared" si="3"/>
        <v>12</v>
      </c>
      <c r="G115" s="175" t="str">
        <f t="shared" si="4"/>
        <v>Monticello</v>
      </c>
      <c r="H115" s="175"/>
      <c r="I115" s="178" t="s">
        <v>1437</v>
      </c>
      <c r="J115" s="27" t="s">
        <v>417</v>
      </c>
      <c r="K115" s="27">
        <v>337</v>
      </c>
      <c r="L115" s="179">
        <v>7273</v>
      </c>
      <c r="M115" s="180" t="s">
        <v>1438</v>
      </c>
      <c r="N115" s="181" t="s">
        <v>450</v>
      </c>
      <c r="O115" s="182" t="s">
        <v>1439</v>
      </c>
    </row>
    <row r="116" spans="2:20">
      <c r="B116" s="174" t="s">
        <v>2024</v>
      </c>
      <c r="C116" s="175" t="s">
        <v>416</v>
      </c>
      <c r="D116" s="176" t="s">
        <v>417</v>
      </c>
      <c r="E116" s="177" t="s">
        <v>2025</v>
      </c>
      <c r="F116" s="175">
        <f t="shared" si="3"/>
        <v>13</v>
      </c>
      <c r="G116" s="175" t="str">
        <f t="shared" si="4"/>
        <v>Glens Falls</v>
      </c>
      <c r="H116" s="175"/>
      <c r="I116" s="178" t="s">
        <v>1340</v>
      </c>
      <c r="J116" s="27" t="s">
        <v>1623</v>
      </c>
      <c r="K116" s="27">
        <v>388</v>
      </c>
      <c r="L116" s="179">
        <v>7771</v>
      </c>
      <c r="M116" s="180" t="s">
        <v>1341</v>
      </c>
      <c r="N116" s="181" t="s">
        <v>1623</v>
      </c>
      <c r="O116" s="182" t="s">
        <v>1342</v>
      </c>
    </row>
    <row r="117" spans="2:20">
      <c r="B117" s="174" t="s">
        <v>2446</v>
      </c>
      <c r="C117" s="175" t="s">
        <v>416</v>
      </c>
      <c r="D117" s="176" t="s">
        <v>417</v>
      </c>
      <c r="E117" s="177" t="s">
        <v>2447</v>
      </c>
      <c r="F117" s="175">
        <f t="shared" si="3"/>
        <v>13</v>
      </c>
      <c r="G117" s="175" t="str">
        <f t="shared" si="4"/>
        <v>Plattsburgh</v>
      </c>
      <c r="H117" s="175"/>
      <c r="I117" s="178" t="s">
        <v>1340</v>
      </c>
      <c r="J117" s="27" t="s">
        <v>1623</v>
      </c>
      <c r="K117" s="27">
        <v>388</v>
      </c>
      <c r="L117" s="179">
        <v>7771</v>
      </c>
      <c r="M117" s="180" t="s">
        <v>1341</v>
      </c>
      <c r="N117" s="181" t="s">
        <v>1623</v>
      </c>
      <c r="O117" s="182" t="s">
        <v>1342</v>
      </c>
    </row>
    <row r="118" spans="2:20">
      <c r="B118" s="174" t="s">
        <v>840</v>
      </c>
      <c r="C118" s="175" t="s">
        <v>416</v>
      </c>
      <c r="D118" s="176" t="s">
        <v>417</v>
      </c>
      <c r="E118" s="177" t="s">
        <v>841</v>
      </c>
      <c r="F118" s="175">
        <f t="shared" si="3"/>
        <v>10</v>
      </c>
      <c r="G118" s="175" t="str">
        <f t="shared" si="4"/>
        <v>Syracuse</v>
      </c>
      <c r="H118" s="175"/>
      <c r="I118" s="178" t="s">
        <v>104</v>
      </c>
      <c r="J118" s="27" t="s">
        <v>417</v>
      </c>
      <c r="K118" s="27">
        <v>438</v>
      </c>
      <c r="L118" s="179">
        <v>6834</v>
      </c>
      <c r="M118" s="180" t="s">
        <v>1046</v>
      </c>
      <c r="N118" s="181" t="s">
        <v>417</v>
      </c>
      <c r="O118" s="182" t="s">
        <v>1047</v>
      </c>
    </row>
    <row r="119" spans="2:20">
      <c r="B119" s="174" t="s">
        <v>842</v>
      </c>
      <c r="C119" s="175" t="s">
        <v>416</v>
      </c>
      <c r="D119" s="176" t="s">
        <v>417</v>
      </c>
      <c r="E119" s="177" t="s">
        <v>841</v>
      </c>
      <c r="F119" s="175">
        <f t="shared" si="3"/>
        <v>10</v>
      </c>
      <c r="G119" s="175" t="str">
        <f t="shared" si="4"/>
        <v>Syracuse</v>
      </c>
      <c r="H119" s="175"/>
      <c r="I119" s="178" t="s">
        <v>1323</v>
      </c>
      <c r="J119" s="27" t="s">
        <v>417</v>
      </c>
      <c r="K119" s="27">
        <v>425</v>
      </c>
      <c r="L119" s="179">
        <v>6734</v>
      </c>
      <c r="M119" s="180" t="s">
        <v>1046</v>
      </c>
      <c r="N119" s="181" t="s">
        <v>417</v>
      </c>
      <c r="O119" s="182" t="s">
        <v>1047</v>
      </c>
    </row>
    <row r="120" spans="2:20">
      <c r="B120" s="174" t="s">
        <v>843</v>
      </c>
      <c r="C120" s="175" t="s">
        <v>416</v>
      </c>
      <c r="D120" s="176" t="s">
        <v>417</v>
      </c>
      <c r="E120" s="177" t="s">
        <v>841</v>
      </c>
      <c r="F120" s="175">
        <f t="shared" si="3"/>
        <v>10</v>
      </c>
      <c r="G120" s="175" t="str">
        <f t="shared" si="4"/>
        <v>Syracuse</v>
      </c>
      <c r="H120" s="175"/>
      <c r="I120" s="178" t="s">
        <v>104</v>
      </c>
      <c r="J120" s="27" t="s">
        <v>417</v>
      </c>
      <c r="K120" s="27">
        <v>438</v>
      </c>
      <c r="L120" s="179">
        <v>6834</v>
      </c>
      <c r="M120" s="180" t="s">
        <v>1046</v>
      </c>
      <c r="N120" s="181" t="s">
        <v>417</v>
      </c>
      <c r="O120" s="182" t="s">
        <v>1047</v>
      </c>
    </row>
    <row r="121" spans="2:20">
      <c r="B121" s="174" t="s">
        <v>1784</v>
      </c>
      <c r="C121" s="175" t="s">
        <v>416</v>
      </c>
      <c r="D121" s="176" t="s">
        <v>417</v>
      </c>
      <c r="E121" s="177" t="s">
        <v>1785</v>
      </c>
      <c r="F121" s="175">
        <f t="shared" si="3"/>
        <v>7</v>
      </c>
      <c r="G121" s="175" t="str">
        <f t="shared" si="4"/>
        <v>Utica</v>
      </c>
      <c r="H121" s="175"/>
      <c r="I121" s="178" t="s">
        <v>1437</v>
      </c>
      <c r="J121" s="27" t="s">
        <v>417</v>
      </c>
      <c r="K121" s="27">
        <v>337</v>
      </c>
      <c r="L121" s="179">
        <v>7273</v>
      </c>
      <c r="M121" s="180" t="s">
        <v>1438</v>
      </c>
      <c r="N121" s="181" t="s">
        <v>450</v>
      </c>
      <c r="O121" s="182" t="s">
        <v>1439</v>
      </c>
    </row>
    <row r="122" spans="2:20">
      <c r="B122" s="174" t="s">
        <v>1786</v>
      </c>
      <c r="C122" s="175" t="s">
        <v>416</v>
      </c>
      <c r="D122" s="176" t="s">
        <v>417</v>
      </c>
      <c r="E122" s="177" t="s">
        <v>1785</v>
      </c>
      <c r="F122" s="175">
        <f t="shared" si="3"/>
        <v>7</v>
      </c>
      <c r="G122" s="175" t="str">
        <f t="shared" si="4"/>
        <v>Utica</v>
      </c>
      <c r="H122" s="175"/>
      <c r="I122" s="178" t="s">
        <v>1437</v>
      </c>
      <c r="J122" s="27" t="s">
        <v>417</v>
      </c>
      <c r="K122" s="27">
        <v>337</v>
      </c>
      <c r="L122" s="179">
        <v>7273</v>
      </c>
      <c r="M122" s="180" t="s">
        <v>1438</v>
      </c>
      <c r="N122" s="181" t="s">
        <v>450</v>
      </c>
      <c r="O122" s="182" t="s">
        <v>1439</v>
      </c>
    </row>
    <row r="123" spans="2:20">
      <c r="B123" s="174" t="s">
        <v>1787</v>
      </c>
      <c r="C123" s="175" t="s">
        <v>416</v>
      </c>
      <c r="D123" s="176" t="s">
        <v>417</v>
      </c>
      <c r="E123" s="177" t="s">
        <v>1785</v>
      </c>
      <c r="F123" s="175">
        <f t="shared" si="3"/>
        <v>7</v>
      </c>
      <c r="G123" s="175" t="str">
        <f t="shared" si="4"/>
        <v>Utica</v>
      </c>
      <c r="H123" s="175"/>
      <c r="I123" s="178" t="s">
        <v>104</v>
      </c>
      <c r="J123" s="27" t="s">
        <v>417</v>
      </c>
      <c r="K123" s="27">
        <v>438</v>
      </c>
      <c r="L123" s="179">
        <v>6834</v>
      </c>
      <c r="M123" s="180" t="s">
        <v>1046</v>
      </c>
      <c r="N123" s="181" t="s">
        <v>417</v>
      </c>
      <c r="O123" s="182" t="s">
        <v>1047</v>
      </c>
    </row>
    <row r="124" spans="2:20">
      <c r="B124" s="174" t="s">
        <v>1826</v>
      </c>
      <c r="C124" s="175" t="s">
        <v>416</v>
      </c>
      <c r="D124" s="176" t="s">
        <v>417</v>
      </c>
      <c r="E124" s="177" t="s">
        <v>1827</v>
      </c>
      <c r="F124" s="175">
        <f t="shared" si="3"/>
        <v>11</v>
      </c>
      <c r="G124" s="175" t="str">
        <f t="shared" si="4"/>
        <v>Watertown</v>
      </c>
      <c r="H124" s="175"/>
      <c r="I124" s="178" t="s">
        <v>104</v>
      </c>
      <c r="J124" s="27" t="s">
        <v>417</v>
      </c>
      <c r="K124" s="27">
        <v>438</v>
      </c>
      <c r="L124" s="179">
        <v>6834</v>
      </c>
      <c r="M124" s="180" t="s">
        <v>1046</v>
      </c>
      <c r="N124" s="181" t="s">
        <v>417</v>
      </c>
      <c r="O124" s="182" t="s">
        <v>1047</v>
      </c>
      <c r="S124" s="27"/>
      <c r="T124" s="27"/>
    </row>
    <row r="125" spans="2:20">
      <c r="B125" s="174" t="s">
        <v>1433</v>
      </c>
      <c r="C125" s="175" t="s">
        <v>416</v>
      </c>
      <c r="D125" s="176" t="s">
        <v>417</v>
      </c>
      <c r="E125" s="177" t="s">
        <v>1434</v>
      </c>
      <c r="F125" s="175">
        <f t="shared" si="3"/>
        <v>12</v>
      </c>
      <c r="G125" s="175" t="str">
        <f t="shared" si="4"/>
        <v>Binghamton</v>
      </c>
      <c r="H125" s="175"/>
      <c r="I125" s="178" t="s">
        <v>418</v>
      </c>
      <c r="J125" s="27" t="s">
        <v>417</v>
      </c>
      <c r="K125" s="27">
        <v>507</v>
      </c>
      <c r="L125" s="179">
        <v>6894</v>
      </c>
      <c r="M125" s="180" t="s">
        <v>419</v>
      </c>
      <c r="N125" s="181" t="s">
        <v>417</v>
      </c>
      <c r="O125" s="182" t="s">
        <v>420</v>
      </c>
      <c r="S125" s="27"/>
      <c r="T125" s="27"/>
    </row>
    <row r="126" spans="2:20">
      <c r="B126" s="174" t="s">
        <v>1435</v>
      </c>
      <c r="C126" s="175" t="s">
        <v>416</v>
      </c>
      <c r="D126" s="176" t="s">
        <v>417</v>
      </c>
      <c r="E126" s="177" t="s">
        <v>1434</v>
      </c>
      <c r="F126" s="175">
        <f t="shared" si="3"/>
        <v>12</v>
      </c>
      <c r="G126" s="175" t="str">
        <f t="shared" si="4"/>
        <v>Binghamton</v>
      </c>
      <c r="H126" s="175"/>
      <c r="I126" s="178" t="s">
        <v>418</v>
      </c>
      <c r="J126" s="27" t="s">
        <v>417</v>
      </c>
      <c r="K126" s="27">
        <v>507</v>
      </c>
      <c r="L126" s="179">
        <v>6894</v>
      </c>
      <c r="M126" s="180" t="s">
        <v>419</v>
      </c>
      <c r="N126" s="181" t="s">
        <v>417</v>
      </c>
      <c r="O126" s="182" t="s">
        <v>420</v>
      </c>
    </row>
    <row r="127" spans="2:20">
      <c r="B127" s="174" t="s">
        <v>1436</v>
      </c>
      <c r="C127" s="175" t="s">
        <v>416</v>
      </c>
      <c r="D127" s="176" t="s">
        <v>417</v>
      </c>
      <c r="E127" s="177" t="s">
        <v>1434</v>
      </c>
      <c r="F127" s="175">
        <f t="shared" si="3"/>
        <v>12</v>
      </c>
      <c r="G127" s="175" t="str">
        <f t="shared" si="4"/>
        <v>Binghamton</v>
      </c>
      <c r="H127" s="175"/>
      <c r="I127" s="178" t="s">
        <v>1437</v>
      </c>
      <c r="J127" s="27" t="s">
        <v>417</v>
      </c>
      <c r="K127" s="27">
        <v>337</v>
      </c>
      <c r="L127" s="179">
        <v>7273</v>
      </c>
      <c r="M127" s="180" t="s">
        <v>1438</v>
      </c>
      <c r="N127" s="181" t="s">
        <v>450</v>
      </c>
      <c r="O127" s="182" t="s">
        <v>1439</v>
      </c>
    </row>
    <row r="128" spans="2:20">
      <c r="B128" s="174" t="s">
        <v>1320</v>
      </c>
      <c r="C128" s="175" t="s">
        <v>416</v>
      </c>
      <c r="D128" s="176" t="s">
        <v>417</v>
      </c>
      <c r="E128" s="177" t="s">
        <v>1321</v>
      </c>
      <c r="F128" s="175">
        <f t="shared" si="3"/>
        <v>9</v>
      </c>
      <c r="G128" s="175" t="str">
        <f t="shared" si="4"/>
        <v>Buffalo</v>
      </c>
      <c r="H128" s="175"/>
      <c r="I128" s="178" t="s">
        <v>678</v>
      </c>
      <c r="J128" s="27" t="s">
        <v>450</v>
      </c>
      <c r="K128" s="27">
        <v>550</v>
      </c>
      <c r="L128" s="179">
        <v>6279</v>
      </c>
      <c r="M128" s="180" t="s">
        <v>679</v>
      </c>
      <c r="N128" s="181" t="s">
        <v>450</v>
      </c>
      <c r="O128" s="182" t="s">
        <v>680</v>
      </c>
    </row>
    <row r="129" spans="2:20">
      <c r="B129" s="174" t="s">
        <v>1322</v>
      </c>
      <c r="C129" s="175" t="s">
        <v>416</v>
      </c>
      <c r="D129" s="176" t="s">
        <v>417</v>
      </c>
      <c r="E129" s="177" t="s">
        <v>1321</v>
      </c>
      <c r="F129" s="175">
        <f t="shared" si="3"/>
        <v>9</v>
      </c>
      <c r="G129" s="175" t="str">
        <f t="shared" si="4"/>
        <v>Buffalo</v>
      </c>
      <c r="H129" s="175"/>
      <c r="I129" s="178" t="s">
        <v>1323</v>
      </c>
      <c r="J129" s="27" t="s">
        <v>417</v>
      </c>
      <c r="K129" s="27">
        <v>425</v>
      </c>
      <c r="L129" s="179">
        <v>6734</v>
      </c>
      <c r="M129" s="180" t="s">
        <v>1324</v>
      </c>
      <c r="N129" s="181" t="s">
        <v>417</v>
      </c>
      <c r="O129" s="182" t="s">
        <v>1325</v>
      </c>
    </row>
    <row r="130" spans="2:20">
      <c r="B130" s="174" t="s">
        <v>1326</v>
      </c>
      <c r="C130" s="175" t="s">
        <v>416</v>
      </c>
      <c r="D130" s="176" t="s">
        <v>417</v>
      </c>
      <c r="E130" s="177" t="s">
        <v>1321</v>
      </c>
      <c r="F130" s="175">
        <f t="shared" si="3"/>
        <v>9</v>
      </c>
      <c r="G130" s="175" t="str">
        <f t="shared" si="4"/>
        <v>Buffalo</v>
      </c>
      <c r="H130" s="175"/>
      <c r="I130" s="178" t="s">
        <v>1327</v>
      </c>
      <c r="J130" s="27" t="s">
        <v>417</v>
      </c>
      <c r="K130" s="27">
        <v>477</v>
      </c>
      <c r="L130" s="179">
        <v>6747</v>
      </c>
      <c r="M130" s="180" t="s">
        <v>1328</v>
      </c>
      <c r="N130" s="181" t="s">
        <v>417</v>
      </c>
      <c r="O130" s="182" t="s">
        <v>1329</v>
      </c>
    </row>
    <row r="131" spans="2:20">
      <c r="B131" s="174" t="s">
        <v>152</v>
      </c>
      <c r="C131" s="175" t="s">
        <v>416</v>
      </c>
      <c r="D131" s="176" t="s">
        <v>417</v>
      </c>
      <c r="E131" s="177" t="s">
        <v>153</v>
      </c>
      <c r="F131" s="175">
        <f t="shared" si="3"/>
        <v>15</v>
      </c>
      <c r="G131" s="175" t="str">
        <f t="shared" si="4"/>
        <v>Niagara Falls</v>
      </c>
      <c r="H131" s="175"/>
      <c r="I131" s="178" t="s">
        <v>1327</v>
      </c>
      <c r="J131" s="27" t="s">
        <v>417</v>
      </c>
      <c r="K131" s="27">
        <v>477</v>
      </c>
      <c r="L131" s="179">
        <v>6747</v>
      </c>
      <c r="M131" s="180" t="s">
        <v>1328</v>
      </c>
      <c r="N131" s="181" t="s">
        <v>417</v>
      </c>
      <c r="O131" s="182" t="s">
        <v>1329</v>
      </c>
    </row>
    <row r="132" spans="2:20">
      <c r="B132" s="174" t="s">
        <v>305</v>
      </c>
      <c r="C132" s="175" t="s">
        <v>416</v>
      </c>
      <c r="D132" s="176" t="s">
        <v>417</v>
      </c>
      <c r="E132" s="177" t="s">
        <v>304</v>
      </c>
      <c r="F132" s="175">
        <f t="shared" si="3"/>
        <v>11</v>
      </c>
      <c r="G132" s="175" t="str">
        <f t="shared" si="4"/>
        <v>Rochester</v>
      </c>
      <c r="H132" s="175"/>
      <c r="I132" s="178" t="s">
        <v>1327</v>
      </c>
      <c r="J132" s="27" t="s">
        <v>417</v>
      </c>
      <c r="K132" s="27">
        <v>477</v>
      </c>
      <c r="L132" s="179">
        <v>6747</v>
      </c>
      <c r="M132" s="180" t="s">
        <v>1328</v>
      </c>
      <c r="N132" s="181" t="s">
        <v>417</v>
      </c>
      <c r="O132" s="182" t="s">
        <v>1329</v>
      </c>
    </row>
    <row r="133" spans="2:20">
      <c r="B133" s="174" t="s">
        <v>306</v>
      </c>
      <c r="C133" s="175" t="s">
        <v>416</v>
      </c>
      <c r="D133" s="176" t="s">
        <v>417</v>
      </c>
      <c r="E133" s="177" t="s">
        <v>304</v>
      </c>
      <c r="F133" s="175">
        <f t="shared" si="3"/>
        <v>11</v>
      </c>
      <c r="G133" s="175" t="str">
        <f t="shared" si="4"/>
        <v>Rochester</v>
      </c>
      <c r="H133" s="175"/>
      <c r="I133" s="178" t="s">
        <v>1327</v>
      </c>
      <c r="J133" s="27" t="s">
        <v>417</v>
      </c>
      <c r="K133" s="27">
        <v>477</v>
      </c>
      <c r="L133" s="179">
        <v>6747</v>
      </c>
      <c r="M133" s="180" t="s">
        <v>1328</v>
      </c>
      <c r="N133" s="181" t="s">
        <v>417</v>
      </c>
      <c r="O133" s="182" t="s">
        <v>1329</v>
      </c>
      <c r="S133" s="27"/>
      <c r="T133" s="27"/>
    </row>
    <row r="134" spans="2:20">
      <c r="B134" s="174" t="s">
        <v>307</v>
      </c>
      <c r="C134" s="175" t="s">
        <v>416</v>
      </c>
      <c r="D134" s="176" t="s">
        <v>417</v>
      </c>
      <c r="E134" s="177" t="s">
        <v>304</v>
      </c>
      <c r="F134" s="175">
        <f t="shared" si="3"/>
        <v>11</v>
      </c>
      <c r="G134" s="175" t="str">
        <f t="shared" si="4"/>
        <v>Rochester</v>
      </c>
      <c r="H134" s="175"/>
      <c r="I134" s="178" t="s">
        <v>1323</v>
      </c>
      <c r="J134" s="27" t="s">
        <v>417</v>
      </c>
      <c r="K134" s="27">
        <v>425</v>
      </c>
      <c r="L134" s="179">
        <v>6734</v>
      </c>
      <c r="M134" s="180" t="s">
        <v>1324</v>
      </c>
      <c r="N134" s="181" t="s">
        <v>417</v>
      </c>
      <c r="O134" s="182" t="s">
        <v>1325</v>
      </c>
    </row>
    <row r="135" spans="2:20">
      <c r="B135" s="174" t="s">
        <v>122</v>
      </c>
      <c r="C135" s="175" t="s">
        <v>416</v>
      </c>
      <c r="D135" s="176" t="s">
        <v>417</v>
      </c>
      <c r="E135" s="177" t="s">
        <v>121</v>
      </c>
      <c r="F135" s="175">
        <f t="shared" si="3"/>
        <v>11</v>
      </c>
      <c r="G135" s="175" t="str">
        <f t="shared" si="4"/>
        <v>Jamestown</v>
      </c>
      <c r="H135" s="175"/>
      <c r="I135" s="178" t="s">
        <v>678</v>
      </c>
      <c r="J135" s="27" t="s">
        <v>450</v>
      </c>
      <c r="K135" s="27">
        <v>550</v>
      </c>
      <c r="L135" s="179">
        <v>6279</v>
      </c>
      <c r="M135" s="180" t="s">
        <v>679</v>
      </c>
      <c r="N135" s="181" t="s">
        <v>450</v>
      </c>
      <c r="O135" s="182" t="s">
        <v>680</v>
      </c>
    </row>
    <row r="136" spans="2:20">
      <c r="B136" s="174" t="s">
        <v>102</v>
      </c>
      <c r="C136" s="175" t="s">
        <v>416</v>
      </c>
      <c r="D136" s="176" t="s">
        <v>417</v>
      </c>
      <c r="E136" s="177" t="s">
        <v>103</v>
      </c>
      <c r="F136" s="175">
        <f t="shared" si="3"/>
        <v>8</v>
      </c>
      <c r="G136" s="175" t="str">
        <f t="shared" si="4"/>
        <v>Ithaca</v>
      </c>
      <c r="H136" s="175"/>
      <c r="I136" s="178" t="s">
        <v>104</v>
      </c>
      <c r="J136" s="27" t="s">
        <v>417</v>
      </c>
      <c r="K136" s="27">
        <v>438</v>
      </c>
      <c r="L136" s="179">
        <v>6834</v>
      </c>
      <c r="M136" s="180" t="s">
        <v>1046</v>
      </c>
      <c r="N136" s="181" t="s">
        <v>417</v>
      </c>
      <c r="O136" s="182" t="s">
        <v>1047</v>
      </c>
    </row>
    <row r="137" spans="2:20">
      <c r="B137" s="174" t="s">
        <v>1044</v>
      </c>
      <c r="C137" s="175" t="s">
        <v>416</v>
      </c>
      <c r="D137" s="176" t="s">
        <v>417</v>
      </c>
      <c r="E137" s="177" t="s">
        <v>1045</v>
      </c>
      <c r="F137" s="175">
        <f t="shared" si="3"/>
        <v>8</v>
      </c>
      <c r="G137" s="175" t="str">
        <f t="shared" si="4"/>
        <v>Elmira</v>
      </c>
      <c r="H137" s="175"/>
      <c r="I137" s="178" t="s">
        <v>1437</v>
      </c>
      <c r="J137" s="27" t="s">
        <v>417</v>
      </c>
      <c r="K137" s="27">
        <v>337</v>
      </c>
      <c r="L137" s="179">
        <v>7273</v>
      </c>
      <c r="M137" s="180" t="s">
        <v>1046</v>
      </c>
      <c r="N137" s="181" t="s">
        <v>417</v>
      </c>
      <c r="O137" s="182" t="s">
        <v>1047</v>
      </c>
    </row>
    <row r="138" spans="2:20">
      <c r="B138" s="174" t="s">
        <v>2437</v>
      </c>
      <c r="C138" s="175" t="s">
        <v>449</v>
      </c>
      <c r="D138" s="176" t="s">
        <v>450</v>
      </c>
      <c r="E138" s="177" t="s">
        <v>2438</v>
      </c>
      <c r="F138" s="175">
        <f t="shared" ref="F138:F201" si="5">LEN(E138)</f>
        <v>12</v>
      </c>
      <c r="G138" s="175" t="str">
        <f t="shared" ref="G138:G201" si="6">MID(E138,2,F138-2)</f>
        <v>Pittsburgh</v>
      </c>
      <c r="H138" s="175"/>
      <c r="I138" s="178" t="s">
        <v>464</v>
      </c>
      <c r="J138" s="27" t="s">
        <v>450</v>
      </c>
      <c r="K138" s="27">
        <v>654</v>
      </c>
      <c r="L138" s="179">
        <v>5968</v>
      </c>
      <c r="M138" s="180" t="s">
        <v>465</v>
      </c>
      <c r="N138" s="181" t="s">
        <v>450</v>
      </c>
      <c r="O138" s="182" t="s">
        <v>466</v>
      </c>
    </row>
    <row r="139" spans="2:20">
      <c r="B139" s="174" t="s">
        <v>2439</v>
      </c>
      <c r="C139" s="175" t="s">
        <v>449</v>
      </c>
      <c r="D139" s="176" t="s">
        <v>450</v>
      </c>
      <c r="E139" s="177" t="s">
        <v>2438</v>
      </c>
      <c r="F139" s="175">
        <f t="shared" si="5"/>
        <v>12</v>
      </c>
      <c r="G139" s="175" t="str">
        <f t="shared" si="6"/>
        <v>Pittsburgh</v>
      </c>
      <c r="H139" s="175"/>
      <c r="I139" s="178" t="s">
        <v>464</v>
      </c>
      <c r="J139" s="27" t="s">
        <v>450</v>
      </c>
      <c r="K139" s="27">
        <v>654</v>
      </c>
      <c r="L139" s="179">
        <v>5968</v>
      </c>
      <c r="M139" s="180" t="s">
        <v>465</v>
      </c>
      <c r="N139" s="181" t="s">
        <v>450</v>
      </c>
      <c r="O139" s="182" t="s">
        <v>466</v>
      </c>
    </row>
    <row r="140" spans="2:20">
      <c r="B140" s="174" t="s">
        <v>2440</v>
      </c>
      <c r="C140" s="175" t="s">
        <v>449</v>
      </c>
      <c r="D140" s="176" t="s">
        <v>450</v>
      </c>
      <c r="E140" s="177" t="s">
        <v>2438</v>
      </c>
      <c r="F140" s="175">
        <f t="shared" si="5"/>
        <v>12</v>
      </c>
      <c r="G140" s="175" t="str">
        <f t="shared" si="6"/>
        <v>Pittsburgh</v>
      </c>
      <c r="H140" s="175"/>
      <c r="I140" s="178" t="s">
        <v>464</v>
      </c>
      <c r="J140" s="27" t="s">
        <v>450</v>
      </c>
      <c r="K140" s="27">
        <v>654</v>
      </c>
      <c r="L140" s="179">
        <v>5968</v>
      </c>
      <c r="M140" s="180" t="s">
        <v>465</v>
      </c>
      <c r="N140" s="181" t="s">
        <v>450</v>
      </c>
      <c r="O140" s="182" t="s">
        <v>466</v>
      </c>
    </row>
    <row r="141" spans="2:20">
      <c r="B141" s="174" t="s">
        <v>1820</v>
      </c>
      <c r="C141" s="175" t="s">
        <v>449</v>
      </c>
      <c r="D141" s="176" t="s">
        <v>450</v>
      </c>
      <c r="E141" s="177" t="s">
        <v>593</v>
      </c>
      <c r="F141" s="175">
        <f t="shared" si="5"/>
        <v>12</v>
      </c>
      <c r="G141" s="175" t="str">
        <f t="shared" si="6"/>
        <v>Washington</v>
      </c>
      <c r="H141" s="175"/>
      <c r="I141" s="178" t="s">
        <v>464</v>
      </c>
      <c r="J141" s="27" t="s">
        <v>450</v>
      </c>
      <c r="K141" s="27">
        <v>654</v>
      </c>
      <c r="L141" s="179">
        <v>5968</v>
      </c>
      <c r="M141" s="180" t="s">
        <v>465</v>
      </c>
      <c r="N141" s="181" t="s">
        <v>450</v>
      </c>
      <c r="O141" s="182" t="s">
        <v>466</v>
      </c>
    </row>
    <row r="142" spans="2:20">
      <c r="B142" s="174" t="s">
        <v>1782</v>
      </c>
      <c r="C142" s="175" t="s">
        <v>449</v>
      </c>
      <c r="D142" s="176" t="s">
        <v>450</v>
      </c>
      <c r="E142" s="177" t="s">
        <v>1783</v>
      </c>
      <c r="F142" s="175">
        <f t="shared" si="5"/>
        <v>11</v>
      </c>
      <c r="G142" s="175" t="str">
        <f t="shared" si="6"/>
        <v>Uniontown</v>
      </c>
      <c r="H142" s="175"/>
      <c r="I142" s="178" t="s">
        <v>464</v>
      </c>
      <c r="J142" s="27" t="s">
        <v>450</v>
      </c>
      <c r="K142" s="27">
        <v>654</v>
      </c>
      <c r="L142" s="179">
        <v>5968</v>
      </c>
      <c r="M142" s="180" t="s">
        <v>465</v>
      </c>
      <c r="N142" s="181" t="s">
        <v>450</v>
      </c>
      <c r="O142" s="182" t="s">
        <v>466</v>
      </c>
    </row>
    <row r="143" spans="2:20">
      <c r="B143" s="174" t="s">
        <v>2259</v>
      </c>
      <c r="C143" s="175" t="s">
        <v>449</v>
      </c>
      <c r="D143" s="176" t="s">
        <v>450</v>
      </c>
      <c r="E143" s="177" t="s">
        <v>2257</v>
      </c>
      <c r="F143" s="175">
        <f t="shared" si="5"/>
        <v>10</v>
      </c>
      <c r="G143" s="175" t="str">
        <f t="shared" si="6"/>
        <v>Somerset</v>
      </c>
      <c r="H143" s="175"/>
      <c r="I143" s="178" t="s">
        <v>464</v>
      </c>
      <c r="J143" s="27" t="s">
        <v>450</v>
      </c>
      <c r="K143" s="27">
        <v>654</v>
      </c>
      <c r="L143" s="179">
        <v>5968</v>
      </c>
      <c r="M143" s="180" t="s">
        <v>465</v>
      </c>
      <c r="N143" s="181" t="s">
        <v>450</v>
      </c>
      <c r="O143" s="182" t="s">
        <v>466</v>
      </c>
    </row>
    <row r="144" spans="2:20">
      <c r="B144" s="174" t="s">
        <v>2070</v>
      </c>
      <c r="C144" s="175" t="s">
        <v>449</v>
      </c>
      <c r="D144" s="176" t="s">
        <v>450</v>
      </c>
      <c r="E144" s="177" t="s">
        <v>2071</v>
      </c>
      <c r="F144" s="175">
        <f t="shared" si="5"/>
        <v>12</v>
      </c>
      <c r="G144" s="175" t="str">
        <f t="shared" si="6"/>
        <v>Greensburg</v>
      </c>
      <c r="H144" s="175"/>
      <c r="I144" s="178" t="s">
        <v>464</v>
      </c>
      <c r="J144" s="27" t="s">
        <v>450</v>
      </c>
      <c r="K144" s="27">
        <v>654</v>
      </c>
      <c r="L144" s="179">
        <v>5968</v>
      </c>
      <c r="M144" s="180" t="s">
        <v>465</v>
      </c>
      <c r="N144" s="181" t="s">
        <v>450</v>
      </c>
      <c r="O144" s="182" t="s">
        <v>466</v>
      </c>
    </row>
    <row r="145" spans="2:15">
      <c r="B145" s="174" t="s">
        <v>91</v>
      </c>
      <c r="C145" s="175" t="s">
        <v>449</v>
      </c>
      <c r="D145" s="176" t="s">
        <v>450</v>
      </c>
      <c r="E145" s="177" t="s">
        <v>2280</v>
      </c>
      <c r="F145" s="175">
        <f t="shared" si="5"/>
        <v>9</v>
      </c>
      <c r="G145" s="175" t="str">
        <f t="shared" si="6"/>
        <v>Indiana</v>
      </c>
      <c r="H145" s="175"/>
      <c r="I145" s="178" t="s">
        <v>464</v>
      </c>
      <c r="J145" s="27" t="s">
        <v>450</v>
      </c>
      <c r="K145" s="27">
        <v>654</v>
      </c>
      <c r="L145" s="179">
        <v>5968</v>
      </c>
      <c r="M145" s="180" t="s">
        <v>465</v>
      </c>
      <c r="N145" s="181" t="s">
        <v>450</v>
      </c>
      <c r="O145" s="182" t="s">
        <v>466</v>
      </c>
    </row>
    <row r="146" spans="2:15">
      <c r="B146" s="174" t="s">
        <v>1741</v>
      </c>
      <c r="C146" s="175" t="s">
        <v>449</v>
      </c>
      <c r="D146" s="176" t="s">
        <v>450</v>
      </c>
      <c r="E146" s="177" t="s">
        <v>1742</v>
      </c>
      <c r="F146" s="175">
        <f t="shared" si="5"/>
        <v>9</v>
      </c>
      <c r="G146" s="175" t="str">
        <f t="shared" si="6"/>
        <v>Du Bois</v>
      </c>
      <c r="H146" s="175"/>
      <c r="I146" s="178" t="s">
        <v>1743</v>
      </c>
      <c r="J146" s="27" t="s">
        <v>450</v>
      </c>
      <c r="K146" s="27">
        <v>622</v>
      </c>
      <c r="L146" s="179">
        <v>6087</v>
      </c>
      <c r="M146" s="180" t="s">
        <v>465</v>
      </c>
      <c r="N146" s="181" t="s">
        <v>450</v>
      </c>
      <c r="O146" s="182" t="s">
        <v>466</v>
      </c>
    </row>
    <row r="147" spans="2:15">
      <c r="B147" s="174" t="s">
        <v>132</v>
      </c>
      <c r="C147" s="175" t="s">
        <v>449</v>
      </c>
      <c r="D147" s="176" t="s">
        <v>450</v>
      </c>
      <c r="E147" s="177" t="s">
        <v>133</v>
      </c>
      <c r="F147" s="175">
        <f t="shared" si="5"/>
        <v>11</v>
      </c>
      <c r="G147" s="175" t="str">
        <f t="shared" si="6"/>
        <v>Johnstown</v>
      </c>
      <c r="H147" s="175"/>
      <c r="I147" s="178" t="s">
        <v>464</v>
      </c>
      <c r="J147" s="27" t="s">
        <v>450</v>
      </c>
      <c r="K147" s="27">
        <v>654</v>
      </c>
      <c r="L147" s="179">
        <v>5968</v>
      </c>
      <c r="M147" s="180" t="s">
        <v>465</v>
      </c>
      <c r="N147" s="181" t="s">
        <v>450</v>
      </c>
      <c r="O147" s="182" t="s">
        <v>466</v>
      </c>
    </row>
    <row r="148" spans="2:15">
      <c r="B148" s="174" t="s">
        <v>1349</v>
      </c>
      <c r="C148" s="175" t="s">
        <v>449</v>
      </c>
      <c r="D148" s="176" t="s">
        <v>450</v>
      </c>
      <c r="E148" s="177" t="s">
        <v>1344</v>
      </c>
      <c r="F148" s="175">
        <f t="shared" si="5"/>
        <v>8</v>
      </c>
      <c r="G148" s="175" t="str">
        <f t="shared" si="6"/>
        <v>Butler</v>
      </c>
      <c r="H148" s="175"/>
      <c r="I148" s="178" t="s">
        <v>1350</v>
      </c>
      <c r="J148" s="27" t="s">
        <v>395</v>
      </c>
      <c r="K148" s="27">
        <v>497</v>
      </c>
      <c r="L148" s="179">
        <v>6544</v>
      </c>
      <c r="M148" s="180" t="s">
        <v>1351</v>
      </c>
      <c r="N148" s="181" t="s">
        <v>395</v>
      </c>
      <c r="O148" s="182" t="s">
        <v>1352</v>
      </c>
    </row>
    <row r="149" spans="2:15">
      <c r="B149" s="174" t="s">
        <v>1108</v>
      </c>
      <c r="C149" s="175" t="s">
        <v>449</v>
      </c>
      <c r="D149" s="176" t="s">
        <v>450</v>
      </c>
      <c r="E149" s="177" t="s">
        <v>1109</v>
      </c>
      <c r="F149" s="175">
        <f t="shared" si="5"/>
        <v>12</v>
      </c>
      <c r="G149" s="175" t="str">
        <f t="shared" si="6"/>
        <v>New Castle</v>
      </c>
      <c r="H149" s="175"/>
      <c r="I149" s="178" t="s">
        <v>464</v>
      </c>
      <c r="J149" s="27" t="s">
        <v>450</v>
      </c>
      <c r="K149" s="27">
        <v>654</v>
      </c>
      <c r="L149" s="179">
        <v>5968</v>
      </c>
      <c r="M149" s="180" t="s">
        <v>465</v>
      </c>
      <c r="N149" s="181" t="s">
        <v>450</v>
      </c>
      <c r="O149" s="182" t="s">
        <v>466</v>
      </c>
    </row>
    <row r="150" spans="2:15">
      <c r="B150" s="174" t="s">
        <v>929</v>
      </c>
      <c r="C150" s="175" t="s">
        <v>449</v>
      </c>
      <c r="D150" s="176" t="s">
        <v>450</v>
      </c>
      <c r="E150" s="177" t="s">
        <v>930</v>
      </c>
      <c r="F150" s="175">
        <f t="shared" si="5"/>
        <v>12</v>
      </c>
      <c r="G150" s="175" t="str">
        <f t="shared" si="6"/>
        <v>Kittanning</v>
      </c>
      <c r="H150" s="175"/>
      <c r="I150" s="178" t="s">
        <v>1350</v>
      </c>
      <c r="J150" s="27" t="s">
        <v>395</v>
      </c>
      <c r="K150" s="27">
        <v>497</v>
      </c>
      <c r="L150" s="179">
        <v>6544</v>
      </c>
      <c r="M150" s="180" t="s">
        <v>1351</v>
      </c>
      <c r="N150" s="181" t="s">
        <v>395</v>
      </c>
      <c r="O150" s="182" t="s">
        <v>1352</v>
      </c>
    </row>
    <row r="151" spans="2:15">
      <c r="B151" s="174" t="s">
        <v>1448</v>
      </c>
      <c r="C151" s="175" t="s">
        <v>449</v>
      </c>
      <c r="D151" s="176" t="s">
        <v>450</v>
      </c>
      <c r="E151" s="177" t="s">
        <v>1449</v>
      </c>
      <c r="F151" s="175">
        <f t="shared" si="5"/>
        <v>10</v>
      </c>
      <c r="G151" s="175" t="str">
        <f t="shared" si="6"/>
        <v>Oil City</v>
      </c>
      <c r="H151" s="175"/>
      <c r="I151" s="178" t="s">
        <v>1350</v>
      </c>
      <c r="J151" s="27" t="s">
        <v>395</v>
      </c>
      <c r="K151" s="27">
        <v>497</v>
      </c>
      <c r="L151" s="179">
        <v>6544</v>
      </c>
      <c r="M151" s="180" t="s">
        <v>1351</v>
      </c>
      <c r="N151" s="181" t="s">
        <v>395</v>
      </c>
      <c r="O151" s="182" t="s">
        <v>1352</v>
      </c>
    </row>
    <row r="152" spans="2:15">
      <c r="B152" s="174" t="s">
        <v>1056</v>
      </c>
      <c r="C152" s="175" t="s">
        <v>449</v>
      </c>
      <c r="D152" s="176" t="s">
        <v>450</v>
      </c>
      <c r="E152" s="177" t="s">
        <v>538</v>
      </c>
      <c r="F152" s="175">
        <f t="shared" si="5"/>
        <v>6</v>
      </c>
      <c r="G152" s="175" t="str">
        <f t="shared" si="6"/>
        <v>Erie</v>
      </c>
      <c r="H152" s="175"/>
      <c r="I152" s="178" t="s">
        <v>678</v>
      </c>
      <c r="J152" s="27" t="s">
        <v>450</v>
      </c>
      <c r="K152" s="27">
        <v>550</v>
      </c>
      <c r="L152" s="179">
        <v>6279</v>
      </c>
      <c r="M152" s="180" t="s">
        <v>679</v>
      </c>
      <c r="N152" s="181" t="s">
        <v>450</v>
      </c>
      <c r="O152" s="182" t="s">
        <v>680</v>
      </c>
    </row>
    <row r="153" spans="2:15">
      <c r="B153" s="174" t="s">
        <v>539</v>
      </c>
      <c r="C153" s="175" t="s">
        <v>449</v>
      </c>
      <c r="D153" s="176" t="s">
        <v>450</v>
      </c>
      <c r="E153" s="177" t="s">
        <v>538</v>
      </c>
      <c r="F153" s="175">
        <f t="shared" si="5"/>
        <v>6</v>
      </c>
      <c r="G153" s="175" t="str">
        <f t="shared" si="6"/>
        <v>Erie</v>
      </c>
      <c r="H153" s="175"/>
      <c r="I153" s="178" t="s">
        <v>678</v>
      </c>
      <c r="J153" s="27" t="s">
        <v>450</v>
      </c>
      <c r="K153" s="27">
        <v>550</v>
      </c>
      <c r="L153" s="179">
        <v>6279</v>
      </c>
      <c r="M153" s="180" t="s">
        <v>679</v>
      </c>
      <c r="N153" s="181" t="s">
        <v>450</v>
      </c>
      <c r="O153" s="182" t="s">
        <v>680</v>
      </c>
    </row>
    <row r="154" spans="2:15">
      <c r="B154" s="174" t="s">
        <v>462</v>
      </c>
      <c r="C154" s="175" t="s">
        <v>449</v>
      </c>
      <c r="D154" s="176" t="s">
        <v>450</v>
      </c>
      <c r="E154" s="177" t="s">
        <v>463</v>
      </c>
      <c r="F154" s="175">
        <f t="shared" si="5"/>
        <v>9</v>
      </c>
      <c r="G154" s="175" t="str">
        <f t="shared" si="6"/>
        <v>Altoona</v>
      </c>
      <c r="H154" s="175"/>
      <c r="I154" s="178" t="s">
        <v>464</v>
      </c>
      <c r="J154" s="27" t="s">
        <v>450</v>
      </c>
      <c r="K154" s="27">
        <v>654</v>
      </c>
      <c r="L154" s="179">
        <v>5968</v>
      </c>
      <c r="M154" s="180" t="s">
        <v>465</v>
      </c>
      <c r="N154" s="181" t="s">
        <v>450</v>
      </c>
      <c r="O154" s="182" t="s">
        <v>466</v>
      </c>
    </row>
    <row r="155" spans="2:15">
      <c r="B155" s="174" t="s">
        <v>676</v>
      </c>
      <c r="C155" s="175" t="s">
        <v>449</v>
      </c>
      <c r="D155" s="176" t="s">
        <v>450</v>
      </c>
      <c r="E155" s="177" t="s">
        <v>677</v>
      </c>
      <c r="F155" s="175">
        <f t="shared" si="5"/>
        <v>10</v>
      </c>
      <c r="G155" s="175" t="str">
        <f t="shared" si="6"/>
        <v>Bradford</v>
      </c>
      <c r="H155" s="175"/>
      <c r="I155" s="178" t="s">
        <v>678</v>
      </c>
      <c r="J155" s="27" t="s">
        <v>450</v>
      </c>
      <c r="K155" s="27">
        <v>550</v>
      </c>
      <c r="L155" s="179">
        <v>6279</v>
      </c>
      <c r="M155" s="180" t="s">
        <v>679</v>
      </c>
      <c r="N155" s="181" t="s">
        <v>450</v>
      </c>
      <c r="O155" s="182" t="s">
        <v>680</v>
      </c>
    </row>
    <row r="156" spans="2:15">
      <c r="B156" s="174" t="s">
        <v>1257</v>
      </c>
      <c r="C156" s="175" t="s">
        <v>449</v>
      </c>
      <c r="D156" s="176" t="s">
        <v>450</v>
      </c>
      <c r="E156" s="177" t="s">
        <v>1258</v>
      </c>
      <c r="F156" s="175">
        <f t="shared" si="5"/>
        <v>15</v>
      </c>
      <c r="G156" s="175" t="str">
        <f t="shared" si="6"/>
        <v>State College</v>
      </c>
      <c r="H156" s="175"/>
      <c r="I156" s="178" t="s">
        <v>1743</v>
      </c>
      <c r="J156" s="27" t="s">
        <v>450</v>
      </c>
      <c r="K156" s="27">
        <v>622</v>
      </c>
      <c r="L156" s="179">
        <v>6087</v>
      </c>
      <c r="M156" s="180" t="s">
        <v>2327</v>
      </c>
      <c r="N156" s="181" t="s">
        <v>450</v>
      </c>
      <c r="O156" s="182" t="s">
        <v>2328</v>
      </c>
    </row>
    <row r="157" spans="2:15">
      <c r="B157" s="174" t="s">
        <v>1837</v>
      </c>
      <c r="C157" s="175" t="s">
        <v>449</v>
      </c>
      <c r="D157" s="176" t="s">
        <v>450</v>
      </c>
      <c r="E157" s="177" t="s">
        <v>1838</v>
      </c>
      <c r="F157" s="175">
        <f t="shared" si="5"/>
        <v>11</v>
      </c>
      <c r="G157" s="175" t="str">
        <f t="shared" si="6"/>
        <v>Wellsboro</v>
      </c>
      <c r="H157" s="175"/>
      <c r="I157" s="178" t="s">
        <v>1437</v>
      </c>
      <c r="J157" s="27" t="s">
        <v>417</v>
      </c>
      <c r="K157" s="27">
        <v>337</v>
      </c>
      <c r="L157" s="179">
        <v>7273</v>
      </c>
      <c r="M157" s="180" t="s">
        <v>1438</v>
      </c>
      <c r="N157" s="181" t="s">
        <v>450</v>
      </c>
      <c r="O157" s="182" t="s">
        <v>1439</v>
      </c>
    </row>
    <row r="158" spans="2:15">
      <c r="B158" s="174" t="s">
        <v>2094</v>
      </c>
      <c r="C158" s="175" t="s">
        <v>449</v>
      </c>
      <c r="D158" s="176" t="s">
        <v>450</v>
      </c>
      <c r="E158" s="177" t="s">
        <v>2095</v>
      </c>
      <c r="F158" s="175">
        <f t="shared" si="5"/>
        <v>12</v>
      </c>
      <c r="G158" s="175" t="str">
        <f t="shared" si="6"/>
        <v>Harrisburg</v>
      </c>
      <c r="H158" s="175"/>
      <c r="I158" s="178" t="s">
        <v>2326</v>
      </c>
      <c r="J158" s="27" t="s">
        <v>450</v>
      </c>
      <c r="K158" s="27">
        <v>962</v>
      </c>
      <c r="L158" s="179">
        <v>5347</v>
      </c>
      <c r="M158" s="180" t="s">
        <v>2327</v>
      </c>
      <c r="N158" s="181" t="s">
        <v>450</v>
      </c>
      <c r="O158" s="182" t="s">
        <v>2328</v>
      </c>
    </row>
    <row r="159" spans="2:15">
      <c r="B159" s="174" t="s">
        <v>2096</v>
      </c>
      <c r="C159" s="175" t="s">
        <v>449</v>
      </c>
      <c r="D159" s="176" t="s">
        <v>450</v>
      </c>
      <c r="E159" s="177" t="s">
        <v>2095</v>
      </c>
      <c r="F159" s="175">
        <f t="shared" si="5"/>
        <v>12</v>
      </c>
      <c r="G159" s="175" t="str">
        <f t="shared" si="6"/>
        <v>Harrisburg</v>
      </c>
      <c r="H159" s="175"/>
      <c r="I159" s="178" t="s">
        <v>2326</v>
      </c>
      <c r="J159" s="27" t="s">
        <v>450</v>
      </c>
      <c r="K159" s="27">
        <v>962</v>
      </c>
      <c r="L159" s="179">
        <v>5347</v>
      </c>
      <c r="M159" s="180" t="s">
        <v>2327</v>
      </c>
      <c r="N159" s="181" t="s">
        <v>450</v>
      </c>
      <c r="O159" s="182" t="s">
        <v>2328</v>
      </c>
    </row>
    <row r="160" spans="2:15">
      <c r="B160" s="174" t="s">
        <v>2324</v>
      </c>
      <c r="C160" s="175" t="s">
        <v>449</v>
      </c>
      <c r="D160" s="176" t="s">
        <v>450</v>
      </c>
      <c r="E160" s="177" t="s">
        <v>2325</v>
      </c>
      <c r="F160" s="175">
        <f t="shared" si="5"/>
        <v>14</v>
      </c>
      <c r="G160" s="175" t="str">
        <f t="shared" si="6"/>
        <v>Chambersburg</v>
      </c>
      <c r="H160" s="175"/>
      <c r="I160" s="178" t="s">
        <v>2326</v>
      </c>
      <c r="J160" s="27" t="s">
        <v>450</v>
      </c>
      <c r="K160" s="27">
        <v>962</v>
      </c>
      <c r="L160" s="179">
        <v>5347</v>
      </c>
      <c r="M160" s="180" t="s">
        <v>2327</v>
      </c>
      <c r="N160" s="181" t="s">
        <v>450</v>
      </c>
      <c r="O160" s="182" t="s">
        <v>2328</v>
      </c>
    </row>
    <row r="161" spans="2:20">
      <c r="B161" s="174" t="s">
        <v>1869</v>
      </c>
      <c r="C161" s="175" t="s">
        <v>449</v>
      </c>
      <c r="D161" s="176" t="s">
        <v>450</v>
      </c>
      <c r="E161" s="177" t="s">
        <v>1870</v>
      </c>
      <c r="F161" s="175">
        <f t="shared" si="5"/>
        <v>6</v>
      </c>
      <c r="G161" s="175" t="str">
        <f t="shared" si="6"/>
        <v>York</v>
      </c>
      <c r="H161" s="175"/>
      <c r="I161" s="178" t="s">
        <v>2326</v>
      </c>
      <c r="J161" s="27" t="s">
        <v>450</v>
      </c>
      <c r="K161" s="27">
        <v>962</v>
      </c>
      <c r="L161" s="179">
        <v>5347</v>
      </c>
      <c r="M161" s="180" t="s">
        <v>2327</v>
      </c>
      <c r="N161" s="181" t="s">
        <v>450</v>
      </c>
      <c r="O161" s="182" t="s">
        <v>2328</v>
      </c>
    </row>
    <row r="162" spans="2:20">
      <c r="B162" s="174" t="s">
        <v>1871</v>
      </c>
      <c r="C162" s="175" t="s">
        <v>449</v>
      </c>
      <c r="D162" s="176" t="s">
        <v>450</v>
      </c>
      <c r="E162" s="177" t="s">
        <v>1870</v>
      </c>
      <c r="F162" s="175">
        <f t="shared" si="5"/>
        <v>6</v>
      </c>
      <c r="G162" s="175" t="str">
        <f t="shared" si="6"/>
        <v>York</v>
      </c>
      <c r="H162" s="175"/>
      <c r="I162" s="178" t="s">
        <v>2326</v>
      </c>
      <c r="J162" s="27" t="s">
        <v>450</v>
      </c>
      <c r="K162" s="27">
        <v>962</v>
      </c>
      <c r="L162" s="179">
        <v>5347</v>
      </c>
      <c r="M162" s="180" t="s">
        <v>2327</v>
      </c>
      <c r="N162" s="181" t="s">
        <v>450</v>
      </c>
      <c r="O162" s="182" t="s">
        <v>2328</v>
      </c>
    </row>
    <row r="163" spans="2:20">
      <c r="B163" s="174" t="s">
        <v>964</v>
      </c>
      <c r="C163" s="175" t="s">
        <v>449</v>
      </c>
      <c r="D163" s="176" t="s">
        <v>450</v>
      </c>
      <c r="E163" s="177" t="s">
        <v>962</v>
      </c>
      <c r="F163" s="175">
        <f t="shared" si="5"/>
        <v>11</v>
      </c>
      <c r="G163" s="175" t="str">
        <f t="shared" si="6"/>
        <v>Lancaster</v>
      </c>
      <c r="H163" s="175"/>
      <c r="I163" s="178" t="s">
        <v>2326</v>
      </c>
      <c r="J163" s="27" t="s">
        <v>450</v>
      </c>
      <c r="K163" s="27">
        <v>962</v>
      </c>
      <c r="L163" s="179">
        <v>5347</v>
      </c>
      <c r="M163" s="180" t="s">
        <v>2327</v>
      </c>
      <c r="N163" s="181" t="s">
        <v>450</v>
      </c>
      <c r="O163" s="182" t="s">
        <v>2328</v>
      </c>
    </row>
    <row r="164" spans="2:20">
      <c r="B164" s="174" t="s">
        <v>965</v>
      </c>
      <c r="C164" s="175" t="s">
        <v>449</v>
      </c>
      <c r="D164" s="176" t="s">
        <v>450</v>
      </c>
      <c r="E164" s="177" t="s">
        <v>962</v>
      </c>
      <c r="F164" s="175">
        <f t="shared" si="5"/>
        <v>11</v>
      </c>
      <c r="G164" s="175" t="str">
        <f t="shared" si="6"/>
        <v>Lancaster</v>
      </c>
      <c r="H164" s="175"/>
      <c r="I164" s="178" t="s">
        <v>2326</v>
      </c>
      <c r="J164" s="27" t="s">
        <v>450</v>
      </c>
      <c r="K164" s="27">
        <v>962</v>
      </c>
      <c r="L164" s="179">
        <v>5347</v>
      </c>
      <c r="M164" s="180" t="s">
        <v>2327</v>
      </c>
      <c r="N164" s="181" t="s">
        <v>450</v>
      </c>
      <c r="O164" s="182" t="s">
        <v>2328</v>
      </c>
    </row>
    <row r="165" spans="2:20">
      <c r="B165" s="174" t="s">
        <v>721</v>
      </c>
      <c r="C165" s="175" t="s">
        <v>449</v>
      </c>
      <c r="D165" s="176" t="s">
        <v>450</v>
      </c>
      <c r="E165" s="177" t="s">
        <v>722</v>
      </c>
      <c r="F165" s="175">
        <f t="shared" si="5"/>
        <v>14</v>
      </c>
      <c r="G165" s="175" t="str">
        <f t="shared" si="6"/>
        <v>Williamsport</v>
      </c>
      <c r="H165" s="175"/>
      <c r="I165" s="178" t="s">
        <v>1743</v>
      </c>
      <c r="J165" s="27" t="s">
        <v>450</v>
      </c>
      <c r="K165" s="27">
        <v>622</v>
      </c>
      <c r="L165" s="179">
        <v>6087</v>
      </c>
      <c r="M165" s="180" t="s">
        <v>2327</v>
      </c>
      <c r="N165" s="181" t="s">
        <v>450</v>
      </c>
      <c r="O165" s="182" t="s">
        <v>2328</v>
      </c>
    </row>
    <row r="166" spans="2:20">
      <c r="B166" s="174" t="s">
        <v>833</v>
      </c>
      <c r="C166" s="175" t="s">
        <v>449</v>
      </c>
      <c r="D166" s="176" t="s">
        <v>450</v>
      </c>
      <c r="E166" s="177" t="s">
        <v>834</v>
      </c>
      <c r="F166" s="175">
        <f t="shared" si="5"/>
        <v>9</v>
      </c>
      <c r="G166" s="175" t="str">
        <f t="shared" si="6"/>
        <v>Sunbury</v>
      </c>
      <c r="H166" s="175"/>
      <c r="I166" s="178" t="s">
        <v>1743</v>
      </c>
      <c r="J166" s="27" t="s">
        <v>450</v>
      </c>
      <c r="K166" s="27">
        <v>622</v>
      </c>
      <c r="L166" s="179">
        <v>6087</v>
      </c>
      <c r="M166" s="180" t="s">
        <v>2327</v>
      </c>
      <c r="N166" s="181" t="s">
        <v>450</v>
      </c>
      <c r="O166" s="182" t="s">
        <v>2328</v>
      </c>
    </row>
    <row r="167" spans="2:20">
      <c r="B167" s="174" t="s">
        <v>2473</v>
      </c>
      <c r="C167" s="175" t="s">
        <v>449</v>
      </c>
      <c r="D167" s="176" t="s">
        <v>450</v>
      </c>
      <c r="E167" s="177" t="s">
        <v>2474</v>
      </c>
      <c r="F167" s="175">
        <f t="shared" si="5"/>
        <v>12</v>
      </c>
      <c r="G167" s="175" t="str">
        <f t="shared" si="6"/>
        <v>Pottsville</v>
      </c>
      <c r="H167" s="175"/>
      <c r="I167" s="178" t="s">
        <v>452</v>
      </c>
      <c r="J167" s="27" t="s">
        <v>450</v>
      </c>
      <c r="K167" s="27">
        <v>773</v>
      </c>
      <c r="L167" s="179">
        <v>5785</v>
      </c>
      <c r="M167" s="178" t="s">
        <v>453</v>
      </c>
      <c r="N167" s="27" t="s">
        <v>450</v>
      </c>
      <c r="O167" s="182" t="s">
        <v>454</v>
      </c>
    </row>
    <row r="168" spans="2:20">
      <c r="B168" s="174" t="s">
        <v>2113</v>
      </c>
      <c r="C168" s="175" t="s">
        <v>449</v>
      </c>
      <c r="D168" s="176" t="s">
        <v>450</v>
      </c>
      <c r="E168" s="177" t="s">
        <v>2114</v>
      </c>
      <c r="F168" s="175">
        <f t="shared" si="5"/>
        <v>15</v>
      </c>
      <c r="G168" s="175" t="str">
        <f t="shared" si="6"/>
        <v>Lehigh_Valley</v>
      </c>
      <c r="H168" s="175"/>
      <c r="I168" s="178" t="s">
        <v>452</v>
      </c>
      <c r="J168" s="27" t="s">
        <v>450</v>
      </c>
      <c r="K168" s="27">
        <v>773</v>
      </c>
      <c r="L168" s="179">
        <v>5785</v>
      </c>
      <c r="M168" s="178" t="s">
        <v>453</v>
      </c>
      <c r="N168" s="27" t="s">
        <v>450</v>
      </c>
      <c r="O168" s="182" t="s">
        <v>454</v>
      </c>
    </row>
    <row r="169" spans="2:20">
      <c r="B169" s="174" t="s">
        <v>448</v>
      </c>
      <c r="C169" s="175" t="s">
        <v>449</v>
      </c>
      <c r="D169" s="176" t="s">
        <v>450</v>
      </c>
      <c r="E169" s="177" t="s">
        <v>451</v>
      </c>
      <c r="F169" s="175">
        <f t="shared" si="5"/>
        <v>11</v>
      </c>
      <c r="G169" s="175" t="str">
        <f t="shared" si="6"/>
        <v>Allentown</v>
      </c>
      <c r="H169" s="175"/>
      <c r="I169" s="178" t="s">
        <v>452</v>
      </c>
      <c r="J169" s="27" t="s">
        <v>450</v>
      </c>
      <c r="K169" s="27">
        <v>773</v>
      </c>
      <c r="L169" s="179">
        <v>5785</v>
      </c>
      <c r="M169" s="178" t="s">
        <v>453</v>
      </c>
      <c r="N169" s="27" t="s">
        <v>450</v>
      </c>
      <c r="O169" s="182" t="s">
        <v>454</v>
      </c>
      <c r="S169" s="27"/>
      <c r="T169" s="27"/>
    </row>
    <row r="170" spans="2:20">
      <c r="B170" s="174" t="s">
        <v>771</v>
      </c>
      <c r="C170" s="175" t="s">
        <v>449</v>
      </c>
      <c r="D170" s="176" t="s">
        <v>450</v>
      </c>
      <c r="E170" s="177" t="s">
        <v>772</v>
      </c>
      <c r="F170" s="175">
        <f t="shared" si="5"/>
        <v>10</v>
      </c>
      <c r="G170" s="175" t="str">
        <f t="shared" si="6"/>
        <v>Hazleton</v>
      </c>
      <c r="H170" s="175"/>
      <c r="I170" s="178" t="s">
        <v>773</v>
      </c>
      <c r="J170" s="27" t="s">
        <v>450</v>
      </c>
      <c r="K170" s="27">
        <v>539</v>
      </c>
      <c r="L170" s="179">
        <v>6291</v>
      </c>
      <c r="M170" s="180" t="s">
        <v>1438</v>
      </c>
      <c r="N170" s="181" t="s">
        <v>450</v>
      </c>
      <c r="O170" s="182" t="s">
        <v>1439</v>
      </c>
    </row>
    <row r="171" spans="2:20">
      <c r="B171" s="174" t="s">
        <v>825</v>
      </c>
      <c r="C171" s="175" t="s">
        <v>449</v>
      </c>
      <c r="D171" s="176" t="s">
        <v>450</v>
      </c>
      <c r="E171" s="177" t="s">
        <v>826</v>
      </c>
      <c r="F171" s="175">
        <f t="shared" si="5"/>
        <v>13</v>
      </c>
      <c r="G171" s="175" t="str">
        <f t="shared" si="6"/>
        <v>Stroudsburg</v>
      </c>
      <c r="H171" s="175"/>
      <c r="I171" s="178" t="s">
        <v>452</v>
      </c>
      <c r="J171" s="27" t="s">
        <v>450</v>
      </c>
      <c r="K171" s="27">
        <v>773</v>
      </c>
      <c r="L171" s="179">
        <v>5785</v>
      </c>
      <c r="M171" s="178" t="s">
        <v>453</v>
      </c>
      <c r="N171" s="27" t="s">
        <v>450</v>
      </c>
      <c r="O171" s="182" t="s">
        <v>454</v>
      </c>
    </row>
    <row r="172" spans="2:20">
      <c r="B172" s="174" t="s">
        <v>1030</v>
      </c>
      <c r="C172" s="175" t="s">
        <v>449</v>
      </c>
      <c r="D172" s="176" t="s">
        <v>450</v>
      </c>
      <c r="E172" s="177" t="s">
        <v>1031</v>
      </c>
      <c r="F172" s="175">
        <f t="shared" si="5"/>
        <v>10</v>
      </c>
      <c r="G172" s="175" t="str">
        <f t="shared" si="6"/>
        <v>Scranton</v>
      </c>
      <c r="H172" s="175"/>
      <c r="I172" s="178" t="s">
        <v>773</v>
      </c>
      <c r="J172" s="27" t="s">
        <v>450</v>
      </c>
      <c r="K172" s="27">
        <v>539</v>
      </c>
      <c r="L172" s="179">
        <v>6291</v>
      </c>
      <c r="M172" s="180" t="s">
        <v>1438</v>
      </c>
      <c r="N172" s="181" t="s">
        <v>450</v>
      </c>
      <c r="O172" s="182" t="s">
        <v>1439</v>
      </c>
    </row>
    <row r="173" spans="2:20">
      <c r="B173" s="174" t="s">
        <v>1032</v>
      </c>
      <c r="C173" s="175" t="s">
        <v>449</v>
      </c>
      <c r="D173" s="176" t="s">
        <v>450</v>
      </c>
      <c r="E173" s="177" t="s">
        <v>1031</v>
      </c>
      <c r="F173" s="175">
        <f t="shared" si="5"/>
        <v>10</v>
      </c>
      <c r="G173" s="175" t="str">
        <f t="shared" si="6"/>
        <v>Scranton</v>
      </c>
      <c r="H173" s="175"/>
      <c r="I173" s="178" t="s">
        <v>773</v>
      </c>
      <c r="J173" s="27" t="s">
        <v>450</v>
      </c>
      <c r="K173" s="27">
        <v>539</v>
      </c>
      <c r="L173" s="179">
        <v>6291</v>
      </c>
      <c r="M173" s="180" t="s">
        <v>1438</v>
      </c>
      <c r="N173" s="181" t="s">
        <v>450</v>
      </c>
      <c r="O173" s="182" t="s">
        <v>1439</v>
      </c>
    </row>
    <row r="174" spans="2:20">
      <c r="B174" s="174" t="s">
        <v>718</v>
      </c>
      <c r="C174" s="175" t="s">
        <v>449</v>
      </c>
      <c r="D174" s="176" t="s">
        <v>450</v>
      </c>
      <c r="E174" s="177" t="s">
        <v>719</v>
      </c>
      <c r="F174" s="175">
        <f t="shared" si="5"/>
        <v>14</v>
      </c>
      <c r="G174" s="175" t="str">
        <f t="shared" si="6"/>
        <v>Wilkes-Barre</v>
      </c>
      <c r="H174" s="175"/>
      <c r="I174" s="178" t="s">
        <v>773</v>
      </c>
      <c r="J174" s="27" t="s">
        <v>450</v>
      </c>
      <c r="K174" s="27">
        <v>539</v>
      </c>
      <c r="L174" s="179">
        <v>6291</v>
      </c>
      <c r="M174" s="180" t="s">
        <v>1438</v>
      </c>
      <c r="N174" s="181" t="s">
        <v>450</v>
      </c>
      <c r="O174" s="182" t="s">
        <v>1439</v>
      </c>
    </row>
    <row r="175" spans="2:20">
      <c r="B175" s="174" t="s">
        <v>720</v>
      </c>
      <c r="C175" s="175" t="s">
        <v>449</v>
      </c>
      <c r="D175" s="176" t="s">
        <v>450</v>
      </c>
      <c r="E175" s="177" t="s">
        <v>719</v>
      </c>
      <c r="F175" s="175">
        <f t="shared" si="5"/>
        <v>14</v>
      </c>
      <c r="G175" s="175" t="str">
        <f t="shared" si="6"/>
        <v>Wilkes-Barre</v>
      </c>
      <c r="H175" s="175"/>
      <c r="I175" s="178" t="s">
        <v>773</v>
      </c>
      <c r="J175" s="27" t="s">
        <v>450</v>
      </c>
      <c r="K175" s="27">
        <v>539</v>
      </c>
      <c r="L175" s="179">
        <v>6291</v>
      </c>
      <c r="M175" s="180" t="s">
        <v>1438</v>
      </c>
      <c r="N175" s="181" t="s">
        <v>450</v>
      </c>
      <c r="O175" s="182" t="s">
        <v>1439</v>
      </c>
    </row>
    <row r="176" spans="2:20">
      <c r="B176" s="174" t="s">
        <v>1086</v>
      </c>
      <c r="C176" s="175" t="s">
        <v>449</v>
      </c>
      <c r="D176" s="176" t="s">
        <v>450</v>
      </c>
      <c r="E176" s="177" t="s">
        <v>1085</v>
      </c>
      <c r="F176" s="175">
        <f t="shared" si="5"/>
        <v>10</v>
      </c>
      <c r="G176" s="175" t="str">
        <f t="shared" si="6"/>
        <v>Montrose</v>
      </c>
      <c r="H176" s="175"/>
      <c r="I176" s="178" t="s">
        <v>1437</v>
      </c>
      <c r="J176" s="27" t="s">
        <v>417</v>
      </c>
      <c r="K176" s="27">
        <v>337</v>
      </c>
      <c r="L176" s="179">
        <v>7273</v>
      </c>
      <c r="M176" s="180" t="s">
        <v>1438</v>
      </c>
      <c r="N176" s="181" t="s">
        <v>450</v>
      </c>
      <c r="O176" s="182" t="s">
        <v>1439</v>
      </c>
    </row>
    <row r="177" spans="2:15">
      <c r="B177" s="174" t="s">
        <v>1739</v>
      </c>
      <c r="C177" s="175" t="s">
        <v>449</v>
      </c>
      <c r="D177" s="176" t="s">
        <v>450</v>
      </c>
      <c r="E177" s="177" t="s">
        <v>1740</v>
      </c>
      <c r="F177" s="175">
        <f t="shared" si="5"/>
        <v>12</v>
      </c>
      <c r="G177" s="175" t="str">
        <f t="shared" si="6"/>
        <v>Doylestown</v>
      </c>
      <c r="H177" s="175"/>
      <c r="I177" s="178" t="s">
        <v>1364</v>
      </c>
      <c r="J177" s="27" t="s">
        <v>450</v>
      </c>
      <c r="K177" s="27">
        <v>1101</v>
      </c>
      <c r="L177" s="179">
        <v>4954</v>
      </c>
      <c r="M177" s="180" t="s">
        <v>1365</v>
      </c>
      <c r="N177" s="181" t="s">
        <v>450</v>
      </c>
      <c r="O177" s="182" t="s">
        <v>1366</v>
      </c>
    </row>
    <row r="178" spans="2:15">
      <c r="B178" s="174" t="s">
        <v>2421</v>
      </c>
      <c r="C178" s="175" t="s">
        <v>449</v>
      </c>
      <c r="D178" s="176" t="s">
        <v>450</v>
      </c>
      <c r="E178" s="177" t="s">
        <v>2422</v>
      </c>
      <c r="F178" s="175">
        <f t="shared" si="5"/>
        <v>14</v>
      </c>
      <c r="G178" s="175" t="str">
        <f t="shared" si="6"/>
        <v>Philadelphia</v>
      </c>
      <c r="H178" s="175"/>
      <c r="I178" s="178" t="s">
        <v>1039</v>
      </c>
      <c r="J178" s="27" t="s">
        <v>1736</v>
      </c>
      <c r="K178" s="27">
        <v>1046</v>
      </c>
      <c r="L178" s="179">
        <v>4937</v>
      </c>
      <c r="M178" s="180" t="s">
        <v>1365</v>
      </c>
      <c r="N178" s="181" t="s">
        <v>450</v>
      </c>
      <c r="O178" s="182" t="s">
        <v>1366</v>
      </c>
    </row>
    <row r="179" spans="2:15">
      <c r="B179" s="174" t="s">
        <v>2423</v>
      </c>
      <c r="C179" s="175" t="s">
        <v>449</v>
      </c>
      <c r="D179" s="176" t="s">
        <v>450</v>
      </c>
      <c r="E179" s="177" t="s">
        <v>2422</v>
      </c>
      <c r="F179" s="175">
        <f t="shared" si="5"/>
        <v>14</v>
      </c>
      <c r="G179" s="175" t="str">
        <f t="shared" si="6"/>
        <v>Philadelphia</v>
      </c>
      <c r="H179" s="175"/>
      <c r="I179" s="178" t="s">
        <v>1364</v>
      </c>
      <c r="J179" s="27" t="s">
        <v>450</v>
      </c>
      <c r="K179" s="27">
        <v>1101</v>
      </c>
      <c r="L179" s="179">
        <v>4954</v>
      </c>
      <c r="M179" s="180" t="s">
        <v>1365</v>
      </c>
      <c r="N179" s="181" t="s">
        <v>450</v>
      </c>
      <c r="O179" s="182" t="s">
        <v>1366</v>
      </c>
    </row>
    <row r="180" spans="2:15">
      <c r="B180" s="174" t="s">
        <v>1224</v>
      </c>
      <c r="C180" s="175" t="s">
        <v>449</v>
      </c>
      <c r="D180" s="176" t="s">
        <v>450</v>
      </c>
      <c r="E180" s="177" t="s">
        <v>1225</v>
      </c>
      <c r="F180" s="175">
        <f t="shared" si="5"/>
        <v>14</v>
      </c>
      <c r="G180" s="175" t="str">
        <f t="shared" si="6"/>
        <v>Southeastern</v>
      </c>
      <c r="H180" s="175"/>
      <c r="I180" s="178" t="s">
        <v>1039</v>
      </c>
      <c r="J180" s="27" t="s">
        <v>1736</v>
      </c>
      <c r="K180" s="27">
        <v>1046</v>
      </c>
      <c r="L180" s="179">
        <v>4937</v>
      </c>
      <c r="M180" s="180" t="s">
        <v>1040</v>
      </c>
      <c r="N180" s="181" t="s">
        <v>1736</v>
      </c>
      <c r="O180" s="182" t="s">
        <v>1041</v>
      </c>
    </row>
    <row r="181" spans="2:15">
      <c r="B181" s="174" t="s">
        <v>1226</v>
      </c>
      <c r="C181" s="175" t="s">
        <v>449</v>
      </c>
      <c r="D181" s="176" t="s">
        <v>450</v>
      </c>
      <c r="E181" s="177" t="s">
        <v>1225</v>
      </c>
      <c r="F181" s="175">
        <f t="shared" si="5"/>
        <v>14</v>
      </c>
      <c r="G181" s="175" t="str">
        <f t="shared" si="6"/>
        <v>Southeastern</v>
      </c>
      <c r="H181" s="175"/>
      <c r="I181" s="178" t="s">
        <v>1039</v>
      </c>
      <c r="J181" s="27" t="s">
        <v>1736</v>
      </c>
      <c r="K181" s="27">
        <v>1046</v>
      </c>
      <c r="L181" s="179">
        <v>4937</v>
      </c>
      <c r="M181" s="180" t="s">
        <v>1040</v>
      </c>
      <c r="N181" s="181" t="s">
        <v>1736</v>
      </c>
      <c r="O181" s="182" t="s">
        <v>1041</v>
      </c>
    </row>
    <row r="182" spans="2:15">
      <c r="B182" s="174" t="s">
        <v>2503</v>
      </c>
      <c r="C182" s="175" t="s">
        <v>449</v>
      </c>
      <c r="D182" s="176" t="s">
        <v>450</v>
      </c>
      <c r="E182" s="177" t="s">
        <v>2504</v>
      </c>
      <c r="F182" s="175">
        <f t="shared" si="5"/>
        <v>9</v>
      </c>
      <c r="G182" s="175" t="str">
        <f t="shared" si="6"/>
        <v>Reading</v>
      </c>
      <c r="H182" s="175"/>
      <c r="I182" s="178" t="s">
        <v>452</v>
      </c>
      <c r="J182" s="27" t="s">
        <v>450</v>
      </c>
      <c r="K182" s="27">
        <v>773</v>
      </c>
      <c r="L182" s="179">
        <v>5785</v>
      </c>
      <c r="M182" s="178" t="s">
        <v>453</v>
      </c>
      <c r="N182" s="27" t="s">
        <v>450</v>
      </c>
      <c r="O182" s="182" t="s">
        <v>454</v>
      </c>
    </row>
    <row r="183" spans="2:15">
      <c r="B183" s="174" t="s">
        <v>2505</v>
      </c>
      <c r="C183" s="175" t="s">
        <v>449</v>
      </c>
      <c r="D183" s="176" t="s">
        <v>450</v>
      </c>
      <c r="E183" s="177" t="s">
        <v>2504</v>
      </c>
      <c r="F183" s="175">
        <f t="shared" si="5"/>
        <v>9</v>
      </c>
      <c r="G183" s="175" t="str">
        <f t="shared" si="6"/>
        <v>Reading</v>
      </c>
      <c r="H183" s="175"/>
      <c r="I183" s="178" t="s">
        <v>452</v>
      </c>
      <c r="J183" s="27" t="s">
        <v>450</v>
      </c>
      <c r="K183" s="27">
        <v>773</v>
      </c>
      <c r="L183" s="179">
        <v>5785</v>
      </c>
      <c r="M183" s="178" t="s">
        <v>453</v>
      </c>
      <c r="N183" s="27" t="s">
        <v>450</v>
      </c>
      <c r="O183" s="182" t="s">
        <v>454</v>
      </c>
    </row>
    <row r="184" spans="2:15">
      <c r="B184" s="174" t="s">
        <v>730</v>
      </c>
      <c r="C184" s="175" t="s">
        <v>1735</v>
      </c>
      <c r="D184" s="176" t="s">
        <v>1736</v>
      </c>
      <c r="E184" s="177" t="s">
        <v>731</v>
      </c>
      <c r="F184" s="175">
        <f t="shared" si="5"/>
        <v>12</v>
      </c>
      <c r="G184" s="175" t="str">
        <f t="shared" si="6"/>
        <v>Wilmington</v>
      </c>
      <c r="H184" s="175"/>
      <c r="I184" s="178" t="s">
        <v>1039</v>
      </c>
      <c r="J184" s="27" t="s">
        <v>1736</v>
      </c>
      <c r="K184" s="27">
        <v>1046</v>
      </c>
      <c r="L184" s="179">
        <v>4937</v>
      </c>
      <c r="M184" s="180" t="s">
        <v>1040</v>
      </c>
      <c r="N184" s="181" t="s">
        <v>1736</v>
      </c>
      <c r="O184" s="182" t="s">
        <v>1041</v>
      </c>
    </row>
    <row r="185" spans="2:15">
      <c r="B185" s="174" t="s">
        <v>732</v>
      </c>
      <c r="C185" s="175" t="s">
        <v>1735</v>
      </c>
      <c r="D185" s="176" t="s">
        <v>1736</v>
      </c>
      <c r="E185" s="177" t="s">
        <v>731</v>
      </c>
      <c r="F185" s="175">
        <f t="shared" si="5"/>
        <v>12</v>
      </c>
      <c r="G185" s="175" t="str">
        <f t="shared" si="6"/>
        <v>Wilmington</v>
      </c>
      <c r="H185" s="175"/>
      <c r="I185" s="178" t="s">
        <v>1039</v>
      </c>
      <c r="J185" s="27" t="s">
        <v>1736</v>
      </c>
      <c r="K185" s="27">
        <v>1046</v>
      </c>
      <c r="L185" s="179">
        <v>4937</v>
      </c>
      <c r="M185" s="180" t="s">
        <v>1040</v>
      </c>
      <c r="N185" s="181" t="s">
        <v>1736</v>
      </c>
      <c r="O185" s="182" t="s">
        <v>1041</v>
      </c>
    </row>
    <row r="186" spans="2:15">
      <c r="B186" s="174" t="s">
        <v>1734</v>
      </c>
      <c r="C186" s="175" t="s">
        <v>1735</v>
      </c>
      <c r="D186" s="176" t="s">
        <v>1736</v>
      </c>
      <c r="E186" s="177" t="s">
        <v>1737</v>
      </c>
      <c r="F186" s="175">
        <f t="shared" si="5"/>
        <v>7</v>
      </c>
      <c r="G186" s="175" t="str">
        <f t="shared" si="6"/>
        <v>Dover</v>
      </c>
      <c r="H186" s="175"/>
      <c r="I186" s="178" t="s">
        <v>498</v>
      </c>
      <c r="J186" s="27" t="s">
        <v>439</v>
      </c>
      <c r="K186" s="27">
        <v>1137</v>
      </c>
      <c r="L186" s="179">
        <v>4707</v>
      </c>
      <c r="M186" s="180" t="s">
        <v>499</v>
      </c>
      <c r="N186" s="181" t="s">
        <v>439</v>
      </c>
      <c r="O186" s="182" t="s">
        <v>500</v>
      </c>
    </row>
    <row r="187" spans="2:15">
      <c r="B187" s="174" t="s">
        <v>1812</v>
      </c>
      <c r="C187" s="175" t="s">
        <v>1813</v>
      </c>
      <c r="D187" s="176" t="s">
        <v>437</v>
      </c>
      <c r="E187" s="177" t="s">
        <v>593</v>
      </c>
      <c r="F187" s="175">
        <f t="shared" si="5"/>
        <v>12</v>
      </c>
      <c r="G187" s="175" t="str">
        <f t="shared" si="6"/>
        <v>Washington</v>
      </c>
      <c r="H187" s="175"/>
      <c r="I187" s="178" t="s">
        <v>436</v>
      </c>
      <c r="J187" s="27" t="s">
        <v>437</v>
      </c>
      <c r="K187" s="27">
        <v>1549</v>
      </c>
      <c r="L187" s="179">
        <v>4047</v>
      </c>
      <c r="M187" s="180" t="s">
        <v>438</v>
      </c>
      <c r="N187" s="181" t="s">
        <v>439</v>
      </c>
      <c r="O187" s="182" t="s">
        <v>440</v>
      </c>
    </row>
    <row r="188" spans="2:15">
      <c r="B188" s="174" t="s">
        <v>1814</v>
      </c>
      <c r="C188" s="175" t="s">
        <v>1813</v>
      </c>
      <c r="D188" s="176" t="s">
        <v>437</v>
      </c>
      <c r="E188" s="177" t="s">
        <v>593</v>
      </c>
      <c r="F188" s="175">
        <f t="shared" si="5"/>
        <v>12</v>
      </c>
      <c r="G188" s="175" t="str">
        <f t="shared" si="6"/>
        <v>Washington</v>
      </c>
      <c r="H188" s="175"/>
      <c r="I188" s="178" t="s">
        <v>436</v>
      </c>
      <c r="J188" s="27" t="s">
        <v>437</v>
      </c>
      <c r="K188" s="27">
        <v>1549</v>
      </c>
      <c r="L188" s="179">
        <v>4047</v>
      </c>
      <c r="M188" s="180" t="s">
        <v>438</v>
      </c>
      <c r="N188" s="181" t="s">
        <v>439</v>
      </c>
      <c r="O188" s="182" t="s">
        <v>440</v>
      </c>
    </row>
    <row r="189" spans="2:15">
      <c r="B189" s="174" t="s">
        <v>1815</v>
      </c>
      <c r="C189" s="175" t="s">
        <v>1813</v>
      </c>
      <c r="D189" s="176" t="s">
        <v>437</v>
      </c>
      <c r="E189" s="177" t="s">
        <v>593</v>
      </c>
      <c r="F189" s="175">
        <f t="shared" si="5"/>
        <v>12</v>
      </c>
      <c r="G189" s="175" t="str">
        <f t="shared" si="6"/>
        <v>Washington</v>
      </c>
      <c r="H189" s="175"/>
      <c r="I189" s="178" t="s">
        <v>436</v>
      </c>
      <c r="J189" s="27" t="s">
        <v>437</v>
      </c>
      <c r="K189" s="27">
        <v>1549</v>
      </c>
      <c r="L189" s="179">
        <v>4047</v>
      </c>
      <c r="M189" s="180" t="s">
        <v>438</v>
      </c>
      <c r="N189" s="181" t="s">
        <v>439</v>
      </c>
      <c r="O189" s="182" t="s">
        <v>440</v>
      </c>
    </row>
    <row r="190" spans="2:15">
      <c r="B190" s="174" t="s">
        <v>1816</v>
      </c>
      <c r="C190" s="175" t="s">
        <v>1813</v>
      </c>
      <c r="D190" s="176" t="s">
        <v>437</v>
      </c>
      <c r="E190" s="177" t="s">
        <v>593</v>
      </c>
      <c r="F190" s="175">
        <f t="shared" si="5"/>
        <v>12</v>
      </c>
      <c r="G190" s="175" t="str">
        <f t="shared" si="6"/>
        <v>Washington</v>
      </c>
      <c r="H190" s="175"/>
      <c r="I190" s="178" t="s">
        <v>436</v>
      </c>
      <c r="J190" s="27" t="s">
        <v>437</v>
      </c>
      <c r="K190" s="27">
        <v>1549</v>
      </c>
      <c r="L190" s="179">
        <v>4047</v>
      </c>
      <c r="M190" s="180" t="s">
        <v>438</v>
      </c>
      <c r="N190" s="181" t="s">
        <v>439</v>
      </c>
      <c r="O190" s="182" t="s">
        <v>440</v>
      </c>
    </row>
    <row r="191" spans="2:15">
      <c r="B191" s="174" t="s">
        <v>1817</v>
      </c>
      <c r="C191" s="175" t="s">
        <v>1813</v>
      </c>
      <c r="D191" s="176" t="s">
        <v>437</v>
      </c>
      <c r="E191" s="177" t="s">
        <v>593</v>
      </c>
      <c r="F191" s="175">
        <f t="shared" si="5"/>
        <v>12</v>
      </c>
      <c r="G191" s="175" t="str">
        <f t="shared" si="6"/>
        <v>Washington</v>
      </c>
      <c r="H191" s="175"/>
      <c r="I191" s="178" t="s">
        <v>436</v>
      </c>
      <c r="J191" s="27" t="s">
        <v>437</v>
      </c>
      <c r="K191" s="27">
        <v>1549</v>
      </c>
      <c r="L191" s="179">
        <v>4047</v>
      </c>
      <c r="M191" s="180" t="s">
        <v>438</v>
      </c>
      <c r="N191" s="181" t="s">
        <v>439</v>
      </c>
      <c r="O191" s="182" t="s">
        <v>440</v>
      </c>
    </row>
    <row r="192" spans="2:15">
      <c r="B192" s="174" t="s">
        <v>1818</v>
      </c>
      <c r="C192" s="175" t="s">
        <v>1813</v>
      </c>
      <c r="D192" s="176" t="s">
        <v>437</v>
      </c>
      <c r="E192" s="177" t="s">
        <v>593</v>
      </c>
      <c r="F192" s="175">
        <f t="shared" si="5"/>
        <v>12</v>
      </c>
      <c r="G192" s="175" t="str">
        <f t="shared" si="6"/>
        <v>Washington</v>
      </c>
      <c r="H192" s="175"/>
      <c r="I192" s="178" t="s">
        <v>436</v>
      </c>
      <c r="J192" s="27" t="s">
        <v>437</v>
      </c>
      <c r="K192" s="27">
        <v>1549</v>
      </c>
      <c r="L192" s="179">
        <v>4047</v>
      </c>
      <c r="M192" s="180" t="s">
        <v>438</v>
      </c>
      <c r="N192" s="181" t="s">
        <v>439</v>
      </c>
      <c r="O192" s="182" t="s">
        <v>440</v>
      </c>
    </row>
    <row r="193" spans="2:20">
      <c r="B193" s="174" t="s">
        <v>1810</v>
      </c>
      <c r="C193" s="175" t="s">
        <v>496</v>
      </c>
      <c r="D193" s="176" t="s">
        <v>439</v>
      </c>
      <c r="E193" s="177" t="s">
        <v>1811</v>
      </c>
      <c r="F193" s="175">
        <f t="shared" si="5"/>
        <v>9</v>
      </c>
      <c r="G193" s="175" t="str">
        <f t="shared" si="6"/>
        <v>Waldorf</v>
      </c>
      <c r="H193" s="175"/>
      <c r="I193" s="178" t="s">
        <v>436</v>
      </c>
      <c r="J193" s="27" t="s">
        <v>437</v>
      </c>
      <c r="K193" s="27">
        <v>1549</v>
      </c>
      <c r="L193" s="179">
        <v>4047</v>
      </c>
      <c r="M193" s="180" t="s">
        <v>438</v>
      </c>
      <c r="N193" s="181" t="s">
        <v>439</v>
      </c>
      <c r="O193" s="182" t="s">
        <v>440</v>
      </c>
    </row>
    <row r="194" spans="2:20">
      <c r="B194" s="174" t="s">
        <v>2104</v>
      </c>
      <c r="C194" s="175" t="s">
        <v>496</v>
      </c>
      <c r="D194" s="176" t="s">
        <v>439</v>
      </c>
      <c r="E194" s="177" t="s">
        <v>2105</v>
      </c>
      <c r="F194" s="175">
        <f t="shared" si="5"/>
        <v>8</v>
      </c>
      <c r="G194" s="175" t="str">
        <f t="shared" si="6"/>
        <v>Laurel</v>
      </c>
      <c r="H194" s="175"/>
      <c r="I194" s="178" t="s">
        <v>498</v>
      </c>
      <c r="J194" s="27" t="s">
        <v>439</v>
      </c>
      <c r="K194" s="27">
        <v>1137</v>
      </c>
      <c r="L194" s="179">
        <v>4707</v>
      </c>
      <c r="M194" s="180" t="s">
        <v>499</v>
      </c>
      <c r="N194" s="181" t="s">
        <v>439</v>
      </c>
      <c r="O194" s="182" t="s">
        <v>500</v>
      </c>
    </row>
    <row r="195" spans="2:20">
      <c r="B195" s="174" t="s">
        <v>319</v>
      </c>
      <c r="C195" s="175" t="s">
        <v>496</v>
      </c>
      <c r="D195" s="176" t="s">
        <v>439</v>
      </c>
      <c r="E195" s="177" t="s">
        <v>320</v>
      </c>
      <c r="F195" s="175">
        <f t="shared" si="5"/>
        <v>11</v>
      </c>
      <c r="G195" s="175" t="str">
        <f t="shared" si="6"/>
        <v>Rockville</v>
      </c>
      <c r="H195" s="175"/>
      <c r="I195" s="178" t="s">
        <v>498</v>
      </c>
      <c r="J195" s="27" t="s">
        <v>439</v>
      </c>
      <c r="K195" s="27">
        <v>1137</v>
      </c>
      <c r="L195" s="179">
        <v>4707</v>
      </c>
      <c r="M195" s="180" t="s">
        <v>499</v>
      </c>
      <c r="N195" s="181" t="s">
        <v>439</v>
      </c>
      <c r="O195" s="182" t="s">
        <v>500</v>
      </c>
    </row>
    <row r="196" spans="2:20">
      <c r="B196" s="174" t="s">
        <v>2244</v>
      </c>
      <c r="C196" s="175" t="s">
        <v>496</v>
      </c>
      <c r="D196" s="176" t="s">
        <v>439</v>
      </c>
      <c r="E196" s="177" t="s">
        <v>2245</v>
      </c>
      <c r="F196" s="175">
        <f t="shared" si="5"/>
        <v>15</v>
      </c>
      <c r="G196" s="175" t="str">
        <f t="shared" si="6"/>
        <v>Silver Spring</v>
      </c>
      <c r="H196" s="175"/>
      <c r="I196" s="178" t="s">
        <v>436</v>
      </c>
      <c r="J196" s="27" t="s">
        <v>437</v>
      </c>
      <c r="K196" s="27">
        <v>1549</v>
      </c>
      <c r="L196" s="179">
        <v>4047</v>
      </c>
      <c r="M196" s="180" t="s">
        <v>438</v>
      </c>
      <c r="N196" s="181" t="s">
        <v>439</v>
      </c>
      <c r="O196" s="182" t="s">
        <v>440</v>
      </c>
    </row>
    <row r="197" spans="2:20">
      <c r="B197" s="174" t="s">
        <v>1581</v>
      </c>
      <c r="C197" s="175" t="s">
        <v>496</v>
      </c>
      <c r="D197" s="176" t="s">
        <v>439</v>
      </c>
      <c r="E197" s="177" t="s">
        <v>1582</v>
      </c>
      <c r="F197" s="175">
        <f t="shared" si="5"/>
        <v>11</v>
      </c>
      <c r="G197" s="175" t="str">
        <f t="shared" si="6"/>
        <v>Baltimore</v>
      </c>
      <c r="H197" s="175"/>
      <c r="I197" s="178" t="s">
        <v>498</v>
      </c>
      <c r="J197" s="27" t="s">
        <v>439</v>
      </c>
      <c r="K197" s="27">
        <v>1137</v>
      </c>
      <c r="L197" s="179">
        <v>4707</v>
      </c>
      <c r="M197" s="180" t="s">
        <v>499</v>
      </c>
      <c r="N197" s="181" t="s">
        <v>439</v>
      </c>
      <c r="O197" s="182" t="s">
        <v>500</v>
      </c>
    </row>
    <row r="198" spans="2:20">
      <c r="B198" s="174" t="s">
        <v>1583</v>
      </c>
      <c r="C198" s="175" t="s">
        <v>496</v>
      </c>
      <c r="D198" s="176" t="s">
        <v>439</v>
      </c>
      <c r="E198" s="177" t="s">
        <v>1582</v>
      </c>
      <c r="F198" s="175">
        <f t="shared" si="5"/>
        <v>11</v>
      </c>
      <c r="G198" s="175" t="str">
        <f t="shared" si="6"/>
        <v>Baltimore</v>
      </c>
      <c r="H198" s="175"/>
      <c r="I198" s="178" t="s">
        <v>498</v>
      </c>
      <c r="J198" s="27" t="s">
        <v>439</v>
      </c>
      <c r="K198" s="27">
        <v>1137</v>
      </c>
      <c r="L198" s="179">
        <v>4707</v>
      </c>
      <c r="M198" s="180" t="s">
        <v>499</v>
      </c>
      <c r="N198" s="181" t="s">
        <v>439</v>
      </c>
      <c r="O198" s="182" t="s">
        <v>500</v>
      </c>
    </row>
    <row r="199" spans="2:20">
      <c r="B199" s="174" t="s">
        <v>1584</v>
      </c>
      <c r="C199" s="175" t="s">
        <v>496</v>
      </c>
      <c r="D199" s="176" t="s">
        <v>439</v>
      </c>
      <c r="E199" s="177" t="s">
        <v>1582</v>
      </c>
      <c r="F199" s="175">
        <f t="shared" si="5"/>
        <v>11</v>
      </c>
      <c r="G199" s="175" t="str">
        <f t="shared" si="6"/>
        <v>Baltimore</v>
      </c>
      <c r="H199" s="175"/>
      <c r="I199" s="178" t="s">
        <v>498</v>
      </c>
      <c r="J199" s="27" t="s">
        <v>439</v>
      </c>
      <c r="K199" s="27">
        <v>1137</v>
      </c>
      <c r="L199" s="179">
        <v>4707</v>
      </c>
      <c r="M199" s="180" t="s">
        <v>499</v>
      </c>
      <c r="N199" s="181" t="s">
        <v>439</v>
      </c>
      <c r="O199" s="182" t="s">
        <v>500</v>
      </c>
    </row>
    <row r="200" spans="2:20">
      <c r="B200" s="174" t="s">
        <v>1585</v>
      </c>
      <c r="C200" s="175" t="s">
        <v>496</v>
      </c>
      <c r="D200" s="176" t="s">
        <v>439</v>
      </c>
      <c r="E200" s="177" t="s">
        <v>1582</v>
      </c>
      <c r="F200" s="175">
        <f t="shared" si="5"/>
        <v>11</v>
      </c>
      <c r="G200" s="175" t="str">
        <f t="shared" si="6"/>
        <v>Baltimore</v>
      </c>
      <c r="H200" s="175"/>
      <c r="I200" s="178" t="s">
        <v>498</v>
      </c>
      <c r="J200" s="27" t="s">
        <v>439</v>
      </c>
      <c r="K200" s="27">
        <v>1137</v>
      </c>
      <c r="L200" s="179">
        <v>4707</v>
      </c>
      <c r="M200" s="180" t="s">
        <v>499</v>
      </c>
      <c r="N200" s="181" t="s">
        <v>439</v>
      </c>
      <c r="O200" s="182" t="s">
        <v>500</v>
      </c>
      <c r="P200" s="26"/>
      <c r="Q200" s="27"/>
      <c r="R200" s="183"/>
      <c r="S200" s="27"/>
      <c r="T200" s="27"/>
    </row>
    <row r="201" spans="2:20">
      <c r="B201" s="174" t="s">
        <v>495</v>
      </c>
      <c r="C201" s="175" t="s">
        <v>496</v>
      </c>
      <c r="D201" s="176" t="s">
        <v>439</v>
      </c>
      <c r="E201" s="177" t="s">
        <v>497</v>
      </c>
      <c r="F201" s="175">
        <f t="shared" si="5"/>
        <v>11</v>
      </c>
      <c r="G201" s="175" t="str">
        <f t="shared" si="6"/>
        <v>Annapolis</v>
      </c>
      <c r="H201" s="175"/>
      <c r="I201" s="178" t="s">
        <v>498</v>
      </c>
      <c r="J201" s="27" t="s">
        <v>439</v>
      </c>
      <c r="K201" s="27">
        <v>1137</v>
      </c>
      <c r="L201" s="179">
        <v>4707</v>
      </c>
      <c r="M201" s="180" t="s">
        <v>499</v>
      </c>
      <c r="N201" s="181" t="s">
        <v>439</v>
      </c>
      <c r="O201" s="182" t="s">
        <v>500</v>
      </c>
    </row>
    <row r="202" spans="2:20">
      <c r="B202" s="174" t="s">
        <v>1677</v>
      </c>
      <c r="C202" s="175" t="s">
        <v>496</v>
      </c>
      <c r="D202" s="176" t="s">
        <v>439</v>
      </c>
      <c r="E202" s="177" t="s">
        <v>1678</v>
      </c>
      <c r="F202" s="175">
        <f t="shared" ref="F202:F265" si="7">LEN(E202)</f>
        <v>12</v>
      </c>
      <c r="G202" s="175" t="str">
        <f t="shared" ref="G202:G265" si="8">MID(E202,2,F202-2)</f>
        <v>Cumberland</v>
      </c>
      <c r="H202" s="175"/>
      <c r="I202" s="178" t="s">
        <v>464</v>
      </c>
      <c r="J202" s="27" t="s">
        <v>450</v>
      </c>
      <c r="K202" s="27">
        <v>654</v>
      </c>
      <c r="L202" s="179">
        <v>5968</v>
      </c>
      <c r="M202" s="180" t="s">
        <v>465</v>
      </c>
      <c r="N202" s="181" t="s">
        <v>450</v>
      </c>
      <c r="O202" s="182" t="s">
        <v>466</v>
      </c>
    </row>
    <row r="203" spans="2:20">
      <c r="B203" s="174" t="s">
        <v>535</v>
      </c>
      <c r="C203" s="175" t="s">
        <v>496</v>
      </c>
      <c r="D203" s="176" t="s">
        <v>439</v>
      </c>
      <c r="E203" s="177" t="s">
        <v>536</v>
      </c>
      <c r="F203" s="175">
        <f t="shared" si="7"/>
        <v>8</v>
      </c>
      <c r="G203" s="175" t="str">
        <f t="shared" si="8"/>
        <v>Easton</v>
      </c>
      <c r="H203" s="175"/>
      <c r="I203" s="178" t="s">
        <v>436</v>
      </c>
      <c r="J203" s="27" t="s">
        <v>437</v>
      </c>
      <c r="K203" s="27">
        <v>1549</v>
      </c>
      <c r="L203" s="179">
        <v>4047</v>
      </c>
      <c r="M203" s="180" t="s">
        <v>438</v>
      </c>
      <c r="N203" s="181" t="s">
        <v>439</v>
      </c>
      <c r="O203" s="182" t="s">
        <v>440</v>
      </c>
    </row>
    <row r="204" spans="2:20">
      <c r="B204" s="174" t="s">
        <v>1983</v>
      </c>
      <c r="C204" s="175" t="s">
        <v>496</v>
      </c>
      <c r="D204" s="176" t="s">
        <v>439</v>
      </c>
      <c r="E204" s="177" t="s">
        <v>1984</v>
      </c>
      <c r="F204" s="175">
        <f t="shared" si="7"/>
        <v>11</v>
      </c>
      <c r="G204" s="175" t="str">
        <f t="shared" si="8"/>
        <v>Frederick</v>
      </c>
      <c r="H204" s="175"/>
      <c r="I204" s="178" t="s">
        <v>498</v>
      </c>
      <c r="J204" s="27" t="s">
        <v>439</v>
      </c>
      <c r="K204" s="27">
        <v>1137</v>
      </c>
      <c r="L204" s="179">
        <v>4707</v>
      </c>
      <c r="M204" s="180" t="s">
        <v>499</v>
      </c>
      <c r="N204" s="181" t="s">
        <v>439</v>
      </c>
      <c r="O204" s="182" t="s">
        <v>500</v>
      </c>
    </row>
    <row r="205" spans="2:20">
      <c r="B205" s="174" t="s">
        <v>364</v>
      </c>
      <c r="C205" s="175" t="s">
        <v>496</v>
      </c>
      <c r="D205" s="176" t="s">
        <v>439</v>
      </c>
      <c r="E205" s="177" t="s">
        <v>365</v>
      </c>
      <c r="F205" s="175">
        <f t="shared" si="7"/>
        <v>11</v>
      </c>
      <c r="G205" s="175" t="str">
        <f t="shared" si="8"/>
        <v>Salisbury</v>
      </c>
      <c r="H205" s="175"/>
      <c r="I205" s="178" t="s">
        <v>366</v>
      </c>
      <c r="J205" s="27" t="s">
        <v>435</v>
      </c>
      <c r="K205" s="27">
        <v>1096</v>
      </c>
      <c r="L205" s="179">
        <v>4261</v>
      </c>
      <c r="M205" s="180" t="s">
        <v>2351</v>
      </c>
      <c r="N205" s="181" t="s">
        <v>435</v>
      </c>
      <c r="O205" s="182" t="s">
        <v>2352</v>
      </c>
    </row>
    <row r="206" spans="2:20">
      <c r="B206" s="174" t="s">
        <v>1037</v>
      </c>
      <c r="C206" s="175" t="s">
        <v>496</v>
      </c>
      <c r="D206" s="176" t="s">
        <v>439</v>
      </c>
      <c r="E206" s="177" t="s">
        <v>1038</v>
      </c>
      <c r="F206" s="175">
        <f t="shared" si="7"/>
        <v>8</v>
      </c>
      <c r="G206" s="175" t="str">
        <f t="shared" si="8"/>
        <v>Elkton</v>
      </c>
      <c r="H206" s="175"/>
      <c r="I206" s="178" t="s">
        <v>1039</v>
      </c>
      <c r="J206" s="27" t="s">
        <v>1736</v>
      </c>
      <c r="K206" s="27">
        <v>1046</v>
      </c>
      <c r="L206" s="179">
        <v>4937</v>
      </c>
      <c r="M206" s="180" t="s">
        <v>1040</v>
      </c>
      <c r="N206" s="181" t="s">
        <v>1736</v>
      </c>
      <c r="O206" s="182" t="s">
        <v>1041</v>
      </c>
    </row>
    <row r="207" spans="2:20">
      <c r="B207" s="174" t="s">
        <v>1185</v>
      </c>
      <c r="C207" s="175" t="s">
        <v>434</v>
      </c>
      <c r="D207" s="176" t="s">
        <v>435</v>
      </c>
      <c r="E207" s="177" t="s">
        <v>1186</v>
      </c>
      <c r="F207" s="175">
        <f t="shared" si="7"/>
        <v>13</v>
      </c>
      <c r="G207" s="175" t="str">
        <f t="shared" si="8"/>
        <v>Northern VA</v>
      </c>
      <c r="H207" s="175"/>
      <c r="I207" s="178" t="s">
        <v>1676</v>
      </c>
      <c r="J207" s="27" t="s">
        <v>437</v>
      </c>
      <c r="K207" s="27">
        <v>973</v>
      </c>
      <c r="L207" s="179">
        <v>5006</v>
      </c>
      <c r="M207" s="180" t="s">
        <v>438</v>
      </c>
      <c r="N207" s="181" t="s">
        <v>439</v>
      </c>
      <c r="O207" s="182" t="s">
        <v>440</v>
      </c>
    </row>
    <row r="208" spans="2:20">
      <c r="B208" s="174" t="s">
        <v>1187</v>
      </c>
      <c r="C208" s="175" t="s">
        <v>434</v>
      </c>
      <c r="D208" s="176" t="s">
        <v>435</v>
      </c>
      <c r="E208" s="177" t="s">
        <v>1186</v>
      </c>
      <c r="F208" s="175">
        <f t="shared" si="7"/>
        <v>13</v>
      </c>
      <c r="G208" s="175" t="str">
        <f t="shared" si="8"/>
        <v>Northern VA</v>
      </c>
      <c r="H208" s="175"/>
      <c r="I208" s="178" t="s">
        <v>1676</v>
      </c>
      <c r="J208" s="27" t="s">
        <v>437</v>
      </c>
      <c r="K208" s="27">
        <v>973</v>
      </c>
      <c r="L208" s="179">
        <v>5006</v>
      </c>
      <c r="M208" s="180" t="s">
        <v>438</v>
      </c>
      <c r="N208" s="181" t="s">
        <v>439</v>
      </c>
      <c r="O208" s="182" t="s">
        <v>440</v>
      </c>
    </row>
    <row r="209" spans="2:20">
      <c r="B209" s="174" t="s">
        <v>515</v>
      </c>
      <c r="C209" s="175" t="s">
        <v>434</v>
      </c>
      <c r="D209" s="176" t="s">
        <v>435</v>
      </c>
      <c r="E209" s="177" t="s">
        <v>516</v>
      </c>
      <c r="F209" s="175">
        <f t="shared" si="7"/>
        <v>11</v>
      </c>
      <c r="G209" s="175" t="str">
        <f t="shared" si="8"/>
        <v>Arlington</v>
      </c>
      <c r="H209" s="175"/>
      <c r="I209" s="178" t="s">
        <v>436</v>
      </c>
      <c r="J209" s="27" t="s">
        <v>437</v>
      </c>
      <c r="K209" s="27">
        <v>1549</v>
      </c>
      <c r="L209" s="179">
        <v>4047</v>
      </c>
      <c r="M209" s="180" t="s">
        <v>438</v>
      </c>
      <c r="N209" s="181" t="s">
        <v>439</v>
      </c>
      <c r="O209" s="182" t="s">
        <v>440</v>
      </c>
    </row>
    <row r="210" spans="2:20">
      <c r="B210" s="174" t="s">
        <v>433</v>
      </c>
      <c r="C210" s="175" t="s">
        <v>434</v>
      </c>
      <c r="D210" s="176" t="s">
        <v>435</v>
      </c>
      <c r="E210" s="177" t="s">
        <v>432</v>
      </c>
      <c r="F210" s="175">
        <f t="shared" si="7"/>
        <v>12</v>
      </c>
      <c r="G210" s="175" t="str">
        <f t="shared" si="8"/>
        <v>Alexandria</v>
      </c>
      <c r="H210" s="175"/>
      <c r="I210" s="178" t="s">
        <v>436</v>
      </c>
      <c r="J210" s="27" t="s">
        <v>437</v>
      </c>
      <c r="K210" s="27">
        <v>1549</v>
      </c>
      <c r="L210" s="179">
        <v>4047</v>
      </c>
      <c r="M210" s="180" t="s">
        <v>438</v>
      </c>
      <c r="N210" s="181" t="s">
        <v>439</v>
      </c>
      <c r="O210" s="182" t="s">
        <v>440</v>
      </c>
    </row>
    <row r="211" spans="2:20">
      <c r="B211" s="174" t="s">
        <v>1985</v>
      </c>
      <c r="C211" s="175" t="s">
        <v>434</v>
      </c>
      <c r="D211" s="176" t="s">
        <v>435</v>
      </c>
      <c r="E211" s="177" t="s">
        <v>1986</v>
      </c>
      <c r="F211" s="175">
        <f t="shared" si="7"/>
        <v>16</v>
      </c>
      <c r="G211" s="175" t="str">
        <f t="shared" si="8"/>
        <v>Fredericksburg</v>
      </c>
      <c r="H211" s="175"/>
      <c r="I211" s="178" t="s">
        <v>2350</v>
      </c>
      <c r="J211" s="27" t="s">
        <v>435</v>
      </c>
      <c r="K211" s="27">
        <v>1348</v>
      </c>
      <c r="L211" s="179">
        <v>3963</v>
      </c>
      <c r="M211" s="180" t="s">
        <v>2351</v>
      </c>
      <c r="N211" s="181" t="s">
        <v>435</v>
      </c>
      <c r="O211" s="182" t="s">
        <v>2352</v>
      </c>
    </row>
    <row r="212" spans="2:20">
      <c r="B212" s="174" t="s">
        <v>1987</v>
      </c>
      <c r="C212" s="175" t="s">
        <v>434</v>
      </c>
      <c r="D212" s="176" t="s">
        <v>435</v>
      </c>
      <c r="E212" s="177" t="s">
        <v>1986</v>
      </c>
      <c r="F212" s="175">
        <f t="shared" si="7"/>
        <v>16</v>
      </c>
      <c r="G212" s="175" t="str">
        <f t="shared" si="8"/>
        <v>Fredericksburg</v>
      </c>
      <c r="H212" s="175"/>
      <c r="I212" s="178" t="s">
        <v>2350</v>
      </c>
      <c r="J212" s="27" t="s">
        <v>435</v>
      </c>
      <c r="K212" s="27">
        <v>1348</v>
      </c>
      <c r="L212" s="179">
        <v>3963</v>
      </c>
      <c r="M212" s="180" t="s">
        <v>2351</v>
      </c>
      <c r="N212" s="181" t="s">
        <v>435</v>
      </c>
      <c r="O212" s="182" t="s">
        <v>2352</v>
      </c>
    </row>
    <row r="213" spans="2:20">
      <c r="B213" s="174" t="s">
        <v>734</v>
      </c>
      <c r="C213" s="175" t="s">
        <v>434</v>
      </c>
      <c r="D213" s="176" t="s">
        <v>435</v>
      </c>
      <c r="E213" s="177" t="s">
        <v>735</v>
      </c>
      <c r="F213" s="175">
        <f t="shared" si="7"/>
        <v>12</v>
      </c>
      <c r="G213" s="175" t="str">
        <f t="shared" si="8"/>
        <v>Winchester</v>
      </c>
      <c r="H213" s="175"/>
      <c r="I213" s="178" t="s">
        <v>1676</v>
      </c>
      <c r="J213" s="27" t="s">
        <v>437</v>
      </c>
      <c r="K213" s="27">
        <v>973</v>
      </c>
      <c r="L213" s="179">
        <v>5006</v>
      </c>
      <c r="M213" s="180" t="s">
        <v>438</v>
      </c>
      <c r="N213" s="181" t="s">
        <v>439</v>
      </c>
      <c r="O213" s="182" t="s">
        <v>440</v>
      </c>
    </row>
    <row r="214" spans="2:20">
      <c r="B214" s="174" t="s">
        <v>1674</v>
      </c>
      <c r="C214" s="175" t="s">
        <v>434</v>
      </c>
      <c r="D214" s="176" t="s">
        <v>435</v>
      </c>
      <c r="E214" s="177" t="s">
        <v>1675</v>
      </c>
      <c r="F214" s="175">
        <f t="shared" si="7"/>
        <v>10</v>
      </c>
      <c r="G214" s="175" t="str">
        <f t="shared" si="8"/>
        <v>Culpeper</v>
      </c>
      <c r="H214" s="175"/>
      <c r="I214" s="178" t="s">
        <v>1676</v>
      </c>
      <c r="J214" s="27" t="s">
        <v>437</v>
      </c>
      <c r="K214" s="27">
        <v>973</v>
      </c>
      <c r="L214" s="179">
        <v>5006</v>
      </c>
      <c r="M214" s="180" t="s">
        <v>438</v>
      </c>
      <c r="N214" s="181" t="s">
        <v>439</v>
      </c>
      <c r="O214" s="182" t="s">
        <v>440</v>
      </c>
      <c r="P214" s="26"/>
      <c r="Q214" s="27"/>
      <c r="R214" s="183"/>
      <c r="S214" s="27"/>
      <c r="T214" s="27"/>
    </row>
    <row r="215" spans="2:20">
      <c r="B215" s="174" t="s">
        <v>2188</v>
      </c>
      <c r="C215" s="175" t="s">
        <v>434</v>
      </c>
      <c r="D215" s="176" t="s">
        <v>435</v>
      </c>
      <c r="E215" s="177" t="s">
        <v>2189</v>
      </c>
      <c r="F215" s="175">
        <f t="shared" si="7"/>
        <v>14</v>
      </c>
      <c r="G215" s="175" t="str">
        <f t="shared" si="8"/>
        <v>Harrisonburg</v>
      </c>
      <c r="H215" s="175"/>
      <c r="I215" s="178" t="s">
        <v>1676</v>
      </c>
      <c r="J215" s="27" t="s">
        <v>437</v>
      </c>
      <c r="K215" s="27">
        <v>973</v>
      </c>
      <c r="L215" s="179">
        <v>5006</v>
      </c>
      <c r="M215" s="180" t="s">
        <v>438</v>
      </c>
      <c r="N215" s="181" t="s">
        <v>439</v>
      </c>
      <c r="O215" s="182" t="s">
        <v>440</v>
      </c>
      <c r="P215" s="26"/>
      <c r="Q215" s="27"/>
      <c r="R215" s="183"/>
      <c r="S215" s="27"/>
      <c r="T215" s="27"/>
    </row>
    <row r="216" spans="2:20">
      <c r="B216" s="174" t="s">
        <v>2348</v>
      </c>
      <c r="C216" s="175" t="s">
        <v>434</v>
      </c>
      <c r="D216" s="176" t="s">
        <v>435</v>
      </c>
      <c r="E216" s="177" t="s">
        <v>2349</v>
      </c>
      <c r="F216" s="175">
        <f t="shared" si="7"/>
        <v>17</v>
      </c>
      <c r="G216" s="175" t="str">
        <f t="shared" si="8"/>
        <v>Charlottesville</v>
      </c>
      <c r="H216" s="175"/>
      <c r="I216" s="178" t="s">
        <v>2350</v>
      </c>
      <c r="J216" s="27" t="s">
        <v>435</v>
      </c>
      <c r="K216" s="27">
        <v>1348</v>
      </c>
      <c r="L216" s="179">
        <v>3963</v>
      </c>
      <c r="M216" s="180" t="s">
        <v>2351</v>
      </c>
      <c r="N216" s="181" t="s">
        <v>435</v>
      </c>
      <c r="O216" s="182" t="s">
        <v>2352</v>
      </c>
      <c r="P216" s="26"/>
      <c r="Q216" s="27"/>
      <c r="R216" s="183"/>
      <c r="S216" s="27"/>
      <c r="T216" s="27"/>
    </row>
    <row r="217" spans="2:20">
      <c r="B217" s="174" t="s">
        <v>45</v>
      </c>
      <c r="C217" s="175" t="s">
        <v>434</v>
      </c>
      <c r="D217" s="176" t="s">
        <v>435</v>
      </c>
      <c r="E217" s="177" t="s">
        <v>44</v>
      </c>
      <c r="F217" s="175">
        <f t="shared" si="7"/>
        <v>10</v>
      </c>
      <c r="G217" s="175" t="str">
        <f t="shared" si="8"/>
        <v>Richmond</v>
      </c>
      <c r="H217" s="175"/>
      <c r="I217" s="178" t="s">
        <v>2350</v>
      </c>
      <c r="J217" s="27" t="s">
        <v>435</v>
      </c>
      <c r="K217" s="27">
        <v>1348</v>
      </c>
      <c r="L217" s="179">
        <v>3963</v>
      </c>
      <c r="M217" s="180" t="s">
        <v>2351</v>
      </c>
      <c r="N217" s="181" t="s">
        <v>435</v>
      </c>
      <c r="O217" s="182" t="s">
        <v>2352</v>
      </c>
      <c r="P217" s="26"/>
      <c r="Q217" s="27"/>
      <c r="R217" s="183"/>
      <c r="S217" s="27"/>
      <c r="T217" s="27"/>
    </row>
    <row r="218" spans="2:20">
      <c r="B218" s="174" t="s">
        <v>46</v>
      </c>
      <c r="C218" s="175" t="s">
        <v>434</v>
      </c>
      <c r="D218" s="176" t="s">
        <v>435</v>
      </c>
      <c r="E218" s="177" t="s">
        <v>44</v>
      </c>
      <c r="F218" s="175">
        <f t="shared" si="7"/>
        <v>10</v>
      </c>
      <c r="G218" s="175" t="str">
        <f t="shared" si="8"/>
        <v>Richmond</v>
      </c>
      <c r="H218" s="175"/>
      <c r="I218" s="178" t="s">
        <v>2350</v>
      </c>
      <c r="J218" s="27" t="s">
        <v>435</v>
      </c>
      <c r="K218" s="27">
        <v>1348</v>
      </c>
      <c r="L218" s="179">
        <v>3963</v>
      </c>
      <c r="M218" s="180" t="s">
        <v>2351</v>
      </c>
      <c r="N218" s="181" t="s">
        <v>435</v>
      </c>
      <c r="O218" s="182" t="s">
        <v>2352</v>
      </c>
      <c r="P218" s="26"/>
      <c r="Q218" s="27"/>
      <c r="R218" s="183"/>
      <c r="S218" s="27"/>
      <c r="T218" s="27"/>
    </row>
    <row r="219" spans="2:20">
      <c r="B219" s="174" t="s">
        <v>47</v>
      </c>
      <c r="C219" s="175" t="s">
        <v>434</v>
      </c>
      <c r="D219" s="176" t="s">
        <v>435</v>
      </c>
      <c r="E219" s="177" t="s">
        <v>44</v>
      </c>
      <c r="F219" s="175">
        <f t="shared" si="7"/>
        <v>10</v>
      </c>
      <c r="G219" s="175" t="str">
        <f t="shared" si="8"/>
        <v>Richmond</v>
      </c>
      <c r="H219" s="175"/>
      <c r="I219" s="178" t="s">
        <v>2350</v>
      </c>
      <c r="J219" s="27" t="s">
        <v>435</v>
      </c>
      <c r="K219" s="27">
        <v>1348</v>
      </c>
      <c r="L219" s="179">
        <v>3963</v>
      </c>
      <c r="M219" s="180" t="s">
        <v>2351</v>
      </c>
      <c r="N219" s="181" t="s">
        <v>435</v>
      </c>
      <c r="O219" s="182" t="s">
        <v>2352</v>
      </c>
      <c r="P219" s="26"/>
      <c r="Q219" s="27"/>
      <c r="R219" s="183"/>
      <c r="S219" s="27"/>
      <c r="T219" s="27"/>
    </row>
    <row r="220" spans="2:20">
      <c r="B220" s="174" t="s">
        <v>1168</v>
      </c>
      <c r="C220" s="175" t="s">
        <v>434</v>
      </c>
      <c r="D220" s="176" t="s">
        <v>435</v>
      </c>
      <c r="E220" s="177" t="s">
        <v>155</v>
      </c>
      <c r="F220" s="175">
        <f t="shared" si="7"/>
        <v>9</v>
      </c>
      <c r="G220" s="175" t="str">
        <f t="shared" si="8"/>
        <v>Norfolk</v>
      </c>
      <c r="H220" s="175"/>
      <c r="I220" s="178" t="s">
        <v>65</v>
      </c>
      <c r="J220" s="27" t="s">
        <v>435</v>
      </c>
      <c r="K220" s="27">
        <v>1422</v>
      </c>
      <c r="L220" s="179">
        <v>3495</v>
      </c>
      <c r="M220" s="180" t="s">
        <v>66</v>
      </c>
      <c r="N220" s="181" t="s">
        <v>435</v>
      </c>
      <c r="O220" s="182" t="s">
        <v>67</v>
      </c>
    </row>
    <row r="221" spans="2:20">
      <c r="B221" s="174" t="s">
        <v>1169</v>
      </c>
      <c r="C221" s="175" t="s">
        <v>434</v>
      </c>
      <c r="D221" s="176" t="s">
        <v>435</v>
      </c>
      <c r="E221" s="177" t="s">
        <v>155</v>
      </c>
      <c r="F221" s="175">
        <f t="shared" si="7"/>
        <v>9</v>
      </c>
      <c r="G221" s="175" t="str">
        <f t="shared" si="8"/>
        <v>Norfolk</v>
      </c>
      <c r="H221" s="175"/>
      <c r="I221" s="178" t="s">
        <v>65</v>
      </c>
      <c r="J221" s="27" t="s">
        <v>435</v>
      </c>
      <c r="K221" s="27">
        <v>1422</v>
      </c>
      <c r="L221" s="179">
        <v>3495</v>
      </c>
      <c r="M221" s="180" t="s">
        <v>66</v>
      </c>
      <c r="N221" s="181" t="s">
        <v>435</v>
      </c>
      <c r="O221" s="182" t="s">
        <v>67</v>
      </c>
    </row>
    <row r="222" spans="2:20">
      <c r="B222" s="174" t="s">
        <v>1170</v>
      </c>
      <c r="C222" s="175" t="s">
        <v>434</v>
      </c>
      <c r="D222" s="176" t="s">
        <v>435</v>
      </c>
      <c r="E222" s="177" t="s">
        <v>155</v>
      </c>
      <c r="F222" s="175">
        <f t="shared" si="7"/>
        <v>9</v>
      </c>
      <c r="G222" s="175" t="str">
        <f t="shared" si="8"/>
        <v>Norfolk</v>
      </c>
      <c r="H222" s="175"/>
      <c r="I222" s="178" t="s">
        <v>65</v>
      </c>
      <c r="J222" s="27" t="s">
        <v>435</v>
      </c>
      <c r="K222" s="27">
        <v>1422</v>
      </c>
      <c r="L222" s="179">
        <v>3495</v>
      </c>
      <c r="M222" s="180" t="s">
        <v>66</v>
      </c>
      <c r="N222" s="181" t="s">
        <v>435</v>
      </c>
      <c r="O222" s="182" t="s">
        <v>67</v>
      </c>
    </row>
    <row r="223" spans="2:20">
      <c r="B223" s="174" t="s">
        <v>1171</v>
      </c>
      <c r="C223" s="175" t="s">
        <v>434</v>
      </c>
      <c r="D223" s="176" t="s">
        <v>435</v>
      </c>
      <c r="E223" s="177" t="s">
        <v>155</v>
      </c>
      <c r="F223" s="175">
        <f t="shared" si="7"/>
        <v>9</v>
      </c>
      <c r="G223" s="175" t="str">
        <f t="shared" si="8"/>
        <v>Norfolk</v>
      </c>
      <c r="H223" s="175"/>
      <c r="I223" s="178" t="s">
        <v>65</v>
      </c>
      <c r="J223" s="27" t="s">
        <v>435</v>
      </c>
      <c r="K223" s="27">
        <v>1422</v>
      </c>
      <c r="L223" s="179">
        <v>3495</v>
      </c>
      <c r="M223" s="180" t="s">
        <v>66</v>
      </c>
      <c r="N223" s="181" t="s">
        <v>435</v>
      </c>
      <c r="O223" s="182" t="s">
        <v>67</v>
      </c>
    </row>
    <row r="224" spans="2:20">
      <c r="B224" s="174" t="s">
        <v>2470</v>
      </c>
      <c r="C224" s="175" t="s">
        <v>434</v>
      </c>
      <c r="D224" s="176" t="s">
        <v>435</v>
      </c>
      <c r="E224" s="177" t="s">
        <v>2469</v>
      </c>
      <c r="F224" s="175">
        <f t="shared" si="7"/>
        <v>12</v>
      </c>
      <c r="G224" s="175" t="str">
        <f t="shared" si="8"/>
        <v>Portsmouth</v>
      </c>
      <c r="H224" s="175"/>
      <c r="I224" s="178" t="s">
        <v>65</v>
      </c>
      <c r="J224" s="27" t="s">
        <v>435</v>
      </c>
      <c r="K224" s="27">
        <v>1422</v>
      </c>
      <c r="L224" s="179">
        <v>3495</v>
      </c>
      <c r="M224" s="180" t="s">
        <v>66</v>
      </c>
      <c r="N224" s="181" t="s">
        <v>435</v>
      </c>
      <c r="O224" s="182" t="s">
        <v>67</v>
      </c>
    </row>
    <row r="225" spans="2:15">
      <c r="B225" s="174" t="s">
        <v>2418</v>
      </c>
      <c r="C225" s="175" t="s">
        <v>434</v>
      </c>
      <c r="D225" s="176" t="s">
        <v>435</v>
      </c>
      <c r="E225" s="177" t="s">
        <v>2419</v>
      </c>
      <c r="F225" s="175">
        <f t="shared" si="7"/>
        <v>12</v>
      </c>
      <c r="G225" s="175" t="str">
        <f t="shared" si="8"/>
        <v>Petersburg</v>
      </c>
      <c r="H225" s="175"/>
      <c r="I225" s="178" t="s">
        <v>65</v>
      </c>
      <c r="J225" s="27" t="s">
        <v>435</v>
      </c>
      <c r="K225" s="27">
        <v>1422</v>
      </c>
      <c r="L225" s="179">
        <v>3495</v>
      </c>
      <c r="M225" s="180" t="s">
        <v>66</v>
      </c>
      <c r="N225" s="181" t="s">
        <v>435</v>
      </c>
      <c r="O225" s="182" t="s">
        <v>67</v>
      </c>
    </row>
    <row r="226" spans="2:15">
      <c r="B226" s="174" t="s">
        <v>1921</v>
      </c>
      <c r="C226" s="175" t="s">
        <v>434</v>
      </c>
      <c r="D226" s="176" t="s">
        <v>435</v>
      </c>
      <c r="E226" s="177" t="s">
        <v>1922</v>
      </c>
      <c r="F226" s="175">
        <f t="shared" si="7"/>
        <v>11</v>
      </c>
      <c r="G226" s="175" t="str">
        <f t="shared" si="8"/>
        <v>Farmville</v>
      </c>
      <c r="H226" s="175"/>
      <c r="I226" s="178" t="s">
        <v>2350</v>
      </c>
      <c r="J226" s="27" t="s">
        <v>435</v>
      </c>
      <c r="K226" s="27">
        <v>1348</v>
      </c>
      <c r="L226" s="179">
        <v>3963</v>
      </c>
      <c r="M226" s="180" t="s">
        <v>2351</v>
      </c>
      <c r="N226" s="181" t="s">
        <v>435</v>
      </c>
      <c r="O226" s="182" t="s">
        <v>2352</v>
      </c>
    </row>
    <row r="227" spans="2:15">
      <c r="B227" s="174" t="s">
        <v>300</v>
      </c>
      <c r="C227" s="175" t="s">
        <v>434</v>
      </c>
      <c r="D227" s="176" t="s">
        <v>435</v>
      </c>
      <c r="E227" s="177" t="s">
        <v>301</v>
      </c>
      <c r="F227" s="175">
        <f t="shared" si="7"/>
        <v>9</v>
      </c>
      <c r="G227" s="175" t="str">
        <f t="shared" si="8"/>
        <v>Roanoke</v>
      </c>
      <c r="H227" s="175"/>
      <c r="I227" s="178" t="s">
        <v>2287</v>
      </c>
      <c r="J227" s="27" t="s">
        <v>435</v>
      </c>
      <c r="K227" s="27">
        <v>1052</v>
      </c>
      <c r="L227" s="179">
        <v>4360</v>
      </c>
      <c r="M227" s="180" t="s">
        <v>2288</v>
      </c>
      <c r="N227" s="181" t="s">
        <v>435</v>
      </c>
      <c r="O227" s="182" t="s">
        <v>2289</v>
      </c>
    </row>
    <row r="228" spans="2:15">
      <c r="B228" s="174" t="s">
        <v>302</v>
      </c>
      <c r="C228" s="175" t="s">
        <v>434</v>
      </c>
      <c r="D228" s="176" t="s">
        <v>435</v>
      </c>
      <c r="E228" s="177" t="s">
        <v>301</v>
      </c>
      <c r="F228" s="175">
        <f t="shared" si="7"/>
        <v>9</v>
      </c>
      <c r="G228" s="175" t="str">
        <f t="shared" si="8"/>
        <v>Roanoke</v>
      </c>
      <c r="H228" s="175"/>
      <c r="I228" s="178" t="s">
        <v>2287</v>
      </c>
      <c r="J228" s="27" t="s">
        <v>435</v>
      </c>
      <c r="K228" s="27">
        <v>1052</v>
      </c>
      <c r="L228" s="179">
        <v>4360</v>
      </c>
      <c r="M228" s="180" t="s">
        <v>2288</v>
      </c>
      <c r="N228" s="181" t="s">
        <v>435</v>
      </c>
      <c r="O228" s="182" t="s">
        <v>2289</v>
      </c>
    </row>
    <row r="229" spans="2:15">
      <c r="B229" s="174" t="s">
        <v>695</v>
      </c>
      <c r="C229" s="175" t="s">
        <v>434</v>
      </c>
      <c r="D229" s="176" t="s">
        <v>435</v>
      </c>
      <c r="E229" s="177" t="s">
        <v>696</v>
      </c>
      <c r="F229" s="175">
        <f t="shared" si="7"/>
        <v>9</v>
      </c>
      <c r="G229" s="175" t="str">
        <f t="shared" si="8"/>
        <v>Bristol</v>
      </c>
      <c r="H229" s="175"/>
      <c r="I229" s="178" t="s">
        <v>2287</v>
      </c>
      <c r="J229" s="27" t="s">
        <v>435</v>
      </c>
      <c r="K229" s="27">
        <v>1052</v>
      </c>
      <c r="L229" s="179">
        <v>4360</v>
      </c>
      <c r="M229" s="180" t="s">
        <v>2288</v>
      </c>
      <c r="N229" s="181" t="s">
        <v>435</v>
      </c>
      <c r="O229" s="182" t="s">
        <v>2289</v>
      </c>
    </row>
    <row r="230" spans="2:15">
      <c r="B230" s="174" t="s">
        <v>2488</v>
      </c>
      <c r="C230" s="175" t="s">
        <v>434</v>
      </c>
      <c r="D230" s="176" t="s">
        <v>435</v>
      </c>
      <c r="E230" s="177" t="s">
        <v>2489</v>
      </c>
      <c r="F230" s="175">
        <f t="shared" si="7"/>
        <v>9</v>
      </c>
      <c r="G230" s="175" t="str">
        <f t="shared" si="8"/>
        <v>Pulaski</v>
      </c>
      <c r="H230" s="175"/>
      <c r="I230" s="178" t="s">
        <v>2287</v>
      </c>
      <c r="J230" s="27" t="s">
        <v>435</v>
      </c>
      <c r="K230" s="27">
        <v>1052</v>
      </c>
      <c r="L230" s="179">
        <v>4360</v>
      </c>
      <c r="M230" s="180" t="s">
        <v>2288</v>
      </c>
      <c r="N230" s="181" t="s">
        <v>435</v>
      </c>
      <c r="O230" s="182" t="s">
        <v>2289</v>
      </c>
    </row>
    <row r="231" spans="2:15">
      <c r="B231" s="174" t="s">
        <v>1261</v>
      </c>
      <c r="C231" s="175" t="s">
        <v>434</v>
      </c>
      <c r="D231" s="176" t="s">
        <v>435</v>
      </c>
      <c r="E231" s="177" t="s">
        <v>1262</v>
      </c>
      <c r="F231" s="175">
        <f t="shared" si="7"/>
        <v>10</v>
      </c>
      <c r="G231" s="175" t="str">
        <f t="shared" si="8"/>
        <v>Staunton</v>
      </c>
      <c r="H231" s="175"/>
      <c r="I231" s="178" t="s">
        <v>2287</v>
      </c>
      <c r="J231" s="27" t="s">
        <v>435</v>
      </c>
      <c r="K231" s="27">
        <v>1052</v>
      </c>
      <c r="L231" s="179">
        <v>4360</v>
      </c>
      <c r="M231" s="180" t="s">
        <v>2288</v>
      </c>
      <c r="N231" s="181" t="s">
        <v>435</v>
      </c>
      <c r="O231" s="182" t="s">
        <v>2289</v>
      </c>
    </row>
    <row r="232" spans="2:15">
      <c r="B232" s="174" t="s">
        <v>2163</v>
      </c>
      <c r="C232" s="175" t="s">
        <v>434</v>
      </c>
      <c r="D232" s="176" t="s">
        <v>435</v>
      </c>
      <c r="E232" s="177" t="s">
        <v>2164</v>
      </c>
      <c r="F232" s="175">
        <f t="shared" si="7"/>
        <v>11</v>
      </c>
      <c r="G232" s="175" t="str">
        <f t="shared" si="8"/>
        <v>Lynchburg</v>
      </c>
      <c r="H232" s="175"/>
      <c r="I232" s="178" t="s">
        <v>2165</v>
      </c>
      <c r="J232" s="27" t="s">
        <v>435</v>
      </c>
      <c r="K232" s="27">
        <v>1048</v>
      </c>
      <c r="L232" s="179">
        <v>4340</v>
      </c>
      <c r="M232" s="180" t="s">
        <v>2288</v>
      </c>
      <c r="N232" s="181" t="s">
        <v>435</v>
      </c>
      <c r="O232" s="182" t="s">
        <v>2289</v>
      </c>
    </row>
    <row r="233" spans="2:15">
      <c r="B233" s="174" t="s">
        <v>854</v>
      </c>
      <c r="C233" s="175" t="s">
        <v>434</v>
      </c>
      <c r="D233" s="176" t="s">
        <v>435</v>
      </c>
      <c r="E233" s="177" t="s">
        <v>855</v>
      </c>
      <c r="F233" s="175">
        <f t="shared" si="7"/>
        <v>10</v>
      </c>
      <c r="G233" s="175" t="str">
        <f t="shared" si="8"/>
        <v>Tazewell</v>
      </c>
      <c r="H233" s="175"/>
      <c r="I233" s="178" t="s">
        <v>2287</v>
      </c>
      <c r="J233" s="27" t="s">
        <v>435</v>
      </c>
      <c r="K233" s="27">
        <v>1052</v>
      </c>
      <c r="L233" s="179">
        <v>4360</v>
      </c>
      <c r="M233" s="180" t="s">
        <v>2288</v>
      </c>
      <c r="N233" s="181" t="s">
        <v>435</v>
      </c>
      <c r="O233" s="182" t="s">
        <v>2289</v>
      </c>
    </row>
    <row r="234" spans="2:15">
      <c r="B234" s="174" t="s">
        <v>2285</v>
      </c>
      <c r="C234" s="175" t="s">
        <v>1617</v>
      </c>
      <c r="D234" s="176" t="s">
        <v>1530</v>
      </c>
      <c r="E234" s="177" t="s">
        <v>2286</v>
      </c>
      <c r="F234" s="175">
        <f t="shared" si="7"/>
        <v>11</v>
      </c>
      <c r="G234" s="175" t="str">
        <f t="shared" si="8"/>
        <v>Bluefield</v>
      </c>
      <c r="H234" s="175"/>
      <c r="I234" s="178" t="s">
        <v>2287</v>
      </c>
      <c r="J234" s="27" t="s">
        <v>435</v>
      </c>
      <c r="K234" s="27">
        <v>1052</v>
      </c>
      <c r="L234" s="179">
        <v>4360</v>
      </c>
      <c r="M234" s="180" t="s">
        <v>2288</v>
      </c>
      <c r="N234" s="181" t="s">
        <v>435</v>
      </c>
      <c r="O234" s="182" t="s">
        <v>2289</v>
      </c>
    </row>
    <row r="235" spans="2:15">
      <c r="B235" s="174" t="s">
        <v>1835</v>
      </c>
      <c r="C235" s="175" t="s">
        <v>1617</v>
      </c>
      <c r="D235" s="176" t="s">
        <v>1530</v>
      </c>
      <c r="E235" s="177" t="s">
        <v>1836</v>
      </c>
      <c r="F235" s="175">
        <f t="shared" si="7"/>
        <v>7</v>
      </c>
      <c r="G235" s="175" t="str">
        <f t="shared" si="8"/>
        <v>Welch</v>
      </c>
      <c r="H235" s="175"/>
      <c r="I235" s="178" t="s">
        <v>1319</v>
      </c>
      <c r="J235" s="27" t="s">
        <v>1530</v>
      </c>
      <c r="K235" s="27">
        <v>1031</v>
      </c>
      <c r="L235" s="179">
        <v>4646</v>
      </c>
      <c r="M235" s="180" t="s">
        <v>1531</v>
      </c>
      <c r="N235" s="181" t="s">
        <v>1530</v>
      </c>
      <c r="O235" s="182" t="s">
        <v>1532</v>
      </c>
    </row>
    <row r="236" spans="2:15">
      <c r="B236" s="174" t="s">
        <v>2115</v>
      </c>
      <c r="C236" s="175" t="s">
        <v>1617</v>
      </c>
      <c r="D236" s="176" t="s">
        <v>1530</v>
      </c>
      <c r="E236" s="177" t="s">
        <v>2116</v>
      </c>
      <c r="F236" s="175">
        <f t="shared" si="7"/>
        <v>11</v>
      </c>
      <c r="G236" s="175" t="str">
        <f t="shared" si="8"/>
        <v>Lewisburg</v>
      </c>
      <c r="H236" s="175"/>
      <c r="I236" s="178" t="s">
        <v>1319</v>
      </c>
      <c r="J236" s="27" t="s">
        <v>1530</v>
      </c>
      <c r="K236" s="27">
        <v>1031</v>
      </c>
      <c r="L236" s="179">
        <v>4646</v>
      </c>
      <c r="M236" s="180" t="s">
        <v>1531</v>
      </c>
      <c r="N236" s="181" t="s">
        <v>1530</v>
      </c>
      <c r="O236" s="182" t="s">
        <v>1532</v>
      </c>
    </row>
    <row r="237" spans="2:15">
      <c r="B237" s="174" t="s">
        <v>2336</v>
      </c>
      <c r="C237" s="175" t="s">
        <v>1617</v>
      </c>
      <c r="D237" s="176" t="s">
        <v>1530</v>
      </c>
      <c r="E237" s="177" t="s">
        <v>2333</v>
      </c>
      <c r="F237" s="175">
        <f t="shared" si="7"/>
        <v>12</v>
      </c>
      <c r="G237" s="175" t="str">
        <f t="shared" si="8"/>
        <v>Charleston</v>
      </c>
      <c r="H237" s="175"/>
      <c r="I237" s="178" t="s">
        <v>1319</v>
      </c>
      <c r="J237" s="27" t="s">
        <v>1530</v>
      </c>
      <c r="K237" s="27">
        <v>1031</v>
      </c>
      <c r="L237" s="179">
        <v>4646</v>
      </c>
      <c r="M237" s="180" t="s">
        <v>1531</v>
      </c>
      <c r="N237" s="181" t="s">
        <v>1530</v>
      </c>
      <c r="O237" s="182" t="s">
        <v>1532</v>
      </c>
    </row>
    <row r="238" spans="2:15">
      <c r="B238" s="174" t="s">
        <v>2337</v>
      </c>
      <c r="C238" s="175" t="s">
        <v>1617</v>
      </c>
      <c r="D238" s="176" t="s">
        <v>1530</v>
      </c>
      <c r="E238" s="177" t="s">
        <v>2333</v>
      </c>
      <c r="F238" s="175">
        <f t="shared" si="7"/>
        <v>12</v>
      </c>
      <c r="G238" s="175" t="str">
        <f t="shared" si="8"/>
        <v>Charleston</v>
      </c>
      <c r="H238" s="175"/>
      <c r="I238" s="178" t="s">
        <v>1319</v>
      </c>
      <c r="J238" s="27" t="s">
        <v>1530</v>
      </c>
      <c r="K238" s="27">
        <v>1031</v>
      </c>
      <c r="L238" s="179">
        <v>4646</v>
      </c>
      <c r="M238" s="180" t="s">
        <v>1531</v>
      </c>
      <c r="N238" s="181" t="s">
        <v>1530</v>
      </c>
      <c r="O238" s="182" t="s">
        <v>1532</v>
      </c>
    </row>
    <row r="239" spans="2:15">
      <c r="B239" s="174" t="s">
        <v>2338</v>
      </c>
      <c r="C239" s="175" t="s">
        <v>1617</v>
      </c>
      <c r="D239" s="176" t="s">
        <v>1530</v>
      </c>
      <c r="E239" s="177" t="s">
        <v>2333</v>
      </c>
      <c r="F239" s="175">
        <f t="shared" si="7"/>
        <v>12</v>
      </c>
      <c r="G239" s="175" t="str">
        <f t="shared" si="8"/>
        <v>Charleston</v>
      </c>
      <c r="H239" s="175"/>
      <c r="I239" s="178" t="s">
        <v>1319</v>
      </c>
      <c r="J239" s="27" t="s">
        <v>1530</v>
      </c>
      <c r="K239" s="27">
        <v>1031</v>
      </c>
      <c r="L239" s="179">
        <v>4646</v>
      </c>
      <c r="M239" s="180" t="s">
        <v>1531</v>
      </c>
      <c r="N239" s="181" t="s">
        <v>1530</v>
      </c>
      <c r="O239" s="182" t="s">
        <v>1532</v>
      </c>
    </row>
    <row r="240" spans="2:15">
      <c r="B240" s="174" t="s">
        <v>2339</v>
      </c>
      <c r="C240" s="175" t="s">
        <v>1617</v>
      </c>
      <c r="D240" s="176" t="s">
        <v>1530</v>
      </c>
      <c r="E240" s="177" t="s">
        <v>2333</v>
      </c>
      <c r="F240" s="175">
        <f t="shared" si="7"/>
        <v>12</v>
      </c>
      <c r="G240" s="175" t="str">
        <f t="shared" si="8"/>
        <v>Charleston</v>
      </c>
      <c r="H240" s="175"/>
      <c r="I240" s="178" t="s">
        <v>1319</v>
      </c>
      <c r="J240" s="27" t="s">
        <v>1530</v>
      </c>
      <c r="K240" s="27">
        <v>1031</v>
      </c>
      <c r="L240" s="179">
        <v>4646</v>
      </c>
      <c r="M240" s="180" t="s">
        <v>1531</v>
      </c>
      <c r="N240" s="181" t="s">
        <v>1530</v>
      </c>
      <c r="O240" s="182" t="s">
        <v>1532</v>
      </c>
    </row>
    <row r="241" spans="2:15">
      <c r="B241" s="174" t="s">
        <v>1156</v>
      </c>
      <c r="C241" s="175" t="s">
        <v>1617</v>
      </c>
      <c r="D241" s="176" t="s">
        <v>1530</v>
      </c>
      <c r="E241" s="177" t="s">
        <v>1157</v>
      </c>
      <c r="F241" s="175">
        <f t="shared" si="7"/>
        <v>13</v>
      </c>
      <c r="G241" s="175" t="str">
        <f t="shared" si="8"/>
        <v>Martinsburg</v>
      </c>
      <c r="H241" s="175"/>
      <c r="I241" s="178" t="s">
        <v>1676</v>
      </c>
      <c r="J241" s="27" t="s">
        <v>437</v>
      </c>
      <c r="K241" s="27">
        <v>973</v>
      </c>
      <c r="L241" s="179">
        <v>5006</v>
      </c>
      <c r="M241" s="180" t="s">
        <v>438</v>
      </c>
      <c r="N241" s="181" t="s">
        <v>439</v>
      </c>
      <c r="O241" s="182" t="s">
        <v>440</v>
      </c>
    </row>
    <row r="242" spans="2:15">
      <c r="B242" s="174" t="s">
        <v>812</v>
      </c>
      <c r="C242" s="175" t="s">
        <v>1617</v>
      </c>
      <c r="D242" s="176" t="s">
        <v>1530</v>
      </c>
      <c r="E242" s="177" t="s">
        <v>813</v>
      </c>
      <c r="F242" s="175">
        <f t="shared" si="7"/>
        <v>12</v>
      </c>
      <c r="G242" s="175" t="str">
        <f t="shared" si="8"/>
        <v>Huntington</v>
      </c>
      <c r="H242" s="175"/>
      <c r="I242" s="178" t="s">
        <v>1319</v>
      </c>
      <c r="J242" s="27" t="s">
        <v>1530</v>
      </c>
      <c r="K242" s="27">
        <v>1031</v>
      </c>
      <c r="L242" s="179">
        <v>4646</v>
      </c>
      <c r="M242" s="180" t="s">
        <v>1531</v>
      </c>
      <c r="N242" s="181" t="s">
        <v>1530</v>
      </c>
      <c r="O242" s="182" t="s">
        <v>1532</v>
      </c>
    </row>
    <row r="243" spans="2:15">
      <c r="B243" s="174" t="s">
        <v>2139</v>
      </c>
      <c r="C243" s="175" t="s">
        <v>1617</v>
      </c>
      <c r="D243" s="176" t="s">
        <v>1530</v>
      </c>
      <c r="E243" s="177" t="s">
        <v>2140</v>
      </c>
      <c r="F243" s="175">
        <f t="shared" si="7"/>
        <v>7</v>
      </c>
      <c r="G243" s="175" t="str">
        <f t="shared" si="8"/>
        <v>Logan</v>
      </c>
      <c r="H243" s="175"/>
      <c r="I243" s="178" t="s">
        <v>1319</v>
      </c>
      <c r="J243" s="27" t="s">
        <v>1530</v>
      </c>
      <c r="K243" s="27">
        <v>1031</v>
      </c>
      <c r="L243" s="179">
        <v>4646</v>
      </c>
      <c r="M243" s="180" t="s">
        <v>1531</v>
      </c>
      <c r="N243" s="181" t="s">
        <v>1530</v>
      </c>
      <c r="O243" s="182" t="s">
        <v>1532</v>
      </c>
    </row>
    <row r="244" spans="2:15">
      <c r="B244" s="174" t="s">
        <v>814</v>
      </c>
      <c r="C244" s="175" t="s">
        <v>1617</v>
      </c>
      <c r="D244" s="176" t="s">
        <v>1530</v>
      </c>
      <c r="E244" s="177" t="s">
        <v>813</v>
      </c>
      <c r="F244" s="175">
        <f t="shared" si="7"/>
        <v>12</v>
      </c>
      <c r="G244" s="175" t="str">
        <f t="shared" si="8"/>
        <v>Huntington</v>
      </c>
      <c r="H244" s="175"/>
      <c r="I244" s="178" t="s">
        <v>1529</v>
      </c>
      <c r="J244" s="27" t="s">
        <v>1530</v>
      </c>
      <c r="K244" s="27">
        <v>1005</v>
      </c>
      <c r="L244" s="179">
        <v>4665</v>
      </c>
      <c r="M244" s="180" t="s">
        <v>1531</v>
      </c>
      <c r="N244" s="181" t="s">
        <v>1530</v>
      </c>
      <c r="O244" s="182" t="s">
        <v>1532</v>
      </c>
    </row>
    <row r="245" spans="2:15">
      <c r="B245" s="174" t="s">
        <v>1616</v>
      </c>
      <c r="C245" s="175" t="s">
        <v>1617</v>
      </c>
      <c r="D245" s="176" t="s">
        <v>1530</v>
      </c>
      <c r="E245" s="177" t="s">
        <v>1618</v>
      </c>
      <c r="F245" s="175">
        <f t="shared" si="7"/>
        <v>9</v>
      </c>
      <c r="G245" s="175" t="str">
        <f t="shared" si="8"/>
        <v>Beckley</v>
      </c>
      <c r="H245" s="175"/>
      <c r="I245" s="178" t="s">
        <v>1619</v>
      </c>
      <c r="J245" s="27" t="s">
        <v>1530</v>
      </c>
      <c r="K245" s="27">
        <v>463</v>
      </c>
      <c r="L245" s="179">
        <v>5558</v>
      </c>
      <c r="M245" s="180" t="s">
        <v>1531</v>
      </c>
      <c r="N245" s="181" t="s">
        <v>1530</v>
      </c>
      <c r="O245" s="182" t="s">
        <v>1532</v>
      </c>
    </row>
    <row r="246" spans="2:15">
      <c r="B246" s="174" t="s">
        <v>1620</v>
      </c>
      <c r="C246" s="175" t="s">
        <v>1617</v>
      </c>
      <c r="D246" s="176" t="s">
        <v>1530</v>
      </c>
      <c r="E246" s="177" t="s">
        <v>1618</v>
      </c>
      <c r="F246" s="175">
        <f t="shared" si="7"/>
        <v>9</v>
      </c>
      <c r="G246" s="175" t="str">
        <f t="shared" si="8"/>
        <v>Beckley</v>
      </c>
      <c r="H246" s="175"/>
      <c r="I246" s="178" t="s">
        <v>1619</v>
      </c>
      <c r="J246" s="27" t="s">
        <v>1530</v>
      </c>
      <c r="K246" s="27">
        <v>463</v>
      </c>
      <c r="L246" s="179">
        <v>5558</v>
      </c>
      <c r="M246" s="180" t="s">
        <v>1531</v>
      </c>
      <c r="N246" s="181" t="s">
        <v>1530</v>
      </c>
      <c r="O246" s="182" t="s">
        <v>1532</v>
      </c>
    </row>
    <row r="247" spans="2:15">
      <c r="B247" s="174" t="s">
        <v>1854</v>
      </c>
      <c r="C247" s="175" t="s">
        <v>1617</v>
      </c>
      <c r="D247" s="176" t="s">
        <v>1530</v>
      </c>
      <c r="E247" s="177" t="s">
        <v>1855</v>
      </c>
      <c r="F247" s="175">
        <f t="shared" si="7"/>
        <v>10</v>
      </c>
      <c r="G247" s="175" t="str">
        <f t="shared" si="8"/>
        <v>Wheeling</v>
      </c>
      <c r="H247" s="175"/>
      <c r="I247" s="178" t="s">
        <v>464</v>
      </c>
      <c r="J247" s="27" t="s">
        <v>450</v>
      </c>
      <c r="K247" s="27">
        <v>654</v>
      </c>
      <c r="L247" s="179">
        <v>5968</v>
      </c>
      <c r="M247" s="180" t="s">
        <v>465</v>
      </c>
      <c r="N247" s="181" t="s">
        <v>450</v>
      </c>
      <c r="O247" s="182" t="s">
        <v>466</v>
      </c>
    </row>
    <row r="248" spans="2:15">
      <c r="B248" s="174" t="s">
        <v>613</v>
      </c>
      <c r="C248" s="175" t="s">
        <v>1617</v>
      </c>
      <c r="D248" s="176" t="s">
        <v>1530</v>
      </c>
      <c r="E248" s="177" t="s">
        <v>614</v>
      </c>
      <c r="F248" s="175">
        <f t="shared" si="7"/>
        <v>13</v>
      </c>
      <c r="G248" s="175" t="str">
        <f t="shared" si="8"/>
        <v>Parkersburg</v>
      </c>
      <c r="H248" s="175"/>
      <c r="I248" s="178" t="s">
        <v>1319</v>
      </c>
      <c r="J248" s="27" t="s">
        <v>1530</v>
      </c>
      <c r="K248" s="27">
        <v>1031</v>
      </c>
      <c r="L248" s="179">
        <v>4646</v>
      </c>
      <c r="M248" s="180" t="s">
        <v>1531</v>
      </c>
      <c r="N248" s="181" t="s">
        <v>1530</v>
      </c>
      <c r="O248" s="182" t="s">
        <v>1532</v>
      </c>
    </row>
    <row r="249" spans="2:15">
      <c r="B249" s="174" t="s">
        <v>1317</v>
      </c>
      <c r="C249" s="175" t="s">
        <v>1617</v>
      </c>
      <c r="D249" s="176" t="s">
        <v>1530</v>
      </c>
      <c r="E249" s="177" t="s">
        <v>1318</v>
      </c>
      <c r="F249" s="175">
        <f t="shared" si="7"/>
        <v>12</v>
      </c>
      <c r="G249" s="175" t="str">
        <f t="shared" si="8"/>
        <v>Buckhannon</v>
      </c>
      <c r="H249" s="175"/>
      <c r="I249" s="178" t="s">
        <v>1319</v>
      </c>
      <c r="J249" s="27" t="s">
        <v>1530</v>
      </c>
      <c r="K249" s="27">
        <v>1031</v>
      </c>
      <c r="L249" s="179">
        <v>4646</v>
      </c>
      <c r="M249" s="180" t="s">
        <v>1531</v>
      </c>
      <c r="N249" s="181" t="s">
        <v>1530</v>
      </c>
      <c r="O249" s="182" t="s">
        <v>1532</v>
      </c>
    </row>
    <row r="250" spans="2:15">
      <c r="B250" s="174" t="s">
        <v>2394</v>
      </c>
      <c r="C250" s="175" t="s">
        <v>1617</v>
      </c>
      <c r="D250" s="176" t="s">
        <v>1530</v>
      </c>
      <c r="E250" s="177" t="s">
        <v>2395</v>
      </c>
      <c r="F250" s="175">
        <f t="shared" si="7"/>
        <v>12</v>
      </c>
      <c r="G250" s="175" t="str">
        <f t="shared" si="8"/>
        <v>Clarksburg</v>
      </c>
      <c r="H250" s="175"/>
      <c r="I250" s="178" t="s">
        <v>2396</v>
      </c>
      <c r="J250" s="27" t="s">
        <v>1530</v>
      </c>
      <c r="K250" s="27">
        <v>346</v>
      </c>
      <c r="L250" s="179">
        <v>6120</v>
      </c>
      <c r="M250" s="180" t="s">
        <v>2397</v>
      </c>
      <c r="N250" s="181" t="s">
        <v>1530</v>
      </c>
      <c r="O250" s="182" t="s">
        <v>590</v>
      </c>
    </row>
    <row r="251" spans="2:15">
      <c r="B251" s="174" t="s">
        <v>591</v>
      </c>
      <c r="C251" s="175" t="s">
        <v>1617</v>
      </c>
      <c r="D251" s="176" t="s">
        <v>1530</v>
      </c>
      <c r="E251" s="177" t="s">
        <v>2395</v>
      </c>
      <c r="F251" s="175">
        <f t="shared" si="7"/>
        <v>12</v>
      </c>
      <c r="G251" s="175" t="str">
        <f t="shared" si="8"/>
        <v>Clarksburg</v>
      </c>
      <c r="H251" s="175"/>
      <c r="I251" s="178" t="s">
        <v>2396</v>
      </c>
      <c r="J251" s="27" t="s">
        <v>1530</v>
      </c>
      <c r="K251" s="27">
        <v>346</v>
      </c>
      <c r="L251" s="179">
        <v>6120</v>
      </c>
      <c r="M251" s="180" t="s">
        <v>2397</v>
      </c>
      <c r="N251" s="181" t="s">
        <v>1530</v>
      </c>
      <c r="O251" s="182" t="s">
        <v>590</v>
      </c>
    </row>
    <row r="252" spans="2:15">
      <c r="B252" s="174" t="s">
        <v>1087</v>
      </c>
      <c r="C252" s="175" t="s">
        <v>1617</v>
      </c>
      <c r="D252" s="176" t="s">
        <v>1530</v>
      </c>
      <c r="E252" s="177" t="s">
        <v>1088</v>
      </c>
      <c r="F252" s="175">
        <f t="shared" si="7"/>
        <v>12</v>
      </c>
      <c r="G252" s="175" t="str">
        <f t="shared" si="8"/>
        <v>Morgantown</v>
      </c>
      <c r="H252" s="175"/>
      <c r="I252" s="178" t="s">
        <v>464</v>
      </c>
      <c r="J252" s="27" t="s">
        <v>450</v>
      </c>
      <c r="K252" s="27">
        <v>654</v>
      </c>
      <c r="L252" s="179">
        <v>5968</v>
      </c>
      <c r="M252" s="180" t="s">
        <v>465</v>
      </c>
      <c r="N252" s="181" t="s">
        <v>450</v>
      </c>
      <c r="O252" s="182" t="s">
        <v>466</v>
      </c>
    </row>
    <row r="253" spans="2:15">
      <c r="B253" s="174" t="s">
        <v>2013</v>
      </c>
      <c r="C253" s="175" t="s">
        <v>1617</v>
      </c>
      <c r="D253" s="176" t="s">
        <v>1530</v>
      </c>
      <c r="E253" s="177" t="s">
        <v>2014</v>
      </c>
      <c r="F253" s="175">
        <f t="shared" si="7"/>
        <v>10</v>
      </c>
      <c r="G253" s="175" t="str">
        <f t="shared" si="8"/>
        <v>Gassaway</v>
      </c>
      <c r="H253" s="175"/>
      <c r="I253" s="178" t="s">
        <v>1319</v>
      </c>
      <c r="J253" s="27" t="s">
        <v>1530</v>
      </c>
      <c r="K253" s="27">
        <v>1031</v>
      </c>
      <c r="L253" s="179">
        <v>4646</v>
      </c>
      <c r="M253" s="180" t="s">
        <v>1531</v>
      </c>
      <c r="N253" s="181" t="s">
        <v>1530</v>
      </c>
      <c r="O253" s="182" t="s">
        <v>1532</v>
      </c>
    </row>
    <row r="254" spans="2:15">
      <c r="B254" s="174" t="s">
        <v>916</v>
      </c>
      <c r="C254" s="175" t="s">
        <v>1617</v>
      </c>
      <c r="D254" s="176" t="s">
        <v>1530</v>
      </c>
      <c r="E254" s="177" t="s">
        <v>917</v>
      </c>
      <c r="F254" s="175">
        <f t="shared" si="7"/>
        <v>8</v>
      </c>
      <c r="G254" s="175" t="str">
        <f t="shared" si="8"/>
        <v>Keyser</v>
      </c>
      <c r="H254" s="175"/>
      <c r="I254" s="178" t="s">
        <v>2396</v>
      </c>
      <c r="J254" s="27" t="s">
        <v>1530</v>
      </c>
      <c r="K254" s="27">
        <v>346</v>
      </c>
      <c r="L254" s="179">
        <v>6120</v>
      </c>
      <c r="M254" s="180" t="s">
        <v>2397</v>
      </c>
      <c r="N254" s="181" t="s">
        <v>1530</v>
      </c>
      <c r="O254" s="182" t="s">
        <v>590</v>
      </c>
    </row>
    <row r="255" spans="2:15">
      <c r="B255" s="174" t="s">
        <v>2420</v>
      </c>
      <c r="C255" s="175" t="s">
        <v>1617</v>
      </c>
      <c r="D255" s="176" t="s">
        <v>1530</v>
      </c>
      <c r="E255" s="177" t="s">
        <v>2419</v>
      </c>
      <c r="F255" s="175">
        <f t="shared" si="7"/>
        <v>12</v>
      </c>
      <c r="G255" s="175" t="str">
        <f t="shared" si="8"/>
        <v>Petersburg</v>
      </c>
      <c r="H255" s="175"/>
      <c r="I255" s="178" t="s">
        <v>2396</v>
      </c>
      <c r="J255" s="27" t="s">
        <v>1530</v>
      </c>
      <c r="K255" s="27">
        <v>346</v>
      </c>
      <c r="L255" s="179">
        <v>6120</v>
      </c>
      <c r="M255" s="180" t="s">
        <v>2397</v>
      </c>
      <c r="N255" s="181" t="s">
        <v>1530</v>
      </c>
      <c r="O255" s="182" t="s">
        <v>590</v>
      </c>
    </row>
    <row r="256" spans="2:15">
      <c r="B256" s="174" t="s">
        <v>740</v>
      </c>
      <c r="C256" s="175" t="s">
        <v>481</v>
      </c>
      <c r="D256" s="176" t="s">
        <v>482</v>
      </c>
      <c r="E256" s="177" t="s">
        <v>741</v>
      </c>
      <c r="F256" s="175">
        <f t="shared" si="7"/>
        <v>15</v>
      </c>
      <c r="G256" s="175" t="str">
        <f t="shared" si="8"/>
        <v>Winston-Salem</v>
      </c>
      <c r="H256" s="175"/>
      <c r="I256" s="178" t="s">
        <v>2065</v>
      </c>
      <c r="J256" s="27" t="s">
        <v>482</v>
      </c>
      <c r="K256" s="27">
        <v>1253</v>
      </c>
      <c r="L256" s="179">
        <v>3865</v>
      </c>
      <c r="M256" s="180" t="s">
        <v>2066</v>
      </c>
      <c r="N256" s="181" t="s">
        <v>482</v>
      </c>
      <c r="O256" s="182" t="s">
        <v>2067</v>
      </c>
    </row>
    <row r="257" spans="2:20">
      <c r="B257" s="174" t="s">
        <v>742</v>
      </c>
      <c r="C257" s="175" t="s">
        <v>481</v>
      </c>
      <c r="D257" s="176" t="s">
        <v>482</v>
      </c>
      <c r="E257" s="177" t="s">
        <v>741</v>
      </c>
      <c r="F257" s="175">
        <f t="shared" si="7"/>
        <v>15</v>
      </c>
      <c r="G257" s="175" t="str">
        <f t="shared" si="8"/>
        <v>Winston-Salem</v>
      </c>
      <c r="H257" s="175"/>
      <c r="I257" s="178" t="s">
        <v>2065</v>
      </c>
      <c r="J257" s="27" t="s">
        <v>482</v>
      </c>
      <c r="K257" s="27">
        <v>1253</v>
      </c>
      <c r="L257" s="179">
        <v>3865</v>
      </c>
      <c r="M257" s="180" t="s">
        <v>2066</v>
      </c>
      <c r="N257" s="181" t="s">
        <v>482</v>
      </c>
      <c r="O257" s="182" t="s">
        <v>2067</v>
      </c>
      <c r="P257" s="26"/>
      <c r="Q257" s="27"/>
      <c r="R257" s="183"/>
      <c r="S257" s="27"/>
      <c r="T257" s="27"/>
    </row>
    <row r="258" spans="2:20">
      <c r="B258" s="174" t="s">
        <v>2063</v>
      </c>
      <c r="C258" s="175" t="s">
        <v>481</v>
      </c>
      <c r="D258" s="176" t="s">
        <v>482</v>
      </c>
      <c r="E258" s="177" t="s">
        <v>2064</v>
      </c>
      <c r="F258" s="175">
        <f t="shared" si="7"/>
        <v>12</v>
      </c>
      <c r="G258" s="175" t="str">
        <f t="shared" si="8"/>
        <v>Greensboro</v>
      </c>
      <c r="H258" s="175"/>
      <c r="I258" s="178" t="s">
        <v>2065</v>
      </c>
      <c r="J258" s="27" t="s">
        <v>482</v>
      </c>
      <c r="K258" s="27">
        <v>1253</v>
      </c>
      <c r="L258" s="179">
        <v>3865</v>
      </c>
      <c r="M258" s="180" t="s">
        <v>2066</v>
      </c>
      <c r="N258" s="181" t="s">
        <v>482</v>
      </c>
      <c r="O258" s="182" t="s">
        <v>2067</v>
      </c>
      <c r="P258" s="26"/>
      <c r="Q258" s="27"/>
      <c r="R258" s="183"/>
      <c r="S258" s="27"/>
      <c r="T258" s="27"/>
    </row>
    <row r="259" spans="2:20">
      <c r="B259" s="174" t="s">
        <v>2068</v>
      </c>
      <c r="C259" s="175" t="s">
        <v>481</v>
      </c>
      <c r="D259" s="176" t="s">
        <v>482</v>
      </c>
      <c r="E259" s="177" t="s">
        <v>2064</v>
      </c>
      <c r="F259" s="175">
        <f t="shared" si="7"/>
        <v>12</v>
      </c>
      <c r="G259" s="175" t="str">
        <f t="shared" si="8"/>
        <v>Greensboro</v>
      </c>
      <c r="H259" s="175"/>
      <c r="I259" s="178" t="s">
        <v>2065</v>
      </c>
      <c r="J259" s="27" t="s">
        <v>482</v>
      </c>
      <c r="K259" s="27">
        <v>1253</v>
      </c>
      <c r="L259" s="179">
        <v>3865</v>
      </c>
      <c r="M259" s="180" t="s">
        <v>2066</v>
      </c>
      <c r="N259" s="181" t="s">
        <v>482</v>
      </c>
      <c r="O259" s="182" t="s">
        <v>2067</v>
      </c>
      <c r="P259" s="26"/>
      <c r="Q259" s="27"/>
      <c r="R259" s="183"/>
      <c r="S259" s="27"/>
      <c r="T259" s="27"/>
    </row>
    <row r="260" spans="2:20">
      <c r="B260" s="174" t="s">
        <v>2069</v>
      </c>
      <c r="C260" s="175" t="s">
        <v>481</v>
      </c>
      <c r="D260" s="176" t="s">
        <v>482</v>
      </c>
      <c r="E260" s="177" t="s">
        <v>2064</v>
      </c>
      <c r="F260" s="175">
        <f t="shared" si="7"/>
        <v>12</v>
      </c>
      <c r="G260" s="175" t="str">
        <f t="shared" si="8"/>
        <v>Greensboro</v>
      </c>
      <c r="H260" s="175"/>
      <c r="I260" s="178" t="s">
        <v>2065</v>
      </c>
      <c r="J260" s="27" t="s">
        <v>482</v>
      </c>
      <c r="K260" s="27">
        <v>1253</v>
      </c>
      <c r="L260" s="179">
        <v>3865</v>
      </c>
      <c r="M260" s="180" t="s">
        <v>2066</v>
      </c>
      <c r="N260" s="181" t="s">
        <v>482</v>
      </c>
      <c r="O260" s="182" t="s">
        <v>2067</v>
      </c>
      <c r="P260" s="26"/>
      <c r="Q260" s="27"/>
      <c r="R260" s="183"/>
      <c r="S260" s="27"/>
      <c r="T260" s="27"/>
    </row>
    <row r="261" spans="2:20">
      <c r="B261" s="174" t="s">
        <v>2496</v>
      </c>
      <c r="C261" s="175" t="s">
        <v>481</v>
      </c>
      <c r="D261" s="176" t="s">
        <v>482</v>
      </c>
      <c r="E261" s="177" t="s">
        <v>2497</v>
      </c>
      <c r="F261" s="175">
        <f t="shared" si="7"/>
        <v>9</v>
      </c>
      <c r="G261" s="175" t="str">
        <f t="shared" si="8"/>
        <v>Raleigh</v>
      </c>
      <c r="H261" s="175"/>
      <c r="I261" s="178" t="s">
        <v>2314</v>
      </c>
      <c r="J261" s="27" t="s">
        <v>482</v>
      </c>
      <c r="K261" s="27">
        <v>1417</v>
      </c>
      <c r="L261" s="179">
        <v>3457</v>
      </c>
      <c r="M261" s="180" t="s">
        <v>530</v>
      </c>
      <c r="N261" s="181" t="s">
        <v>482</v>
      </c>
      <c r="O261" s="182" t="s">
        <v>531</v>
      </c>
      <c r="P261" s="26"/>
      <c r="Q261" s="27"/>
      <c r="R261" s="183"/>
      <c r="S261" s="27"/>
      <c r="T261" s="27"/>
    </row>
    <row r="262" spans="2:20">
      <c r="B262" s="174" t="s">
        <v>2498</v>
      </c>
      <c r="C262" s="175" t="s">
        <v>481</v>
      </c>
      <c r="D262" s="176" t="s">
        <v>482</v>
      </c>
      <c r="E262" s="177" t="s">
        <v>2497</v>
      </c>
      <c r="F262" s="175">
        <f t="shared" si="7"/>
        <v>9</v>
      </c>
      <c r="G262" s="175" t="str">
        <f t="shared" si="8"/>
        <v>Raleigh</v>
      </c>
      <c r="H262" s="175"/>
      <c r="I262" s="178" t="s">
        <v>2314</v>
      </c>
      <c r="J262" s="27" t="s">
        <v>482</v>
      </c>
      <c r="K262" s="27">
        <v>1417</v>
      </c>
      <c r="L262" s="179">
        <v>3457</v>
      </c>
      <c r="M262" s="180" t="s">
        <v>530</v>
      </c>
      <c r="N262" s="181" t="s">
        <v>482</v>
      </c>
      <c r="O262" s="182" t="s">
        <v>531</v>
      </c>
    </row>
    <row r="263" spans="2:20">
      <c r="B263" s="174" t="s">
        <v>2312</v>
      </c>
      <c r="C263" s="175" t="s">
        <v>481</v>
      </c>
      <c r="D263" s="176" t="s">
        <v>482</v>
      </c>
      <c r="E263" s="177" t="s">
        <v>2313</v>
      </c>
      <c r="F263" s="175">
        <f t="shared" si="7"/>
        <v>8</v>
      </c>
      <c r="G263" s="175" t="str">
        <f t="shared" si="8"/>
        <v>Durham</v>
      </c>
      <c r="H263" s="175"/>
      <c r="I263" s="178" t="s">
        <v>2314</v>
      </c>
      <c r="J263" s="27" t="s">
        <v>482</v>
      </c>
      <c r="K263" s="27">
        <v>1417</v>
      </c>
      <c r="L263" s="179">
        <v>3457</v>
      </c>
      <c r="M263" s="180" t="s">
        <v>530</v>
      </c>
      <c r="N263" s="181" t="s">
        <v>482</v>
      </c>
      <c r="O263" s="182" t="s">
        <v>531</v>
      </c>
    </row>
    <row r="264" spans="2:20">
      <c r="B264" s="174" t="s">
        <v>321</v>
      </c>
      <c r="C264" s="175" t="s">
        <v>481</v>
      </c>
      <c r="D264" s="176" t="s">
        <v>482</v>
      </c>
      <c r="E264" s="177" t="s">
        <v>322</v>
      </c>
      <c r="F264" s="175">
        <f t="shared" si="7"/>
        <v>13</v>
      </c>
      <c r="G264" s="175" t="str">
        <f t="shared" si="8"/>
        <v>Rocky Mount</v>
      </c>
      <c r="H264" s="175"/>
      <c r="I264" s="178" t="s">
        <v>2314</v>
      </c>
      <c r="J264" s="27" t="s">
        <v>482</v>
      </c>
      <c r="K264" s="27">
        <v>1417</v>
      </c>
      <c r="L264" s="179">
        <v>3457</v>
      </c>
      <c r="M264" s="180" t="s">
        <v>530</v>
      </c>
      <c r="N264" s="181" t="s">
        <v>482</v>
      </c>
      <c r="O264" s="182" t="s">
        <v>531</v>
      </c>
    </row>
    <row r="265" spans="2:20">
      <c r="B265" s="174" t="s">
        <v>63</v>
      </c>
      <c r="C265" s="175" t="s">
        <v>481</v>
      </c>
      <c r="D265" s="176" t="s">
        <v>482</v>
      </c>
      <c r="E265" s="177" t="s">
        <v>64</v>
      </c>
      <c r="F265" s="175">
        <f t="shared" si="7"/>
        <v>16</v>
      </c>
      <c r="G265" s="175" t="str">
        <f t="shared" si="8"/>
        <v>Elizabeth City</v>
      </c>
      <c r="H265" s="175"/>
      <c r="I265" s="178" t="s">
        <v>65</v>
      </c>
      <c r="J265" s="27" t="s">
        <v>435</v>
      </c>
      <c r="K265" s="27">
        <v>1422</v>
      </c>
      <c r="L265" s="179">
        <v>3495</v>
      </c>
      <c r="M265" s="180" t="s">
        <v>66</v>
      </c>
      <c r="N265" s="181" t="s">
        <v>435</v>
      </c>
      <c r="O265" s="182" t="s">
        <v>67</v>
      </c>
    </row>
    <row r="266" spans="2:20">
      <c r="B266" s="174" t="s">
        <v>2340</v>
      </c>
      <c r="C266" s="175" t="s">
        <v>481</v>
      </c>
      <c r="D266" s="176" t="s">
        <v>482</v>
      </c>
      <c r="E266" s="177" t="s">
        <v>2341</v>
      </c>
      <c r="F266" s="175">
        <f t="shared" ref="F266:F329" si="9">LEN(E266)</f>
        <v>11</v>
      </c>
      <c r="G266" s="175" t="str">
        <f t="shared" ref="G266:G329" si="10">MID(E266,2,F266-2)</f>
        <v>Charlotte</v>
      </c>
      <c r="H266" s="175"/>
      <c r="I266" s="178" t="s">
        <v>2342</v>
      </c>
      <c r="J266" s="27" t="s">
        <v>284</v>
      </c>
      <c r="K266" s="27">
        <v>1473</v>
      </c>
      <c r="L266" s="179">
        <v>3272</v>
      </c>
      <c r="M266" s="180" t="s">
        <v>2343</v>
      </c>
      <c r="N266" s="181" t="s">
        <v>482</v>
      </c>
      <c r="O266" s="182" t="s">
        <v>2344</v>
      </c>
    </row>
    <row r="267" spans="2:20">
      <c r="B267" s="174" t="s">
        <v>2345</v>
      </c>
      <c r="C267" s="175" t="s">
        <v>481</v>
      </c>
      <c r="D267" s="176" t="s">
        <v>482</v>
      </c>
      <c r="E267" s="177" t="s">
        <v>2341</v>
      </c>
      <c r="F267" s="175">
        <f t="shared" si="9"/>
        <v>11</v>
      </c>
      <c r="G267" s="175" t="str">
        <f t="shared" si="10"/>
        <v>Charlotte</v>
      </c>
      <c r="H267" s="175"/>
      <c r="I267" s="178" t="s">
        <v>2342</v>
      </c>
      <c r="J267" s="27" t="s">
        <v>284</v>
      </c>
      <c r="K267" s="27">
        <v>1473</v>
      </c>
      <c r="L267" s="179">
        <v>3272</v>
      </c>
      <c r="M267" s="180" t="s">
        <v>2343</v>
      </c>
      <c r="N267" s="181" t="s">
        <v>482</v>
      </c>
      <c r="O267" s="182" t="s">
        <v>2344</v>
      </c>
    </row>
    <row r="268" spans="2:20">
      <c r="B268" s="174" t="s">
        <v>2346</v>
      </c>
      <c r="C268" s="175" t="s">
        <v>481</v>
      </c>
      <c r="D268" s="176" t="s">
        <v>482</v>
      </c>
      <c r="E268" s="177" t="s">
        <v>2341</v>
      </c>
      <c r="F268" s="175">
        <f t="shared" si="9"/>
        <v>11</v>
      </c>
      <c r="G268" s="175" t="str">
        <f t="shared" si="10"/>
        <v>Charlotte</v>
      </c>
      <c r="H268" s="175"/>
      <c r="I268" s="178" t="s">
        <v>2347</v>
      </c>
      <c r="J268" s="27" t="s">
        <v>482</v>
      </c>
      <c r="K268" s="27">
        <v>1582</v>
      </c>
      <c r="L268" s="179">
        <v>3341</v>
      </c>
      <c r="M268" s="180" t="s">
        <v>2343</v>
      </c>
      <c r="N268" s="181" t="s">
        <v>482</v>
      </c>
      <c r="O268" s="182" t="s">
        <v>2344</v>
      </c>
    </row>
    <row r="269" spans="2:20">
      <c r="B269" s="174" t="s">
        <v>1927</v>
      </c>
      <c r="C269" s="175" t="s">
        <v>481</v>
      </c>
      <c r="D269" s="176" t="s">
        <v>482</v>
      </c>
      <c r="E269" s="177" t="s">
        <v>1924</v>
      </c>
      <c r="F269" s="175">
        <f t="shared" si="9"/>
        <v>14</v>
      </c>
      <c r="G269" s="175" t="str">
        <f t="shared" si="10"/>
        <v>Fayetteville</v>
      </c>
      <c r="H269" s="175"/>
      <c r="I269" s="178" t="s">
        <v>2347</v>
      </c>
      <c r="J269" s="27" t="s">
        <v>482</v>
      </c>
      <c r="K269" s="27">
        <v>1582</v>
      </c>
      <c r="L269" s="179">
        <v>3341</v>
      </c>
      <c r="M269" s="180" t="s">
        <v>2343</v>
      </c>
      <c r="N269" s="181" t="s">
        <v>482</v>
      </c>
      <c r="O269" s="182" t="s">
        <v>2344</v>
      </c>
    </row>
    <row r="270" spans="2:20">
      <c r="B270" s="174" t="s">
        <v>733</v>
      </c>
      <c r="C270" s="175" t="s">
        <v>481</v>
      </c>
      <c r="D270" s="176" t="s">
        <v>482</v>
      </c>
      <c r="E270" s="177" t="s">
        <v>731</v>
      </c>
      <c r="F270" s="175">
        <f t="shared" si="9"/>
        <v>12</v>
      </c>
      <c r="G270" s="175" t="str">
        <f t="shared" si="10"/>
        <v>Wilmington</v>
      </c>
      <c r="H270" s="175"/>
      <c r="I270" s="178" t="s">
        <v>1944</v>
      </c>
      <c r="J270" s="27" t="s">
        <v>482</v>
      </c>
      <c r="K270" s="27">
        <v>1926</v>
      </c>
      <c r="L270" s="179">
        <v>2470</v>
      </c>
      <c r="M270" s="180" t="s">
        <v>2343</v>
      </c>
      <c r="N270" s="181" t="s">
        <v>482</v>
      </c>
      <c r="O270" s="182" t="s">
        <v>2344</v>
      </c>
    </row>
    <row r="271" spans="2:20">
      <c r="B271" s="174" t="s">
        <v>925</v>
      </c>
      <c r="C271" s="175" t="s">
        <v>481</v>
      </c>
      <c r="D271" s="176" t="s">
        <v>482</v>
      </c>
      <c r="E271" s="177" t="s">
        <v>926</v>
      </c>
      <c r="F271" s="175">
        <f t="shared" si="9"/>
        <v>9</v>
      </c>
      <c r="G271" s="175" t="str">
        <f t="shared" si="10"/>
        <v>Kinston</v>
      </c>
      <c r="H271" s="175"/>
      <c r="I271" s="178" t="s">
        <v>1944</v>
      </c>
      <c r="J271" s="27" t="s">
        <v>482</v>
      </c>
      <c r="K271" s="27">
        <v>1926</v>
      </c>
      <c r="L271" s="179">
        <v>2470</v>
      </c>
      <c r="M271" s="180" t="s">
        <v>2343</v>
      </c>
      <c r="N271" s="181" t="s">
        <v>482</v>
      </c>
      <c r="O271" s="182" t="s">
        <v>2344</v>
      </c>
    </row>
    <row r="272" spans="2:20">
      <c r="B272" s="174" t="s">
        <v>779</v>
      </c>
      <c r="C272" s="175" t="s">
        <v>481</v>
      </c>
      <c r="D272" s="176" t="s">
        <v>482</v>
      </c>
      <c r="E272" s="177" t="s">
        <v>780</v>
      </c>
      <c r="F272" s="175">
        <f t="shared" si="9"/>
        <v>9</v>
      </c>
      <c r="G272" s="175" t="str">
        <f t="shared" si="10"/>
        <v>Hickory</v>
      </c>
      <c r="H272" s="175"/>
      <c r="I272" s="178" t="s">
        <v>2065</v>
      </c>
      <c r="J272" s="27" t="s">
        <v>482</v>
      </c>
      <c r="K272" s="27">
        <v>1253</v>
      </c>
      <c r="L272" s="179">
        <v>3865</v>
      </c>
      <c r="M272" s="180" t="s">
        <v>2066</v>
      </c>
      <c r="N272" s="181" t="s">
        <v>482</v>
      </c>
      <c r="O272" s="182" t="s">
        <v>2067</v>
      </c>
      <c r="P272" s="26"/>
      <c r="Q272" s="27"/>
      <c r="R272" s="183"/>
      <c r="S272" s="27"/>
      <c r="T272" s="27"/>
    </row>
    <row r="273" spans="2:20">
      <c r="B273" s="174" t="s">
        <v>517</v>
      </c>
      <c r="C273" s="175" t="s">
        <v>481</v>
      </c>
      <c r="D273" s="176" t="s">
        <v>482</v>
      </c>
      <c r="E273" s="177" t="s">
        <v>518</v>
      </c>
      <c r="F273" s="175">
        <f t="shared" si="9"/>
        <v>11</v>
      </c>
      <c r="G273" s="175" t="str">
        <f t="shared" si="10"/>
        <v>Asheville</v>
      </c>
      <c r="H273" s="175"/>
      <c r="I273" s="178" t="s">
        <v>519</v>
      </c>
      <c r="J273" s="27" t="s">
        <v>485</v>
      </c>
      <c r="K273" s="27">
        <v>972</v>
      </c>
      <c r="L273" s="179">
        <v>4406</v>
      </c>
      <c r="M273" s="180" t="s">
        <v>520</v>
      </c>
      <c r="N273" s="181" t="s">
        <v>482</v>
      </c>
      <c r="O273" s="182" t="s">
        <v>521</v>
      </c>
      <c r="P273" s="26"/>
      <c r="Q273" s="27"/>
      <c r="R273" s="183"/>
      <c r="S273" s="27"/>
      <c r="T273" s="27"/>
    </row>
    <row r="274" spans="2:20">
      <c r="B274" s="174" t="s">
        <v>522</v>
      </c>
      <c r="C274" s="175" t="s">
        <v>481</v>
      </c>
      <c r="D274" s="176" t="s">
        <v>482</v>
      </c>
      <c r="E274" s="177" t="s">
        <v>518</v>
      </c>
      <c r="F274" s="175">
        <f t="shared" si="9"/>
        <v>11</v>
      </c>
      <c r="G274" s="175" t="str">
        <f t="shared" si="10"/>
        <v>Asheville</v>
      </c>
      <c r="H274" s="175"/>
      <c r="I274" s="178" t="s">
        <v>523</v>
      </c>
      <c r="J274" s="27" t="s">
        <v>482</v>
      </c>
      <c r="K274" s="27">
        <v>787</v>
      </c>
      <c r="L274" s="179">
        <v>4308</v>
      </c>
      <c r="M274" s="180" t="s">
        <v>520</v>
      </c>
      <c r="N274" s="181" t="s">
        <v>482</v>
      </c>
      <c r="O274" s="182" t="s">
        <v>521</v>
      </c>
      <c r="P274" s="26"/>
      <c r="Q274" s="27"/>
      <c r="R274" s="183"/>
      <c r="S274" s="27"/>
      <c r="T274" s="27"/>
    </row>
    <row r="275" spans="2:20">
      <c r="B275" s="174" t="s">
        <v>480</v>
      </c>
      <c r="C275" s="175" t="s">
        <v>481</v>
      </c>
      <c r="D275" s="176" t="s">
        <v>482</v>
      </c>
      <c r="E275" s="177" t="s">
        <v>483</v>
      </c>
      <c r="F275" s="175">
        <f t="shared" si="9"/>
        <v>9</v>
      </c>
      <c r="G275" s="175" t="str">
        <f t="shared" si="10"/>
        <v>Andrews</v>
      </c>
      <c r="H275" s="175"/>
      <c r="I275" s="178" t="s">
        <v>484</v>
      </c>
      <c r="J275" s="27" t="s">
        <v>485</v>
      </c>
      <c r="K275" s="27">
        <v>1266</v>
      </c>
      <c r="L275" s="179">
        <v>3937</v>
      </c>
      <c r="M275" s="180" t="s">
        <v>486</v>
      </c>
      <c r="N275" s="181" t="s">
        <v>485</v>
      </c>
      <c r="O275" s="182" t="s">
        <v>487</v>
      </c>
    </row>
    <row r="276" spans="2:20">
      <c r="B276" s="174" t="s">
        <v>1519</v>
      </c>
      <c r="C276" s="175" t="s">
        <v>283</v>
      </c>
      <c r="D276" s="176" t="s">
        <v>284</v>
      </c>
      <c r="E276" s="177" t="s">
        <v>1517</v>
      </c>
      <c r="F276" s="175">
        <f t="shared" si="9"/>
        <v>10</v>
      </c>
      <c r="G276" s="175" t="str">
        <f t="shared" si="10"/>
        <v>Columbia</v>
      </c>
      <c r="H276" s="175"/>
      <c r="I276" s="178" t="s">
        <v>286</v>
      </c>
      <c r="J276" s="27" t="s">
        <v>284</v>
      </c>
      <c r="K276" s="27">
        <v>1966</v>
      </c>
      <c r="L276" s="179">
        <v>2649</v>
      </c>
      <c r="M276" s="178" t="s">
        <v>287</v>
      </c>
      <c r="N276" s="27" t="s">
        <v>284</v>
      </c>
      <c r="O276" s="182" t="s">
        <v>288</v>
      </c>
    </row>
    <row r="277" spans="2:20">
      <c r="B277" s="174" t="s">
        <v>1520</v>
      </c>
      <c r="C277" s="175" t="s">
        <v>283</v>
      </c>
      <c r="D277" s="176" t="s">
        <v>284</v>
      </c>
      <c r="E277" s="177" t="s">
        <v>1517</v>
      </c>
      <c r="F277" s="175">
        <f t="shared" si="9"/>
        <v>10</v>
      </c>
      <c r="G277" s="175" t="str">
        <f t="shared" si="10"/>
        <v>Columbia</v>
      </c>
      <c r="H277" s="175"/>
      <c r="I277" s="178" t="s">
        <v>286</v>
      </c>
      <c r="J277" s="27" t="s">
        <v>284</v>
      </c>
      <c r="K277" s="27">
        <v>1966</v>
      </c>
      <c r="L277" s="179">
        <v>2649</v>
      </c>
      <c r="M277" s="178" t="s">
        <v>287</v>
      </c>
      <c r="N277" s="27" t="s">
        <v>284</v>
      </c>
      <c r="O277" s="182" t="s">
        <v>288</v>
      </c>
    </row>
    <row r="278" spans="2:20">
      <c r="B278" s="174" t="s">
        <v>1521</v>
      </c>
      <c r="C278" s="175" t="s">
        <v>283</v>
      </c>
      <c r="D278" s="176" t="s">
        <v>284</v>
      </c>
      <c r="E278" s="177" t="s">
        <v>1517</v>
      </c>
      <c r="F278" s="175">
        <f t="shared" si="9"/>
        <v>10</v>
      </c>
      <c r="G278" s="175" t="str">
        <f t="shared" si="10"/>
        <v>Columbia</v>
      </c>
      <c r="H278" s="175"/>
      <c r="I278" s="178" t="s">
        <v>286</v>
      </c>
      <c r="J278" s="27" t="s">
        <v>284</v>
      </c>
      <c r="K278" s="27">
        <v>1966</v>
      </c>
      <c r="L278" s="179">
        <v>2649</v>
      </c>
      <c r="M278" s="178" t="s">
        <v>287</v>
      </c>
      <c r="N278" s="27" t="s">
        <v>284</v>
      </c>
      <c r="O278" s="182" t="s">
        <v>288</v>
      </c>
    </row>
    <row r="279" spans="2:20">
      <c r="B279" s="174" t="s">
        <v>1230</v>
      </c>
      <c r="C279" s="175" t="s">
        <v>283</v>
      </c>
      <c r="D279" s="176" t="s">
        <v>284</v>
      </c>
      <c r="E279" s="177" t="s">
        <v>1231</v>
      </c>
      <c r="F279" s="175">
        <f t="shared" si="9"/>
        <v>13</v>
      </c>
      <c r="G279" s="175" t="str">
        <f t="shared" si="10"/>
        <v>Spartanburg</v>
      </c>
      <c r="H279" s="175"/>
      <c r="I279" s="178" t="s">
        <v>2342</v>
      </c>
      <c r="J279" s="27" t="s">
        <v>284</v>
      </c>
      <c r="K279" s="27">
        <v>1473</v>
      </c>
      <c r="L279" s="179">
        <v>3272</v>
      </c>
      <c r="M279" s="180" t="s">
        <v>2343</v>
      </c>
      <c r="N279" s="181" t="s">
        <v>482</v>
      </c>
      <c r="O279" s="182" t="s">
        <v>2344</v>
      </c>
    </row>
    <row r="280" spans="2:20">
      <c r="B280" s="174" t="s">
        <v>2332</v>
      </c>
      <c r="C280" s="175" t="s">
        <v>283</v>
      </c>
      <c r="D280" s="176" t="s">
        <v>284</v>
      </c>
      <c r="E280" s="177" t="s">
        <v>2333</v>
      </c>
      <c r="F280" s="175">
        <f t="shared" si="9"/>
        <v>12</v>
      </c>
      <c r="G280" s="175" t="str">
        <f t="shared" si="10"/>
        <v>Charleston</v>
      </c>
      <c r="H280" s="175"/>
      <c r="I280" s="178" t="s">
        <v>2334</v>
      </c>
      <c r="J280" s="27" t="s">
        <v>284</v>
      </c>
      <c r="K280" s="27">
        <v>2266</v>
      </c>
      <c r="L280" s="179">
        <v>2013</v>
      </c>
      <c r="M280" s="180" t="s">
        <v>1531</v>
      </c>
      <c r="N280" s="181" t="s">
        <v>284</v>
      </c>
      <c r="O280" s="182" t="s">
        <v>2335</v>
      </c>
    </row>
    <row r="281" spans="2:20">
      <c r="B281" s="174" t="s">
        <v>1942</v>
      </c>
      <c r="C281" s="175" t="s">
        <v>283</v>
      </c>
      <c r="D281" s="176" t="s">
        <v>284</v>
      </c>
      <c r="E281" s="177" t="s">
        <v>1943</v>
      </c>
      <c r="F281" s="175">
        <f t="shared" si="9"/>
        <v>10</v>
      </c>
      <c r="G281" s="175" t="str">
        <f t="shared" si="10"/>
        <v>Florence</v>
      </c>
      <c r="H281" s="175"/>
      <c r="I281" s="178" t="s">
        <v>1944</v>
      </c>
      <c r="J281" s="27" t="s">
        <v>482</v>
      </c>
      <c r="K281" s="27">
        <v>1926</v>
      </c>
      <c r="L281" s="179">
        <v>2470</v>
      </c>
      <c r="M281" s="178" t="s">
        <v>287</v>
      </c>
      <c r="N281" s="27" t="s">
        <v>284</v>
      </c>
      <c r="O281" s="182" t="s">
        <v>288</v>
      </c>
    </row>
    <row r="282" spans="2:20">
      <c r="B282" s="174" t="s">
        <v>2075</v>
      </c>
      <c r="C282" s="175" t="s">
        <v>283</v>
      </c>
      <c r="D282" s="176" t="s">
        <v>284</v>
      </c>
      <c r="E282" s="177" t="s">
        <v>2073</v>
      </c>
      <c r="F282" s="175">
        <f t="shared" si="9"/>
        <v>12</v>
      </c>
      <c r="G282" s="175" t="str">
        <f t="shared" si="10"/>
        <v>Greenville</v>
      </c>
      <c r="H282" s="175"/>
      <c r="I282" s="178" t="s">
        <v>2342</v>
      </c>
      <c r="J282" s="27" t="s">
        <v>284</v>
      </c>
      <c r="K282" s="27">
        <v>1473</v>
      </c>
      <c r="L282" s="179">
        <v>3272</v>
      </c>
      <c r="M282" s="180" t="s">
        <v>2343</v>
      </c>
      <c r="N282" s="181" t="s">
        <v>482</v>
      </c>
      <c r="O282" s="182" t="s">
        <v>2344</v>
      </c>
    </row>
    <row r="283" spans="2:20">
      <c r="B283" s="174" t="s">
        <v>312</v>
      </c>
      <c r="C283" s="175" t="s">
        <v>283</v>
      </c>
      <c r="D283" s="176" t="s">
        <v>284</v>
      </c>
      <c r="E283" s="177" t="s">
        <v>313</v>
      </c>
      <c r="F283" s="175">
        <f t="shared" si="9"/>
        <v>11</v>
      </c>
      <c r="G283" s="175" t="str">
        <f t="shared" si="10"/>
        <v>Rock_Hill</v>
      </c>
      <c r="H283" s="175"/>
      <c r="I283" s="178" t="s">
        <v>286</v>
      </c>
      <c r="J283" s="27" t="s">
        <v>284</v>
      </c>
      <c r="K283" s="27">
        <v>1966</v>
      </c>
      <c r="L283" s="179">
        <v>2649</v>
      </c>
      <c r="M283" s="178" t="s">
        <v>287</v>
      </c>
      <c r="N283" s="27" t="s">
        <v>284</v>
      </c>
      <c r="O283" s="182" t="s">
        <v>288</v>
      </c>
    </row>
    <row r="284" spans="2:20">
      <c r="B284" s="174" t="s">
        <v>282</v>
      </c>
      <c r="C284" s="175" t="s">
        <v>283</v>
      </c>
      <c r="D284" s="176" t="s">
        <v>284</v>
      </c>
      <c r="E284" s="177" t="s">
        <v>285</v>
      </c>
      <c r="F284" s="175">
        <f t="shared" si="9"/>
        <v>7</v>
      </c>
      <c r="G284" s="175" t="str">
        <f t="shared" si="10"/>
        <v>Aiken</v>
      </c>
      <c r="H284" s="175"/>
      <c r="I284" s="178" t="s">
        <v>286</v>
      </c>
      <c r="J284" s="27" t="s">
        <v>284</v>
      </c>
      <c r="K284" s="27">
        <v>1966</v>
      </c>
      <c r="L284" s="179">
        <v>2649</v>
      </c>
      <c r="M284" s="178" t="s">
        <v>287</v>
      </c>
      <c r="N284" s="27" t="s">
        <v>284</v>
      </c>
      <c r="O284" s="182" t="s">
        <v>288</v>
      </c>
    </row>
    <row r="285" spans="2:20">
      <c r="B285" s="174" t="s">
        <v>1605</v>
      </c>
      <c r="C285" s="175" t="s">
        <v>283</v>
      </c>
      <c r="D285" s="176" t="s">
        <v>284</v>
      </c>
      <c r="E285" s="177" t="s">
        <v>1606</v>
      </c>
      <c r="F285" s="175">
        <f t="shared" si="9"/>
        <v>10</v>
      </c>
      <c r="G285" s="175" t="str">
        <f t="shared" si="10"/>
        <v>Beaufort</v>
      </c>
      <c r="H285" s="175"/>
      <c r="I285" s="178" t="s">
        <v>1607</v>
      </c>
      <c r="J285" s="27" t="s">
        <v>410</v>
      </c>
      <c r="K285" s="27">
        <v>2365</v>
      </c>
      <c r="L285" s="179">
        <v>1847</v>
      </c>
      <c r="M285" s="180" t="s">
        <v>1608</v>
      </c>
      <c r="N285" s="181" t="s">
        <v>410</v>
      </c>
      <c r="O285" s="182" t="s">
        <v>1609</v>
      </c>
    </row>
    <row r="286" spans="2:20">
      <c r="B286" s="174" t="s">
        <v>1541</v>
      </c>
      <c r="C286" s="175" t="s">
        <v>409</v>
      </c>
      <c r="D286" s="176" t="s">
        <v>410</v>
      </c>
      <c r="E286" s="177" t="s">
        <v>1542</v>
      </c>
      <c r="F286" s="175">
        <f t="shared" si="9"/>
        <v>9</v>
      </c>
      <c r="G286" s="175" t="str">
        <f t="shared" si="10"/>
        <v>Atlanta</v>
      </c>
      <c r="H286" s="175"/>
      <c r="I286" s="178" t="s">
        <v>1543</v>
      </c>
      <c r="J286" s="27" t="s">
        <v>410</v>
      </c>
      <c r="K286" s="27">
        <v>1667</v>
      </c>
      <c r="L286" s="179">
        <v>2991</v>
      </c>
      <c r="M286" s="178" t="s">
        <v>1536</v>
      </c>
      <c r="N286" s="27" t="s">
        <v>410</v>
      </c>
      <c r="O286" s="182" t="s">
        <v>1537</v>
      </c>
    </row>
    <row r="287" spans="2:20">
      <c r="B287" s="174" t="s">
        <v>1544</v>
      </c>
      <c r="C287" s="175" t="s">
        <v>409</v>
      </c>
      <c r="D287" s="176" t="s">
        <v>410</v>
      </c>
      <c r="E287" s="177" t="s">
        <v>1542</v>
      </c>
      <c r="F287" s="175">
        <f t="shared" si="9"/>
        <v>9</v>
      </c>
      <c r="G287" s="175" t="str">
        <f t="shared" si="10"/>
        <v>Atlanta</v>
      </c>
      <c r="H287" s="175"/>
      <c r="I287" s="178" t="s">
        <v>1543</v>
      </c>
      <c r="J287" s="27" t="s">
        <v>410</v>
      </c>
      <c r="K287" s="27">
        <v>1667</v>
      </c>
      <c r="L287" s="179">
        <v>2991</v>
      </c>
      <c r="M287" s="178" t="s">
        <v>1536</v>
      </c>
      <c r="N287" s="27" t="s">
        <v>410</v>
      </c>
      <c r="O287" s="182" t="s">
        <v>1537</v>
      </c>
    </row>
    <row r="288" spans="2:20">
      <c r="B288" s="174" t="s">
        <v>1545</v>
      </c>
      <c r="C288" s="175" t="s">
        <v>409</v>
      </c>
      <c r="D288" s="176" t="s">
        <v>410</v>
      </c>
      <c r="E288" s="177" t="s">
        <v>1542</v>
      </c>
      <c r="F288" s="175">
        <f t="shared" si="9"/>
        <v>9</v>
      </c>
      <c r="G288" s="175" t="str">
        <f t="shared" si="10"/>
        <v>Atlanta</v>
      </c>
      <c r="H288" s="175"/>
      <c r="I288" s="178" t="s">
        <v>1543</v>
      </c>
      <c r="J288" s="27" t="s">
        <v>410</v>
      </c>
      <c r="K288" s="27">
        <v>1667</v>
      </c>
      <c r="L288" s="179">
        <v>2991</v>
      </c>
      <c r="M288" s="178" t="s">
        <v>1536</v>
      </c>
      <c r="N288" s="27" t="s">
        <v>410</v>
      </c>
      <c r="O288" s="182" t="s">
        <v>1537</v>
      </c>
    </row>
    <row r="289" spans="2:15">
      <c r="B289" s="174" t="s">
        <v>1546</v>
      </c>
      <c r="C289" s="175" t="s">
        <v>409</v>
      </c>
      <c r="D289" s="176" t="s">
        <v>410</v>
      </c>
      <c r="E289" s="177" t="s">
        <v>1542</v>
      </c>
      <c r="F289" s="175">
        <f t="shared" si="9"/>
        <v>9</v>
      </c>
      <c r="G289" s="175" t="str">
        <f t="shared" si="10"/>
        <v>Atlanta</v>
      </c>
      <c r="H289" s="175"/>
      <c r="I289" s="178" t="s">
        <v>1543</v>
      </c>
      <c r="J289" s="27" t="s">
        <v>410</v>
      </c>
      <c r="K289" s="27">
        <v>1667</v>
      </c>
      <c r="L289" s="179">
        <v>2991</v>
      </c>
      <c r="M289" s="178" t="s">
        <v>1536</v>
      </c>
      <c r="N289" s="27" t="s">
        <v>410</v>
      </c>
      <c r="O289" s="182" t="s">
        <v>1537</v>
      </c>
    </row>
    <row r="290" spans="2:15">
      <c r="B290" s="174" t="s">
        <v>838</v>
      </c>
      <c r="C290" s="175" t="s">
        <v>409</v>
      </c>
      <c r="D290" s="176" t="s">
        <v>410</v>
      </c>
      <c r="E290" s="177" t="s">
        <v>839</v>
      </c>
      <c r="F290" s="175">
        <f t="shared" si="9"/>
        <v>12</v>
      </c>
      <c r="G290" s="175" t="str">
        <f t="shared" si="10"/>
        <v>Swainsboro</v>
      </c>
      <c r="H290" s="175"/>
      <c r="I290" s="178" t="s">
        <v>1607</v>
      </c>
      <c r="J290" s="27" t="s">
        <v>410</v>
      </c>
      <c r="K290" s="27">
        <v>2365</v>
      </c>
      <c r="L290" s="179">
        <v>1847</v>
      </c>
      <c r="M290" s="180" t="s">
        <v>1608</v>
      </c>
      <c r="N290" s="181" t="s">
        <v>410</v>
      </c>
      <c r="O290" s="182" t="s">
        <v>1609</v>
      </c>
    </row>
    <row r="291" spans="2:15">
      <c r="B291" s="174" t="s">
        <v>1998</v>
      </c>
      <c r="C291" s="175" t="s">
        <v>409</v>
      </c>
      <c r="D291" s="176" t="s">
        <v>410</v>
      </c>
      <c r="E291" s="177" t="s">
        <v>1994</v>
      </c>
      <c r="F291" s="175">
        <f t="shared" si="9"/>
        <v>13</v>
      </c>
      <c r="G291" s="175" t="str">
        <f t="shared" si="10"/>
        <v>Gainesville</v>
      </c>
      <c r="H291" s="175"/>
      <c r="I291" s="178" t="s">
        <v>2342</v>
      </c>
      <c r="J291" s="27" t="s">
        <v>284</v>
      </c>
      <c r="K291" s="27">
        <v>1473</v>
      </c>
      <c r="L291" s="179">
        <v>3272</v>
      </c>
      <c r="M291" s="178" t="s">
        <v>1536</v>
      </c>
      <c r="N291" s="27" t="s">
        <v>410</v>
      </c>
      <c r="O291" s="182" t="s">
        <v>1537</v>
      </c>
    </row>
    <row r="292" spans="2:15">
      <c r="B292" s="174" t="s">
        <v>1533</v>
      </c>
      <c r="C292" s="175" t="s">
        <v>409</v>
      </c>
      <c r="D292" s="176" t="s">
        <v>410</v>
      </c>
      <c r="E292" s="177" t="s">
        <v>1534</v>
      </c>
      <c r="F292" s="175">
        <f t="shared" si="9"/>
        <v>8</v>
      </c>
      <c r="G292" s="175" t="str">
        <f t="shared" si="10"/>
        <v>Athens</v>
      </c>
      <c r="H292" s="175"/>
      <c r="I292" s="178" t="s">
        <v>1535</v>
      </c>
      <c r="J292" s="27" t="s">
        <v>410</v>
      </c>
      <c r="K292" s="27">
        <v>1709</v>
      </c>
      <c r="L292" s="179">
        <v>2893</v>
      </c>
      <c r="M292" s="178" t="s">
        <v>1536</v>
      </c>
      <c r="N292" s="27" t="s">
        <v>410</v>
      </c>
      <c r="O292" s="182" t="s">
        <v>1537</v>
      </c>
    </row>
    <row r="293" spans="2:15">
      <c r="B293" s="174" t="s">
        <v>1684</v>
      </c>
      <c r="C293" s="175" t="s">
        <v>409</v>
      </c>
      <c r="D293" s="176" t="s">
        <v>410</v>
      </c>
      <c r="E293" s="177" t="s">
        <v>1685</v>
      </c>
      <c r="F293" s="175">
        <f t="shared" si="9"/>
        <v>8</v>
      </c>
      <c r="G293" s="175" t="str">
        <f t="shared" si="10"/>
        <v>Dalton</v>
      </c>
      <c r="H293" s="175"/>
      <c r="I293" s="178" t="s">
        <v>2360</v>
      </c>
      <c r="J293" s="27" t="s">
        <v>485</v>
      </c>
      <c r="K293" s="27">
        <v>1544</v>
      </c>
      <c r="L293" s="179">
        <v>3587</v>
      </c>
      <c r="M293" s="180" t="s">
        <v>2357</v>
      </c>
      <c r="N293" s="181" t="s">
        <v>485</v>
      </c>
      <c r="O293" s="182" t="s">
        <v>2358</v>
      </c>
    </row>
    <row r="294" spans="2:15">
      <c r="B294" s="174" t="s">
        <v>1561</v>
      </c>
      <c r="C294" s="175" t="s">
        <v>409</v>
      </c>
      <c r="D294" s="176" t="s">
        <v>410</v>
      </c>
      <c r="E294" s="177" t="s">
        <v>1562</v>
      </c>
      <c r="F294" s="175">
        <f t="shared" si="9"/>
        <v>9</v>
      </c>
      <c r="G294" s="175" t="str">
        <f t="shared" si="10"/>
        <v>Augusta</v>
      </c>
      <c r="H294" s="175"/>
      <c r="I294" s="178" t="s">
        <v>1535</v>
      </c>
      <c r="J294" s="27" t="s">
        <v>410</v>
      </c>
      <c r="K294" s="27">
        <v>1709</v>
      </c>
      <c r="L294" s="179">
        <v>2893</v>
      </c>
      <c r="M294" s="178" t="s">
        <v>287</v>
      </c>
      <c r="N294" s="27" t="s">
        <v>284</v>
      </c>
      <c r="O294" s="182" t="s">
        <v>288</v>
      </c>
    </row>
    <row r="295" spans="2:15">
      <c r="B295" s="174" t="s">
        <v>1563</v>
      </c>
      <c r="C295" s="175" t="s">
        <v>409</v>
      </c>
      <c r="D295" s="176" t="s">
        <v>410</v>
      </c>
      <c r="E295" s="177" t="s">
        <v>1562</v>
      </c>
      <c r="F295" s="175">
        <f t="shared" si="9"/>
        <v>9</v>
      </c>
      <c r="G295" s="175" t="str">
        <f t="shared" si="10"/>
        <v>Augusta</v>
      </c>
      <c r="H295" s="175"/>
      <c r="I295" s="178" t="s">
        <v>1564</v>
      </c>
      <c r="J295" s="27" t="s">
        <v>410</v>
      </c>
      <c r="K295" s="27">
        <v>1948</v>
      </c>
      <c r="L295" s="179">
        <v>2565</v>
      </c>
      <c r="M295" s="178" t="s">
        <v>287</v>
      </c>
      <c r="N295" s="27" t="s">
        <v>284</v>
      </c>
      <c r="O295" s="182" t="s">
        <v>288</v>
      </c>
    </row>
    <row r="296" spans="2:15">
      <c r="B296" s="174" t="s">
        <v>2171</v>
      </c>
      <c r="C296" s="175" t="s">
        <v>409</v>
      </c>
      <c r="D296" s="176" t="s">
        <v>410</v>
      </c>
      <c r="E296" s="177" t="s">
        <v>2172</v>
      </c>
      <c r="F296" s="175">
        <f t="shared" si="9"/>
        <v>7</v>
      </c>
      <c r="G296" s="175" t="str">
        <f t="shared" si="10"/>
        <v>Macon</v>
      </c>
      <c r="H296" s="175"/>
      <c r="I296" s="178" t="s">
        <v>412</v>
      </c>
      <c r="J296" s="27" t="s">
        <v>410</v>
      </c>
      <c r="K296" s="27">
        <v>2284</v>
      </c>
      <c r="L296" s="179">
        <v>2261</v>
      </c>
      <c r="M296" s="178" t="s">
        <v>2173</v>
      </c>
      <c r="N296" s="27" t="s">
        <v>410</v>
      </c>
      <c r="O296" s="182" t="s">
        <v>2174</v>
      </c>
    </row>
    <row r="297" spans="2:15">
      <c r="B297" s="174" t="s">
        <v>2175</v>
      </c>
      <c r="C297" s="175" t="s">
        <v>409</v>
      </c>
      <c r="D297" s="176" t="s">
        <v>410</v>
      </c>
      <c r="E297" s="177" t="s">
        <v>2172</v>
      </c>
      <c r="F297" s="175">
        <f t="shared" si="9"/>
        <v>7</v>
      </c>
      <c r="G297" s="175" t="str">
        <f t="shared" si="10"/>
        <v>Macon</v>
      </c>
      <c r="H297" s="175"/>
      <c r="I297" s="178" t="s">
        <v>412</v>
      </c>
      <c r="J297" s="27" t="s">
        <v>410</v>
      </c>
      <c r="K297" s="27">
        <v>2284</v>
      </c>
      <c r="L297" s="179">
        <v>2261</v>
      </c>
      <c r="M297" s="178" t="s">
        <v>2173</v>
      </c>
      <c r="N297" s="27" t="s">
        <v>410</v>
      </c>
      <c r="O297" s="182" t="s">
        <v>2174</v>
      </c>
    </row>
    <row r="298" spans="2:15">
      <c r="B298" s="174" t="s">
        <v>2176</v>
      </c>
      <c r="C298" s="175" t="s">
        <v>409</v>
      </c>
      <c r="D298" s="176" t="s">
        <v>410</v>
      </c>
      <c r="E298" s="177" t="s">
        <v>2172</v>
      </c>
      <c r="F298" s="175">
        <f t="shared" si="9"/>
        <v>7</v>
      </c>
      <c r="G298" s="175" t="str">
        <f t="shared" si="10"/>
        <v>Macon</v>
      </c>
      <c r="H298" s="175"/>
      <c r="I298" s="178" t="s">
        <v>626</v>
      </c>
      <c r="J298" s="27" t="s">
        <v>410</v>
      </c>
      <c r="K298" s="27">
        <v>2125</v>
      </c>
      <c r="L298" s="179">
        <v>2334</v>
      </c>
      <c r="M298" s="178" t="s">
        <v>2173</v>
      </c>
      <c r="N298" s="27" t="s">
        <v>410</v>
      </c>
      <c r="O298" s="182" t="s">
        <v>2174</v>
      </c>
    </row>
    <row r="299" spans="2:15">
      <c r="B299" s="174" t="s">
        <v>1025</v>
      </c>
      <c r="C299" s="175" t="s">
        <v>409</v>
      </c>
      <c r="D299" s="176" t="s">
        <v>410</v>
      </c>
      <c r="E299" s="177" t="s">
        <v>1026</v>
      </c>
      <c r="F299" s="175">
        <f t="shared" si="9"/>
        <v>10</v>
      </c>
      <c r="G299" s="175" t="str">
        <f t="shared" si="10"/>
        <v>Savannah</v>
      </c>
      <c r="H299" s="175"/>
      <c r="I299" s="178" t="s">
        <v>1607</v>
      </c>
      <c r="J299" s="27" t="s">
        <v>410</v>
      </c>
      <c r="K299" s="27">
        <v>2365</v>
      </c>
      <c r="L299" s="179">
        <v>1847</v>
      </c>
      <c r="M299" s="180" t="s">
        <v>1608</v>
      </c>
      <c r="N299" s="181" t="s">
        <v>410</v>
      </c>
      <c r="O299" s="182" t="s">
        <v>1609</v>
      </c>
    </row>
    <row r="300" spans="2:15">
      <c r="B300" s="174" t="s">
        <v>1027</v>
      </c>
      <c r="C300" s="175" t="s">
        <v>409</v>
      </c>
      <c r="D300" s="176" t="s">
        <v>410</v>
      </c>
      <c r="E300" s="177" t="s">
        <v>1026</v>
      </c>
      <c r="F300" s="175">
        <f t="shared" si="9"/>
        <v>10</v>
      </c>
      <c r="G300" s="175" t="str">
        <f t="shared" si="10"/>
        <v>Savannah</v>
      </c>
      <c r="H300" s="175"/>
      <c r="I300" s="178" t="s">
        <v>1607</v>
      </c>
      <c r="J300" s="27" t="s">
        <v>410</v>
      </c>
      <c r="K300" s="27">
        <v>2365</v>
      </c>
      <c r="L300" s="179">
        <v>1847</v>
      </c>
      <c r="M300" s="180" t="s">
        <v>1608</v>
      </c>
      <c r="N300" s="181" t="s">
        <v>410</v>
      </c>
      <c r="O300" s="182" t="s">
        <v>1609</v>
      </c>
    </row>
    <row r="301" spans="2:15">
      <c r="B301" s="174" t="s">
        <v>1833</v>
      </c>
      <c r="C301" s="175" t="s">
        <v>409</v>
      </c>
      <c r="D301" s="176" t="s">
        <v>410</v>
      </c>
      <c r="E301" s="177" t="s">
        <v>1834</v>
      </c>
      <c r="F301" s="175">
        <f t="shared" si="9"/>
        <v>10</v>
      </c>
      <c r="G301" s="175" t="str">
        <f t="shared" si="10"/>
        <v>Waycross</v>
      </c>
      <c r="H301" s="175"/>
      <c r="I301" s="178" t="s">
        <v>1607</v>
      </c>
      <c r="J301" s="27" t="s">
        <v>410</v>
      </c>
      <c r="K301" s="27">
        <v>2365</v>
      </c>
      <c r="L301" s="179">
        <v>1847</v>
      </c>
      <c r="M301" s="180" t="s">
        <v>1608</v>
      </c>
      <c r="N301" s="181" t="s">
        <v>410</v>
      </c>
      <c r="O301" s="182" t="s">
        <v>1609</v>
      </c>
    </row>
    <row r="302" spans="2:15">
      <c r="B302" s="174" t="s">
        <v>1791</v>
      </c>
      <c r="C302" s="175" t="s">
        <v>409</v>
      </c>
      <c r="D302" s="176" t="s">
        <v>410</v>
      </c>
      <c r="E302" s="177" t="s">
        <v>1792</v>
      </c>
      <c r="F302" s="175">
        <f t="shared" si="9"/>
        <v>10</v>
      </c>
      <c r="G302" s="175" t="str">
        <f t="shared" si="10"/>
        <v>Valdosta</v>
      </c>
      <c r="H302" s="175"/>
      <c r="I302" s="178" t="s">
        <v>850</v>
      </c>
      <c r="J302" s="27" t="s">
        <v>671</v>
      </c>
      <c r="K302" s="27">
        <v>2518</v>
      </c>
      <c r="L302" s="179">
        <v>1705</v>
      </c>
      <c r="M302" s="180" t="s">
        <v>611</v>
      </c>
      <c r="N302" s="181" t="s">
        <v>671</v>
      </c>
      <c r="O302" s="182" t="s">
        <v>612</v>
      </c>
    </row>
    <row r="303" spans="2:15">
      <c r="B303" s="174" t="s">
        <v>408</v>
      </c>
      <c r="C303" s="175" t="s">
        <v>409</v>
      </c>
      <c r="D303" s="176" t="s">
        <v>410</v>
      </c>
      <c r="E303" s="177" t="s">
        <v>411</v>
      </c>
      <c r="F303" s="175">
        <f t="shared" si="9"/>
        <v>8</v>
      </c>
      <c r="G303" s="175" t="str">
        <f t="shared" si="10"/>
        <v>Albany</v>
      </c>
      <c r="H303" s="175"/>
      <c r="I303" s="178" t="s">
        <v>412</v>
      </c>
      <c r="J303" s="27" t="s">
        <v>410</v>
      </c>
      <c r="K303" s="27">
        <v>2284</v>
      </c>
      <c r="L303" s="179">
        <v>2261</v>
      </c>
      <c r="M303" s="180" t="s">
        <v>413</v>
      </c>
      <c r="N303" s="181" t="s">
        <v>410</v>
      </c>
      <c r="O303" s="182" t="s">
        <v>414</v>
      </c>
    </row>
    <row r="304" spans="2:15">
      <c r="B304" s="174" t="s">
        <v>624</v>
      </c>
      <c r="C304" s="175" t="s">
        <v>409</v>
      </c>
      <c r="D304" s="176" t="s">
        <v>410</v>
      </c>
      <c r="E304" s="177" t="s">
        <v>625</v>
      </c>
      <c r="F304" s="175">
        <f t="shared" si="9"/>
        <v>10</v>
      </c>
      <c r="G304" s="175" t="str">
        <f t="shared" si="10"/>
        <v>Columbus</v>
      </c>
      <c r="H304" s="175"/>
      <c r="I304" s="178" t="s">
        <v>626</v>
      </c>
      <c r="J304" s="27" t="s">
        <v>410</v>
      </c>
      <c r="K304" s="27">
        <v>2125</v>
      </c>
      <c r="L304" s="179">
        <v>2334</v>
      </c>
      <c r="M304" s="180" t="s">
        <v>413</v>
      </c>
      <c r="N304" s="181" t="s">
        <v>410</v>
      </c>
      <c r="O304" s="182" t="s">
        <v>414</v>
      </c>
    </row>
    <row r="305" spans="2:15">
      <c r="B305" s="174" t="s">
        <v>627</v>
      </c>
      <c r="C305" s="175" t="s">
        <v>409</v>
      </c>
      <c r="D305" s="176" t="s">
        <v>410</v>
      </c>
      <c r="E305" s="177" t="s">
        <v>625</v>
      </c>
      <c r="F305" s="175">
        <f t="shared" si="9"/>
        <v>10</v>
      </c>
      <c r="G305" s="175" t="str">
        <f t="shared" si="10"/>
        <v>Columbus</v>
      </c>
      <c r="H305" s="175"/>
      <c r="I305" s="178" t="s">
        <v>412</v>
      </c>
      <c r="J305" s="27" t="s">
        <v>410</v>
      </c>
      <c r="K305" s="27">
        <v>2284</v>
      </c>
      <c r="L305" s="179">
        <v>2261</v>
      </c>
      <c r="M305" s="180" t="s">
        <v>413</v>
      </c>
      <c r="N305" s="181" t="s">
        <v>410</v>
      </c>
      <c r="O305" s="182" t="s">
        <v>414</v>
      </c>
    </row>
    <row r="306" spans="2:15">
      <c r="B306" s="174" t="s">
        <v>113</v>
      </c>
      <c r="C306" s="175" t="s">
        <v>670</v>
      </c>
      <c r="D306" s="176" t="s">
        <v>671</v>
      </c>
      <c r="E306" s="177" t="s">
        <v>114</v>
      </c>
      <c r="F306" s="175">
        <f t="shared" si="9"/>
        <v>14</v>
      </c>
      <c r="G306" s="175" t="str">
        <f t="shared" si="10"/>
        <v>Jacksonville</v>
      </c>
      <c r="H306" s="175"/>
      <c r="I306" s="178" t="s">
        <v>115</v>
      </c>
      <c r="J306" s="27" t="s">
        <v>671</v>
      </c>
      <c r="K306" s="27">
        <v>2551</v>
      </c>
      <c r="L306" s="179">
        <v>1434</v>
      </c>
      <c r="M306" s="178" t="s">
        <v>1996</v>
      </c>
      <c r="N306" s="27" t="s">
        <v>671</v>
      </c>
      <c r="O306" s="182" t="s">
        <v>1997</v>
      </c>
    </row>
    <row r="307" spans="2:15">
      <c r="B307" s="174" t="s">
        <v>116</v>
      </c>
      <c r="C307" s="175" t="s">
        <v>670</v>
      </c>
      <c r="D307" s="176" t="s">
        <v>671</v>
      </c>
      <c r="E307" s="177" t="s">
        <v>114</v>
      </c>
      <c r="F307" s="175">
        <f t="shared" si="9"/>
        <v>14</v>
      </c>
      <c r="G307" s="175" t="str">
        <f t="shared" si="10"/>
        <v>Jacksonville</v>
      </c>
      <c r="H307" s="175"/>
      <c r="I307" s="178" t="s">
        <v>115</v>
      </c>
      <c r="J307" s="27" t="s">
        <v>671</v>
      </c>
      <c r="K307" s="27">
        <v>2551</v>
      </c>
      <c r="L307" s="179">
        <v>1434</v>
      </c>
      <c r="M307" s="178" t="s">
        <v>1996</v>
      </c>
      <c r="N307" s="27" t="s">
        <v>671</v>
      </c>
      <c r="O307" s="182" t="s">
        <v>1997</v>
      </c>
    </row>
    <row r="308" spans="2:15">
      <c r="B308" s="174" t="s">
        <v>117</v>
      </c>
      <c r="C308" s="175" t="s">
        <v>670</v>
      </c>
      <c r="D308" s="176" t="s">
        <v>671</v>
      </c>
      <c r="E308" s="177" t="s">
        <v>114</v>
      </c>
      <c r="F308" s="175">
        <f t="shared" si="9"/>
        <v>14</v>
      </c>
      <c r="G308" s="175" t="str">
        <f t="shared" si="10"/>
        <v>Jacksonville</v>
      </c>
      <c r="H308" s="175"/>
      <c r="I308" s="178" t="s">
        <v>115</v>
      </c>
      <c r="J308" s="27" t="s">
        <v>671</v>
      </c>
      <c r="K308" s="27">
        <v>2551</v>
      </c>
      <c r="L308" s="179">
        <v>1434</v>
      </c>
      <c r="M308" s="178" t="s">
        <v>1996</v>
      </c>
      <c r="N308" s="27" t="s">
        <v>671</v>
      </c>
      <c r="O308" s="182" t="s">
        <v>1997</v>
      </c>
    </row>
    <row r="309" spans="2:15">
      <c r="B309" s="174" t="s">
        <v>848</v>
      </c>
      <c r="C309" s="175" t="s">
        <v>670</v>
      </c>
      <c r="D309" s="176" t="s">
        <v>671</v>
      </c>
      <c r="E309" s="177" t="s">
        <v>849</v>
      </c>
      <c r="F309" s="175">
        <f t="shared" si="9"/>
        <v>13</v>
      </c>
      <c r="G309" s="175" t="str">
        <f t="shared" si="10"/>
        <v>Tallahassee</v>
      </c>
      <c r="H309" s="175"/>
      <c r="I309" s="178" t="s">
        <v>850</v>
      </c>
      <c r="J309" s="27" t="s">
        <v>671</v>
      </c>
      <c r="K309" s="27">
        <v>2518</v>
      </c>
      <c r="L309" s="179">
        <v>1705</v>
      </c>
      <c r="M309" s="180" t="s">
        <v>611</v>
      </c>
      <c r="N309" s="181" t="s">
        <v>671</v>
      </c>
      <c r="O309" s="182" t="s">
        <v>612</v>
      </c>
    </row>
    <row r="310" spans="2:15">
      <c r="B310" s="174" t="s">
        <v>608</v>
      </c>
      <c r="C310" s="175" t="s">
        <v>670</v>
      </c>
      <c r="D310" s="176" t="s">
        <v>671</v>
      </c>
      <c r="E310" s="177" t="s">
        <v>609</v>
      </c>
      <c r="F310" s="175">
        <f t="shared" si="9"/>
        <v>13</v>
      </c>
      <c r="G310" s="175" t="str">
        <f t="shared" si="10"/>
        <v>Panama City</v>
      </c>
      <c r="H310" s="175"/>
      <c r="I310" s="178" t="s">
        <v>610</v>
      </c>
      <c r="J310" s="27" t="s">
        <v>671</v>
      </c>
      <c r="K310" s="27">
        <v>2582</v>
      </c>
      <c r="L310" s="179">
        <v>1429</v>
      </c>
      <c r="M310" s="180" t="s">
        <v>611</v>
      </c>
      <c r="N310" s="181" t="s">
        <v>671</v>
      </c>
      <c r="O310" s="182" t="s">
        <v>612</v>
      </c>
    </row>
    <row r="311" spans="2:15">
      <c r="B311" s="174" t="s">
        <v>2412</v>
      </c>
      <c r="C311" s="175" t="s">
        <v>670</v>
      </c>
      <c r="D311" s="176" t="s">
        <v>671</v>
      </c>
      <c r="E311" s="177" t="s">
        <v>2413</v>
      </c>
      <c r="F311" s="175">
        <f t="shared" si="9"/>
        <v>11</v>
      </c>
      <c r="G311" s="175" t="str">
        <f t="shared" si="10"/>
        <v>Pensacola</v>
      </c>
      <c r="H311" s="175"/>
      <c r="I311" s="178" t="s">
        <v>2414</v>
      </c>
      <c r="J311" s="27" t="s">
        <v>671</v>
      </c>
      <c r="K311" s="27">
        <v>2636</v>
      </c>
      <c r="L311" s="179">
        <v>1617</v>
      </c>
      <c r="M311" s="180" t="s">
        <v>762</v>
      </c>
      <c r="N311" s="181" t="s">
        <v>503</v>
      </c>
      <c r="O311" s="182" t="s">
        <v>763</v>
      </c>
    </row>
    <row r="312" spans="2:15">
      <c r="B312" s="174" t="s">
        <v>1993</v>
      </c>
      <c r="C312" s="175" t="s">
        <v>670</v>
      </c>
      <c r="D312" s="176" t="s">
        <v>671</v>
      </c>
      <c r="E312" s="177" t="s">
        <v>1994</v>
      </c>
      <c r="F312" s="175">
        <f t="shared" si="9"/>
        <v>13</v>
      </c>
      <c r="G312" s="175" t="str">
        <f t="shared" si="10"/>
        <v>Gainesville</v>
      </c>
      <c r="H312" s="175"/>
      <c r="I312" s="178" t="s">
        <v>1995</v>
      </c>
      <c r="J312" s="27" t="s">
        <v>671</v>
      </c>
      <c r="K312" s="27">
        <v>2609</v>
      </c>
      <c r="L312" s="179">
        <v>1267</v>
      </c>
      <c r="M312" s="178" t="s">
        <v>1996</v>
      </c>
      <c r="N312" s="27" t="s">
        <v>671</v>
      </c>
      <c r="O312" s="182" t="s">
        <v>1997</v>
      </c>
    </row>
    <row r="313" spans="2:15">
      <c r="B313" s="174" t="s">
        <v>866</v>
      </c>
      <c r="C313" s="175" t="s">
        <v>670</v>
      </c>
      <c r="D313" s="176" t="s">
        <v>671</v>
      </c>
      <c r="E313" s="177" t="s">
        <v>867</v>
      </c>
      <c r="F313" s="175">
        <f t="shared" si="9"/>
        <v>12</v>
      </c>
      <c r="G313" s="175" t="str">
        <f t="shared" si="10"/>
        <v>Titusville</v>
      </c>
      <c r="H313" s="175"/>
      <c r="I313" s="178" t="s">
        <v>1194</v>
      </c>
      <c r="J313" s="27" t="s">
        <v>671</v>
      </c>
      <c r="K313" s="27">
        <v>2919</v>
      </c>
      <c r="L313" s="179">
        <v>909</v>
      </c>
      <c r="M313" s="178" t="s">
        <v>1195</v>
      </c>
      <c r="N313" s="27" t="s">
        <v>671</v>
      </c>
      <c r="O313" s="182" t="s">
        <v>1196</v>
      </c>
    </row>
    <row r="314" spans="2:15">
      <c r="B314" s="174" t="s">
        <v>1464</v>
      </c>
      <c r="C314" s="175" t="s">
        <v>670</v>
      </c>
      <c r="D314" s="176" t="s">
        <v>671</v>
      </c>
      <c r="E314" s="177" t="s">
        <v>1465</v>
      </c>
      <c r="F314" s="175">
        <f t="shared" si="9"/>
        <v>9</v>
      </c>
      <c r="G314" s="175" t="str">
        <f t="shared" si="10"/>
        <v>Orlando</v>
      </c>
      <c r="H314" s="175"/>
      <c r="I314" s="178" t="s">
        <v>1466</v>
      </c>
      <c r="J314" s="27" t="s">
        <v>671</v>
      </c>
      <c r="K314" s="27">
        <v>3381</v>
      </c>
      <c r="L314" s="179">
        <v>686</v>
      </c>
      <c r="M314" s="178" t="s">
        <v>1139</v>
      </c>
      <c r="N314" s="27" t="s">
        <v>671</v>
      </c>
      <c r="O314" s="182" t="s">
        <v>1140</v>
      </c>
    </row>
    <row r="315" spans="2:15">
      <c r="B315" s="174" t="s">
        <v>1136</v>
      </c>
      <c r="C315" s="175" t="s">
        <v>670</v>
      </c>
      <c r="D315" s="176" t="s">
        <v>671</v>
      </c>
      <c r="E315" s="177" t="s">
        <v>1137</v>
      </c>
      <c r="F315" s="175">
        <f t="shared" si="9"/>
        <v>11</v>
      </c>
      <c r="G315" s="175" t="str">
        <f t="shared" si="10"/>
        <v>Melbourne</v>
      </c>
      <c r="H315" s="175"/>
      <c r="I315" s="178" t="s">
        <v>1138</v>
      </c>
      <c r="J315" s="27" t="s">
        <v>671</v>
      </c>
      <c r="K315" s="27">
        <v>3278</v>
      </c>
      <c r="L315" s="179">
        <v>548</v>
      </c>
      <c r="M315" s="178" t="s">
        <v>1139</v>
      </c>
      <c r="N315" s="27" t="s">
        <v>671</v>
      </c>
      <c r="O315" s="182" t="s">
        <v>1140</v>
      </c>
    </row>
    <row r="316" spans="2:15">
      <c r="B316" s="174" t="s">
        <v>157</v>
      </c>
      <c r="C316" s="175" t="s">
        <v>670</v>
      </c>
      <c r="D316" s="176" t="s">
        <v>671</v>
      </c>
      <c r="E316" s="177" t="s">
        <v>158</v>
      </c>
      <c r="F316" s="175">
        <f t="shared" si="9"/>
        <v>7</v>
      </c>
      <c r="G316" s="175" t="str">
        <f t="shared" si="10"/>
        <v>Miami</v>
      </c>
      <c r="H316" s="175"/>
      <c r="I316" s="178" t="s">
        <v>159</v>
      </c>
      <c r="J316" s="27" t="s">
        <v>671</v>
      </c>
      <c r="K316" s="27">
        <v>4798</v>
      </c>
      <c r="L316" s="179">
        <v>100</v>
      </c>
      <c r="M316" s="180" t="s">
        <v>1953</v>
      </c>
      <c r="N316" s="181" t="s">
        <v>671</v>
      </c>
      <c r="O316" s="182" t="s">
        <v>1954</v>
      </c>
    </row>
    <row r="317" spans="2:15">
      <c r="B317" s="174" t="s">
        <v>160</v>
      </c>
      <c r="C317" s="175" t="s">
        <v>670</v>
      </c>
      <c r="D317" s="176" t="s">
        <v>671</v>
      </c>
      <c r="E317" s="177" t="s">
        <v>158</v>
      </c>
      <c r="F317" s="175">
        <f t="shared" si="9"/>
        <v>7</v>
      </c>
      <c r="G317" s="175" t="str">
        <f t="shared" si="10"/>
        <v>Miami</v>
      </c>
      <c r="H317" s="175"/>
      <c r="I317" s="178" t="s">
        <v>1952</v>
      </c>
      <c r="J317" s="27" t="s">
        <v>671</v>
      </c>
      <c r="K317" s="27">
        <v>4198</v>
      </c>
      <c r="L317" s="179">
        <v>200</v>
      </c>
      <c r="M317" s="180" t="s">
        <v>1953</v>
      </c>
      <c r="N317" s="181" t="s">
        <v>671</v>
      </c>
      <c r="O317" s="182" t="s">
        <v>1954</v>
      </c>
    </row>
    <row r="318" spans="2:15">
      <c r="B318" s="174" t="s">
        <v>161</v>
      </c>
      <c r="C318" s="175" t="s">
        <v>670</v>
      </c>
      <c r="D318" s="176" t="s">
        <v>671</v>
      </c>
      <c r="E318" s="177" t="s">
        <v>158</v>
      </c>
      <c r="F318" s="175">
        <f t="shared" si="9"/>
        <v>7</v>
      </c>
      <c r="G318" s="175" t="str">
        <f t="shared" si="10"/>
        <v>Miami</v>
      </c>
      <c r="H318" s="175"/>
      <c r="I318" s="178" t="s">
        <v>1952</v>
      </c>
      <c r="J318" s="27" t="s">
        <v>671</v>
      </c>
      <c r="K318" s="27">
        <v>4198</v>
      </c>
      <c r="L318" s="179">
        <v>200</v>
      </c>
      <c r="M318" s="180" t="s">
        <v>1953</v>
      </c>
      <c r="N318" s="181" t="s">
        <v>671</v>
      </c>
      <c r="O318" s="182" t="s">
        <v>1954</v>
      </c>
    </row>
    <row r="319" spans="2:15">
      <c r="B319" s="174" t="s">
        <v>1950</v>
      </c>
      <c r="C319" s="175" t="s">
        <v>670</v>
      </c>
      <c r="D319" s="176" t="s">
        <v>671</v>
      </c>
      <c r="E319" s="177" t="s">
        <v>1951</v>
      </c>
      <c r="F319" s="175">
        <f t="shared" si="9"/>
        <v>17</v>
      </c>
      <c r="G319" s="175" t="str">
        <f t="shared" si="10"/>
        <v>Fort Lauderdale</v>
      </c>
      <c r="H319" s="175"/>
      <c r="I319" s="178" t="s">
        <v>1952</v>
      </c>
      <c r="J319" s="27" t="s">
        <v>671</v>
      </c>
      <c r="K319" s="27">
        <v>4198</v>
      </c>
      <c r="L319" s="179">
        <v>200</v>
      </c>
      <c r="M319" s="180" t="s">
        <v>1953</v>
      </c>
      <c r="N319" s="181" t="s">
        <v>671</v>
      </c>
      <c r="O319" s="182" t="s">
        <v>1954</v>
      </c>
    </row>
    <row r="320" spans="2:15">
      <c r="B320" s="174" t="s">
        <v>1844</v>
      </c>
      <c r="C320" s="175" t="s">
        <v>670</v>
      </c>
      <c r="D320" s="176" t="s">
        <v>671</v>
      </c>
      <c r="E320" s="177" t="s">
        <v>1845</v>
      </c>
      <c r="F320" s="175">
        <f t="shared" si="9"/>
        <v>17</v>
      </c>
      <c r="G320" s="175" t="str">
        <f t="shared" si="10"/>
        <v>West Palm Beach</v>
      </c>
      <c r="H320" s="175"/>
      <c r="I320" s="178" t="s">
        <v>1846</v>
      </c>
      <c r="J320" s="27" t="s">
        <v>671</v>
      </c>
      <c r="K320" s="27">
        <v>3891</v>
      </c>
      <c r="L320" s="179">
        <v>323</v>
      </c>
      <c r="M320" s="180" t="s">
        <v>1847</v>
      </c>
      <c r="N320" s="181" t="s">
        <v>671</v>
      </c>
      <c r="O320" s="182" t="s">
        <v>1848</v>
      </c>
    </row>
    <row r="321" spans="2:15">
      <c r="B321" s="174" t="s">
        <v>851</v>
      </c>
      <c r="C321" s="175" t="s">
        <v>670</v>
      </c>
      <c r="D321" s="176" t="s">
        <v>671</v>
      </c>
      <c r="E321" s="177" t="s">
        <v>852</v>
      </c>
      <c r="F321" s="175">
        <f t="shared" si="9"/>
        <v>7</v>
      </c>
      <c r="G321" s="175" t="str">
        <f t="shared" si="10"/>
        <v>Tampa</v>
      </c>
      <c r="H321" s="175"/>
      <c r="I321" s="178" t="s">
        <v>673</v>
      </c>
      <c r="J321" s="27" t="s">
        <v>671</v>
      </c>
      <c r="K321" s="27">
        <v>3427</v>
      </c>
      <c r="L321" s="179">
        <v>725</v>
      </c>
      <c r="M321" s="178" t="s">
        <v>674</v>
      </c>
      <c r="N321" s="27" t="s">
        <v>671</v>
      </c>
      <c r="O321" s="182" t="s">
        <v>675</v>
      </c>
    </row>
    <row r="322" spans="2:15">
      <c r="B322" s="174" t="s">
        <v>853</v>
      </c>
      <c r="C322" s="175" t="s">
        <v>670</v>
      </c>
      <c r="D322" s="176" t="s">
        <v>671</v>
      </c>
      <c r="E322" s="177" t="s">
        <v>852</v>
      </c>
      <c r="F322" s="175">
        <f t="shared" si="9"/>
        <v>7</v>
      </c>
      <c r="G322" s="175" t="str">
        <f t="shared" si="10"/>
        <v>Tampa</v>
      </c>
      <c r="H322" s="175"/>
      <c r="I322" s="178" t="s">
        <v>673</v>
      </c>
      <c r="J322" s="27" t="s">
        <v>671</v>
      </c>
      <c r="K322" s="27">
        <v>3427</v>
      </c>
      <c r="L322" s="179">
        <v>725</v>
      </c>
      <c r="M322" s="178" t="s">
        <v>674</v>
      </c>
      <c r="N322" s="27" t="s">
        <v>671</v>
      </c>
      <c r="O322" s="182" t="s">
        <v>675</v>
      </c>
    </row>
    <row r="323" spans="2:15">
      <c r="B323" s="174" t="s">
        <v>1252</v>
      </c>
      <c r="C323" s="175" t="s">
        <v>670</v>
      </c>
      <c r="D323" s="176" t="s">
        <v>671</v>
      </c>
      <c r="E323" s="177" t="s">
        <v>1253</v>
      </c>
      <c r="F323" s="175">
        <f t="shared" si="9"/>
        <v>16</v>
      </c>
      <c r="G323" s="175" t="str">
        <f t="shared" si="10"/>
        <v>St. Petersburg</v>
      </c>
      <c r="H323" s="175"/>
      <c r="I323" s="178" t="s">
        <v>673</v>
      </c>
      <c r="J323" s="27" t="s">
        <v>671</v>
      </c>
      <c r="K323" s="27">
        <v>3427</v>
      </c>
      <c r="L323" s="179">
        <v>725</v>
      </c>
      <c r="M323" s="178" t="s">
        <v>674</v>
      </c>
      <c r="N323" s="27" t="s">
        <v>671</v>
      </c>
      <c r="O323" s="182" t="s">
        <v>675</v>
      </c>
    </row>
    <row r="324" spans="2:15">
      <c r="B324" s="174" t="s">
        <v>957</v>
      </c>
      <c r="C324" s="175" t="s">
        <v>670</v>
      </c>
      <c r="D324" s="176" t="s">
        <v>671</v>
      </c>
      <c r="E324" s="177" t="s">
        <v>958</v>
      </c>
      <c r="F324" s="175">
        <f t="shared" si="9"/>
        <v>10</v>
      </c>
      <c r="G324" s="175" t="str">
        <f t="shared" si="10"/>
        <v>Lakeland</v>
      </c>
      <c r="H324" s="175"/>
      <c r="I324" s="178" t="s">
        <v>673</v>
      </c>
      <c r="J324" s="27" t="s">
        <v>671</v>
      </c>
      <c r="K324" s="27">
        <v>3427</v>
      </c>
      <c r="L324" s="179">
        <v>725</v>
      </c>
      <c r="M324" s="178" t="s">
        <v>674</v>
      </c>
      <c r="N324" s="27" t="s">
        <v>671</v>
      </c>
      <c r="O324" s="182" t="s">
        <v>675</v>
      </c>
    </row>
    <row r="325" spans="2:15">
      <c r="B325" s="174" t="s">
        <v>1957</v>
      </c>
      <c r="C325" s="175" t="s">
        <v>670</v>
      </c>
      <c r="D325" s="176" t="s">
        <v>671</v>
      </c>
      <c r="E325" s="177" t="s">
        <v>1958</v>
      </c>
      <c r="F325" s="175">
        <f t="shared" si="9"/>
        <v>12</v>
      </c>
      <c r="G325" s="175" t="str">
        <f t="shared" si="10"/>
        <v>Fort Myers</v>
      </c>
      <c r="H325" s="175"/>
      <c r="I325" s="178" t="s">
        <v>1959</v>
      </c>
      <c r="J325" s="27" t="s">
        <v>671</v>
      </c>
      <c r="K325" s="27">
        <v>3855</v>
      </c>
      <c r="L325" s="179">
        <v>418</v>
      </c>
      <c r="M325" s="178" t="s">
        <v>674</v>
      </c>
      <c r="N325" s="27" t="s">
        <v>671</v>
      </c>
      <c r="O325" s="182" t="s">
        <v>675</v>
      </c>
    </row>
    <row r="326" spans="2:15">
      <c r="B326" s="174" t="s">
        <v>669</v>
      </c>
      <c r="C326" s="175" t="s">
        <v>670</v>
      </c>
      <c r="D326" s="176" t="s">
        <v>671</v>
      </c>
      <c r="E326" s="177" t="s">
        <v>672</v>
      </c>
      <c r="F326" s="175">
        <f t="shared" si="9"/>
        <v>11</v>
      </c>
      <c r="G326" s="175" t="str">
        <f t="shared" si="10"/>
        <v>Bradenton</v>
      </c>
      <c r="H326" s="175"/>
      <c r="I326" s="178" t="s">
        <v>673</v>
      </c>
      <c r="J326" s="27" t="s">
        <v>671</v>
      </c>
      <c r="K326" s="27">
        <v>3427</v>
      </c>
      <c r="L326" s="179">
        <v>725</v>
      </c>
      <c r="M326" s="178" t="s">
        <v>674</v>
      </c>
      <c r="N326" s="27" t="s">
        <v>671</v>
      </c>
      <c r="O326" s="182" t="s">
        <v>675</v>
      </c>
    </row>
    <row r="327" spans="2:15">
      <c r="B327" s="174" t="s">
        <v>1192</v>
      </c>
      <c r="C327" s="175" t="s">
        <v>670</v>
      </c>
      <c r="D327" s="176" t="s">
        <v>671</v>
      </c>
      <c r="E327" s="177" t="s">
        <v>1193</v>
      </c>
      <c r="F327" s="175">
        <f t="shared" si="9"/>
        <v>7</v>
      </c>
      <c r="G327" s="175" t="str">
        <f t="shared" si="10"/>
        <v>Ocala</v>
      </c>
      <c r="H327" s="175"/>
      <c r="I327" s="178" t="s">
        <v>1194</v>
      </c>
      <c r="J327" s="27" t="s">
        <v>671</v>
      </c>
      <c r="K327" s="27">
        <v>2919</v>
      </c>
      <c r="L327" s="179">
        <v>909</v>
      </c>
      <c r="M327" s="178" t="s">
        <v>1195</v>
      </c>
      <c r="N327" s="27" t="s">
        <v>671</v>
      </c>
      <c r="O327" s="182" t="s">
        <v>1196</v>
      </c>
    </row>
    <row r="328" spans="2:15">
      <c r="B328" s="174" t="s">
        <v>596</v>
      </c>
      <c r="C328" s="175" t="s">
        <v>670</v>
      </c>
      <c r="D328" s="176" t="s">
        <v>671</v>
      </c>
      <c r="E328" s="177" t="s">
        <v>597</v>
      </c>
      <c r="F328" s="175">
        <f t="shared" si="9"/>
        <v>12</v>
      </c>
      <c r="G328" s="175" t="str">
        <f t="shared" si="10"/>
        <v>Clearwater</v>
      </c>
      <c r="H328" s="175"/>
      <c r="I328" s="178" t="s">
        <v>673</v>
      </c>
      <c r="J328" s="27" t="s">
        <v>671</v>
      </c>
      <c r="K328" s="27">
        <v>3427</v>
      </c>
      <c r="L328" s="179">
        <v>725</v>
      </c>
      <c r="M328" s="178" t="s">
        <v>674</v>
      </c>
      <c r="N328" s="27" t="s">
        <v>671</v>
      </c>
      <c r="O328" s="182" t="s">
        <v>675</v>
      </c>
    </row>
    <row r="329" spans="2:15">
      <c r="B329" s="174" t="s">
        <v>1467</v>
      </c>
      <c r="C329" s="175" t="s">
        <v>670</v>
      </c>
      <c r="D329" s="176" t="s">
        <v>671</v>
      </c>
      <c r="E329" s="177" t="s">
        <v>1465</v>
      </c>
      <c r="F329" s="175">
        <f t="shared" si="9"/>
        <v>9</v>
      </c>
      <c r="G329" s="175" t="str">
        <f t="shared" si="10"/>
        <v>Orlando</v>
      </c>
      <c r="H329" s="175"/>
      <c r="I329" s="178" t="s">
        <v>1466</v>
      </c>
      <c r="J329" s="27" t="s">
        <v>671</v>
      </c>
      <c r="K329" s="27">
        <v>3381</v>
      </c>
      <c r="L329" s="179">
        <v>686</v>
      </c>
      <c r="M329" s="178" t="s">
        <v>1139</v>
      </c>
      <c r="N329" s="27" t="s">
        <v>671</v>
      </c>
      <c r="O329" s="182" t="s">
        <v>1140</v>
      </c>
    </row>
    <row r="330" spans="2:15">
      <c r="B330" s="174" t="s">
        <v>1960</v>
      </c>
      <c r="C330" s="175" t="s">
        <v>670</v>
      </c>
      <c r="D330" s="176" t="s">
        <v>671</v>
      </c>
      <c r="E330" s="177" t="s">
        <v>1961</v>
      </c>
      <c r="F330" s="175">
        <f t="shared" ref="F330:F393" si="11">LEN(E330)</f>
        <v>13</v>
      </c>
      <c r="G330" s="175" t="str">
        <f t="shared" ref="G330:G393" si="12">MID(E330,2,F330-2)</f>
        <v>Fort Pierce</v>
      </c>
      <c r="H330" s="175"/>
      <c r="I330" s="178" t="s">
        <v>673</v>
      </c>
      <c r="J330" s="27" t="s">
        <v>671</v>
      </c>
      <c r="K330" s="27">
        <v>3427</v>
      </c>
      <c r="L330" s="179">
        <v>725</v>
      </c>
      <c r="M330" s="178" t="s">
        <v>674</v>
      </c>
      <c r="N330" s="27" t="s">
        <v>671</v>
      </c>
      <c r="O330" s="182" t="s">
        <v>675</v>
      </c>
    </row>
    <row r="331" spans="2:15">
      <c r="B331" s="174" t="s">
        <v>1440</v>
      </c>
      <c r="C331" s="175" t="s">
        <v>502</v>
      </c>
      <c r="D331" s="176" t="s">
        <v>503</v>
      </c>
      <c r="E331" s="177" t="s">
        <v>1441</v>
      </c>
      <c r="F331" s="175">
        <f t="shared" si="11"/>
        <v>12</v>
      </c>
      <c r="G331" s="175" t="str">
        <f t="shared" si="12"/>
        <v>Birmingham</v>
      </c>
      <c r="H331" s="175"/>
      <c r="I331" s="178" t="s">
        <v>505</v>
      </c>
      <c r="J331" s="27" t="s">
        <v>503</v>
      </c>
      <c r="K331" s="27">
        <v>1797</v>
      </c>
      <c r="L331" s="179">
        <v>2918</v>
      </c>
      <c r="M331" s="180" t="s">
        <v>506</v>
      </c>
      <c r="N331" s="181" t="s">
        <v>503</v>
      </c>
      <c r="O331" s="182" t="s">
        <v>507</v>
      </c>
    </row>
    <row r="332" spans="2:15">
      <c r="B332" s="174" t="s">
        <v>1442</v>
      </c>
      <c r="C332" s="175" t="s">
        <v>502</v>
      </c>
      <c r="D332" s="176" t="s">
        <v>503</v>
      </c>
      <c r="E332" s="177" t="s">
        <v>1441</v>
      </c>
      <c r="F332" s="175">
        <f t="shared" si="11"/>
        <v>12</v>
      </c>
      <c r="G332" s="175" t="str">
        <f t="shared" si="12"/>
        <v>Birmingham</v>
      </c>
      <c r="H332" s="175"/>
      <c r="I332" s="178" t="s">
        <v>505</v>
      </c>
      <c r="J332" s="27" t="s">
        <v>503</v>
      </c>
      <c r="K332" s="27">
        <v>1797</v>
      </c>
      <c r="L332" s="179">
        <v>2918</v>
      </c>
      <c r="M332" s="180" t="s">
        <v>506</v>
      </c>
      <c r="N332" s="181" t="s">
        <v>503</v>
      </c>
      <c r="O332" s="182" t="s">
        <v>507</v>
      </c>
    </row>
    <row r="333" spans="2:15">
      <c r="B333" s="174" t="s">
        <v>1443</v>
      </c>
      <c r="C333" s="175" t="s">
        <v>502</v>
      </c>
      <c r="D333" s="176" t="s">
        <v>503</v>
      </c>
      <c r="E333" s="177" t="s">
        <v>1441</v>
      </c>
      <c r="F333" s="175">
        <f t="shared" si="11"/>
        <v>12</v>
      </c>
      <c r="G333" s="175" t="str">
        <f t="shared" si="12"/>
        <v>Birmingham</v>
      </c>
      <c r="H333" s="175"/>
      <c r="I333" s="178" t="s">
        <v>505</v>
      </c>
      <c r="J333" s="27" t="s">
        <v>503</v>
      </c>
      <c r="K333" s="27">
        <v>1797</v>
      </c>
      <c r="L333" s="179">
        <v>2918</v>
      </c>
      <c r="M333" s="180" t="s">
        <v>506</v>
      </c>
      <c r="N333" s="181" t="s">
        <v>503</v>
      </c>
      <c r="O333" s="182" t="s">
        <v>507</v>
      </c>
    </row>
    <row r="334" spans="2:15">
      <c r="B334" s="174" t="s">
        <v>1776</v>
      </c>
      <c r="C334" s="175" t="s">
        <v>502</v>
      </c>
      <c r="D334" s="176" t="s">
        <v>503</v>
      </c>
      <c r="E334" s="177" t="s">
        <v>1777</v>
      </c>
      <c r="F334" s="175">
        <f t="shared" si="11"/>
        <v>12</v>
      </c>
      <c r="G334" s="175" t="str">
        <f t="shared" si="12"/>
        <v>Tuscaloosa</v>
      </c>
      <c r="H334" s="175"/>
      <c r="I334" s="178" t="s">
        <v>1345</v>
      </c>
      <c r="J334" s="27" t="s">
        <v>1346</v>
      </c>
      <c r="K334" s="27">
        <v>2138</v>
      </c>
      <c r="L334" s="179">
        <v>2444</v>
      </c>
      <c r="M334" s="180" t="s">
        <v>506</v>
      </c>
      <c r="N334" s="181" t="s">
        <v>503</v>
      </c>
      <c r="O334" s="182" t="s">
        <v>507</v>
      </c>
    </row>
    <row r="335" spans="2:15">
      <c r="B335" s="174" t="s">
        <v>123</v>
      </c>
      <c r="C335" s="175" t="s">
        <v>502</v>
      </c>
      <c r="D335" s="176" t="s">
        <v>503</v>
      </c>
      <c r="E335" s="177" t="s">
        <v>124</v>
      </c>
      <c r="F335" s="175">
        <f t="shared" si="11"/>
        <v>8</v>
      </c>
      <c r="G335" s="175" t="str">
        <f t="shared" si="12"/>
        <v>Jasper</v>
      </c>
      <c r="H335" s="175"/>
      <c r="I335" s="178" t="s">
        <v>2356</v>
      </c>
      <c r="J335" s="27" t="s">
        <v>503</v>
      </c>
      <c r="K335" s="27">
        <v>1651</v>
      </c>
      <c r="L335" s="179">
        <v>3323</v>
      </c>
      <c r="M335" s="180" t="s">
        <v>1697</v>
      </c>
      <c r="N335" s="181" t="s">
        <v>503</v>
      </c>
      <c r="O335" s="182" t="s">
        <v>1698</v>
      </c>
    </row>
    <row r="336" spans="2:15">
      <c r="B336" s="174" t="s">
        <v>1695</v>
      </c>
      <c r="C336" s="175" t="s">
        <v>502</v>
      </c>
      <c r="D336" s="176" t="s">
        <v>503</v>
      </c>
      <c r="E336" s="177" t="s">
        <v>1696</v>
      </c>
      <c r="F336" s="175">
        <f t="shared" si="11"/>
        <v>18</v>
      </c>
      <c r="G336" s="175" t="str">
        <f t="shared" si="12"/>
        <v>Decatur/Florence</v>
      </c>
      <c r="H336" s="175"/>
      <c r="I336" s="178" t="s">
        <v>2356</v>
      </c>
      <c r="J336" s="27" t="s">
        <v>503</v>
      </c>
      <c r="K336" s="27">
        <v>1651</v>
      </c>
      <c r="L336" s="179">
        <v>3323</v>
      </c>
      <c r="M336" s="180" t="s">
        <v>1697</v>
      </c>
      <c r="N336" s="181" t="s">
        <v>503</v>
      </c>
      <c r="O336" s="182" t="s">
        <v>1698</v>
      </c>
    </row>
    <row r="337" spans="2:15">
      <c r="B337" s="174" t="s">
        <v>815</v>
      </c>
      <c r="C337" s="175" t="s">
        <v>502</v>
      </c>
      <c r="D337" s="176" t="s">
        <v>503</v>
      </c>
      <c r="E337" s="177" t="s">
        <v>816</v>
      </c>
      <c r="F337" s="175">
        <f t="shared" si="11"/>
        <v>12</v>
      </c>
      <c r="G337" s="175" t="str">
        <f t="shared" si="12"/>
        <v>Huntsville</v>
      </c>
      <c r="H337" s="175"/>
      <c r="I337" s="178" t="s">
        <v>2360</v>
      </c>
      <c r="J337" s="27" t="s">
        <v>485</v>
      </c>
      <c r="K337" s="27">
        <v>1544</v>
      </c>
      <c r="L337" s="179">
        <v>3587</v>
      </c>
      <c r="M337" s="180" t="s">
        <v>2357</v>
      </c>
      <c r="N337" s="181" t="s">
        <v>485</v>
      </c>
      <c r="O337" s="182" t="s">
        <v>2358</v>
      </c>
    </row>
    <row r="338" spans="2:15">
      <c r="B338" s="174" t="s">
        <v>817</v>
      </c>
      <c r="C338" s="175" t="s">
        <v>502</v>
      </c>
      <c r="D338" s="176" t="s">
        <v>503</v>
      </c>
      <c r="E338" s="177" t="s">
        <v>816</v>
      </c>
      <c r="F338" s="175">
        <f t="shared" si="11"/>
        <v>12</v>
      </c>
      <c r="G338" s="175" t="str">
        <f t="shared" si="12"/>
        <v>Huntsville</v>
      </c>
      <c r="H338" s="175"/>
      <c r="I338" s="178" t="s">
        <v>2356</v>
      </c>
      <c r="J338" s="27" t="s">
        <v>503</v>
      </c>
      <c r="K338" s="27">
        <v>1651</v>
      </c>
      <c r="L338" s="179">
        <v>3323</v>
      </c>
      <c r="M338" s="180" t="s">
        <v>1697</v>
      </c>
      <c r="N338" s="181" t="s">
        <v>503</v>
      </c>
      <c r="O338" s="182" t="s">
        <v>1698</v>
      </c>
    </row>
    <row r="339" spans="2:15">
      <c r="B339" s="174" t="s">
        <v>1991</v>
      </c>
      <c r="C339" s="175" t="s">
        <v>502</v>
      </c>
      <c r="D339" s="176" t="s">
        <v>503</v>
      </c>
      <c r="E339" s="177" t="s">
        <v>1992</v>
      </c>
      <c r="F339" s="175">
        <f t="shared" si="11"/>
        <v>9</v>
      </c>
      <c r="G339" s="175" t="str">
        <f t="shared" si="12"/>
        <v>Gadsden</v>
      </c>
      <c r="H339" s="175"/>
      <c r="I339" s="178" t="s">
        <v>1543</v>
      </c>
      <c r="J339" s="27" t="s">
        <v>410</v>
      </c>
      <c r="K339" s="27">
        <v>1667</v>
      </c>
      <c r="L339" s="179">
        <v>2991</v>
      </c>
      <c r="M339" s="178" t="s">
        <v>1536</v>
      </c>
      <c r="N339" s="27" t="s">
        <v>410</v>
      </c>
      <c r="O339" s="182" t="s">
        <v>1537</v>
      </c>
    </row>
    <row r="340" spans="2:15">
      <c r="B340" s="174" t="s">
        <v>203</v>
      </c>
      <c r="C340" s="175" t="s">
        <v>502</v>
      </c>
      <c r="D340" s="176" t="s">
        <v>503</v>
      </c>
      <c r="E340" s="177" t="s">
        <v>204</v>
      </c>
      <c r="F340" s="175">
        <f t="shared" si="11"/>
        <v>12</v>
      </c>
      <c r="G340" s="175" t="str">
        <f t="shared" si="12"/>
        <v>Montgomery</v>
      </c>
      <c r="H340" s="175"/>
      <c r="I340" s="178" t="s">
        <v>412</v>
      </c>
      <c r="J340" s="27" t="s">
        <v>410</v>
      </c>
      <c r="K340" s="27">
        <v>2284</v>
      </c>
      <c r="L340" s="179">
        <v>2261</v>
      </c>
      <c r="M340" s="178" t="s">
        <v>1732</v>
      </c>
      <c r="N340" s="27" t="s">
        <v>503</v>
      </c>
      <c r="O340" s="187" t="s">
        <v>1733</v>
      </c>
    </row>
    <row r="341" spans="2:15">
      <c r="B341" s="174" t="s">
        <v>205</v>
      </c>
      <c r="C341" s="175" t="s">
        <v>502</v>
      </c>
      <c r="D341" s="176" t="s">
        <v>503</v>
      </c>
      <c r="E341" s="177" t="s">
        <v>204</v>
      </c>
      <c r="F341" s="175">
        <f t="shared" si="11"/>
        <v>12</v>
      </c>
      <c r="G341" s="175" t="str">
        <f t="shared" si="12"/>
        <v>Montgomery</v>
      </c>
      <c r="H341" s="175"/>
      <c r="I341" s="178" t="s">
        <v>1731</v>
      </c>
      <c r="J341" s="27" t="s">
        <v>503</v>
      </c>
      <c r="K341" s="27">
        <v>2212</v>
      </c>
      <c r="L341" s="179">
        <v>2224</v>
      </c>
      <c r="M341" s="178" t="s">
        <v>1732</v>
      </c>
      <c r="N341" s="27" t="s">
        <v>503</v>
      </c>
      <c r="O341" s="187" t="s">
        <v>1733</v>
      </c>
    </row>
    <row r="342" spans="2:15">
      <c r="B342" s="174" t="s">
        <v>501</v>
      </c>
      <c r="C342" s="175" t="s">
        <v>502</v>
      </c>
      <c r="D342" s="176" t="s">
        <v>503</v>
      </c>
      <c r="E342" s="177" t="s">
        <v>504</v>
      </c>
      <c r="F342" s="175">
        <f t="shared" si="11"/>
        <v>10</v>
      </c>
      <c r="G342" s="175" t="str">
        <f t="shared" si="12"/>
        <v>Anniston</v>
      </c>
      <c r="H342" s="175"/>
      <c r="I342" s="178" t="s">
        <v>505</v>
      </c>
      <c r="J342" s="27" t="s">
        <v>503</v>
      </c>
      <c r="K342" s="27">
        <v>1797</v>
      </c>
      <c r="L342" s="179">
        <v>2918</v>
      </c>
      <c r="M342" s="180" t="s">
        <v>506</v>
      </c>
      <c r="N342" s="181" t="s">
        <v>503</v>
      </c>
      <c r="O342" s="182" t="s">
        <v>507</v>
      </c>
    </row>
    <row r="343" spans="2:15">
      <c r="B343" s="174" t="s">
        <v>1729</v>
      </c>
      <c r="C343" s="175" t="s">
        <v>502</v>
      </c>
      <c r="D343" s="176" t="s">
        <v>503</v>
      </c>
      <c r="E343" s="177" t="s">
        <v>1730</v>
      </c>
      <c r="F343" s="175">
        <f t="shared" si="11"/>
        <v>8</v>
      </c>
      <c r="G343" s="175" t="str">
        <f t="shared" si="12"/>
        <v>Dothan</v>
      </c>
      <c r="H343" s="175"/>
      <c r="I343" s="178" t="s">
        <v>1731</v>
      </c>
      <c r="J343" s="27" t="s">
        <v>503</v>
      </c>
      <c r="K343" s="27">
        <v>2212</v>
      </c>
      <c r="L343" s="179">
        <v>2224</v>
      </c>
      <c r="M343" s="178" t="s">
        <v>1732</v>
      </c>
      <c r="N343" s="27" t="s">
        <v>503</v>
      </c>
      <c r="O343" s="187" t="s">
        <v>1733</v>
      </c>
    </row>
    <row r="344" spans="2:15">
      <c r="B344" s="174" t="s">
        <v>2405</v>
      </c>
      <c r="C344" s="175" t="s">
        <v>502</v>
      </c>
      <c r="D344" s="176" t="s">
        <v>503</v>
      </c>
      <c r="E344" s="177" t="s">
        <v>2406</v>
      </c>
      <c r="F344" s="175">
        <f t="shared" si="11"/>
        <v>11</v>
      </c>
      <c r="G344" s="175" t="str">
        <f t="shared" si="12"/>
        <v>Evergreen</v>
      </c>
      <c r="H344" s="175"/>
      <c r="I344" s="178" t="s">
        <v>1731</v>
      </c>
      <c r="J344" s="27" t="s">
        <v>503</v>
      </c>
      <c r="K344" s="27">
        <v>2212</v>
      </c>
      <c r="L344" s="179">
        <v>2224</v>
      </c>
      <c r="M344" s="178" t="s">
        <v>1732</v>
      </c>
      <c r="N344" s="27" t="s">
        <v>503</v>
      </c>
      <c r="O344" s="187" t="s">
        <v>1733</v>
      </c>
    </row>
    <row r="345" spans="2:15">
      <c r="B345" s="174" t="s">
        <v>191</v>
      </c>
      <c r="C345" s="175" t="s">
        <v>502</v>
      </c>
      <c r="D345" s="176" t="s">
        <v>503</v>
      </c>
      <c r="E345" s="177" t="s">
        <v>192</v>
      </c>
      <c r="F345" s="175">
        <f t="shared" si="11"/>
        <v>8</v>
      </c>
      <c r="G345" s="175" t="str">
        <f t="shared" si="12"/>
        <v>Mobile</v>
      </c>
      <c r="H345" s="175"/>
      <c r="I345" s="178" t="s">
        <v>761</v>
      </c>
      <c r="J345" s="27" t="s">
        <v>503</v>
      </c>
      <c r="K345" s="27">
        <v>2627</v>
      </c>
      <c r="L345" s="179">
        <v>1702</v>
      </c>
      <c r="M345" s="180" t="s">
        <v>762</v>
      </c>
      <c r="N345" s="181" t="s">
        <v>503</v>
      </c>
      <c r="O345" s="182" t="s">
        <v>763</v>
      </c>
    </row>
    <row r="346" spans="2:15">
      <c r="B346" s="174" t="s">
        <v>193</v>
      </c>
      <c r="C346" s="175" t="s">
        <v>502</v>
      </c>
      <c r="D346" s="176" t="s">
        <v>503</v>
      </c>
      <c r="E346" s="177" t="s">
        <v>192</v>
      </c>
      <c r="F346" s="175">
        <f t="shared" si="11"/>
        <v>8</v>
      </c>
      <c r="G346" s="175" t="str">
        <f t="shared" si="12"/>
        <v>Mobile</v>
      </c>
      <c r="H346" s="175"/>
      <c r="I346" s="178" t="s">
        <v>761</v>
      </c>
      <c r="J346" s="27" t="s">
        <v>503</v>
      </c>
      <c r="K346" s="27">
        <v>2627</v>
      </c>
      <c r="L346" s="179">
        <v>1702</v>
      </c>
      <c r="M346" s="180" t="s">
        <v>762</v>
      </c>
      <c r="N346" s="181" t="s">
        <v>503</v>
      </c>
      <c r="O346" s="182" t="s">
        <v>763</v>
      </c>
    </row>
    <row r="347" spans="2:15">
      <c r="B347" s="174" t="s">
        <v>1282</v>
      </c>
      <c r="C347" s="175" t="s">
        <v>502</v>
      </c>
      <c r="D347" s="176" t="s">
        <v>503</v>
      </c>
      <c r="E347" s="177" t="s">
        <v>1283</v>
      </c>
      <c r="F347" s="175">
        <f t="shared" si="11"/>
        <v>7</v>
      </c>
      <c r="G347" s="175" t="str">
        <f t="shared" si="12"/>
        <v>Selma</v>
      </c>
      <c r="H347" s="175"/>
      <c r="I347" s="178" t="s">
        <v>1731</v>
      </c>
      <c r="J347" s="27" t="s">
        <v>503</v>
      </c>
      <c r="K347" s="27">
        <v>2212</v>
      </c>
      <c r="L347" s="179">
        <v>2224</v>
      </c>
      <c r="M347" s="178" t="s">
        <v>1732</v>
      </c>
      <c r="N347" s="27" t="s">
        <v>503</v>
      </c>
      <c r="O347" s="187" t="s">
        <v>1733</v>
      </c>
    </row>
    <row r="348" spans="2:15">
      <c r="B348" s="174" t="s">
        <v>1462</v>
      </c>
      <c r="C348" s="175" t="s">
        <v>502</v>
      </c>
      <c r="D348" s="176" t="s">
        <v>503</v>
      </c>
      <c r="E348" s="177" t="s">
        <v>1463</v>
      </c>
      <c r="F348" s="175">
        <f t="shared" si="11"/>
        <v>9</v>
      </c>
      <c r="G348" s="175" t="str">
        <f t="shared" si="12"/>
        <v>Opelika</v>
      </c>
      <c r="H348" s="175"/>
      <c r="I348" s="178" t="s">
        <v>412</v>
      </c>
      <c r="J348" s="27" t="s">
        <v>410</v>
      </c>
      <c r="K348" s="27">
        <v>2284</v>
      </c>
      <c r="L348" s="179">
        <v>2261</v>
      </c>
      <c r="M348" s="180" t="s">
        <v>413</v>
      </c>
      <c r="N348" s="181" t="s">
        <v>410</v>
      </c>
      <c r="O348" s="182" t="s">
        <v>414</v>
      </c>
    </row>
    <row r="349" spans="2:15">
      <c r="B349" s="174" t="s">
        <v>1343</v>
      </c>
      <c r="C349" s="175" t="s">
        <v>502</v>
      </c>
      <c r="D349" s="176" t="s">
        <v>503</v>
      </c>
      <c r="E349" s="177" t="s">
        <v>1344</v>
      </c>
      <c r="F349" s="175">
        <f t="shared" si="11"/>
        <v>8</v>
      </c>
      <c r="G349" s="175" t="str">
        <f t="shared" si="12"/>
        <v>Butler</v>
      </c>
      <c r="H349" s="175"/>
      <c r="I349" s="178" t="s">
        <v>1345</v>
      </c>
      <c r="J349" s="27" t="s">
        <v>1346</v>
      </c>
      <c r="K349" s="27">
        <v>2138</v>
      </c>
      <c r="L349" s="179">
        <v>2444</v>
      </c>
      <c r="M349" s="180" t="s">
        <v>1347</v>
      </c>
      <c r="N349" s="181" t="s">
        <v>1346</v>
      </c>
      <c r="O349" s="182" t="s">
        <v>1348</v>
      </c>
    </row>
    <row r="350" spans="2:15">
      <c r="B350" s="174" t="s">
        <v>1097</v>
      </c>
      <c r="C350" s="175" t="s">
        <v>2354</v>
      </c>
      <c r="D350" s="176" t="s">
        <v>485</v>
      </c>
      <c r="E350" s="177" t="s">
        <v>1098</v>
      </c>
      <c r="F350" s="175">
        <f t="shared" si="11"/>
        <v>11</v>
      </c>
      <c r="G350" s="175" t="str">
        <f t="shared" si="12"/>
        <v>Nashville</v>
      </c>
      <c r="H350" s="175"/>
      <c r="I350" s="178" t="s">
        <v>1523</v>
      </c>
      <c r="J350" s="27" t="s">
        <v>485</v>
      </c>
      <c r="K350" s="27">
        <v>1616</v>
      </c>
      <c r="L350" s="179">
        <v>3729</v>
      </c>
      <c r="M350" s="180" t="s">
        <v>1524</v>
      </c>
      <c r="N350" s="181" t="s">
        <v>485</v>
      </c>
      <c r="O350" s="182" t="s">
        <v>623</v>
      </c>
    </row>
    <row r="351" spans="2:15">
      <c r="B351" s="174" t="s">
        <v>1099</v>
      </c>
      <c r="C351" s="175" t="s">
        <v>2354</v>
      </c>
      <c r="D351" s="176" t="s">
        <v>485</v>
      </c>
      <c r="E351" s="177" t="s">
        <v>1098</v>
      </c>
      <c r="F351" s="175">
        <f t="shared" si="11"/>
        <v>11</v>
      </c>
      <c r="G351" s="175" t="str">
        <f t="shared" si="12"/>
        <v>Nashville</v>
      </c>
      <c r="H351" s="175"/>
      <c r="I351" s="178" t="s">
        <v>1523</v>
      </c>
      <c r="J351" s="27" t="s">
        <v>485</v>
      </c>
      <c r="K351" s="27">
        <v>1616</v>
      </c>
      <c r="L351" s="179">
        <v>3729</v>
      </c>
      <c r="M351" s="180" t="s">
        <v>1524</v>
      </c>
      <c r="N351" s="181" t="s">
        <v>485</v>
      </c>
      <c r="O351" s="182" t="s">
        <v>623</v>
      </c>
    </row>
    <row r="352" spans="2:15">
      <c r="B352" s="174" t="s">
        <v>1100</v>
      </c>
      <c r="C352" s="175" t="s">
        <v>2354</v>
      </c>
      <c r="D352" s="176" t="s">
        <v>485</v>
      </c>
      <c r="E352" s="177" t="s">
        <v>1098</v>
      </c>
      <c r="F352" s="175">
        <f t="shared" si="11"/>
        <v>11</v>
      </c>
      <c r="G352" s="175" t="str">
        <f t="shared" si="12"/>
        <v>Nashville</v>
      </c>
      <c r="H352" s="175"/>
      <c r="I352" s="178" t="s">
        <v>1523</v>
      </c>
      <c r="J352" s="27" t="s">
        <v>485</v>
      </c>
      <c r="K352" s="27">
        <v>1616</v>
      </c>
      <c r="L352" s="179">
        <v>3729</v>
      </c>
      <c r="M352" s="180" t="s">
        <v>1524</v>
      </c>
      <c r="N352" s="181" t="s">
        <v>485</v>
      </c>
      <c r="O352" s="182" t="s">
        <v>623</v>
      </c>
    </row>
    <row r="353" spans="2:15">
      <c r="B353" s="174" t="s">
        <v>2353</v>
      </c>
      <c r="C353" s="175" t="s">
        <v>2354</v>
      </c>
      <c r="D353" s="176" t="s">
        <v>485</v>
      </c>
      <c r="E353" s="177" t="s">
        <v>2355</v>
      </c>
      <c r="F353" s="175">
        <f t="shared" si="11"/>
        <v>13</v>
      </c>
      <c r="G353" s="175" t="str">
        <f t="shared" si="12"/>
        <v>Chattanooga</v>
      </c>
      <c r="H353" s="175"/>
      <c r="I353" s="178" t="s">
        <v>2356</v>
      </c>
      <c r="J353" s="27" t="s">
        <v>503</v>
      </c>
      <c r="K353" s="27">
        <v>1651</v>
      </c>
      <c r="L353" s="179">
        <v>3323</v>
      </c>
      <c r="M353" s="180" t="s">
        <v>2357</v>
      </c>
      <c r="N353" s="181" t="s">
        <v>485</v>
      </c>
      <c r="O353" s="182" t="s">
        <v>2358</v>
      </c>
    </row>
    <row r="354" spans="2:15">
      <c r="B354" s="174" t="s">
        <v>2359</v>
      </c>
      <c r="C354" s="175" t="s">
        <v>2354</v>
      </c>
      <c r="D354" s="176" t="s">
        <v>485</v>
      </c>
      <c r="E354" s="177" t="s">
        <v>2355</v>
      </c>
      <c r="F354" s="175">
        <f t="shared" si="11"/>
        <v>13</v>
      </c>
      <c r="G354" s="175" t="str">
        <f t="shared" si="12"/>
        <v>Chattanooga</v>
      </c>
      <c r="H354" s="175"/>
      <c r="I354" s="178" t="s">
        <v>2360</v>
      </c>
      <c r="J354" s="27" t="s">
        <v>485</v>
      </c>
      <c r="K354" s="27">
        <v>1544</v>
      </c>
      <c r="L354" s="179">
        <v>3587</v>
      </c>
      <c r="M354" s="180" t="s">
        <v>2357</v>
      </c>
      <c r="N354" s="181" t="s">
        <v>485</v>
      </c>
      <c r="O354" s="182" t="s">
        <v>2358</v>
      </c>
    </row>
    <row r="355" spans="2:15">
      <c r="B355" s="174" t="s">
        <v>130</v>
      </c>
      <c r="C355" s="175" t="s">
        <v>2354</v>
      </c>
      <c r="D355" s="176" t="s">
        <v>485</v>
      </c>
      <c r="E355" s="177" t="s">
        <v>131</v>
      </c>
      <c r="F355" s="175">
        <f t="shared" si="11"/>
        <v>14</v>
      </c>
      <c r="G355" s="175" t="str">
        <f t="shared" si="12"/>
        <v>Johnson City</v>
      </c>
      <c r="H355" s="175"/>
      <c r="I355" s="178" t="s">
        <v>519</v>
      </c>
      <c r="J355" s="27" t="s">
        <v>485</v>
      </c>
      <c r="K355" s="27">
        <v>972</v>
      </c>
      <c r="L355" s="179">
        <v>4406</v>
      </c>
      <c r="M355" s="180" t="s">
        <v>486</v>
      </c>
      <c r="N355" s="181" t="s">
        <v>485</v>
      </c>
      <c r="O355" s="182" t="s">
        <v>487</v>
      </c>
    </row>
    <row r="356" spans="2:15">
      <c r="B356" s="174" t="s">
        <v>936</v>
      </c>
      <c r="C356" s="175" t="s">
        <v>2354</v>
      </c>
      <c r="D356" s="176" t="s">
        <v>485</v>
      </c>
      <c r="E356" s="177" t="s">
        <v>937</v>
      </c>
      <c r="F356" s="175">
        <f t="shared" si="11"/>
        <v>11</v>
      </c>
      <c r="G356" s="175" t="str">
        <f t="shared" si="12"/>
        <v>Knoxville</v>
      </c>
      <c r="H356" s="175"/>
      <c r="I356" s="178" t="s">
        <v>484</v>
      </c>
      <c r="J356" s="27" t="s">
        <v>485</v>
      </c>
      <c r="K356" s="27">
        <v>1266</v>
      </c>
      <c r="L356" s="179">
        <v>3937</v>
      </c>
      <c r="M356" s="180" t="s">
        <v>486</v>
      </c>
      <c r="N356" s="181" t="s">
        <v>485</v>
      </c>
      <c r="O356" s="182" t="s">
        <v>487</v>
      </c>
    </row>
    <row r="357" spans="2:15">
      <c r="B357" s="174" t="s">
        <v>938</v>
      </c>
      <c r="C357" s="175" t="s">
        <v>2354</v>
      </c>
      <c r="D357" s="176" t="s">
        <v>485</v>
      </c>
      <c r="E357" s="177" t="s">
        <v>937</v>
      </c>
      <c r="F357" s="175">
        <f t="shared" si="11"/>
        <v>11</v>
      </c>
      <c r="G357" s="175" t="str">
        <f t="shared" si="12"/>
        <v>Knoxville</v>
      </c>
      <c r="H357" s="175"/>
      <c r="I357" s="178" t="s">
        <v>484</v>
      </c>
      <c r="J357" s="27" t="s">
        <v>485</v>
      </c>
      <c r="K357" s="27">
        <v>1266</v>
      </c>
      <c r="L357" s="179">
        <v>3937</v>
      </c>
      <c r="M357" s="180" t="s">
        <v>486</v>
      </c>
      <c r="N357" s="181" t="s">
        <v>485</v>
      </c>
      <c r="O357" s="182" t="s">
        <v>487</v>
      </c>
    </row>
    <row r="358" spans="2:15">
      <c r="B358" s="174" t="s">
        <v>939</v>
      </c>
      <c r="C358" s="175" t="s">
        <v>2354</v>
      </c>
      <c r="D358" s="176" t="s">
        <v>485</v>
      </c>
      <c r="E358" s="177" t="s">
        <v>937</v>
      </c>
      <c r="F358" s="175">
        <f t="shared" si="11"/>
        <v>11</v>
      </c>
      <c r="G358" s="175" t="str">
        <f t="shared" si="12"/>
        <v>Knoxville</v>
      </c>
      <c r="H358" s="175"/>
      <c r="I358" s="178" t="s">
        <v>484</v>
      </c>
      <c r="J358" s="27" t="s">
        <v>485</v>
      </c>
      <c r="K358" s="27">
        <v>1266</v>
      </c>
      <c r="L358" s="179">
        <v>3937</v>
      </c>
      <c r="M358" s="180" t="s">
        <v>486</v>
      </c>
      <c r="N358" s="181" t="s">
        <v>485</v>
      </c>
      <c r="O358" s="182" t="s">
        <v>487</v>
      </c>
    </row>
    <row r="359" spans="2:15">
      <c r="B359" s="174" t="s">
        <v>1141</v>
      </c>
      <c r="C359" s="175" t="s">
        <v>2354</v>
      </c>
      <c r="D359" s="176" t="s">
        <v>485</v>
      </c>
      <c r="E359" s="177" t="s">
        <v>1142</v>
      </c>
      <c r="F359" s="175">
        <f t="shared" si="11"/>
        <v>9</v>
      </c>
      <c r="G359" s="175" t="str">
        <f t="shared" si="12"/>
        <v>Memphis</v>
      </c>
      <c r="H359" s="175"/>
      <c r="I359" s="178" t="s">
        <v>1143</v>
      </c>
      <c r="J359" s="27" t="s">
        <v>485</v>
      </c>
      <c r="K359" s="27">
        <v>2118</v>
      </c>
      <c r="L359" s="179">
        <v>3082</v>
      </c>
      <c r="M359" s="180" t="s">
        <v>1144</v>
      </c>
      <c r="N359" s="181" t="s">
        <v>485</v>
      </c>
      <c r="O359" s="182" t="s">
        <v>1210</v>
      </c>
    </row>
    <row r="360" spans="2:15">
      <c r="B360" s="174" t="s">
        <v>1211</v>
      </c>
      <c r="C360" s="175" t="s">
        <v>2354</v>
      </c>
      <c r="D360" s="176" t="s">
        <v>485</v>
      </c>
      <c r="E360" s="177" t="s">
        <v>1142</v>
      </c>
      <c r="F360" s="175">
        <f t="shared" si="11"/>
        <v>9</v>
      </c>
      <c r="G360" s="175" t="str">
        <f t="shared" si="12"/>
        <v>Memphis</v>
      </c>
      <c r="H360" s="175"/>
      <c r="I360" s="178" t="s">
        <v>1143</v>
      </c>
      <c r="J360" s="27" t="s">
        <v>485</v>
      </c>
      <c r="K360" s="27">
        <v>2118</v>
      </c>
      <c r="L360" s="179">
        <v>3082</v>
      </c>
      <c r="M360" s="180" t="s">
        <v>1144</v>
      </c>
      <c r="N360" s="181" t="s">
        <v>485</v>
      </c>
      <c r="O360" s="182" t="s">
        <v>1210</v>
      </c>
    </row>
    <row r="361" spans="2:15">
      <c r="B361" s="174" t="s">
        <v>1162</v>
      </c>
      <c r="C361" s="175" t="s">
        <v>2354</v>
      </c>
      <c r="D361" s="176" t="s">
        <v>485</v>
      </c>
      <c r="E361" s="177" t="s">
        <v>1163</v>
      </c>
      <c r="F361" s="175">
        <f t="shared" si="11"/>
        <v>11</v>
      </c>
      <c r="G361" s="175" t="str">
        <f t="shared" si="12"/>
        <v>Mc_Kenzie</v>
      </c>
      <c r="H361" s="175"/>
      <c r="I361" s="178" t="s">
        <v>1523</v>
      </c>
      <c r="J361" s="27" t="s">
        <v>485</v>
      </c>
      <c r="K361" s="27">
        <v>1616</v>
      </c>
      <c r="L361" s="179">
        <v>3729</v>
      </c>
      <c r="M361" s="180" t="s">
        <v>1524</v>
      </c>
      <c r="N361" s="181" t="s">
        <v>485</v>
      </c>
      <c r="O361" s="182" t="s">
        <v>623</v>
      </c>
    </row>
    <row r="362" spans="2:15">
      <c r="B362" s="174" t="s">
        <v>110</v>
      </c>
      <c r="C362" s="175" t="s">
        <v>2354</v>
      </c>
      <c r="D362" s="176" t="s">
        <v>485</v>
      </c>
      <c r="E362" s="177" t="s">
        <v>106</v>
      </c>
      <c r="F362" s="175">
        <f t="shared" si="11"/>
        <v>9</v>
      </c>
      <c r="G362" s="175" t="str">
        <f t="shared" si="12"/>
        <v>Jackson</v>
      </c>
      <c r="H362" s="175"/>
      <c r="I362" s="178" t="s">
        <v>2356</v>
      </c>
      <c r="J362" s="27" t="s">
        <v>503</v>
      </c>
      <c r="K362" s="27">
        <v>1651</v>
      </c>
      <c r="L362" s="179">
        <v>3323</v>
      </c>
      <c r="M362" s="180" t="s">
        <v>1697</v>
      </c>
      <c r="N362" s="181" t="s">
        <v>503</v>
      </c>
      <c r="O362" s="182" t="s">
        <v>1698</v>
      </c>
    </row>
    <row r="363" spans="2:15">
      <c r="B363" s="174" t="s">
        <v>1522</v>
      </c>
      <c r="C363" s="175" t="s">
        <v>2354</v>
      </c>
      <c r="D363" s="176" t="s">
        <v>485</v>
      </c>
      <c r="E363" s="177" t="s">
        <v>1517</v>
      </c>
      <c r="F363" s="175">
        <f t="shared" si="11"/>
        <v>10</v>
      </c>
      <c r="G363" s="175" t="str">
        <f t="shared" si="12"/>
        <v>Columbia</v>
      </c>
      <c r="H363" s="175"/>
      <c r="I363" s="178" t="s">
        <v>1523</v>
      </c>
      <c r="J363" s="27" t="s">
        <v>485</v>
      </c>
      <c r="K363" s="27">
        <v>1616</v>
      </c>
      <c r="L363" s="179">
        <v>3729</v>
      </c>
      <c r="M363" s="180" t="s">
        <v>1524</v>
      </c>
      <c r="N363" s="181" t="s">
        <v>485</v>
      </c>
      <c r="O363" s="182" t="s">
        <v>623</v>
      </c>
    </row>
    <row r="364" spans="2:15">
      <c r="B364" s="174" t="s">
        <v>1655</v>
      </c>
      <c r="C364" s="175" t="s">
        <v>2354</v>
      </c>
      <c r="D364" s="176" t="s">
        <v>485</v>
      </c>
      <c r="E364" s="177" t="s">
        <v>1656</v>
      </c>
      <c r="F364" s="175">
        <f t="shared" si="11"/>
        <v>12</v>
      </c>
      <c r="G364" s="175" t="str">
        <f t="shared" si="12"/>
        <v>Cookeville</v>
      </c>
      <c r="H364" s="175"/>
      <c r="I364" s="178" t="s">
        <v>1523</v>
      </c>
      <c r="J364" s="27" t="s">
        <v>485</v>
      </c>
      <c r="K364" s="27">
        <v>1616</v>
      </c>
      <c r="L364" s="179">
        <v>3729</v>
      </c>
      <c r="M364" s="180" t="s">
        <v>1524</v>
      </c>
      <c r="N364" s="181" t="s">
        <v>485</v>
      </c>
      <c r="O364" s="182" t="s">
        <v>623</v>
      </c>
    </row>
    <row r="365" spans="2:15">
      <c r="B365" s="174" t="s">
        <v>1474</v>
      </c>
      <c r="C365" s="175" t="s">
        <v>630</v>
      </c>
      <c r="D365" s="176" t="s">
        <v>1346</v>
      </c>
      <c r="E365" s="177" t="s">
        <v>1475</v>
      </c>
      <c r="F365" s="175">
        <f t="shared" si="11"/>
        <v>8</v>
      </c>
      <c r="G365" s="175" t="str">
        <f t="shared" si="12"/>
        <v>Oxford</v>
      </c>
      <c r="H365" s="175"/>
      <c r="I365" s="178" t="s">
        <v>1143</v>
      </c>
      <c r="J365" s="27" t="s">
        <v>485</v>
      </c>
      <c r="K365" s="27">
        <v>2118</v>
      </c>
      <c r="L365" s="179">
        <v>3082</v>
      </c>
      <c r="M365" s="180" t="s">
        <v>1144</v>
      </c>
      <c r="N365" s="181" t="s">
        <v>485</v>
      </c>
      <c r="O365" s="182" t="s">
        <v>1210</v>
      </c>
    </row>
    <row r="366" spans="2:15">
      <c r="B366" s="174" t="s">
        <v>2072</v>
      </c>
      <c r="C366" s="175" t="s">
        <v>630</v>
      </c>
      <c r="D366" s="176" t="s">
        <v>1346</v>
      </c>
      <c r="E366" s="177" t="s">
        <v>2073</v>
      </c>
      <c r="F366" s="175">
        <f t="shared" si="11"/>
        <v>12</v>
      </c>
      <c r="G366" s="175" t="str">
        <f t="shared" si="12"/>
        <v>Greenville</v>
      </c>
      <c r="H366" s="175"/>
      <c r="I366" s="178" t="s">
        <v>2074</v>
      </c>
      <c r="J366" s="27" t="s">
        <v>1346</v>
      </c>
      <c r="K366" s="27">
        <v>2215</v>
      </c>
      <c r="L366" s="179">
        <v>2467</v>
      </c>
      <c r="M366" s="180" t="s">
        <v>1347</v>
      </c>
      <c r="N366" s="181" t="s">
        <v>1346</v>
      </c>
      <c r="O366" s="182" t="s">
        <v>1348</v>
      </c>
    </row>
    <row r="367" spans="2:15">
      <c r="B367" s="174" t="s">
        <v>1773</v>
      </c>
      <c r="C367" s="175" t="s">
        <v>630</v>
      </c>
      <c r="D367" s="176" t="s">
        <v>1346</v>
      </c>
      <c r="E367" s="177" t="s">
        <v>1774</v>
      </c>
      <c r="F367" s="175">
        <f t="shared" si="11"/>
        <v>8</v>
      </c>
      <c r="G367" s="175" t="str">
        <f t="shared" si="12"/>
        <v>Tupelo</v>
      </c>
      <c r="H367" s="175"/>
      <c r="I367" s="178" t="s">
        <v>1775</v>
      </c>
      <c r="J367" s="27" t="s">
        <v>1346</v>
      </c>
      <c r="K367" s="27">
        <v>1908</v>
      </c>
      <c r="L367" s="179">
        <v>3079</v>
      </c>
      <c r="M367" s="180" t="s">
        <v>2079</v>
      </c>
      <c r="N367" s="181" t="s">
        <v>1346</v>
      </c>
      <c r="O367" s="182" t="s">
        <v>2080</v>
      </c>
    </row>
    <row r="368" spans="2:15">
      <c r="B368" s="174" t="s">
        <v>2077</v>
      </c>
      <c r="C368" s="175" t="s">
        <v>630</v>
      </c>
      <c r="D368" s="176" t="s">
        <v>1346</v>
      </c>
      <c r="E368" s="177" t="s">
        <v>2078</v>
      </c>
      <c r="F368" s="175">
        <f t="shared" si="11"/>
        <v>9</v>
      </c>
      <c r="G368" s="175" t="str">
        <f t="shared" si="12"/>
        <v>Grenada</v>
      </c>
      <c r="H368" s="175"/>
      <c r="I368" s="178" t="s">
        <v>1345</v>
      </c>
      <c r="J368" s="27" t="s">
        <v>1346</v>
      </c>
      <c r="K368" s="27">
        <v>2138</v>
      </c>
      <c r="L368" s="179">
        <v>2444</v>
      </c>
      <c r="M368" s="180" t="s">
        <v>2079</v>
      </c>
      <c r="N368" s="181" t="s">
        <v>1346</v>
      </c>
      <c r="O368" s="182" t="s">
        <v>2080</v>
      </c>
    </row>
    <row r="369" spans="2:15">
      <c r="B369" s="174" t="s">
        <v>107</v>
      </c>
      <c r="C369" s="175" t="s">
        <v>630</v>
      </c>
      <c r="D369" s="176" t="s">
        <v>1346</v>
      </c>
      <c r="E369" s="177" t="s">
        <v>106</v>
      </c>
      <c r="F369" s="175">
        <f t="shared" si="11"/>
        <v>9</v>
      </c>
      <c r="G369" s="175" t="str">
        <f t="shared" si="12"/>
        <v>Jackson</v>
      </c>
      <c r="H369" s="175"/>
      <c r="I369" s="178" t="s">
        <v>2074</v>
      </c>
      <c r="J369" s="27" t="s">
        <v>1346</v>
      </c>
      <c r="K369" s="27">
        <v>2215</v>
      </c>
      <c r="L369" s="179">
        <v>2467</v>
      </c>
      <c r="M369" s="180" t="s">
        <v>1347</v>
      </c>
      <c r="N369" s="181" t="s">
        <v>1346</v>
      </c>
      <c r="O369" s="182" t="s">
        <v>1348</v>
      </c>
    </row>
    <row r="370" spans="2:15">
      <c r="B370" s="174" t="s">
        <v>108</v>
      </c>
      <c r="C370" s="175" t="s">
        <v>630</v>
      </c>
      <c r="D370" s="176" t="s">
        <v>1346</v>
      </c>
      <c r="E370" s="177" t="s">
        <v>106</v>
      </c>
      <c r="F370" s="175">
        <f t="shared" si="11"/>
        <v>9</v>
      </c>
      <c r="G370" s="175" t="str">
        <f t="shared" si="12"/>
        <v>Jackson</v>
      </c>
      <c r="H370" s="175"/>
      <c r="I370" s="178" t="s">
        <v>2074</v>
      </c>
      <c r="J370" s="27" t="s">
        <v>1346</v>
      </c>
      <c r="K370" s="27">
        <v>2215</v>
      </c>
      <c r="L370" s="179">
        <v>2467</v>
      </c>
      <c r="M370" s="180" t="s">
        <v>1347</v>
      </c>
      <c r="N370" s="181" t="s">
        <v>1346</v>
      </c>
      <c r="O370" s="182" t="s">
        <v>1348</v>
      </c>
    </row>
    <row r="371" spans="2:15">
      <c r="B371" s="174" t="s">
        <v>109</v>
      </c>
      <c r="C371" s="175" t="s">
        <v>630</v>
      </c>
      <c r="D371" s="176" t="s">
        <v>1346</v>
      </c>
      <c r="E371" s="177" t="s">
        <v>106</v>
      </c>
      <c r="F371" s="175">
        <f t="shared" si="11"/>
        <v>9</v>
      </c>
      <c r="G371" s="175" t="str">
        <f t="shared" si="12"/>
        <v>Jackson</v>
      </c>
      <c r="H371" s="175"/>
      <c r="I371" s="178" t="s">
        <v>2074</v>
      </c>
      <c r="J371" s="27" t="s">
        <v>1346</v>
      </c>
      <c r="K371" s="27">
        <v>2215</v>
      </c>
      <c r="L371" s="179">
        <v>2467</v>
      </c>
      <c r="M371" s="180" t="s">
        <v>1347</v>
      </c>
      <c r="N371" s="181" t="s">
        <v>1346</v>
      </c>
      <c r="O371" s="182" t="s">
        <v>1348</v>
      </c>
    </row>
    <row r="372" spans="2:15">
      <c r="B372" s="174" t="s">
        <v>1214</v>
      </c>
      <c r="C372" s="175" t="s">
        <v>630</v>
      </c>
      <c r="D372" s="176" t="s">
        <v>1346</v>
      </c>
      <c r="E372" s="177" t="s">
        <v>156</v>
      </c>
      <c r="F372" s="175">
        <f t="shared" si="11"/>
        <v>10</v>
      </c>
      <c r="G372" s="175" t="str">
        <f t="shared" si="12"/>
        <v>Meridian</v>
      </c>
      <c r="H372" s="175"/>
      <c r="I372" s="178" t="s">
        <v>1345</v>
      </c>
      <c r="J372" s="27" t="s">
        <v>1346</v>
      </c>
      <c r="K372" s="27">
        <v>2138</v>
      </c>
      <c r="L372" s="179">
        <v>2444</v>
      </c>
      <c r="M372" s="180" t="s">
        <v>1347</v>
      </c>
      <c r="N372" s="181" t="s">
        <v>1346</v>
      </c>
      <c r="O372" s="182" t="s">
        <v>1348</v>
      </c>
    </row>
    <row r="373" spans="2:15">
      <c r="B373" s="174" t="s">
        <v>759</v>
      </c>
      <c r="C373" s="175" t="s">
        <v>630</v>
      </c>
      <c r="D373" s="176" t="s">
        <v>1346</v>
      </c>
      <c r="E373" s="177" t="s">
        <v>760</v>
      </c>
      <c r="F373" s="175">
        <f t="shared" si="11"/>
        <v>13</v>
      </c>
      <c r="G373" s="175" t="str">
        <f t="shared" si="12"/>
        <v>Hattiesburg</v>
      </c>
      <c r="H373" s="175"/>
      <c r="I373" s="178" t="s">
        <v>761</v>
      </c>
      <c r="J373" s="27" t="s">
        <v>503</v>
      </c>
      <c r="K373" s="27">
        <v>2627</v>
      </c>
      <c r="L373" s="179">
        <v>1702</v>
      </c>
      <c r="M373" s="180" t="s">
        <v>762</v>
      </c>
      <c r="N373" s="181" t="s">
        <v>503</v>
      </c>
      <c r="O373" s="182" t="s">
        <v>763</v>
      </c>
    </row>
    <row r="374" spans="2:15">
      <c r="B374" s="174" t="s">
        <v>2081</v>
      </c>
      <c r="C374" s="175" t="s">
        <v>630</v>
      </c>
      <c r="D374" s="176" t="s">
        <v>1346</v>
      </c>
      <c r="E374" s="177" t="s">
        <v>2082</v>
      </c>
      <c r="F374" s="175">
        <f t="shared" si="11"/>
        <v>10</v>
      </c>
      <c r="G374" s="175" t="str">
        <f t="shared" si="12"/>
        <v>Gulfport</v>
      </c>
      <c r="H374" s="175"/>
      <c r="I374" s="178" t="s">
        <v>2083</v>
      </c>
      <c r="J374" s="27" t="s">
        <v>291</v>
      </c>
      <c r="K374" s="27">
        <v>2655</v>
      </c>
      <c r="L374" s="179">
        <v>1513</v>
      </c>
      <c r="M374" s="180" t="s">
        <v>2084</v>
      </c>
      <c r="N374" s="181" t="s">
        <v>291</v>
      </c>
      <c r="O374" s="182" t="s">
        <v>2085</v>
      </c>
    </row>
    <row r="375" spans="2:15">
      <c r="B375" s="174" t="s">
        <v>1130</v>
      </c>
      <c r="C375" s="175" t="s">
        <v>630</v>
      </c>
      <c r="D375" s="176" t="s">
        <v>1346</v>
      </c>
      <c r="E375" s="177" t="s">
        <v>1131</v>
      </c>
      <c r="F375" s="175">
        <f t="shared" si="11"/>
        <v>8</v>
      </c>
      <c r="G375" s="175" t="str">
        <f t="shared" si="12"/>
        <v>McComb</v>
      </c>
      <c r="H375" s="175"/>
      <c r="I375" s="178" t="s">
        <v>2074</v>
      </c>
      <c r="J375" s="27" t="s">
        <v>1346</v>
      </c>
      <c r="K375" s="27">
        <v>2215</v>
      </c>
      <c r="L375" s="179">
        <v>2467</v>
      </c>
      <c r="M375" s="180" t="s">
        <v>1347</v>
      </c>
      <c r="N375" s="181" t="s">
        <v>1346</v>
      </c>
      <c r="O375" s="182" t="s">
        <v>1348</v>
      </c>
    </row>
    <row r="376" spans="2:15">
      <c r="B376" s="174" t="s">
        <v>629</v>
      </c>
      <c r="C376" s="175" t="s">
        <v>630</v>
      </c>
      <c r="D376" s="176" t="s">
        <v>1346</v>
      </c>
      <c r="E376" s="177" t="s">
        <v>625</v>
      </c>
      <c r="F376" s="175">
        <f t="shared" si="11"/>
        <v>10</v>
      </c>
      <c r="G376" s="175" t="str">
        <f t="shared" si="12"/>
        <v>Columbus</v>
      </c>
      <c r="H376" s="175"/>
      <c r="I376" s="178" t="s">
        <v>505</v>
      </c>
      <c r="J376" s="27" t="s">
        <v>503</v>
      </c>
      <c r="K376" s="27">
        <v>1797</v>
      </c>
      <c r="L376" s="179">
        <v>2918</v>
      </c>
      <c r="M376" s="180" t="s">
        <v>506</v>
      </c>
      <c r="N376" s="181" t="s">
        <v>503</v>
      </c>
      <c r="O376" s="182" t="s">
        <v>507</v>
      </c>
    </row>
    <row r="377" spans="2:15">
      <c r="B377" s="174" t="s">
        <v>2151</v>
      </c>
      <c r="C377" s="175" t="s">
        <v>525</v>
      </c>
      <c r="D377" s="176" t="s">
        <v>526</v>
      </c>
      <c r="E377" s="177" t="s">
        <v>2152</v>
      </c>
      <c r="F377" s="175">
        <f t="shared" si="11"/>
        <v>12</v>
      </c>
      <c r="G377" s="175" t="str">
        <f t="shared" si="12"/>
        <v>Louisville</v>
      </c>
      <c r="H377" s="175"/>
      <c r="I377" s="178" t="s">
        <v>662</v>
      </c>
      <c r="J377" s="27" t="s">
        <v>526</v>
      </c>
      <c r="K377" s="27">
        <v>1288</v>
      </c>
      <c r="L377" s="179">
        <v>4514</v>
      </c>
      <c r="M377" s="180" t="s">
        <v>663</v>
      </c>
      <c r="N377" s="181" t="s">
        <v>526</v>
      </c>
      <c r="O377" s="182" t="s">
        <v>664</v>
      </c>
    </row>
    <row r="378" spans="2:15">
      <c r="B378" s="174" t="s">
        <v>2153</v>
      </c>
      <c r="C378" s="175" t="s">
        <v>525</v>
      </c>
      <c r="D378" s="176" t="s">
        <v>526</v>
      </c>
      <c r="E378" s="177" t="s">
        <v>2152</v>
      </c>
      <c r="F378" s="175">
        <f t="shared" si="11"/>
        <v>12</v>
      </c>
      <c r="G378" s="175" t="str">
        <f t="shared" si="12"/>
        <v>Louisville</v>
      </c>
      <c r="H378" s="175"/>
      <c r="I378" s="178" t="s">
        <v>662</v>
      </c>
      <c r="J378" s="27" t="s">
        <v>526</v>
      </c>
      <c r="K378" s="27">
        <v>1288</v>
      </c>
      <c r="L378" s="179">
        <v>4514</v>
      </c>
      <c r="M378" s="180" t="s">
        <v>663</v>
      </c>
      <c r="N378" s="181" t="s">
        <v>526</v>
      </c>
      <c r="O378" s="182" t="s">
        <v>664</v>
      </c>
    </row>
    <row r="379" spans="2:15">
      <c r="B379" s="174" t="s">
        <v>2154</v>
      </c>
      <c r="C379" s="175" t="s">
        <v>525</v>
      </c>
      <c r="D379" s="176" t="s">
        <v>526</v>
      </c>
      <c r="E379" s="177" t="s">
        <v>2152</v>
      </c>
      <c r="F379" s="175">
        <f t="shared" si="11"/>
        <v>12</v>
      </c>
      <c r="G379" s="175" t="str">
        <f t="shared" si="12"/>
        <v>Louisville</v>
      </c>
      <c r="H379" s="175"/>
      <c r="I379" s="178" t="s">
        <v>662</v>
      </c>
      <c r="J379" s="27" t="s">
        <v>526</v>
      </c>
      <c r="K379" s="27">
        <v>1288</v>
      </c>
      <c r="L379" s="179">
        <v>4514</v>
      </c>
      <c r="M379" s="180" t="s">
        <v>663</v>
      </c>
      <c r="N379" s="181" t="s">
        <v>526</v>
      </c>
      <c r="O379" s="182" t="s">
        <v>664</v>
      </c>
    </row>
    <row r="380" spans="2:15">
      <c r="B380" s="174" t="s">
        <v>2120</v>
      </c>
      <c r="C380" s="175" t="s">
        <v>525</v>
      </c>
      <c r="D380" s="176" t="s">
        <v>526</v>
      </c>
      <c r="E380" s="177" t="s">
        <v>2121</v>
      </c>
      <c r="F380" s="175">
        <f t="shared" si="11"/>
        <v>11</v>
      </c>
      <c r="G380" s="175" t="str">
        <f t="shared" si="12"/>
        <v>Lexington</v>
      </c>
      <c r="H380" s="175"/>
      <c r="I380" s="178" t="s">
        <v>1525</v>
      </c>
      <c r="J380" s="27" t="s">
        <v>526</v>
      </c>
      <c r="K380" s="27">
        <v>1140</v>
      </c>
      <c r="L380" s="179">
        <v>4783</v>
      </c>
      <c r="M380" s="180" t="s">
        <v>1526</v>
      </c>
      <c r="N380" s="181" t="s">
        <v>526</v>
      </c>
      <c r="O380" s="182" t="s">
        <v>1527</v>
      </c>
    </row>
    <row r="381" spans="2:15">
      <c r="B381" s="174" t="s">
        <v>2122</v>
      </c>
      <c r="C381" s="175" t="s">
        <v>525</v>
      </c>
      <c r="D381" s="176" t="s">
        <v>526</v>
      </c>
      <c r="E381" s="177" t="s">
        <v>2121</v>
      </c>
      <c r="F381" s="175">
        <f t="shared" si="11"/>
        <v>11</v>
      </c>
      <c r="G381" s="175" t="str">
        <f t="shared" si="12"/>
        <v>Lexington</v>
      </c>
      <c r="H381" s="175"/>
      <c r="I381" s="178" t="s">
        <v>1525</v>
      </c>
      <c r="J381" s="27" t="s">
        <v>526</v>
      </c>
      <c r="K381" s="27">
        <v>1140</v>
      </c>
      <c r="L381" s="179">
        <v>4783</v>
      </c>
      <c r="M381" s="180" t="s">
        <v>1526</v>
      </c>
      <c r="N381" s="181" t="s">
        <v>526</v>
      </c>
      <c r="O381" s="182" t="s">
        <v>1527</v>
      </c>
    </row>
    <row r="382" spans="2:15">
      <c r="B382" s="174" t="s">
        <v>2123</v>
      </c>
      <c r="C382" s="175" t="s">
        <v>525</v>
      </c>
      <c r="D382" s="176" t="s">
        <v>526</v>
      </c>
      <c r="E382" s="177" t="s">
        <v>2121</v>
      </c>
      <c r="F382" s="175">
        <f t="shared" si="11"/>
        <v>11</v>
      </c>
      <c r="G382" s="175" t="str">
        <f t="shared" si="12"/>
        <v>Lexington</v>
      </c>
      <c r="H382" s="175"/>
      <c r="I382" s="178" t="s">
        <v>1525</v>
      </c>
      <c r="J382" s="27" t="s">
        <v>526</v>
      </c>
      <c r="K382" s="27">
        <v>1140</v>
      </c>
      <c r="L382" s="179">
        <v>4783</v>
      </c>
      <c r="M382" s="180" t="s">
        <v>1526</v>
      </c>
      <c r="N382" s="181" t="s">
        <v>526</v>
      </c>
      <c r="O382" s="182" t="s">
        <v>1527</v>
      </c>
    </row>
    <row r="383" spans="2:15">
      <c r="B383" s="174" t="s">
        <v>1981</v>
      </c>
      <c r="C383" s="175" t="s">
        <v>525</v>
      </c>
      <c r="D383" s="176" t="s">
        <v>526</v>
      </c>
      <c r="E383" s="177" t="s">
        <v>1982</v>
      </c>
      <c r="F383" s="175">
        <f t="shared" si="11"/>
        <v>11</v>
      </c>
      <c r="G383" s="175" t="str">
        <f t="shared" si="12"/>
        <v>Frankfort</v>
      </c>
      <c r="H383" s="175"/>
      <c r="I383" s="178" t="s">
        <v>1525</v>
      </c>
      <c r="J383" s="27" t="s">
        <v>526</v>
      </c>
      <c r="K383" s="27">
        <v>1140</v>
      </c>
      <c r="L383" s="179">
        <v>4783</v>
      </c>
      <c r="M383" s="180" t="s">
        <v>1526</v>
      </c>
      <c r="N383" s="181" t="s">
        <v>526</v>
      </c>
      <c r="O383" s="182" t="s">
        <v>1527</v>
      </c>
    </row>
    <row r="384" spans="2:15">
      <c r="B384" s="174" t="s">
        <v>1657</v>
      </c>
      <c r="C384" s="175" t="s">
        <v>525</v>
      </c>
      <c r="D384" s="176" t="s">
        <v>526</v>
      </c>
      <c r="E384" s="177" t="s">
        <v>1658</v>
      </c>
      <c r="F384" s="175">
        <f t="shared" si="11"/>
        <v>8</v>
      </c>
      <c r="G384" s="175" t="str">
        <f t="shared" si="12"/>
        <v>Corbin</v>
      </c>
      <c r="H384" s="175"/>
      <c r="I384" s="178" t="s">
        <v>484</v>
      </c>
      <c r="J384" s="27" t="s">
        <v>485</v>
      </c>
      <c r="K384" s="27">
        <v>1266</v>
      </c>
      <c r="L384" s="179">
        <v>3937</v>
      </c>
      <c r="M384" s="180" t="s">
        <v>486</v>
      </c>
      <c r="N384" s="181" t="s">
        <v>485</v>
      </c>
      <c r="O384" s="182" t="s">
        <v>487</v>
      </c>
    </row>
    <row r="385" spans="2:15">
      <c r="B385" s="174" t="s">
        <v>1603</v>
      </c>
      <c r="C385" s="175" t="s">
        <v>525</v>
      </c>
      <c r="D385" s="176" t="s">
        <v>526</v>
      </c>
      <c r="E385" s="177" t="s">
        <v>1604</v>
      </c>
      <c r="F385" s="175">
        <f t="shared" si="11"/>
        <v>8</v>
      </c>
      <c r="G385" s="175" t="str">
        <f t="shared" si="12"/>
        <v>Baxter</v>
      </c>
      <c r="H385" s="175"/>
      <c r="I385" s="178" t="s">
        <v>519</v>
      </c>
      <c r="J385" s="27" t="s">
        <v>485</v>
      </c>
      <c r="K385" s="27">
        <v>972</v>
      </c>
      <c r="L385" s="179">
        <v>4406</v>
      </c>
      <c r="M385" s="180" t="s">
        <v>486</v>
      </c>
      <c r="N385" s="181" t="s">
        <v>485</v>
      </c>
      <c r="O385" s="182" t="s">
        <v>487</v>
      </c>
    </row>
    <row r="386" spans="2:15">
      <c r="B386" s="174" t="s">
        <v>162</v>
      </c>
      <c r="C386" s="175" t="s">
        <v>525</v>
      </c>
      <c r="D386" s="176" t="s">
        <v>526</v>
      </c>
      <c r="E386" s="177" t="s">
        <v>163</v>
      </c>
      <c r="F386" s="175">
        <f t="shared" si="11"/>
        <v>13</v>
      </c>
      <c r="G386" s="175" t="str">
        <f t="shared" si="12"/>
        <v>Middlesboro</v>
      </c>
      <c r="H386" s="175"/>
      <c r="I386" s="178" t="s">
        <v>519</v>
      </c>
      <c r="J386" s="27" t="s">
        <v>485</v>
      </c>
      <c r="K386" s="27">
        <v>972</v>
      </c>
      <c r="L386" s="179">
        <v>4406</v>
      </c>
      <c r="M386" s="180" t="s">
        <v>486</v>
      </c>
      <c r="N386" s="181" t="s">
        <v>485</v>
      </c>
      <c r="O386" s="182" t="s">
        <v>487</v>
      </c>
    </row>
    <row r="387" spans="2:15">
      <c r="B387" s="174" t="s">
        <v>1128</v>
      </c>
      <c r="C387" s="175" t="s">
        <v>525</v>
      </c>
      <c r="D387" s="176" t="s">
        <v>526</v>
      </c>
      <c r="E387" s="177" t="s">
        <v>151</v>
      </c>
      <c r="F387" s="175">
        <f t="shared" si="11"/>
        <v>9</v>
      </c>
      <c r="G387" s="175" t="str">
        <f t="shared" si="12"/>
        <v>Newport</v>
      </c>
      <c r="H387" s="175"/>
      <c r="I387" s="178" t="s">
        <v>2385</v>
      </c>
      <c r="J387" s="27" t="s">
        <v>526</v>
      </c>
      <c r="K387" s="27">
        <v>996</v>
      </c>
      <c r="L387" s="179">
        <v>5248</v>
      </c>
      <c r="M387" s="180" t="s">
        <v>2386</v>
      </c>
      <c r="N387" s="181" t="s">
        <v>395</v>
      </c>
      <c r="O387" s="182" t="s">
        <v>2387</v>
      </c>
    </row>
    <row r="388" spans="2:15">
      <c r="B388" s="174" t="s">
        <v>524</v>
      </c>
      <c r="C388" s="175" t="s">
        <v>525</v>
      </c>
      <c r="D388" s="176" t="s">
        <v>526</v>
      </c>
      <c r="E388" s="177" t="s">
        <v>527</v>
      </c>
      <c r="F388" s="175">
        <f t="shared" si="11"/>
        <v>9</v>
      </c>
      <c r="G388" s="175" t="str">
        <f t="shared" si="12"/>
        <v>Ashland</v>
      </c>
      <c r="H388" s="175"/>
      <c r="I388" s="178" t="s">
        <v>1525</v>
      </c>
      <c r="J388" s="27" t="s">
        <v>526</v>
      </c>
      <c r="K388" s="27">
        <v>1140</v>
      </c>
      <c r="L388" s="179">
        <v>4783</v>
      </c>
      <c r="M388" s="180" t="s">
        <v>1526</v>
      </c>
      <c r="N388" s="181" t="s">
        <v>526</v>
      </c>
      <c r="O388" s="182" t="s">
        <v>1527</v>
      </c>
    </row>
    <row r="389" spans="2:15">
      <c r="B389" s="174" t="s">
        <v>1528</v>
      </c>
      <c r="C389" s="175" t="s">
        <v>525</v>
      </c>
      <c r="D389" s="176" t="s">
        <v>526</v>
      </c>
      <c r="E389" s="177" t="s">
        <v>527</v>
      </c>
      <c r="F389" s="175">
        <f t="shared" si="11"/>
        <v>9</v>
      </c>
      <c r="G389" s="175" t="str">
        <f t="shared" si="12"/>
        <v>Ashland</v>
      </c>
      <c r="H389" s="175"/>
      <c r="I389" s="178" t="s">
        <v>1529</v>
      </c>
      <c r="J389" s="27" t="s">
        <v>1530</v>
      </c>
      <c r="K389" s="27">
        <v>1005</v>
      </c>
      <c r="L389" s="179">
        <v>4665</v>
      </c>
      <c r="M389" s="180" t="s">
        <v>1531</v>
      </c>
      <c r="N389" s="181" t="s">
        <v>1530</v>
      </c>
      <c r="O389" s="182" t="s">
        <v>1532</v>
      </c>
    </row>
    <row r="390" spans="2:15">
      <c r="B390" s="174" t="s">
        <v>1367</v>
      </c>
      <c r="C390" s="175" t="s">
        <v>525</v>
      </c>
      <c r="D390" s="176" t="s">
        <v>526</v>
      </c>
      <c r="E390" s="177" t="s">
        <v>1368</v>
      </c>
      <c r="F390" s="175">
        <f t="shared" si="11"/>
        <v>9</v>
      </c>
      <c r="G390" s="175" t="str">
        <f t="shared" si="12"/>
        <v>Campton</v>
      </c>
      <c r="H390" s="175"/>
      <c r="I390" s="178" t="s">
        <v>1369</v>
      </c>
      <c r="J390" s="27" t="s">
        <v>526</v>
      </c>
      <c r="K390" s="27">
        <v>1033</v>
      </c>
      <c r="L390" s="179">
        <v>4393</v>
      </c>
      <c r="M390" s="180" t="s">
        <v>1526</v>
      </c>
      <c r="N390" s="181" t="s">
        <v>526</v>
      </c>
      <c r="O390" s="182" t="s">
        <v>1527</v>
      </c>
    </row>
    <row r="391" spans="2:15">
      <c r="B391" s="174" t="s">
        <v>1370</v>
      </c>
      <c r="C391" s="175" t="s">
        <v>525</v>
      </c>
      <c r="D391" s="176" t="s">
        <v>526</v>
      </c>
      <c r="E391" s="177" t="s">
        <v>1368</v>
      </c>
      <c r="F391" s="175">
        <f t="shared" si="11"/>
        <v>9</v>
      </c>
      <c r="G391" s="175" t="str">
        <f t="shared" si="12"/>
        <v>Campton</v>
      </c>
      <c r="H391" s="175"/>
      <c r="I391" s="178" t="s">
        <v>1525</v>
      </c>
      <c r="J391" s="27" t="s">
        <v>526</v>
      </c>
      <c r="K391" s="27">
        <v>1140</v>
      </c>
      <c r="L391" s="179">
        <v>4783</v>
      </c>
      <c r="M391" s="180" t="s">
        <v>1526</v>
      </c>
      <c r="N391" s="181" t="s">
        <v>526</v>
      </c>
      <c r="O391" s="182" t="s">
        <v>1527</v>
      </c>
    </row>
    <row r="392" spans="2:15">
      <c r="B392" s="174" t="s">
        <v>2432</v>
      </c>
      <c r="C392" s="175" t="s">
        <v>525</v>
      </c>
      <c r="D392" s="176" t="s">
        <v>526</v>
      </c>
      <c r="E392" s="177" t="s">
        <v>2433</v>
      </c>
      <c r="F392" s="175">
        <f t="shared" si="11"/>
        <v>11</v>
      </c>
      <c r="G392" s="175" t="str">
        <f t="shared" si="12"/>
        <v>Pikeville</v>
      </c>
      <c r="H392" s="175"/>
      <c r="I392" s="178" t="s">
        <v>1319</v>
      </c>
      <c r="J392" s="27" t="s">
        <v>1530</v>
      </c>
      <c r="K392" s="27">
        <v>1031</v>
      </c>
      <c r="L392" s="179">
        <v>4646</v>
      </c>
      <c r="M392" s="180" t="s">
        <v>1531</v>
      </c>
      <c r="N392" s="181" t="s">
        <v>1530</v>
      </c>
      <c r="O392" s="182" t="s">
        <v>1532</v>
      </c>
    </row>
    <row r="393" spans="2:15">
      <c r="B393" s="174" t="s">
        <v>2434</v>
      </c>
      <c r="C393" s="175" t="s">
        <v>525</v>
      </c>
      <c r="D393" s="176" t="s">
        <v>526</v>
      </c>
      <c r="E393" s="177" t="s">
        <v>2433</v>
      </c>
      <c r="F393" s="175">
        <f t="shared" si="11"/>
        <v>11</v>
      </c>
      <c r="G393" s="175" t="str">
        <f t="shared" si="12"/>
        <v>Pikeville</v>
      </c>
      <c r="H393" s="175"/>
      <c r="I393" s="178" t="s">
        <v>1529</v>
      </c>
      <c r="J393" s="27" t="s">
        <v>1530</v>
      </c>
      <c r="K393" s="27">
        <v>1005</v>
      </c>
      <c r="L393" s="179">
        <v>4665</v>
      </c>
      <c r="M393" s="180" t="s">
        <v>1531</v>
      </c>
      <c r="N393" s="181" t="s">
        <v>1530</v>
      </c>
      <c r="O393" s="182" t="s">
        <v>1532</v>
      </c>
    </row>
    <row r="394" spans="2:15">
      <c r="B394" s="174" t="s">
        <v>768</v>
      </c>
      <c r="C394" s="175" t="s">
        <v>525</v>
      </c>
      <c r="D394" s="176" t="s">
        <v>526</v>
      </c>
      <c r="E394" s="177" t="s">
        <v>769</v>
      </c>
      <c r="F394" s="175">
        <f t="shared" ref="F394:F457" si="13">LEN(E394)</f>
        <v>8</v>
      </c>
      <c r="G394" s="175" t="str">
        <f t="shared" ref="G394:G457" si="14">MID(E394,2,F394-2)</f>
        <v>Hazard</v>
      </c>
      <c r="H394" s="175"/>
      <c r="I394" s="178" t="s">
        <v>1529</v>
      </c>
      <c r="J394" s="27" t="s">
        <v>1530</v>
      </c>
      <c r="K394" s="27">
        <v>1005</v>
      </c>
      <c r="L394" s="179">
        <v>4665</v>
      </c>
      <c r="M394" s="180" t="s">
        <v>1531</v>
      </c>
      <c r="N394" s="181" t="s">
        <v>1530</v>
      </c>
      <c r="O394" s="182" t="s">
        <v>1532</v>
      </c>
    </row>
    <row r="395" spans="2:15">
      <c r="B395" s="174" t="s">
        <v>770</v>
      </c>
      <c r="C395" s="175" t="s">
        <v>525</v>
      </c>
      <c r="D395" s="176" t="s">
        <v>526</v>
      </c>
      <c r="E395" s="177" t="s">
        <v>769</v>
      </c>
      <c r="F395" s="175">
        <f t="shared" si="13"/>
        <v>8</v>
      </c>
      <c r="G395" s="175" t="str">
        <f t="shared" si="14"/>
        <v>Hazard</v>
      </c>
      <c r="H395" s="175"/>
      <c r="I395" s="178" t="s">
        <v>1529</v>
      </c>
      <c r="J395" s="27" t="s">
        <v>1530</v>
      </c>
      <c r="K395" s="27">
        <v>1005</v>
      </c>
      <c r="L395" s="179">
        <v>4665</v>
      </c>
      <c r="M395" s="180" t="s">
        <v>1531</v>
      </c>
      <c r="N395" s="181" t="s">
        <v>1530</v>
      </c>
      <c r="O395" s="182" t="s">
        <v>1532</v>
      </c>
    </row>
    <row r="396" spans="2:15">
      <c r="B396" s="174" t="s">
        <v>1476</v>
      </c>
      <c r="C396" s="175" t="s">
        <v>525</v>
      </c>
      <c r="D396" s="176" t="s">
        <v>526</v>
      </c>
      <c r="E396" s="177" t="s">
        <v>1477</v>
      </c>
      <c r="F396" s="175">
        <f t="shared" si="13"/>
        <v>9</v>
      </c>
      <c r="G396" s="175" t="str">
        <f t="shared" si="14"/>
        <v>Paducah</v>
      </c>
      <c r="H396" s="175"/>
      <c r="I396" s="178" t="s">
        <v>1478</v>
      </c>
      <c r="J396" s="27" t="s">
        <v>526</v>
      </c>
      <c r="K396" s="27">
        <v>1475</v>
      </c>
      <c r="L396" s="179">
        <v>4279</v>
      </c>
      <c r="M396" s="180" t="s">
        <v>1479</v>
      </c>
      <c r="N396" s="181" t="s">
        <v>526</v>
      </c>
      <c r="O396" s="182" t="s">
        <v>2302</v>
      </c>
    </row>
    <row r="397" spans="2:15">
      <c r="B397" s="174" t="s">
        <v>660</v>
      </c>
      <c r="C397" s="175" t="s">
        <v>525</v>
      </c>
      <c r="D397" s="176" t="s">
        <v>526</v>
      </c>
      <c r="E397" s="177" t="s">
        <v>661</v>
      </c>
      <c r="F397" s="175">
        <f t="shared" si="13"/>
        <v>15</v>
      </c>
      <c r="G397" s="175" t="str">
        <f t="shared" si="14"/>
        <v>Bowling Green</v>
      </c>
      <c r="H397" s="175"/>
      <c r="I397" s="178" t="s">
        <v>662</v>
      </c>
      <c r="J397" s="27" t="s">
        <v>526</v>
      </c>
      <c r="K397" s="27">
        <v>1288</v>
      </c>
      <c r="L397" s="179">
        <v>4514</v>
      </c>
      <c r="M397" s="180" t="s">
        <v>663</v>
      </c>
      <c r="N397" s="181" t="s">
        <v>526</v>
      </c>
      <c r="O397" s="182" t="s">
        <v>664</v>
      </c>
    </row>
    <row r="398" spans="2:15">
      <c r="B398" s="174" t="s">
        <v>333</v>
      </c>
      <c r="C398" s="175" t="s">
        <v>525</v>
      </c>
      <c r="D398" s="176" t="s">
        <v>526</v>
      </c>
      <c r="E398" s="177" t="s">
        <v>332</v>
      </c>
      <c r="F398" s="175">
        <f t="shared" si="13"/>
        <v>14</v>
      </c>
      <c r="G398" s="175" t="str">
        <f t="shared" si="14"/>
        <v>Russellville</v>
      </c>
      <c r="H398" s="175"/>
      <c r="I398" s="178" t="s">
        <v>662</v>
      </c>
      <c r="J398" s="27" t="s">
        <v>526</v>
      </c>
      <c r="K398" s="27">
        <v>1288</v>
      </c>
      <c r="L398" s="179">
        <v>4514</v>
      </c>
      <c r="M398" s="180" t="s">
        <v>663</v>
      </c>
      <c r="N398" s="181" t="s">
        <v>526</v>
      </c>
      <c r="O398" s="182" t="s">
        <v>664</v>
      </c>
    </row>
    <row r="399" spans="2:15">
      <c r="B399" s="174" t="s">
        <v>1472</v>
      </c>
      <c r="C399" s="175" t="s">
        <v>525</v>
      </c>
      <c r="D399" s="176" t="s">
        <v>526</v>
      </c>
      <c r="E399" s="177" t="s">
        <v>1473</v>
      </c>
      <c r="F399" s="175">
        <f t="shared" si="13"/>
        <v>11</v>
      </c>
      <c r="G399" s="175" t="str">
        <f t="shared" si="14"/>
        <v>Owensboro</v>
      </c>
      <c r="H399" s="175"/>
      <c r="I399" s="178" t="s">
        <v>1523</v>
      </c>
      <c r="J399" s="27" t="s">
        <v>485</v>
      </c>
      <c r="K399" s="27">
        <v>1616</v>
      </c>
      <c r="L399" s="179">
        <v>3729</v>
      </c>
      <c r="M399" s="180" t="s">
        <v>1524</v>
      </c>
      <c r="N399" s="181" t="s">
        <v>485</v>
      </c>
      <c r="O399" s="182" t="s">
        <v>623</v>
      </c>
    </row>
    <row r="400" spans="2:15">
      <c r="B400" s="174" t="s">
        <v>777</v>
      </c>
      <c r="C400" s="175" t="s">
        <v>525</v>
      </c>
      <c r="D400" s="176" t="s">
        <v>526</v>
      </c>
      <c r="E400" s="177" t="s">
        <v>778</v>
      </c>
      <c r="F400" s="175">
        <f t="shared" si="13"/>
        <v>11</v>
      </c>
      <c r="G400" s="175" t="str">
        <f t="shared" si="14"/>
        <v>Henderson</v>
      </c>
      <c r="H400" s="175"/>
      <c r="I400" s="178" t="s">
        <v>1385</v>
      </c>
      <c r="J400" s="27" t="s">
        <v>2281</v>
      </c>
      <c r="K400" s="27">
        <v>1376</v>
      </c>
      <c r="L400" s="179">
        <v>4708</v>
      </c>
      <c r="M400" s="178" t="s">
        <v>1386</v>
      </c>
      <c r="N400" s="27" t="s">
        <v>2281</v>
      </c>
      <c r="O400" s="182" t="s">
        <v>1387</v>
      </c>
    </row>
    <row r="401" spans="2:15">
      <c r="B401" s="174" t="s">
        <v>2256</v>
      </c>
      <c r="C401" s="175" t="s">
        <v>525</v>
      </c>
      <c r="D401" s="176" t="s">
        <v>526</v>
      </c>
      <c r="E401" s="177" t="s">
        <v>2257</v>
      </c>
      <c r="F401" s="175">
        <f t="shared" si="13"/>
        <v>10</v>
      </c>
      <c r="G401" s="175" t="str">
        <f t="shared" si="14"/>
        <v>Somerset</v>
      </c>
      <c r="H401" s="175"/>
      <c r="I401" s="178" t="s">
        <v>1525</v>
      </c>
      <c r="J401" s="27" t="s">
        <v>526</v>
      </c>
      <c r="K401" s="27">
        <v>1140</v>
      </c>
      <c r="L401" s="179">
        <v>4783</v>
      </c>
      <c r="M401" s="180" t="s">
        <v>1526</v>
      </c>
      <c r="N401" s="181" t="s">
        <v>526</v>
      </c>
      <c r="O401" s="182" t="s">
        <v>1527</v>
      </c>
    </row>
    <row r="402" spans="2:15">
      <c r="B402" s="174" t="s">
        <v>2258</v>
      </c>
      <c r="C402" s="175" t="s">
        <v>525</v>
      </c>
      <c r="D402" s="176" t="s">
        <v>526</v>
      </c>
      <c r="E402" s="177" t="s">
        <v>2257</v>
      </c>
      <c r="F402" s="175">
        <f t="shared" si="13"/>
        <v>10</v>
      </c>
      <c r="G402" s="175" t="str">
        <f t="shared" si="14"/>
        <v>Somerset</v>
      </c>
      <c r="H402" s="175"/>
      <c r="I402" s="178" t="s">
        <v>1525</v>
      </c>
      <c r="J402" s="27" t="s">
        <v>526</v>
      </c>
      <c r="K402" s="27">
        <v>1140</v>
      </c>
      <c r="L402" s="179">
        <v>4783</v>
      </c>
      <c r="M402" s="180" t="s">
        <v>1526</v>
      </c>
      <c r="N402" s="181" t="s">
        <v>526</v>
      </c>
      <c r="O402" s="182" t="s">
        <v>1527</v>
      </c>
    </row>
    <row r="403" spans="2:15">
      <c r="B403" s="174" t="s">
        <v>73</v>
      </c>
      <c r="C403" s="175" t="s">
        <v>525</v>
      </c>
      <c r="D403" s="176" t="s">
        <v>526</v>
      </c>
      <c r="E403" s="177" t="s">
        <v>74</v>
      </c>
      <c r="F403" s="175">
        <f t="shared" si="13"/>
        <v>15</v>
      </c>
      <c r="G403" s="175" t="str">
        <f t="shared" si="14"/>
        <v>Elizabethtown</v>
      </c>
      <c r="H403" s="175"/>
      <c r="I403" s="178" t="s">
        <v>1523</v>
      </c>
      <c r="J403" s="27" t="s">
        <v>485</v>
      </c>
      <c r="K403" s="27">
        <v>1616</v>
      </c>
      <c r="L403" s="179">
        <v>3729</v>
      </c>
      <c r="M403" s="180" t="s">
        <v>1524</v>
      </c>
      <c r="N403" s="181" t="s">
        <v>485</v>
      </c>
      <c r="O403" s="182" t="s">
        <v>623</v>
      </c>
    </row>
    <row r="404" spans="2:15">
      <c r="B404" s="174" t="s">
        <v>635</v>
      </c>
      <c r="C404" s="175" t="s">
        <v>394</v>
      </c>
      <c r="D404" s="176" t="s">
        <v>395</v>
      </c>
      <c r="E404" s="177" t="s">
        <v>625</v>
      </c>
      <c r="F404" s="175">
        <f t="shared" si="13"/>
        <v>10</v>
      </c>
      <c r="G404" s="175" t="str">
        <f t="shared" si="14"/>
        <v>Columbus</v>
      </c>
      <c r="H404" s="175"/>
      <c r="I404" s="178" t="s">
        <v>1539</v>
      </c>
      <c r="J404" s="27" t="s">
        <v>395</v>
      </c>
      <c r="K404" s="27">
        <v>797</v>
      </c>
      <c r="L404" s="179">
        <v>5708</v>
      </c>
      <c r="M404" s="180" t="s">
        <v>413</v>
      </c>
      <c r="N404" s="181" t="s">
        <v>395</v>
      </c>
      <c r="O404" s="182" t="s">
        <v>1540</v>
      </c>
    </row>
    <row r="405" spans="2:15">
      <c r="B405" s="174" t="s">
        <v>636</v>
      </c>
      <c r="C405" s="175" t="s">
        <v>394</v>
      </c>
      <c r="D405" s="176" t="s">
        <v>395</v>
      </c>
      <c r="E405" s="177" t="s">
        <v>625</v>
      </c>
      <c r="F405" s="175">
        <f t="shared" si="13"/>
        <v>10</v>
      </c>
      <c r="G405" s="175" t="str">
        <f t="shared" si="14"/>
        <v>Columbus</v>
      </c>
      <c r="H405" s="175"/>
      <c r="I405" s="178" t="s">
        <v>1539</v>
      </c>
      <c r="J405" s="27" t="s">
        <v>395</v>
      </c>
      <c r="K405" s="27">
        <v>797</v>
      </c>
      <c r="L405" s="179">
        <v>5708</v>
      </c>
      <c r="M405" s="180" t="s">
        <v>413</v>
      </c>
      <c r="N405" s="181" t="s">
        <v>395</v>
      </c>
      <c r="O405" s="182" t="s">
        <v>1540</v>
      </c>
    </row>
    <row r="406" spans="2:15">
      <c r="B406" s="174" t="s">
        <v>637</v>
      </c>
      <c r="C406" s="175" t="s">
        <v>394</v>
      </c>
      <c r="D406" s="176" t="s">
        <v>395</v>
      </c>
      <c r="E406" s="177" t="s">
        <v>625</v>
      </c>
      <c r="F406" s="175">
        <f t="shared" si="13"/>
        <v>10</v>
      </c>
      <c r="G406" s="175" t="str">
        <f t="shared" si="14"/>
        <v>Columbus</v>
      </c>
      <c r="H406" s="175"/>
      <c r="I406" s="178" t="s">
        <v>1539</v>
      </c>
      <c r="J406" s="27" t="s">
        <v>395</v>
      </c>
      <c r="K406" s="27">
        <v>797</v>
      </c>
      <c r="L406" s="179">
        <v>5708</v>
      </c>
      <c r="M406" s="180" t="s">
        <v>413</v>
      </c>
      <c r="N406" s="181" t="s">
        <v>395</v>
      </c>
      <c r="O406" s="182" t="s">
        <v>1540</v>
      </c>
    </row>
    <row r="407" spans="2:15">
      <c r="B407" s="174" t="s">
        <v>1154</v>
      </c>
      <c r="C407" s="175" t="s">
        <v>394</v>
      </c>
      <c r="D407" s="176" t="s">
        <v>395</v>
      </c>
      <c r="E407" s="177" t="s">
        <v>1155</v>
      </c>
      <c r="F407" s="175">
        <f t="shared" si="13"/>
        <v>8</v>
      </c>
      <c r="G407" s="175" t="str">
        <f t="shared" si="14"/>
        <v>Marion</v>
      </c>
      <c r="H407" s="175"/>
      <c r="I407" s="178" t="s">
        <v>1694</v>
      </c>
      <c r="J407" s="27" t="s">
        <v>395</v>
      </c>
      <c r="K407" s="27">
        <v>886</v>
      </c>
      <c r="L407" s="179">
        <v>5708</v>
      </c>
      <c r="M407" s="180" t="s">
        <v>1691</v>
      </c>
      <c r="N407" s="181" t="s">
        <v>395</v>
      </c>
      <c r="O407" s="182" t="s">
        <v>1692</v>
      </c>
    </row>
    <row r="408" spans="2:15">
      <c r="B408" s="174" t="s">
        <v>665</v>
      </c>
      <c r="C408" s="175" t="s">
        <v>394</v>
      </c>
      <c r="D408" s="176" t="s">
        <v>395</v>
      </c>
      <c r="E408" s="177" t="s">
        <v>661</v>
      </c>
      <c r="F408" s="175">
        <f t="shared" si="13"/>
        <v>15</v>
      </c>
      <c r="G408" s="175" t="str">
        <f t="shared" si="14"/>
        <v>Bowling Green</v>
      </c>
      <c r="H408" s="175"/>
      <c r="I408" s="178" t="s">
        <v>666</v>
      </c>
      <c r="J408" s="27" t="s">
        <v>395</v>
      </c>
      <c r="K408" s="27">
        <v>610</v>
      </c>
      <c r="L408" s="179">
        <v>6579</v>
      </c>
      <c r="M408" s="180" t="s">
        <v>667</v>
      </c>
      <c r="N408" s="181" t="s">
        <v>395</v>
      </c>
      <c r="O408" s="182" t="s">
        <v>668</v>
      </c>
    </row>
    <row r="409" spans="2:15">
      <c r="B409" s="174" t="s">
        <v>1095</v>
      </c>
      <c r="C409" s="175" t="s">
        <v>394</v>
      </c>
      <c r="D409" s="176" t="s">
        <v>395</v>
      </c>
      <c r="E409" s="177" t="s">
        <v>1096</v>
      </c>
      <c r="F409" s="175">
        <f t="shared" si="13"/>
        <v>10</v>
      </c>
      <c r="G409" s="175" t="str">
        <f t="shared" si="14"/>
        <v>Napoleon</v>
      </c>
      <c r="H409" s="175"/>
      <c r="I409" s="178" t="s">
        <v>1975</v>
      </c>
      <c r="J409" s="27" t="s">
        <v>2281</v>
      </c>
      <c r="K409" s="27">
        <v>824</v>
      </c>
      <c r="L409" s="179">
        <v>6273</v>
      </c>
      <c r="M409" s="178" t="s">
        <v>1972</v>
      </c>
      <c r="N409" s="27" t="s">
        <v>2281</v>
      </c>
      <c r="O409" s="182" t="s">
        <v>1973</v>
      </c>
    </row>
    <row r="410" spans="2:15">
      <c r="B410" s="174" t="s">
        <v>868</v>
      </c>
      <c r="C410" s="175" t="s">
        <v>394</v>
      </c>
      <c r="D410" s="176" t="s">
        <v>395</v>
      </c>
      <c r="E410" s="177" t="s">
        <v>869</v>
      </c>
      <c r="F410" s="175">
        <f t="shared" si="13"/>
        <v>8</v>
      </c>
      <c r="G410" s="175" t="str">
        <f t="shared" si="14"/>
        <v>Toledo</v>
      </c>
      <c r="H410" s="175"/>
      <c r="I410" s="178" t="s">
        <v>666</v>
      </c>
      <c r="J410" s="27" t="s">
        <v>395</v>
      </c>
      <c r="K410" s="27">
        <v>610</v>
      </c>
      <c r="L410" s="179">
        <v>6579</v>
      </c>
      <c r="M410" s="180" t="s">
        <v>667</v>
      </c>
      <c r="N410" s="181" t="s">
        <v>395</v>
      </c>
      <c r="O410" s="182" t="s">
        <v>668</v>
      </c>
    </row>
    <row r="411" spans="2:15">
      <c r="B411" s="174" t="s">
        <v>1875</v>
      </c>
      <c r="C411" s="175" t="s">
        <v>394</v>
      </c>
      <c r="D411" s="176" t="s">
        <v>395</v>
      </c>
      <c r="E411" s="177" t="s">
        <v>1876</v>
      </c>
      <c r="F411" s="175">
        <f t="shared" si="13"/>
        <v>12</v>
      </c>
      <c r="G411" s="175" t="str">
        <f t="shared" si="14"/>
        <v>Zanesville</v>
      </c>
      <c r="H411" s="175"/>
      <c r="I411" s="178" t="s">
        <v>464</v>
      </c>
      <c r="J411" s="27" t="s">
        <v>450</v>
      </c>
      <c r="K411" s="27">
        <v>654</v>
      </c>
      <c r="L411" s="179">
        <v>5968</v>
      </c>
      <c r="M411" s="180" t="s">
        <v>465</v>
      </c>
      <c r="N411" s="181" t="s">
        <v>450</v>
      </c>
      <c r="O411" s="182" t="s">
        <v>466</v>
      </c>
    </row>
    <row r="412" spans="2:15">
      <c r="B412" s="174" t="s">
        <v>1877</v>
      </c>
      <c r="C412" s="175" t="s">
        <v>394</v>
      </c>
      <c r="D412" s="176" t="s">
        <v>395</v>
      </c>
      <c r="E412" s="177" t="s">
        <v>1876</v>
      </c>
      <c r="F412" s="175">
        <f t="shared" si="13"/>
        <v>12</v>
      </c>
      <c r="G412" s="175" t="str">
        <f t="shared" si="14"/>
        <v>Zanesville</v>
      </c>
      <c r="H412" s="175"/>
      <c r="I412" s="178" t="s">
        <v>1539</v>
      </c>
      <c r="J412" s="27" t="s">
        <v>395</v>
      </c>
      <c r="K412" s="27">
        <v>797</v>
      </c>
      <c r="L412" s="179">
        <v>5708</v>
      </c>
      <c r="M412" s="180" t="s">
        <v>413</v>
      </c>
      <c r="N412" s="181" t="s">
        <v>395</v>
      </c>
      <c r="O412" s="182" t="s">
        <v>1540</v>
      </c>
    </row>
    <row r="413" spans="2:15">
      <c r="B413" s="174" t="s">
        <v>827</v>
      </c>
      <c r="C413" s="175" t="s">
        <v>394</v>
      </c>
      <c r="D413" s="176" t="s">
        <v>395</v>
      </c>
      <c r="E413" s="177" t="s">
        <v>828</v>
      </c>
      <c r="F413" s="175">
        <f t="shared" si="13"/>
        <v>14</v>
      </c>
      <c r="G413" s="175" t="str">
        <f t="shared" si="14"/>
        <v>Stuebenville</v>
      </c>
      <c r="H413" s="175"/>
      <c r="I413" s="178" t="s">
        <v>464</v>
      </c>
      <c r="J413" s="27" t="s">
        <v>450</v>
      </c>
      <c r="K413" s="27">
        <v>654</v>
      </c>
      <c r="L413" s="179">
        <v>5968</v>
      </c>
      <c r="M413" s="180" t="s">
        <v>465</v>
      </c>
      <c r="N413" s="181" t="s">
        <v>450</v>
      </c>
      <c r="O413" s="182" t="s">
        <v>466</v>
      </c>
    </row>
    <row r="414" spans="2:15">
      <c r="B414" s="174" t="s">
        <v>598</v>
      </c>
      <c r="C414" s="175" t="s">
        <v>394</v>
      </c>
      <c r="D414" s="176" t="s">
        <v>395</v>
      </c>
      <c r="E414" s="177" t="s">
        <v>599</v>
      </c>
      <c r="F414" s="175">
        <f t="shared" si="13"/>
        <v>11</v>
      </c>
      <c r="G414" s="175" t="str">
        <f t="shared" si="14"/>
        <v>Cleveland</v>
      </c>
      <c r="H414" s="175"/>
      <c r="I414" s="178" t="s">
        <v>600</v>
      </c>
      <c r="J414" s="27" t="s">
        <v>395</v>
      </c>
      <c r="K414" s="27">
        <v>621</v>
      </c>
      <c r="L414" s="179">
        <v>6201</v>
      </c>
      <c r="M414" s="178" t="s">
        <v>601</v>
      </c>
      <c r="N414" s="27" t="s">
        <v>395</v>
      </c>
      <c r="O414" s="182" t="s">
        <v>602</v>
      </c>
    </row>
    <row r="415" spans="2:15">
      <c r="B415" s="174" t="s">
        <v>603</v>
      </c>
      <c r="C415" s="175" t="s">
        <v>394</v>
      </c>
      <c r="D415" s="176" t="s">
        <v>395</v>
      </c>
      <c r="E415" s="177" t="s">
        <v>599</v>
      </c>
      <c r="F415" s="175">
        <f t="shared" si="13"/>
        <v>11</v>
      </c>
      <c r="G415" s="175" t="str">
        <f t="shared" si="14"/>
        <v>Cleveland</v>
      </c>
      <c r="H415" s="175"/>
      <c r="I415" s="178" t="s">
        <v>600</v>
      </c>
      <c r="J415" s="27" t="s">
        <v>395</v>
      </c>
      <c r="K415" s="27">
        <v>621</v>
      </c>
      <c r="L415" s="179">
        <v>6201</v>
      </c>
      <c r="M415" s="178" t="s">
        <v>601</v>
      </c>
      <c r="N415" s="27" t="s">
        <v>395</v>
      </c>
      <c r="O415" s="182" t="s">
        <v>602</v>
      </c>
    </row>
    <row r="416" spans="2:15">
      <c r="B416" s="174" t="s">
        <v>393</v>
      </c>
      <c r="C416" s="175" t="s">
        <v>394</v>
      </c>
      <c r="D416" s="176" t="s">
        <v>395</v>
      </c>
      <c r="E416" s="177" t="s">
        <v>396</v>
      </c>
      <c r="F416" s="175">
        <f t="shared" si="13"/>
        <v>7</v>
      </c>
      <c r="G416" s="175" t="str">
        <f t="shared" si="14"/>
        <v>Akron</v>
      </c>
      <c r="H416" s="175"/>
      <c r="I416" s="178" t="s">
        <v>397</v>
      </c>
      <c r="J416" s="27" t="s">
        <v>395</v>
      </c>
      <c r="K416" s="27">
        <v>625</v>
      </c>
      <c r="L416" s="179">
        <v>6160</v>
      </c>
      <c r="M416" s="180" t="s">
        <v>398</v>
      </c>
      <c r="N416" s="181" t="s">
        <v>395</v>
      </c>
      <c r="O416" s="182" t="s">
        <v>399</v>
      </c>
    </row>
    <row r="417" spans="2:15">
      <c r="B417" s="174" t="s">
        <v>400</v>
      </c>
      <c r="C417" s="175" t="s">
        <v>394</v>
      </c>
      <c r="D417" s="176" t="s">
        <v>395</v>
      </c>
      <c r="E417" s="177" t="s">
        <v>396</v>
      </c>
      <c r="F417" s="175">
        <f t="shared" si="13"/>
        <v>7</v>
      </c>
      <c r="G417" s="175" t="str">
        <f t="shared" si="14"/>
        <v>Akron</v>
      </c>
      <c r="H417" s="175"/>
      <c r="I417" s="178" t="s">
        <v>397</v>
      </c>
      <c r="J417" s="27" t="s">
        <v>395</v>
      </c>
      <c r="K417" s="27">
        <v>625</v>
      </c>
      <c r="L417" s="179">
        <v>6160</v>
      </c>
      <c r="M417" s="180" t="s">
        <v>398</v>
      </c>
      <c r="N417" s="181" t="s">
        <v>395</v>
      </c>
      <c r="O417" s="182" t="s">
        <v>399</v>
      </c>
    </row>
    <row r="418" spans="2:15">
      <c r="B418" s="174" t="s">
        <v>1872</v>
      </c>
      <c r="C418" s="175" t="s">
        <v>394</v>
      </c>
      <c r="D418" s="176" t="s">
        <v>395</v>
      </c>
      <c r="E418" s="177" t="s">
        <v>1873</v>
      </c>
      <c r="F418" s="175">
        <f t="shared" si="13"/>
        <v>12</v>
      </c>
      <c r="G418" s="175" t="str">
        <f t="shared" si="14"/>
        <v>Youngstown</v>
      </c>
      <c r="H418" s="175"/>
      <c r="I418" s="178" t="s">
        <v>1350</v>
      </c>
      <c r="J418" s="27" t="s">
        <v>395</v>
      </c>
      <c r="K418" s="27">
        <v>497</v>
      </c>
      <c r="L418" s="179">
        <v>6544</v>
      </c>
      <c r="M418" s="180" t="s">
        <v>1351</v>
      </c>
      <c r="N418" s="181" t="s">
        <v>395</v>
      </c>
      <c r="O418" s="182" t="s">
        <v>1352</v>
      </c>
    </row>
    <row r="419" spans="2:15">
      <c r="B419" s="174" t="s">
        <v>1874</v>
      </c>
      <c r="C419" s="175" t="s">
        <v>394</v>
      </c>
      <c r="D419" s="176" t="s">
        <v>395</v>
      </c>
      <c r="E419" s="177" t="s">
        <v>1873</v>
      </c>
      <c r="F419" s="175">
        <f t="shared" si="13"/>
        <v>12</v>
      </c>
      <c r="G419" s="175" t="str">
        <f t="shared" si="14"/>
        <v>Youngstown</v>
      </c>
      <c r="H419" s="175"/>
      <c r="I419" s="178" t="s">
        <v>1350</v>
      </c>
      <c r="J419" s="27" t="s">
        <v>395</v>
      </c>
      <c r="K419" s="27">
        <v>497</v>
      </c>
      <c r="L419" s="179">
        <v>6544</v>
      </c>
      <c r="M419" s="180" t="s">
        <v>1351</v>
      </c>
      <c r="N419" s="181" t="s">
        <v>395</v>
      </c>
      <c r="O419" s="182" t="s">
        <v>1352</v>
      </c>
    </row>
    <row r="420" spans="2:15">
      <c r="B420" s="174" t="s">
        <v>1373</v>
      </c>
      <c r="C420" s="175" t="s">
        <v>394</v>
      </c>
      <c r="D420" s="176" t="s">
        <v>395</v>
      </c>
      <c r="E420" s="177" t="s">
        <v>1374</v>
      </c>
      <c r="F420" s="175">
        <f t="shared" si="13"/>
        <v>8</v>
      </c>
      <c r="G420" s="175" t="str">
        <f t="shared" si="14"/>
        <v>Canton</v>
      </c>
      <c r="H420" s="175"/>
      <c r="I420" s="178" t="s">
        <v>397</v>
      </c>
      <c r="J420" s="27" t="s">
        <v>395</v>
      </c>
      <c r="K420" s="27">
        <v>625</v>
      </c>
      <c r="L420" s="179">
        <v>6160</v>
      </c>
      <c r="M420" s="180" t="s">
        <v>398</v>
      </c>
      <c r="N420" s="181" t="s">
        <v>395</v>
      </c>
      <c r="O420" s="182" t="s">
        <v>399</v>
      </c>
    </row>
    <row r="421" spans="2:15">
      <c r="B421" s="174" t="s">
        <v>1375</v>
      </c>
      <c r="C421" s="175" t="s">
        <v>394</v>
      </c>
      <c r="D421" s="176" t="s">
        <v>395</v>
      </c>
      <c r="E421" s="177" t="s">
        <v>1374</v>
      </c>
      <c r="F421" s="175">
        <f t="shared" si="13"/>
        <v>8</v>
      </c>
      <c r="G421" s="175" t="str">
        <f t="shared" si="14"/>
        <v>Canton</v>
      </c>
      <c r="H421" s="175"/>
      <c r="I421" s="178" t="s">
        <v>397</v>
      </c>
      <c r="J421" s="27" t="s">
        <v>395</v>
      </c>
      <c r="K421" s="27">
        <v>625</v>
      </c>
      <c r="L421" s="179">
        <v>6160</v>
      </c>
      <c r="M421" s="180" t="s">
        <v>398</v>
      </c>
      <c r="N421" s="181" t="s">
        <v>395</v>
      </c>
      <c r="O421" s="182" t="s">
        <v>399</v>
      </c>
    </row>
    <row r="422" spans="2:15">
      <c r="B422" s="174" t="s">
        <v>1150</v>
      </c>
      <c r="C422" s="175" t="s">
        <v>394</v>
      </c>
      <c r="D422" s="176" t="s">
        <v>395</v>
      </c>
      <c r="E422" s="177" t="s">
        <v>1151</v>
      </c>
      <c r="F422" s="175">
        <f t="shared" si="13"/>
        <v>11</v>
      </c>
      <c r="G422" s="175" t="str">
        <f t="shared" si="14"/>
        <v>Mansfield</v>
      </c>
      <c r="H422" s="175"/>
      <c r="I422" s="178" t="s">
        <v>1152</v>
      </c>
      <c r="J422" s="27" t="s">
        <v>395</v>
      </c>
      <c r="K422" s="27">
        <v>666</v>
      </c>
      <c r="L422" s="179">
        <v>6258</v>
      </c>
      <c r="M422" s="180" t="s">
        <v>398</v>
      </c>
      <c r="N422" s="181" t="s">
        <v>395</v>
      </c>
      <c r="O422" s="182" t="s">
        <v>399</v>
      </c>
    </row>
    <row r="423" spans="2:15">
      <c r="B423" s="174" t="s">
        <v>1153</v>
      </c>
      <c r="C423" s="175" t="s">
        <v>394</v>
      </c>
      <c r="D423" s="176" t="s">
        <v>395</v>
      </c>
      <c r="E423" s="177" t="s">
        <v>1151</v>
      </c>
      <c r="F423" s="175">
        <f t="shared" si="13"/>
        <v>11</v>
      </c>
      <c r="G423" s="175" t="str">
        <f t="shared" si="14"/>
        <v>Mansfield</v>
      </c>
      <c r="H423" s="175"/>
      <c r="I423" s="178" t="s">
        <v>1152</v>
      </c>
      <c r="J423" s="27" t="s">
        <v>395</v>
      </c>
      <c r="K423" s="27">
        <v>666</v>
      </c>
      <c r="L423" s="179">
        <v>6258</v>
      </c>
      <c r="M423" s="180" t="s">
        <v>398</v>
      </c>
      <c r="N423" s="181" t="s">
        <v>395</v>
      </c>
      <c r="O423" s="182" t="s">
        <v>399</v>
      </c>
    </row>
    <row r="424" spans="2:15">
      <c r="B424" s="174" t="s">
        <v>2388</v>
      </c>
      <c r="C424" s="175" t="s">
        <v>394</v>
      </c>
      <c r="D424" s="176" t="s">
        <v>395</v>
      </c>
      <c r="E424" s="177" t="s">
        <v>2389</v>
      </c>
      <c r="F424" s="175">
        <f t="shared" si="13"/>
        <v>12</v>
      </c>
      <c r="G424" s="175" t="str">
        <f t="shared" si="14"/>
        <v>Cincinnati</v>
      </c>
      <c r="H424" s="175"/>
      <c r="I424" s="178" t="s">
        <v>2385</v>
      </c>
      <c r="J424" s="27" t="s">
        <v>526</v>
      </c>
      <c r="K424" s="27">
        <v>996</v>
      </c>
      <c r="L424" s="179">
        <v>5248</v>
      </c>
      <c r="M424" s="180" t="s">
        <v>2386</v>
      </c>
      <c r="N424" s="181" t="s">
        <v>395</v>
      </c>
      <c r="O424" s="182" t="s">
        <v>2387</v>
      </c>
    </row>
    <row r="425" spans="2:15">
      <c r="B425" s="174" t="s">
        <v>2390</v>
      </c>
      <c r="C425" s="175" t="s">
        <v>394</v>
      </c>
      <c r="D425" s="176" t="s">
        <v>395</v>
      </c>
      <c r="E425" s="177" t="s">
        <v>2389</v>
      </c>
      <c r="F425" s="175">
        <f t="shared" si="13"/>
        <v>12</v>
      </c>
      <c r="G425" s="175" t="str">
        <f t="shared" si="14"/>
        <v>Cincinnati</v>
      </c>
      <c r="H425" s="175"/>
      <c r="I425" s="178" t="s">
        <v>2385</v>
      </c>
      <c r="J425" s="27" t="s">
        <v>526</v>
      </c>
      <c r="K425" s="27">
        <v>996</v>
      </c>
      <c r="L425" s="179">
        <v>5248</v>
      </c>
      <c r="M425" s="180" t="s">
        <v>2386</v>
      </c>
      <c r="N425" s="181" t="s">
        <v>395</v>
      </c>
      <c r="O425" s="182" t="s">
        <v>2387</v>
      </c>
    </row>
    <row r="426" spans="2:15">
      <c r="B426" s="174" t="s">
        <v>2391</v>
      </c>
      <c r="C426" s="175" t="s">
        <v>394</v>
      </c>
      <c r="D426" s="176" t="s">
        <v>395</v>
      </c>
      <c r="E426" s="177" t="s">
        <v>2389</v>
      </c>
      <c r="F426" s="175">
        <f t="shared" si="13"/>
        <v>12</v>
      </c>
      <c r="G426" s="175" t="str">
        <f t="shared" si="14"/>
        <v>Cincinnati</v>
      </c>
      <c r="H426" s="175"/>
      <c r="I426" s="178" t="s">
        <v>2385</v>
      </c>
      <c r="J426" s="27" t="s">
        <v>526</v>
      </c>
      <c r="K426" s="27">
        <v>996</v>
      </c>
      <c r="L426" s="179">
        <v>5248</v>
      </c>
      <c r="M426" s="180" t="s">
        <v>2386</v>
      </c>
      <c r="N426" s="181" t="s">
        <v>395</v>
      </c>
      <c r="O426" s="182" t="s">
        <v>2387</v>
      </c>
    </row>
    <row r="427" spans="2:15">
      <c r="B427" s="174" t="s">
        <v>1689</v>
      </c>
      <c r="C427" s="175" t="s">
        <v>394</v>
      </c>
      <c r="D427" s="176" t="s">
        <v>395</v>
      </c>
      <c r="E427" s="177" t="s">
        <v>1690</v>
      </c>
      <c r="F427" s="175">
        <f t="shared" si="13"/>
        <v>8</v>
      </c>
      <c r="G427" s="175" t="str">
        <f t="shared" si="14"/>
        <v>Dayton</v>
      </c>
      <c r="H427" s="175"/>
      <c r="I427" s="178" t="s">
        <v>1539</v>
      </c>
      <c r="J427" s="27" t="s">
        <v>395</v>
      </c>
      <c r="K427" s="27">
        <v>797</v>
      </c>
      <c r="L427" s="179">
        <v>5708</v>
      </c>
      <c r="M427" s="180" t="s">
        <v>1691</v>
      </c>
      <c r="N427" s="181" t="s">
        <v>395</v>
      </c>
      <c r="O427" s="182" t="s">
        <v>1692</v>
      </c>
    </row>
    <row r="428" spans="2:15">
      <c r="B428" s="174" t="s">
        <v>1693</v>
      </c>
      <c r="C428" s="175" t="s">
        <v>394</v>
      </c>
      <c r="D428" s="176" t="s">
        <v>395</v>
      </c>
      <c r="E428" s="177" t="s">
        <v>1690</v>
      </c>
      <c r="F428" s="175">
        <f t="shared" si="13"/>
        <v>8</v>
      </c>
      <c r="G428" s="175" t="str">
        <f t="shared" si="14"/>
        <v>Dayton</v>
      </c>
      <c r="H428" s="175"/>
      <c r="I428" s="178" t="s">
        <v>1694</v>
      </c>
      <c r="J428" s="27" t="s">
        <v>395</v>
      </c>
      <c r="K428" s="27">
        <v>886</v>
      </c>
      <c r="L428" s="179">
        <v>5708</v>
      </c>
      <c r="M428" s="180" t="s">
        <v>1691</v>
      </c>
      <c r="N428" s="181" t="s">
        <v>395</v>
      </c>
      <c r="O428" s="182" t="s">
        <v>1692</v>
      </c>
    </row>
    <row r="429" spans="2:15">
      <c r="B429" s="174" t="s">
        <v>1249</v>
      </c>
      <c r="C429" s="175" t="s">
        <v>394</v>
      </c>
      <c r="D429" s="176" t="s">
        <v>395</v>
      </c>
      <c r="E429" s="177" t="s">
        <v>1241</v>
      </c>
      <c r="F429" s="175">
        <f t="shared" si="13"/>
        <v>13</v>
      </c>
      <c r="G429" s="175" t="str">
        <f t="shared" si="14"/>
        <v>Springfield</v>
      </c>
      <c r="H429" s="175"/>
      <c r="I429" s="178" t="s">
        <v>1694</v>
      </c>
      <c r="J429" s="27" t="s">
        <v>395</v>
      </c>
      <c r="K429" s="27">
        <v>886</v>
      </c>
      <c r="L429" s="179">
        <v>5708</v>
      </c>
      <c r="M429" s="180" t="s">
        <v>1691</v>
      </c>
      <c r="N429" s="181" t="s">
        <v>395</v>
      </c>
      <c r="O429" s="182" t="s">
        <v>1692</v>
      </c>
    </row>
    <row r="430" spans="2:15">
      <c r="B430" s="174" t="s">
        <v>2384</v>
      </c>
      <c r="C430" s="175" t="s">
        <v>394</v>
      </c>
      <c r="D430" s="176" t="s">
        <v>395</v>
      </c>
      <c r="E430" s="177" t="s">
        <v>2380</v>
      </c>
      <c r="F430" s="175">
        <f t="shared" si="13"/>
        <v>13</v>
      </c>
      <c r="G430" s="175" t="str">
        <f t="shared" si="14"/>
        <v>Chillicothe</v>
      </c>
      <c r="H430" s="175"/>
      <c r="I430" s="178" t="s">
        <v>2385</v>
      </c>
      <c r="J430" s="27" t="s">
        <v>526</v>
      </c>
      <c r="K430" s="27">
        <v>996</v>
      </c>
      <c r="L430" s="179">
        <v>5248</v>
      </c>
      <c r="M430" s="180" t="s">
        <v>2386</v>
      </c>
      <c r="N430" s="181" t="s">
        <v>395</v>
      </c>
      <c r="O430" s="182" t="s">
        <v>2387</v>
      </c>
    </row>
    <row r="431" spans="2:15">
      <c r="B431" s="174" t="s">
        <v>1538</v>
      </c>
      <c r="C431" s="175" t="s">
        <v>394</v>
      </c>
      <c r="D431" s="176" t="s">
        <v>395</v>
      </c>
      <c r="E431" s="177" t="s">
        <v>1534</v>
      </c>
      <c r="F431" s="175">
        <f t="shared" si="13"/>
        <v>8</v>
      </c>
      <c r="G431" s="175" t="str">
        <f t="shared" si="14"/>
        <v>Athens</v>
      </c>
      <c r="H431" s="175"/>
      <c r="I431" s="178" t="s">
        <v>1539</v>
      </c>
      <c r="J431" s="27" t="s">
        <v>395</v>
      </c>
      <c r="K431" s="27">
        <v>797</v>
      </c>
      <c r="L431" s="179">
        <v>5708</v>
      </c>
      <c r="M431" s="180" t="s">
        <v>413</v>
      </c>
      <c r="N431" s="181" t="s">
        <v>395</v>
      </c>
      <c r="O431" s="182" t="s">
        <v>1540</v>
      </c>
    </row>
    <row r="432" spans="2:15">
      <c r="B432" s="174" t="s">
        <v>2126</v>
      </c>
      <c r="C432" s="175" t="s">
        <v>394</v>
      </c>
      <c r="D432" s="176" t="s">
        <v>395</v>
      </c>
      <c r="E432" s="177" t="s">
        <v>2127</v>
      </c>
      <c r="F432" s="175">
        <f t="shared" si="13"/>
        <v>6</v>
      </c>
      <c r="G432" s="175" t="str">
        <f t="shared" si="14"/>
        <v>Lima</v>
      </c>
      <c r="H432" s="175"/>
      <c r="I432" s="178" t="s">
        <v>1694</v>
      </c>
      <c r="J432" s="27" t="s">
        <v>395</v>
      </c>
      <c r="K432" s="27">
        <v>886</v>
      </c>
      <c r="L432" s="179">
        <v>5708</v>
      </c>
      <c r="M432" s="180" t="s">
        <v>1691</v>
      </c>
      <c r="N432" s="181" t="s">
        <v>395</v>
      </c>
      <c r="O432" s="182" t="s">
        <v>1692</v>
      </c>
    </row>
    <row r="433" spans="2:15">
      <c r="B433" s="174" t="s">
        <v>92</v>
      </c>
      <c r="C433" s="175" t="s">
        <v>2280</v>
      </c>
      <c r="D433" s="176" t="s">
        <v>2281</v>
      </c>
      <c r="E433" s="177" t="s">
        <v>93</v>
      </c>
      <c r="F433" s="175">
        <f t="shared" si="13"/>
        <v>14</v>
      </c>
      <c r="G433" s="175" t="str">
        <f t="shared" si="14"/>
        <v>Indianapolis</v>
      </c>
      <c r="H433" s="175"/>
      <c r="I433" s="178" t="s">
        <v>2282</v>
      </c>
      <c r="J433" s="27" t="s">
        <v>2281</v>
      </c>
      <c r="K433" s="27">
        <v>1014</v>
      </c>
      <c r="L433" s="179">
        <v>5615</v>
      </c>
      <c r="M433" s="178" t="s">
        <v>2283</v>
      </c>
      <c r="N433" s="27" t="s">
        <v>2281</v>
      </c>
      <c r="O433" s="182" t="s">
        <v>2284</v>
      </c>
    </row>
    <row r="434" spans="2:15">
      <c r="B434" s="174" t="s">
        <v>94</v>
      </c>
      <c r="C434" s="175" t="s">
        <v>2280</v>
      </c>
      <c r="D434" s="176" t="s">
        <v>2281</v>
      </c>
      <c r="E434" s="177" t="s">
        <v>93</v>
      </c>
      <c r="F434" s="175">
        <f t="shared" si="13"/>
        <v>14</v>
      </c>
      <c r="G434" s="175" t="str">
        <f t="shared" si="14"/>
        <v>Indianapolis</v>
      </c>
      <c r="H434" s="175"/>
      <c r="I434" s="178" t="s">
        <v>2282</v>
      </c>
      <c r="J434" s="27" t="s">
        <v>2281</v>
      </c>
      <c r="K434" s="27">
        <v>1014</v>
      </c>
      <c r="L434" s="179">
        <v>5615</v>
      </c>
      <c r="M434" s="178" t="s">
        <v>2283</v>
      </c>
      <c r="N434" s="27" t="s">
        <v>2281</v>
      </c>
      <c r="O434" s="182" t="s">
        <v>2284</v>
      </c>
    </row>
    <row r="435" spans="2:15">
      <c r="B435" s="174" t="s">
        <v>95</v>
      </c>
      <c r="C435" s="175" t="s">
        <v>2280</v>
      </c>
      <c r="D435" s="176" t="s">
        <v>2281</v>
      </c>
      <c r="E435" s="177" t="s">
        <v>93</v>
      </c>
      <c r="F435" s="175">
        <f t="shared" si="13"/>
        <v>14</v>
      </c>
      <c r="G435" s="175" t="str">
        <f t="shared" si="14"/>
        <v>Indianapolis</v>
      </c>
      <c r="H435" s="175"/>
      <c r="I435" s="178" t="s">
        <v>2282</v>
      </c>
      <c r="J435" s="27" t="s">
        <v>2281</v>
      </c>
      <c r="K435" s="27">
        <v>1014</v>
      </c>
      <c r="L435" s="179">
        <v>5615</v>
      </c>
      <c r="M435" s="178" t="s">
        <v>2283</v>
      </c>
      <c r="N435" s="27" t="s">
        <v>2281</v>
      </c>
      <c r="O435" s="182" t="s">
        <v>2284</v>
      </c>
    </row>
    <row r="436" spans="2:15">
      <c r="B436" s="174" t="s">
        <v>2008</v>
      </c>
      <c r="C436" s="175" t="s">
        <v>2280</v>
      </c>
      <c r="D436" s="176" t="s">
        <v>2281</v>
      </c>
      <c r="E436" s="177" t="s">
        <v>2009</v>
      </c>
      <c r="F436" s="175">
        <f t="shared" si="13"/>
        <v>6</v>
      </c>
      <c r="G436" s="175" t="str">
        <f t="shared" si="14"/>
        <v>Gary</v>
      </c>
      <c r="H436" s="175"/>
      <c r="I436" s="178" t="s">
        <v>1971</v>
      </c>
      <c r="J436" s="27" t="s">
        <v>2281</v>
      </c>
      <c r="K436" s="27">
        <v>728</v>
      </c>
      <c r="L436" s="179">
        <v>6331</v>
      </c>
      <c r="M436" s="178" t="s">
        <v>2010</v>
      </c>
      <c r="N436" s="27" t="s">
        <v>2281</v>
      </c>
      <c r="O436" s="182" t="s">
        <v>2011</v>
      </c>
    </row>
    <row r="437" spans="2:15">
      <c r="B437" s="174" t="s">
        <v>2012</v>
      </c>
      <c r="C437" s="175" t="s">
        <v>2280</v>
      </c>
      <c r="D437" s="176" t="s">
        <v>2281</v>
      </c>
      <c r="E437" s="177" t="s">
        <v>2009</v>
      </c>
      <c r="F437" s="175">
        <f t="shared" si="13"/>
        <v>6</v>
      </c>
      <c r="G437" s="175" t="str">
        <f t="shared" si="14"/>
        <v>Gary</v>
      </c>
      <c r="H437" s="175"/>
      <c r="I437" s="178" t="s">
        <v>2370</v>
      </c>
      <c r="J437" s="27" t="s">
        <v>1648</v>
      </c>
      <c r="K437" s="27">
        <v>752</v>
      </c>
      <c r="L437" s="179">
        <v>6536</v>
      </c>
      <c r="M437" s="178" t="s">
        <v>2371</v>
      </c>
      <c r="N437" s="27" t="s">
        <v>1648</v>
      </c>
      <c r="O437" s="182" t="s">
        <v>2372</v>
      </c>
    </row>
    <row r="438" spans="2:15">
      <c r="B438" s="174" t="s">
        <v>2260</v>
      </c>
      <c r="C438" s="175" t="s">
        <v>2280</v>
      </c>
      <c r="D438" s="176" t="s">
        <v>2281</v>
      </c>
      <c r="E438" s="177" t="s">
        <v>2261</v>
      </c>
      <c r="F438" s="175">
        <f t="shared" si="13"/>
        <v>12</v>
      </c>
      <c r="G438" s="175" t="str">
        <f t="shared" si="14"/>
        <v>South Bend</v>
      </c>
      <c r="H438" s="175"/>
      <c r="I438" s="178" t="s">
        <v>1975</v>
      </c>
      <c r="J438" s="27" t="s">
        <v>2281</v>
      </c>
      <c r="K438" s="27">
        <v>824</v>
      </c>
      <c r="L438" s="179">
        <v>6273</v>
      </c>
      <c r="M438" s="178" t="s">
        <v>2010</v>
      </c>
      <c r="N438" s="27" t="s">
        <v>2281</v>
      </c>
      <c r="O438" s="182" t="s">
        <v>2011</v>
      </c>
    </row>
    <row r="439" spans="2:15">
      <c r="B439" s="174" t="s">
        <v>2262</v>
      </c>
      <c r="C439" s="175" t="s">
        <v>2280</v>
      </c>
      <c r="D439" s="176" t="s">
        <v>2281</v>
      </c>
      <c r="E439" s="177" t="s">
        <v>2261</v>
      </c>
      <c r="F439" s="175">
        <f t="shared" si="13"/>
        <v>12</v>
      </c>
      <c r="G439" s="175" t="str">
        <f t="shared" si="14"/>
        <v>South Bend</v>
      </c>
      <c r="H439" s="175"/>
      <c r="I439" s="178" t="s">
        <v>1971</v>
      </c>
      <c r="J439" s="27" t="s">
        <v>2281</v>
      </c>
      <c r="K439" s="27">
        <v>728</v>
      </c>
      <c r="L439" s="179">
        <v>6331</v>
      </c>
      <c r="M439" s="178" t="s">
        <v>2010</v>
      </c>
      <c r="N439" s="27" t="s">
        <v>2281</v>
      </c>
      <c r="O439" s="182" t="s">
        <v>2011</v>
      </c>
    </row>
    <row r="440" spans="2:15">
      <c r="B440" s="174" t="s">
        <v>1969</v>
      </c>
      <c r="C440" s="175" t="s">
        <v>2280</v>
      </c>
      <c r="D440" s="176" t="s">
        <v>2281</v>
      </c>
      <c r="E440" s="177" t="s">
        <v>1970</v>
      </c>
      <c r="F440" s="175">
        <f t="shared" si="13"/>
        <v>12</v>
      </c>
      <c r="G440" s="175" t="str">
        <f t="shared" si="14"/>
        <v>Fort Wayne</v>
      </c>
      <c r="H440" s="175"/>
      <c r="I440" s="178" t="s">
        <v>1971</v>
      </c>
      <c r="J440" s="27" t="s">
        <v>2281</v>
      </c>
      <c r="K440" s="27">
        <v>728</v>
      </c>
      <c r="L440" s="179">
        <v>6331</v>
      </c>
      <c r="M440" s="178" t="s">
        <v>1972</v>
      </c>
      <c r="N440" s="27" t="s">
        <v>2281</v>
      </c>
      <c r="O440" s="182" t="s">
        <v>1973</v>
      </c>
    </row>
    <row r="441" spans="2:15">
      <c r="B441" s="174" t="s">
        <v>1974</v>
      </c>
      <c r="C441" s="175" t="s">
        <v>2280</v>
      </c>
      <c r="D441" s="176" t="s">
        <v>2281</v>
      </c>
      <c r="E441" s="177" t="s">
        <v>1970</v>
      </c>
      <c r="F441" s="175">
        <f t="shared" si="13"/>
        <v>12</v>
      </c>
      <c r="G441" s="175" t="str">
        <f t="shared" si="14"/>
        <v>Fort Wayne</v>
      </c>
      <c r="H441" s="175"/>
      <c r="I441" s="178" t="s">
        <v>1975</v>
      </c>
      <c r="J441" s="27" t="s">
        <v>2281</v>
      </c>
      <c r="K441" s="27">
        <v>824</v>
      </c>
      <c r="L441" s="179">
        <v>6273</v>
      </c>
      <c r="M441" s="178" t="s">
        <v>1972</v>
      </c>
      <c r="N441" s="27" t="s">
        <v>2281</v>
      </c>
      <c r="O441" s="182" t="s">
        <v>1973</v>
      </c>
    </row>
    <row r="442" spans="2:15">
      <c r="B442" s="174" t="s">
        <v>940</v>
      </c>
      <c r="C442" s="175" t="s">
        <v>2280</v>
      </c>
      <c r="D442" s="176" t="s">
        <v>2281</v>
      </c>
      <c r="E442" s="177" t="s">
        <v>941</v>
      </c>
      <c r="F442" s="175">
        <f t="shared" si="13"/>
        <v>8</v>
      </c>
      <c r="G442" s="175" t="str">
        <f t="shared" si="14"/>
        <v>Kokomo</v>
      </c>
      <c r="H442" s="175"/>
      <c r="I442" s="178" t="s">
        <v>1971</v>
      </c>
      <c r="J442" s="27" t="s">
        <v>2281</v>
      </c>
      <c r="K442" s="27">
        <v>728</v>
      </c>
      <c r="L442" s="179">
        <v>6331</v>
      </c>
      <c r="M442" s="178" t="s">
        <v>2010</v>
      </c>
      <c r="N442" s="27" t="s">
        <v>2281</v>
      </c>
      <c r="O442" s="182" t="s">
        <v>2011</v>
      </c>
    </row>
    <row r="443" spans="2:15">
      <c r="B443" s="174" t="s">
        <v>2106</v>
      </c>
      <c r="C443" s="175" t="s">
        <v>2280</v>
      </c>
      <c r="D443" s="176" t="s">
        <v>2281</v>
      </c>
      <c r="E443" s="177" t="s">
        <v>2107</v>
      </c>
      <c r="F443" s="175">
        <f t="shared" si="13"/>
        <v>14</v>
      </c>
      <c r="G443" s="175" t="str">
        <f t="shared" si="14"/>
        <v>Lawrenceburg</v>
      </c>
      <c r="H443" s="175"/>
      <c r="I443" s="178" t="s">
        <v>2385</v>
      </c>
      <c r="J443" s="27" t="s">
        <v>526</v>
      </c>
      <c r="K443" s="27">
        <v>996</v>
      </c>
      <c r="L443" s="179">
        <v>5248</v>
      </c>
      <c r="M443" s="180" t="s">
        <v>2386</v>
      </c>
      <c r="N443" s="181" t="s">
        <v>395</v>
      </c>
      <c r="O443" s="182" t="s">
        <v>2387</v>
      </c>
    </row>
    <row r="444" spans="2:15">
      <c r="B444" s="174" t="s">
        <v>1101</v>
      </c>
      <c r="C444" s="175" t="s">
        <v>2280</v>
      </c>
      <c r="D444" s="176" t="s">
        <v>2281</v>
      </c>
      <c r="E444" s="177" t="s">
        <v>1102</v>
      </c>
      <c r="F444" s="175">
        <f t="shared" si="13"/>
        <v>12</v>
      </c>
      <c r="G444" s="175" t="str">
        <f t="shared" si="14"/>
        <v>New Albany</v>
      </c>
      <c r="H444" s="175"/>
      <c r="I444" s="178" t="s">
        <v>662</v>
      </c>
      <c r="J444" s="27" t="s">
        <v>526</v>
      </c>
      <c r="K444" s="27">
        <v>1288</v>
      </c>
      <c r="L444" s="179">
        <v>4514</v>
      </c>
      <c r="M444" s="180" t="s">
        <v>663</v>
      </c>
      <c r="N444" s="181" t="s">
        <v>526</v>
      </c>
      <c r="O444" s="182" t="s">
        <v>664</v>
      </c>
    </row>
    <row r="445" spans="2:15">
      <c r="B445" s="174" t="s">
        <v>628</v>
      </c>
      <c r="C445" s="175" t="s">
        <v>2280</v>
      </c>
      <c r="D445" s="176" t="s">
        <v>2281</v>
      </c>
      <c r="E445" s="177" t="s">
        <v>625</v>
      </c>
      <c r="F445" s="175">
        <f t="shared" si="13"/>
        <v>10</v>
      </c>
      <c r="G445" s="175" t="str">
        <f t="shared" si="14"/>
        <v>Columbus</v>
      </c>
      <c r="H445" s="175"/>
      <c r="I445" s="178" t="s">
        <v>2282</v>
      </c>
      <c r="J445" s="27" t="s">
        <v>2281</v>
      </c>
      <c r="K445" s="27">
        <v>1014</v>
      </c>
      <c r="L445" s="179">
        <v>5615</v>
      </c>
      <c r="M445" s="178" t="s">
        <v>2283</v>
      </c>
      <c r="N445" s="27" t="s">
        <v>2281</v>
      </c>
      <c r="O445" s="182" t="s">
        <v>2284</v>
      </c>
    </row>
    <row r="446" spans="2:15">
      <c r="B446" s="174" t="s">
        <v>1089</v>
      </c>
      <c r="C446" s="175" t="s">
        <v>2280</v>
      </c>
      <c r="D446" s="176" t="s">
        <v>2281</v>
      </c>
      <c r="E446" s="177" t="s">
        <v>1090</v>
      </c>
      <c r="F446" s="175">
        <f t="shared" si="13"/>
        <v>8</v>
      </c>
      <c r="G446" s="175" t="str">
        <f t="shared" si="14"/>
        <v>Muncie</v>
      </c>
      <c r="H446" s="175"/>
      <c r="I446" s="178" t="s">
        <v>1694</v>
      </c>
      <c r="J446" s="27" t="s">
        <v>395</v>
      </c>
      <c r="K446" s="27">
        <v>886</v>
      </c>
      <c r="L446" s="179">
        <v>5708</v>
      </c>
      <c r="M446" s="180" t="s">
        <v>1691</v>
      </c>
      <c r="N446" s="181" t="s">
        <v>395</v>
      </c>
      <c r="O446" s="182" t="s">
        <v>1692</v>
      </c>
    </row>
    <row r="447" spans="2:15">
      <c r="B447" s="174" t="s">
        <v>2279</v>
      </c>
      <c r="C447" s="175" t="s">
        <v>2280</v>
      </c>
      <c r="D447" s="176" t="s">
        <v>2281</v>
      </c>
      <c r="E447" s="177" t="s">
        <v>1649</v>
      </c>
      <c r="F447" s="175">
        <f t="shared" si="13"/>
        <v>13</v>
      </c>
      <c r="G447" s="175" t="str">
        <f t="shared" si="14"/>
        <v>Bloomington</v>
      </c>
      <c r="H447" s="175"/>
      <c r="I447" s="178" t="s">
        <v>2282</v>
      </c>
      <c r="J447" s="27" t="s">
        <v>2281</v>
      </c>
      <c r="K447" s="27">
        <v>1014</v>
      </c>
      <c r="L447" s="179">
        <v>5615</v>
      </c>
      <c r="M447" s="178" t="s">
        <v>2283</v>
      </c>
      <c r="N447" s="27" t="s">
        <v>2281</v>
      </c>
      <c r="O447" s="182" t="s">
        <v>2284</v>
      </c>
    </row>
    <row r="448" spans="2:15">
      <c r="B448" s="174" t="s">
        <v>1819</v>
      </c>
      <c r="C448" s="175" t="s">
        <v>2280</v>
      </c>
      <c r="D448" s="176" t="s">
        <v>2281</v>
      </c>
      <c r="E448" s="177" t="s">
        <v>593</v>
      </c>
      <c r="F448" s="175">
        <f t="shared" si="13"/>
        <v>12</v>
      </c>
      <c r="G448" s="175" t="str">
        <f t="shared" si="14"/>
        <v>Washington</v>
      </c>
      <c r="H448" s="175"/>
      <c r="I448" s="178" t="s">
        <v>1385</v>
      </c>
      <c r="J448" s="27" t="s">
        <v>2281</v>
      </c>
      <c r="K448" s="27">
        <v>1376</v>
      </c>
      <c r="L448" s="179">
        <v>4708</v>
      </c>
      <c r="M448" s="178" t="s">
        <v>1386</v>
      </c>
      <c r="N448" s="27" t="s">
        <v>2281</v>
      </c>
      <c r="O448" s="182" t="s">
        <v>1387</v>
      </c>
    </row>
    <row r="449" spans="2:15">
      <c r="B449" s="174" t="s">
        <v>552</v>
      </c>
      <c r="C449" s="175" t="s">
        <v>2280</v>
      </c>
      <c r="D449" s="176" t="s">
        <v>2281</v>
      </c>
      <c r="E449" s="177" t="s">
        <v>2398</v>
      </c>
      <c r="F449" s="175">
        <f t="shared" si="13"/>
        <v>12</v>
      </c>
      <c r="G449" s="175" t="str">
        <f t="shared" si="14"/>
        <v>Evansville</v>
      </c>
      <c r="H449" s="175"/>
      <c r="I449" s="178" t="s">
        <v>1385</v>
      </c>
      <c r="J449" s="27" t="s">
        <v>2281</v>
      </c>
      <c r="K449" s="27">
        <v>1376</v>
      </c>
      <c r="L449" s="179">
        <v>4708</v>
      </c>
      <c r="M449" s="178" t="s">
        <v>1386</v>
      </c>
      <c r="N449" s="27" t="s">
        <v>2281</v>
      </c>
      <c r="O449" s="182" t="s">
        <v>1387</v>
      </c>
    </row>
    <row r="450" spans="2:15">
      <c r="B450" s="174" t="s">
        <v>2399</v>
      </c>
      <c r="C450" s="175" t="s">
        <v>2280</v>
      </c>
      <c r="D450" s="176" t="s">
        <v>2281</v>
      </c>
      <c r="E450" s="177" t="s">
        <v>2398</v>
      </c>
      <c r="F450" s="175">
        <f t="shared" si="13"/>
        <v>12</v>
      </c>
      <c r="G450" s="175" t="str">
        <f t="shared" si="14"/>
        <v>Evansville</v>
      </c>
      <c r="H450" s="175"/>
      <c r="I450" s="178" t="s">
        <v>1385</v>
      </c>
      <c r="J450" s="27" t="s">
        <v>2281</v>
      </c>
      <c r="K450" s="27">
        <v>1376</v>
      </c>
      <c r="L450" s="179">
        <v>4708</v>
      </c>
      <c r="M450" s="178" t="s">
        <v>1386</v>
      </c>
      <c r="N450" s="27" t="s">
        <v>2281</v>
      </c>
      <c r="O450" s="182" t="s">
        <v>1387</v>
      </c>
    </row>
    <row r="451" spans="2:15">
      <c r="B451" s="174" t="s">
        <v>858</v>
      </c>
      <c r="C451" s="175" t="s">
        <v>2280</v>
      </c>
      <c r="D451" s="176" t="s">
        <v>2281</v>
      </c>
      <c r="E451" s="177" t="s">
        <v>859</v>
      </c>
      <c r="F451" s="175">
        <f t="shared" si="13"/>
        <v>13</v>
      </c>
      <c r="G451" s="175" t="str">
        <f t="shared" si="14"/>
        <v>Terre Haute</v>
      </c>
      <c r="H451" s="175"/>
      <c r="I451" s="178" t="s">
        <v>2282</v>
      </c>
      <c r="J451" s="27" t="s">
        <v>2281</v>
      </c>
      <c r="K451" s="27">
        <v>1014</v>
      </c>
      <c r="L451" s="179">
        <v>5615</v>
      </c>
      <c r="M451" s="178" t="s">
        <v>2283</v>
      </c>
      <c r="N451" s="27" t="s">
        <v>2281</v>
      </c>
      <c r="O451" s="182" t="s">
        <v>2284</v>
      </c>
    </row>
    <row r="452" spans="2:15">
      <c r="B452" s="174" t="s">
        <v>949</v>
      </c>
      <c r="C452" s="175" t="s">
        <v>2280</v>
      </c>
      <c r="D452" s="176" t="s">
        <v>2281</v>
      </c>
      <c r="E452" s="177" t="s">
        <v>950</v>
      </c>
      <c r="F452" s="175">
        <f t="shared" si="13"/>
        <v>11</v>
      </c>
      <c r="G452" s="175" t="str">
        <f t="shared" si="14"/>
        <v>Lafayette</v>
      </c>
      <c r="H452" s="175"/>
      <c r="I452" s="178" t="s">
        <v>1971</v>
      </c>
      <c r="J452" s="27" t="s">
        <v>2281</v>
      </c>
      <c r="K452" s="27">
        <v>728</v>
      </c>
      <c r="L452" s="179">
        <v>6331</v>
      </c>
      <c r="M452" s="178" t="s">
        <v>2010</v>
      </c>
      <c r="N452" s="27" t="s">
        <v>2281</v>
      </c>
      <c r="O452" s="182" t="s">
        <v>2011</v>
      </c>
    </row>
    <row r="453" spans="2:15">
      <c r="B453" s="174" t="s">
        <v>329</v>
      </c>
      <c r="C453" s="175" t="s">
        <v>489</v>
      </c>
      <c r="D453" s="176" t="s">
        <v>490</v>
      </c>
      <c r="E453" s="177" t="s">
        <v>330</v>
      </c>
      <c r="F453" s="175">
        <f t="shared" si="13"/>
        <v>11</v>
      </c>
      <c r="G453" s="175" t="str">
        <f t="shared" si="14"/>
        <v>Royal Oak</v>
      </c>
      <c r="H453" s="175"/>
      <c r="I453" s="178" t="s">
        <v>492</v>
      </c>
      <c r="J453" s="27" t="s">
        <v>490</v>
      </c>
      <c r="K453" s="27">
        <v>626</v>
      </c>
      <c r="L453" s="179">
        <v>6569</v>
      </c>
      <c r="M453" s="178" t="s">
        <v>493</v>
      </c>
      <c r="N453" s="27" t="s">
        <v>490</v>
      </c>
      <c r="O453" s="182" t="s">
        <v>494</v>
      </c>
    </row>
    <row r="454" spans="2:15">
      <c r="B454" s="174" t="s">
        <v>488</v>
      </c>
      <c r="C454" s="175" t="s">
        <v>489</v>
      </c>
      <c r="D454" s="176" t="s">
        <v>490</v>
      </c>
      <c r="E454" s="177" t="s">
        <v>491</v>
      </c>
      <c r="F454" s="175">
        <f t="shared" si="13"/>
        <v>11</v>
      </c>
      <c r="G454" s="175" t="str">
        <f t="shared" si="14"/>
        <v>Ann Arbor</v>
      </c>
      <c r="H454" s="175"/>
      <c r="I454" s="178" t="s">
        <v>492</v>
      </c>
      <c r="J454" s="27" t="s">
        <v>490</v>
      </c>
      <c r="K454" s="27">
        <v>626</v>
      </c>
      <c r="L454" s="179">
        <v>6569</v>
      </c>
      <c r="M454" s="178" t="s">
        <v>493</v>
      </c>
      <c r="N454" s="27" t="s">
        <v>490</v>
      </c>
      <c r="O454" s="182" t="s">
        <v>494</v>
      </c>
    </row>
    <row r="455" spans="2:15">
      <c r="B455" s="174" t="s">
        <v>1717</v>
      </c>
      <c r="C455" s="175" t="s">
        <v>489</v>
      </c>
      <c r="D455" s="176" t="s">
        <v>490</v>
      </c>
      <c r="E455" s="177" t="s">
        <v>1718</v>
      </c>
      <c r="F455" s="175">
        <f t="shared" si="13"/>
        <v>9</v>
      </c>
      <c r="G455" s="175" t="str">
        <f t="shared" si="14"/>
        <v>Detroit</v>
      </c>
      <c r="H455" s="175"/>
      <c r="I455" s="178" t="s">
        <v>492</v>
      </c>
      <c r="J455" s="27" t="s">
        <v>490</v>
      </c>
      <c r="K455" s="27">
        <v>626</v>
      </c>
      <c r="L455" s="179">
        <v>6569</v>
      </c>
      <c r="M455" s="178" t="s">
        <v>493</v>
      </c>
      <c r="N455" s="27" t="s">
        <v>490</v>
      </c>
      <c r="O455" s="182" t="s">
        <v>494</v>
      </c>
    </row>
    <row r="456" spans="2:15">
      <c r="B456" s="174" t="s">
        <v>1719</v>
      </c>
      <c r="C456" s="175" t="s">
        <v>489</v>
      </c>
      <c r="D456" s="176" t="s">
        <v>490</v>
      </c>
      <c r="E456" s="177" t="s">
        <v>1718</v>
      </c>
      <c r="F456" s="175">
        <f t="shared" si="13"/>
        <v>9</v>
      </c>
      <c r="G456" s="175" t="str">
        <f t="shared" si="14"/>
        <v>Detroit</v>
      </c>
      <c r="H456" s="175"/>
      <c r="I456" s="178" t="s">
        <v>492</v>
      </c>
      <c r="J456" s="27" t="s">
        <v>490</v>
      </c>
      <c r="K456" s="27">
        <v>626</v>
      </c>
      <c r="L456" s="179">
        <v>6569</v>
      </c>
      <c r="M456" s="178" t="s">
        <v>493</v>
      </c>
      <c r="N456" s="27" t="s">
        <v>490</v>
      </c>
      <c r="O456" s="182" t="s">
        <v>494</v>
      </c>
    </row>
    <row r="457" spans="2:15">
      <c r="B457" s="174" t="s">
        <v>1935</v>
      </c>
      <c r="C457" s="175" t="s">
        <v>489</v>
      </c>
      <c r="D457" s="176" t="s">
        <v>490</v>
      </c>
      <c r="E457" s="177" t="s">
        <v>1936</v>
      </c>
      <c r="F457" s="175">
        <f t="shared" si="13"/>
        <v>7</v>
      </c>
      <c r="G457" s="175" t="str">
        <f t="shared" si="14"/>
        <v>Flint</v>
      </c>
      <c r="H457" s="175"/>
      <c r="I457" s="178" t="s">
        <v>1937</v>
      </c>
      <c r="J457" s="27" t="s">
        <v>490</v>
      </c>
      <c r="K457" s="27">
        <v>490</v>
      </c>
      <c r="L457" s="179">
        <v>7101</v>
      </c>
      <c r="M457" s="180" t="s">
        <v>1938</v>
      </c>
      <c r="N457" s="181" t="s">
        <v>490</v>
      </c>
      <c r="O457" s="182" t="s">
        <v>1939</v>
      </c>
    </row>
    <row r="458" spans="2:15">
      <c r="B458" s="174" t="s">
        <v>1940</v>
      </c>
      <c r="C458" s="175" t="s">
        <v>489</v>
      </c>
      <c r="D458" s="176" t="s">
        <v>490</v>
      </c>
      <c r="E458" s="177" t="s">
        <v>1936</v>
      </c>
      <c r="F458" s="175">
        <f t="shared" ref="F458:F521" si="15">LEN(E458)</f>
        <v>7</v>
      </c>
      <c r="G458" s="175" t="str">
        <f t="shared" ref="G458:G521" si="16">MID(E458,2,F458-2)</f>
        <v>Flint</v>
      </c>
      <c r="H458" s="175"/>
      <c r="I458" s="178" t="s">
        <v>1941</v>
      </c>
      <c r="J458" s="27" t="s">
        <v>490</v>
      </c>
      <c r="K458" s="27">
        <v>483</v>
      </c>
      <c r="L458" s="179">
        <v>6979</v>
      </c>
      <c r="M458" s="180" t="s">
        <v>1938</v>
      </c>
      <c r="N458" s="181" t="s">
        <v>490</v>
      </c>
      <c r="O458" s="182" t="s">
        <v>1939</v>
      </c>
    </row>
    <row r="459" spans="2:15">
      <c r="B459" s="174" t="s">
        <v>341</v>
      </c>
      <c r="C459" s="175" t="s">
        <v>489</v>
      </c>
      <c r="D459" s="176" t="s">
        <v>490</v>
      </c>
      <c r="E459" s="177" t="s">
        <v>342</v>
      </c>
      <c r="F459" s="175">
        <f t="shared" si="15"/>
        <v>9</v>
      </c>
      <c r="G459" s="175" t="str">
        <f t="shared" si="16"/>
        <v>Saginaw</v>
      </c>
      <c r="H459" s="175"/>
      <c r="I459" s="178" t="s">
        <v>1937</v>
      </c>
      <c r="J459" s="27" t="s">
        <v>490</v>
      </c>
      <c r="K459" s="27">
        <v>490</v>
      </c>
      <c r="L459" s="179">
        <v>7101</v>
      </c>
      <c r="M459" s="180" t="s">
        <v>968</v>
      </c>
      <c r="N459" s="181" t="s">
        <v>490</v>
      </c>
      <c r="O459" s="182" t="s">
        <v>969</v>
      </c>
    </row>
    <row r="460" spans="2:15">
      <c r="B460" s="174" t="s">
        <v>343</v>
      </c>
      <c r="C460" s="175" t="s">
        <v>489</v>
      </c>
      <c r="D460" s="176" t="s">
        <v>490</v>
      </c>
      <c r="E460" s="177" t="s">
        <v>342</v>
      </c>
      <c r="F460" s="175">
        <f t="shared" si="15"/>
        <v>9</v>
      </c>
      <c r="G460" s="175" t="str">
        <f t="shared" si="16"/>
        <v>Saginaw</v>
      </c>
      <c r="H460" s="175"/>
      <c r="I460" s="178" t="s">
        <v>1941</v>
      </c>
      <c r="J460" s="27" t="s">
        <v>490</v>
      </c>
      <c r="K460" s="27">
        <v>483</v>
      </c>
      <c r="L460" s="179">
        <v>6979</v>
      </c>
      <c r="M460" s="180" t="s">
        <v>1938</v>
      </c>
      <c r="N460" s="181" t="s">
        <v>490</v>
      </c>
      <c r="O460" s="182" t="s">
        <v>1939</v>
      </c>
    </row>
    <row r="461" spans="2:15">
      <c r="B461" s="174" t="s">
        <v>966</v>
      </c>
      <c r="C461" s="175" t="s">
        <v>489</v>
      </c>
      <c r="D461" s="176" t="s">
        <v>490</v>
      </c>
      <c r="E461" s="177" t="s">
        <v>967</v>
      </c>
      <c r="F461" s="175">
        <f t="shared" si="15"/>
        <v>9</v>
      </c>
      <c r="G461" s="175" t="str">
        <f t="shared" si="16"/>
        <v>Lansing</v>
      </c>
      <c r="H461" s="175"/>
      <c r="I461" s="178" t="s">
        <v>1941</v>
      </c>
      <c r="J461" s="27" t="s">
        <v>490</v>
      </c>
      <c r="K461" s="27">
        <v>483</v>
      </c>
      <c r="L461" s="179">
        <v>6979</v>
      </c>
      <c r="M461" s="180" t="s">
        <v>968</v>
      </c>
      <c r="N461" s="181" t="s">
        <v>490</v>
      </c>
      <c r="O461" s="182" t="s">
        <v>969</v>
      </c>
    </row>
    <row r="462" spans="2:15">
      <c r="B462" s="174" t="s">
        <v>970</v>
      </c>
      <c r="C462" s="175" t="s">
        <v>489</v>
      </c>
      <c r="D462" s="176" t="s">
        <v>490</v>
      </c>
      <c r="E462" s="177" t="s">
        <v>967</v>
      </c>
      <c r="F462" s="175">
        <f t="shared" si="15"/>
        <v>9</v>
      </c>
      <c r="G462" s="175" t="str">
        <f t="shared" si="16"/>
        <v>Lansing</v>
      </c>
      <c r="H462" s="175"/>
      <c r="I462" s="178" t="s">
        <v>1937</v>
      </c>
      <c r="J462" s="27" t="s">
        <v>490</v>
      </c>
      <c r="K462" s="27">
        <v>490</v>
      </c>
      <c r="L462" s="179">
        <v>7101</v>
      </c>
      <c r="M462" s="180" t="s">
        <v>968</v>
      </c>
      <c r="N462" s="181" t="s">
        <v>490</v>
      </c>
      <c r="O462" s="182" t="s">
        <v>969</v>
      </c>
    </row>
    <row r="463" spans="2:15">
      <c r="B463" s="174" t="s">
        <v>143</v>
      </c>
      <c r="C463" s="175" t="s">
        <v>489</v>
      </c>
      <c r="D463" s="176" t="s">
        <v>490</v>
      </c>
      <c r="E463" s="177" t="s">
        <v>144</v>
      </c>
      <c r="F463" s="175">
        <f t="shared" si="15"/>
        <v>11</v>
      </c>
      <c r="G463" s="175" t="str">
        <f t="shared" si="16"/>
        <v>Kalamazoo</v>
      </c>
      <c r="H463" s="175"/>
      <c r="I463" s="178" t="s">
        <v>1971</v>
      </c>
      <c r="J463" s="27" t="s">
        <v>2281</v>
      </c>
      <c r="K463" s="27">
        <v>728</v>
      </c>
      <c r="L463" s="179">
        <v>6331</v>
      </c>
      <c r="M463" s="178" t="s">
        <v>2010</v>
      </c>
      <c r="N463" s="27" t="s">
        <v>2281</v>
      </c>
      <c r="O463" s="182" t="s">
        <v>2011</v>
      </c>
    </row>
    <row r="464" spans="2:15">
      <c r="B464" s="174" t="s">
        <v>145</v>
      </c>
      <c r="C464" s="175" t="s">
        <v>489</v>
      </c>
      <c r="D464" s="176" t="s">
        <v>490</v>
      </c>
      <c r="E464" s="177" t="s">
        <v>144</v>
      </c>
      <c r="F464" s="175">
        <f t="shared" si="15"/>
        <v>11</v>
      </c>
      <c r="G464" s="175" t="str">
        <f t="shared" si="16"/>
        <v>Kalamazoo</v>
      </c>
      <c r="H464" s="175"/>
      <c r="I464" s="178" t="s">
        <v>1971</v>
      </c>
      <c r="J464" s="27" t="s">
        <v>2281</v>
      </c>
      <c r="K464" s="27">
        <v>728</v>
      </c>
      <c r="L464" s="179">
        <v>6331</v>
      </c>
      <c r="M464" s="178" t="s">
        <v>2010</v>
      </c>
      <c r="N464" s="27" t="s">
        <v>2281</v>
      </c>
      <c r="O464" s="182" t="s">
        <v>2011</v>
      </c>
    </row>
    <row r="465" spans="2:15">
      <c r="B465" s="174" t="s">
        <v>105</v>
      </c>
      <c r="C465" s="175" t="s">
        <v>489</v>
      </c>
      <c r="D465" s="176" t="s">
        <v>490</v>
      </c>
      <c r="E465" s="177" t="s">
        <v>106</v>
      </c>
      <c r="F465" s="175">
        <f t="shared" si="15"/>
        <v>9</v>
      </c>
      <c r="G465" s="175" t="str">
        <f t="shared" si="16"/>
        <v>Jackson</v>
      </c>
      <c r="H465" s="175"/>
      <c r="I465" s="178" t="s">
        <v>666</v>
      </c>
      <c r="J465" s="27" t="s">
        <v>395</v>
      </c>
      <c r="K465" s="27">
        <v>610</v>
      </c>
      <c r="L465" s="179">
        <v>6579</v>
      </c>
      <c r="M465" s="180" t="s">
        <v>667</v>
      </c>
      <c r="N465" s="181" t="s">
        <v>395</v>
      </c>
      <c r="O465" s="182" t="s">
        <v>668</v>
      </c>
    </row>
    <row r="466" spans="2:15">
      <c r="B466" s="174" t="s">
        <v>2038</v>
      </c>
      <c r="C466" s="175" t="s">
        <v>489</v>
      </c>
      <c r="D466" s="176" t="s">
        <v>490</v>
      </c>
      <c r="E466" s="177" t="s">
        <v>2039</v>
      </c>
      <c r="F466" s="175">
        <f t="shared" si="15"/>
        <v>14</v>
      </c>
      <c r="G466" s="175" t="str">
        <f t="shared" si="16"/>
        <v>Grand Rapids</v>
      </c>
      <c r="H466" s="175"/>
      <c r="I466" s="178" t="s">
        <v>2040</v>
      </c>
      <c r="J466" s="27" t="s">
        <v>490</v>
      </c>
      <c r="K466" s="27">
        <v>431</v>
      </c>
      <c r="L466" s="179">
        <v>6924</v>
      </c>
      <c r="M466" s="180" t="s">
        <v>2041</v>
      </c>
      <c r="N466" s="181" t="s">
        <v>490</v>
      </c>
      <c r="O466" s="182" t="s">
        <v>2042</v>
      </c>
    </row>
    <row r="467" spans="2:15">
      <c r="B467" s="174" t="s">
        <v>1091</v>
      </c>
      <c r="C467" s="175" t="s">
        <v>489</v>
      </c>
      <c r="D467" s="176" t="s">
        <v>490</v>
      </c>
      <c r="E467" s="177" t="s">
        <v>1092</v>
      </c>
      <c r="F467" s="175">
        <f t="shared" si="15"/>
        <v>10</v>
      </c>
      <c r="G467" s="175" t="str">
        <f t="shared" si="16"/>
        <v>Muskegon</v>
      </c>
      <c r="H467" s="175"/>
      <c r="I467" s="178" t="s">
        <v>2040</v>
      </c>
      <c r="J467" s="27" t="s">
        <v>490</v>
      </c>
      <c r="K467" s="27">
        <v>431</v>
      </c>
      <c r="L467" s="179">
        <v>6924</v>
      </c>
      <c r="M467" s="180" t="s">
        <v>2041</v>
      </c>
      <c r="N467" s="181" t="s">
        <v>490</v>
      </c>
      <c r="O467" s="182" t="s">
        <v>2042</v>
      </c>
    </row>
    <row r="468" spans="2:15">
      <c r="B468" s="174" t="s">
        <v>2043</v>
      </c>
      <c r="C468" s="175" t="s">
        <v>489</v>
      </c>
      <c r="D468" s="176" t="s">
        <v>490</v>
      </c>
      <c r="E468" s="177" t="s">
        <v>2039</v>
      </c>
      <c r="F468" s="175">
        <f t="shared" si="15"/>
        <v>14</v>
      </c>
      <c r="G468" s="175" t="str">
        <f t="shared" si="16"/>
        <v>Grand Rapids</v>
      </c>
      <c r="H468" s="175"/>
      <c r="I468" s="178" t="s">
        <v>2044</v>
      </c>
      <c r="J468" s="27" t="s">
        <v>490</v>
      </c>
      <c r="K468" s="27">
        <v>534</v>
      </c>
      <c r="L468" s="179">
        <v>6973</v>
      </c>
      <c r="M468" s="180" t="s">
        <v>2041</v>
      </c>
      <c r="N468" s="181" t="s">
        <v>490</v>
      </c>
      <c r="O468" s="182" t="s">
        <v>2042</v>
      </c>
    </row>
    <row r="469" spans="2:15">
      <c r="B469" s="174" t="s">
        <v>878</v>
      </c>
      <c r="C469" s="175" t="s">
        <v>489</v>
      </c>
      <c r="D469" s="176" t="s">
        <v>490</v>
      </c>
      <c r="E469" s="177" t="s">
        <v>1759</v>
      </c>
      <c r="F469" s="175">
        <f t="shared" si="15"/>
        <v>15</v>
      </c>
      <c r="G469" s="175" t="str">
        <f t="shared" si="16"/>
        <v>Traverse City</v>
      </c>
      <c r="H469" s="175"/>
      <c r="I469" s="178" t="s">
        <v>1760</v>
      </c>
      <c r="J469" s="27" t="s">
        <v>490</v>
      </c>
      <c r="K469" s="27">
        <v>231</v>
      </c>
      <c r="L469" s="179">
        <v>8284</v>
      </c>
      <c r="M469" s="180" t="s">
        <v>805</v>
      </c>
      <c r="N469" s="181" t="s">
        <v>490</v>
      </c>
      <c r="O469" s="182" t="s">
        <v>806</v>
      </c>
    </row>
    <row r="470" spans="2:15">
      <c r="B470" s="174" t="s">
        <v>2168</v>
      </c>
      <c r="C470" s="175" t="s">
        <v>489</v>
      </c>
      <c r="D470" s="176" t="s">
        <v>490</v>
      </c>
      <c r="E470" s="177" t="s">
        <v>2169</v>
      </c>
      <c r="F470" s="175">
        <f t="shared" si="15"/>
        <v>15</v>
      </c>
      <c r="G470" s="175" t="str">
        <f t="shared" si="16"/>
        <v>Mackinaw City</v>
      </c>
      <c r="H470" s="175"/>
      <c r="I470" s="178" t="s">
        <v>2170</v>
      </c>
      <c r="J470" s="27" t="s">
        <v>490</v>
      </c>
      <c r="K470" s="27">
        <v>131</v>
      </c>
      <c r="L470" s="179">
        <v>9316</v>
      </c>
      <c r="M470" s="180" t="s">
        <v>805</v>
      </c>
      <c r="N470" s="181" t="s">
        <v>490</v>
      </c>
      <c r="O470" s="182" t="s">
        <v>806</v>
      </c>
    </row>
    <row r="471" spans="2:15">
      <c r="B471" s="174" t="s">
        <v>99</v>
      </c>
      <c r="C471" s="175" t="s">
        <v>489</v>
      </c>
      <c r="D471" s="176" t="s">
        <v>490</v>
      </c>
      <c r="E471" s="177" t="s">
        <v>100</v>
      </c>
      <c r="F471" s="175">
        <f t="shared" si="15"/>
        <v>15</v>
      </c>
      <c r="G471" s="175" t="str">
        <f t="shared" si="16"/>
        <v>Iron Mountain</v>
      </c>
      <c r="H471" s="175"/>
      <c r="I471" s="178" t="s">
        <v>101</v>
      </c>
      <c r="J471" s="27" t="s">
        <v>490</v>
      </c>
      <c r="K471" s="27">
        <v>155</v>
      </c>
      <c r="L471" s="179">
        <v>9567</v>
      </c>
      <c r="M471" s="180" t="s">
        <v>805</v>
      </c>
      <c r="N471" s="181" t="s">
        <v>490</v>
      </c>
      <c r="O471" s="182" t="s">
        <v>806</v>
      </c>
    </row>
    <row r="472" spans="2:15">
      <c r="B472" s="174" t="s">
        <v>802</v>
      </c>
      <c r="C472" s="175" t="s">
        <v>489</v>
      </c>
      <c r="D472" s="176" t="s">
        <v>490</v>
      </c>
      <c r="E472" s="177" t="s">
        <v>803</v>
      </c>
      <c r="F472" s="175">
        <f t="shared" si="15"/>
        <v>10</v>
      </c>
      <c r="G472" s="175" t="str">
        <f t="shared" si="16"/>
        <v>Houghton</v>
      </c>
      <c r="H472" s="175"/>
      <c r="I472" s="178" t="s">
        <v>804</v>
      </c>
      <c r="J472" s="27" t="s">
        <v>490</v>
      </c>
      <c r="K472" s="27">
        <v>256</v>
      </c>
      <c r="L472" s="179">
        <v>8218</v>
      </c>
      <c r="M472" s="180" t="s">
        <v>805</v>
      </c>
      <c r="N472" s="181" t="s">
        <v>490</v>
      </c>
      <c r="O472" s="182" t="s">
        <v>806</v>
      </c>
    </row>
    <row r="473" spans="2:15">
      <c r="B473" s="174" t="s">
        <v>1709</v>
      </c>
      <c r="C473" s="175" t="s">
        <v>1333</v>
      </c>
      <c r="D473" s="176" t="s">
        <v>1334</v>
      </c>
      <c r="E473" s="177" t="s">
        <v>1710</v>
      </c>
      <c r="F473" s="175">
        <f t="shared" si="15"/>
        <v>12</v>
      </c>
      <c r="G473" s="175" t="str">
        <f t="shared" si="16"/>
        <v>Des Moines</v>
      </c>
      <c r="H473" s="175"/>
      <c r="I473" s="178" t="s">
        <v>2318</v>
      </c>
      <c r="J473" s="27" t="s">
        <v>1334</v>
      </c>
      <c r="K473" s="27">
        <v>1036</v>
      </c>
      <c r="L473" s="179">
        <v>6497</v>
      </c>
      <c r="M473" s="180" t="s">
        <v>1337</v>
      </c>
      <c r="N473" s="181" t="s">
        <v>1334</v>
      </c>
      <c r="O473" s="182" t="s">
        <v>1338</v>
      </c>
    </row>
    <row r="474" spans="2:15">
      <c r="B474" s="174" t="s">
        <v>1711</v>
      </c>
      <c r="C474" s="175" t="s">
        <v>1333</v>
      </c>
      <c r="D474" s="176" t="s">
        <v>1334</v>
      </c>
      <c r="E474" s="177" t="s">
        <v>1710</v>
      </c>
      <c r="F474" s="175">
        <f t="shared" si="15"/>
        <v>12</v>
      </c>
      <c r="G474" s="175" t="str">
        <f t="shared" si="16"/>
        <v>Des Moines</v>
      </c>
      <c r="H474" s="175"/>
      <c r="I474" s="178" t="s">
        <v>2318</v>
      </c>
      <c r="J474" s="27" t="s">
        <v>1334</v>
      </c>
      <c r="K474" s="27">
        <v>1036</v>
      </c>
      <c r="L474" s="179">
        <v>6497</v>
      </c>
      <c r="M474" s="180" t="s">
        <v>1337</v>
      </c>
      <c r="N474" s="181" t="s">
        <v>1334</v>
      </c>
      <c r="O474" s="182" t="s">
        <v>1338</v>
      </c>
    </row>
    <row r="475" spans="2:15">
      <c r="B475" s="174" t="s">
        <v>1712</v>
      </c>
      <c r="C475" s="175" t="s">
        <v>1333</v>
      </c>
      <c r="D475" s="176" t="s">
        <v>1334</v>
      </c>
      <c r="E475" s="177" t="s">
        <v>1710</v>
      </c>
      <c r="F475" s="175">
        <f t="shared" si="15"/>
        <v>12</v>
      </c>
      <c r="G475" s="175" t="str">
        <f t="shared" si="16"/>
        <v>Des Moines</v>
      </c>
      <c r="H475" s="175"/>
      <c r="I475" s="178" t="s">
        <v>2318</v>
      </c>
      <c r="J475" s="27" t="s">
        <v>1334</v>
      </c>
      <c r="K475" s="27">
        <v>1036</v>
      </c>
      <c r="L475" s="179">
        <v>6497</v>
      </c>
      <c r="M475" s="180" t="s">
        <v>1337</v>
      </c>
      <c r="N475" s="181" t="s">
        <v>1334</v>
      </c>
      <c r="O475" s="182" t="s">
        <v>1338</v>
      </c>
    </row>
    <row r="476" spans="2:15">
      <c r="B476" s="174" t="s">
        <v>1713</v>
      </c>
      <c r="C476" s="175" t="s">
        <v>1333</v>
      </c>
      <c r="D476" s="176" t="s">
        <v>1334</v>
      </c>
      <c r="E476" s="177" t="s">
        <v>1710</v>
      </c>
      <c r="F476" s="175">
        <f t="shared" si="15"/>
        <v>12</v>
      </c>
      <c r="G476" s="175" t="str">
        <f t="shared" si="16"/>
        <v>Des Moines</v>
      </c>
      <c r="H476" s="175"/>
      <c r="I476" s="178" t="s">
        <v>2318</v>
      </c>
      <c r="J476" s="27" t="s">
        <v>1334</v>
      </c>
      <c r="K476" s="27">
        <v>1036</v>
      </c>
      <c r="L476" s="179">
        <v>6497</v>
      </c>
      <c r="M476" s="180" t="s">
        <v>1337</v>
      </c>
      <c r="N476" s="181" t="s">
        <v>1334</v>
      </c>
      <c r="O476" s="182" t="s">
        <v>1338</v>
      </c>
    </row>
    <row r="477" spans="2:15">
      <c r="B477" s="174" t="s">
        <v>1160</v>
      </c>
      <c r="C477" s="175" t="s">
        <v>1333</v>
      </c>
      <c r="D477" s="176" t="s">
        <v>1334</v>
      </c>
      <c r="E477" s="177" t="s">
        <v>1161</v>
      </c>
      <c r="F477" s="175">
        <f t="shared" si="15"/>
        <v>12</v>
      </c>
      <c r="G477" s="175" t="str">
        <f t="shared" si="16"/>
        <v>Mason City</v>
      </c>
      <c r="H477" s="175"/>
      <c r="I477" s="178" t="s">
        <v>2321</v>
      </c>
      <c r="J477" s="27" t="s">
        <v>1334</v>
      </c>
      <c r="K477" s="27">
        <v>702</v>
      </c>
      <c r="L477" s="179">
        <v>7406</v>
      </c>
      <c r="M477" s="180" t="s">
        <v>1337</v>
      </c>
      <c r="N477" s="181" t="s">
        <v>1334</v>
      </c>
      <c r="O477" s="182" t="s">
        <v>1338</v>
      </c>
    </row>
    <row r="478" spans="2:15">
      <c r="B478" s="174" t="s">
        <v>1948</v>
      </c>
      <c r="C478" s="175" t="s">
        <v>1333</v>
      </c>
      <c r="D478" s="176" t="s">
        <v>1334</v>
      </c>
      <c r="E478" s="177" t="s">
        <v>1949</v>
      </c>
      <c r="F478" s="175">
        <f t="shared" si="15"/>
        <v>12</v>
      </c>
      <c r="G478" s="175" t="str">
        <f t="shared" si="16"/>
        <v>Fort Dodge</v>
      </c>
      <c r="H478" s="175"/>
      <c r="I478" s="178" t="s">
        <v>1397</v>
      </c>
      <c r="J478" s="27" t="s">
        <v>1334</v>
      </c>
      <c r="K478" s="27">
        <v>907</v>
      </c>
      <c r="L478" s="179">
        <v>6893</v>
      </c>
      <c r="M478" s="178" t="s">
        <v>1398</v>
      </c>
      <c r="N478" s="27" t="s">
        <v>1334</v>
      </c>
      <c r="O478" s="182" t="s">
        <v>1399</v>
      </c>
    </row>
    <row r="479" spans="2:15">
      <c r="B479" s="174" t="s">
        <v>1823</v>
      </c>
      <c r="C479" s="175" t="s">
        <v>1333</v>
      </c>
      <c r="D479" s="176" t="s">
        <v>1334</v>
      </c>
      <c r="E479" s="177" t="s">
        <v>1824</v>
      </c>
      <c r="F479" s="175">
        <f t="shared" si="15"/>
        <v>10</v>
      </c>
      <c r="G479" s="175" t="str">
        <f t="shared" si="16"/>
        <v>Waterloo</v>
      </c>
      <c r="H479" s="175"/>
      <c r="I479" s="178" t="s">
        <v>2321</v>
      </c>
      <c r="J479" s="27" t="s">
        <v>1334</v>
      </c>
      <c r="K479" s="27">
        <v>702</v>
      </c>
      <c r="L479" s="179">
        <v>7406</v>
      </c>
      <c r="M479" s="180" t="s">
        <v>1337</v>
      </c>
      <c r="N479" s="181" t="s">
        <v>1334</v>
      </c>
      <c r="O479" s="182" t="s">
        <v>1338</v>
      </c>
    </row>
    <row r="480" spans="2:15">
      <c r="B480" s="174" t="s">
        <v>1825</v>
      </c>
      <c r="C480" s="175" t="s">
        <v>1333</v>
      </c>
      <c r="D480" s="176" t="s">
        <v>1334</v>
      </c>
      <c r="E480" s="177" t="s">
        <v>1824</v>
      </c>
      <c r="F480" s="175">
        <f t="shared" si="15"/>
        <v>10</v>
      </c>
      <c r="G480" s="175" t="str">
        <f t="shared" si="16"/>
        <v>Waterloo</v>
      </c>
      <c r="H480" s="175"/>
      <c r="I480" s="178" t="s">
        <v>2321</v>
      </c>
      <c r="J480" s="27" t="s">
        <v>1334</v>
      </c>
      <c r="K480" s="27">
        <v>702</v>
      </c>
      <c r="L480" s="179">
        <v>7406</v>
      </c>
      <c r="M480" s="180" t="s">
        <v>1337</v>
      </c>
      <c r="N480" s="181" t="s">
        <v>1334</v>
      </c>
      <c r="O480" s="182" t="s">
        <v>1338</v>
      </c>
    </row>
    <row r="481" spans="2:15">
      <c r="B481" s="174" t="s">
        <v>1672</v>
      </c>
      <c r="C481" s="175" t="s">
        <v>1333</v>
      </c>
      <c r="D481" s="176" t="s">
        <v>1334</v>
      </c>
      <c r="E481" s="177" t="s">
        <v>1673</v>
      </c>
      <c r="F481" s="175">
        <f t="shared" si="15"/>
        <v>9</v>
      </c>
      <c r="G481" s="175" t="str">
        <f t="shared" si="16"/>
        <v>Creston</v>
      </c>
      <c r="H481" s="175"/>
      <c r="I481" s="178" t="s">
        <v>2318</v>
      </c>
      <c r="J481" s="27" t="s">
        <v>1334</v>
      </c>
      <c r="K481" s="27">
        <v>1036</v>
      </c>
      <c r="L481" s="179">
        <v>6497</v>
      </c>
      <c r="M481" s="180" t="s">
        <v>1337</v>
      </c>
      <c r="N481" s="181" t="s">
        <v>1334</v>
      </c>
      <c r="O481" s="182" t="s">
        <v>1338</v>
      </c>
    </row>
    <row r="482" spans="2:15">
      <c r="B482" s="174" t="s">
        <v>2246</v>
      </c>
      <c r="C482" s="175" t="s">
        <v>1333</v>
      </c>
      <c r="D482" s="176" t="s">
        <v>1334</v>
      </c>
      <c r="E482" s="177" t="s">
        <v>2247</v>
      </c>
      <c r="F482" s="175">
        <f t="shared" si="15"/>
        <v>12</v>
      </c>
      <c r="G482" s="175" t="str">
        <f t="shared" si="16"/>
        <v>Sioux City</v>
      </c>
      <c r="H482" s="175"/>
      <c r="I482" s="178" t="s">
        <v>1397</v>
      </c>
      <c r="J482" s="27" t="s">
        <v>1334</v>
      </c>
      <c r="K482" s="27">
        <v>907</v>
      </c>
      <c r="L482" s="179">
        <v>6893</v>
      </c>
      <c r="M482" s="178" t="s">
        <v>1398</v>
      </c>
      <c r="N482" s="27" t="s">
        <v>1334</v>
      </c>
      <c r="O482" s="182" t="s">
        <v>1399</v>
      </c>
    </row>
    <row r="483" spans="2:15">
      <c r="B483" s="174" t="s">
        <v>2248</v>
      </c>
      <c r="C483" s="175" t="s">
        <v>1333</v>
      </c>
      <c r="D483" s="176" t="s">
        <v>1334</v>
      </c>
      <c r="E483" s="177" t="s">
        <v>2247</v>
      </c>
      <c r="F483" s="175">
        <f t="shared" si="15"/>
        <v>12</v>
      </c>
      <c r="G483" s="175" t="str">
        <f t="shared" si="16"/>
        <v>Sioux City</v>
      </c>
      <c r="H483" s="175"/>
      <c r="I483" s="178" t="s">
        <v>1397</v>
      </c>
      <c r="J483" s="27" t="s">
        <v>1334</v>
      </c>
      <c r="K483" s="27">
        <v>907</v>
      </c>
      <c r="L483" s="179">
        <v>6893</v>
      </c>
      <c r="M483" s="178" t="s">
        <v>1398</v>
      </c>
      <c r="N483" s="27" t="s">
        <v>1334</v>
      </c>
      <c r="O483" s="182" t="s">
        <v>1399</v>
      </c>
    </row>
    <row r="484" spans="2:15">
      <c r="B484" s="174" t="s">
        <v>1288</v>
      </c>
      <c r="C484" s="175" t="s">
        <v>1333</v>
      </c>
      <c r="D484" s="176" t="s">
        <v>1334</v>
      </c>
      <c r="E484" s="177" t="s">
        <v>1289</v>
      </c>
      <c r="F484" s="175">
        <f t="shared" si="15"/>
        <v>9</v>
      </c>
      <c r="G484" s="175" t="str">
        <f t="shared" si="16"/>
        <v>Sheldon</v>
      </c>
      <c r="H484" s="175"/>
      <c r="I484" s="178" t="s">
        <v>1290</v>
      </c>
      <c r="J484" s="27" t="s">
        <v>256</v>
      </c>
      <c r="K484" s="27">
        <v>744</v>
      </c>
      <c r="L484" s="179">
        <v>7809</v>
      </c>
      <c r="M484" s="180" t="s">
        <v>1291</v>
      </c>
      <c r="N484" s="181" t="s">
        <v>256</v>
      </c>
      <c r="O484" s="182" t="s">
        <v>1292</v>
      </c>
    </row>
    <row r="485" spans="2:15">
      <c r="B485" s="174" t="s">
        <v>1232</v>
      </c>
      <c r="C485" s="175" t="s">
        <v>1333</v>
      </c>
      <c r="D485" s="176" t="s">
        <v>1334</v>
      </c>
      <c r="E485" s="177" t="s">
        <v>1233</v>
      </c>
      <c r="F485" s="175">
        <f t="shared" si="15"/>
        <v>9</v>
      </c>
      <c r="G485" s="175" t="str">
        <f t="shared" si="16"/>
        <v>Spencer</v>
      </c>
      <c r="H485" s="175"/>
      <c r="I485" s="178" t="s">
        <v>1290</v>
      </c>
      <c r="J485" s="27" t="s">
        <v>256</v>
      </c>
      <c r="K485" s="27">
        <v>744</v>
      </c>
      <c r="L485" s="179">
        <v>7809</v>
      </c>
      <c r="M485" s="180" t="s">
        <v>1291</v>
      </c>
      <c r="N485" s="181" t="s">
        <v>256</v>
      </c>
      <c r="O485" s="182" t="s">
        <v>1292</v>
      </c>
    </row>
    <row r="486" spans="2:15">
      <c r="B486" s="174" t="s">
        <v>1395</v>
      </c>
      <c r="C486" s="175" t="s">
        <v>1333</v>
      </c>
      <c r="D486" s="176" t="s">
        <v>1334</v>
      </c>
      <c r="E486" s="177" t="s">
        <v>1396</v>
      </c>
      <c r="F486" s="175">
        <f t="shared" si="15"/>
        <v>9</v>
      </c>
      <c r="G486" s="175" t="str">
        <f t="shared" si="16"/>
        <v>Carroll</v>
      </c>
      <c r="H486" s="175"/>
      <c r="I486" s="178" t="s">
        <v>1397</v>
      </c>
      <c r="J486" s="27" t="s">
        <v>1334</v>
      </c>
      <c r="K486" s="27">
        <v>907</v>
      </c>
      <c r="L486" s="179">
        <v>6893</v>
      </c>
      <c r="M486" s="178" t="s">
        <v>1398</v>
      </c>
      <c r="N486" s="27" t="s">
        <v>1334</v>
      </c>
      <c r="O486" s="182" t="s">
        <v>1399</v>
      </c>
    </row>
    <row r="487" spans="2:15">
      <c r="B487" s="174" t="s">
        <v>1665</v>
      </c>
      <c r="C487" s="175" t="s">
        <v>1333</v>
      </c>
      <c r="D487" s="176" t="s">
        <v>1334</v>
      </c>
      <c r="E487" s="177" t="s">
        <v>1666</v>
      </c>
      <c r="F487" s="175">
        <f t="shared" si="15"/>
        <v>16</v>
      </c>
      <c r="G487" s="175" t="str">
        <f t="shared" si="16"/>
        <v>Council Bluffs</v>
      </c>
      <c r="H487" s="175"/>
      <c r="I487" s="178" t="s">
        <v>1667</v>
      </c>
      <c r="J487" s="27" t="s">
        <v>457</v>
      </c>
      <c r="K487" s="27">
        <v>1037</v>
      </c>
      <c r="L487" s="179">
        <v>6413</v>
      </c>
      <c r="M487" s="180" t="s">
        <v>1668</v>
      </c>
      <c r="N487" s="181" t="s">
        <v>457</v>
      </c>
      <c r="O487" s="182" t="s">
        <v>1669</v>
      </c>
    </row>
    <row r="488" spans="2:15">
      <c r="B488" s="174" t="s">
        <v>1293</v>
      </c>
      <c r="C488" s="175" t="s">
        <v>1333</v>
      </c>
      <c r="D488" s="176" t="s">
        <v>1334</v>
      </c>
      <c r="E488" s="177" t="s">
        <v>1294</v>
      </c>
      <c r="F488" s="175">
        <f t="shared" si="15"/>
        <v>12</v>
      </c>
      <c r="G488" s="175" t="str">
        <f t="shared" si="16"/>
        <v>Shenandoah</v>
      </c>
      <c r="H488" s="175"/>
      <c r="I488" s="178" t="s">
        <v>1667</v>
      </c>
      <c r="J488" s="27" t="s">
        <v>457</v>
      </c>
      <c r="K488" s="27">
        <v>1037</v>
      </c>
      <c r="L488" s="179">
        <v>6413</v>
      </c>
      <c r="M488" s="180" t="s">
        <v>1668</v>
      </c>
      <c r="N488" s="181" t="s">
        <v>457</v>
      </c>
      <c r="O488" s="182" t="s">
        <v>1669</v>
      </c>
    </row>
    <row r="489" spans="2:15">
      <c r="B489" s="174" t="s">
        <v>1744</v>
      </c>
      <c r="C489" s="175" t="s">
        <v>1333</v>
      </c>
      <c r="D489" s="176" t="s">
        <v>1334</v>
      </c>
      <c r="E489" s="177" t="s">
        <v>1745</v>
      </c>
      <c r="F489" s="175">
        <f t="shared" si="15"/>
        <v>9</v>
      </c>
      <c r="G489" s="175" t="str">
        <f t="shared" si="16"/>
        <v>Dubuque</v>
      </c>
      <c r="H489" s="175"/>
      <c r="I489" s="178" t="s">
        <v>1746</v>
      </c>
      <c r="J489" s="27" t="s">
        <v>1334</v>
      </c>
      <c r="K489" s="27">
        <v>593</v>
      </c>
      <c r="L489" s="179">
        <v>7327</v>
      </c>
      <c r="M489" s="180" t="s">
        <v>1337</v>
      </c>
      <c r="N489" s="181" t="s">
        <v>1334</v>
      </c>
      <c r="O489" s="182" t="s">
        <v>1338</v>
      </c>
    </row>
    <row r="490" spans="2:15">
      <c r="B490" s="174" t="s">
        <v>1699</v>
      </c>
      <c r="C490" s="175" t="s">
        <v>1333</v>
      </c>
      <c r="D490" s="176" t="s">
        <v>1334</v>
      </c>
      <c r="E490" s="177" t="s">
        <v>1700</v>
      </c>
      <c r="F490" s="175">
        <f t="shared" si="15"/>
        <v>9</v>
      </c>
      <c r="G490" s="175" t="str">
        <f t="shared" si="16"/>
        <v>Decorah</v>
      </c>
      <c r="H490" s="175"/>
      <c r="I490" s="178" t="s">
        <v>1701</v>
      </c>
      <c r="J490" s="27" t="s">
        <v>1702</v>
      </c>
      <c r="K490" s="27">
        <v>692</v>
      </c>
      <c r="L490" s="179">
        <v>7491</v>
      </c>
      <c r="M490" s="180" t="s">
        <v>1337</v>
      </c>
      <c r="N490" s="181" t="s">
        <v>1334</v>
      </c>
      <c r="O490" s="182" t="s">
        <v>1338</v>
      </c>
    </row>
    <row r="491" spans="2:15">
      <c r="B491" s="174" t="s">
        <v>2316</v>
      </c>
      <c r="C491" s="175" t="s">
        <v>1333</v>
      </c>
      <c r="D491" s="176" t="s">
        <v>1334</v>
      </c>
      <c r="E491" s="177" t="s">
        <v>2317</v>
      </c>
      <c r="F491" s="175">
        <f t="shared" si="15"/>
        <v>14</v>
      </c>
      <c r="G491" s="175" t="str">
        <f t="shared" si="16"/>
        <v>Cedar Rapids</v>
      </c>
      <c r="H491" s="175"/>
      <c r="I491" s="178" t="s">
        <v>2318</v>
      </c>
      <c r="J491" s="27" t="s">
        <v>1334</v>
      </c>
      <c r="K491" s="27">
        <v>1036</v>
      </c>
      <c r="L491" s="179">
        <v>6497</v>
      </c>
      <c r="M491" s="180" t="s">
        <v>1337</v>
      </c>
      <c r="N491" s="181" t="s">
        <v>1334</v>
      </c>
      <c r="O491" s="182" t="s">
        <v>1338</v>
      </c>
    </row>
    <row r="492" spans="2:15">
      <c r="B492" s="174" t="s">
        <v>2319</v>
      </c>
      <c r="C492" s="175" t="s">
        <v>1333</v>
      </c>
      <c r="D492" s="176" t="s">
        <v>1334</v>
      </c>
      <c r="E492" s="177" t="s">
        <v>2317</v>
      </c>
      <c r="F492" s="175">
        <f t="shared" si="15"/>
        <v>14</v>
      </c>
      <c r="G492" s="175" t="str">
        <f t="shared" si="16"/>
        <v>Cedar Rapids</v>
      </c>
      <c r="H492" s="175"/>
      <c r="I492" s="178" t="s">
        <v>2318</v>
      </c>
      <c r="J492" s="27" t="s">
        <v>1334</v>
      </c>
      <c r="K492" s="27">
        <v>1036</v>
      </c>
      <c r="L492" s="179">
        <v>6497</v>
      </c>
      <c r="M492" s="180" t="s">
        <v>1337</v>
      </c>
      <c r="N492" s="181" t="s">
        <v>1334</v>
      </c>
      <c r="O492" s="182" t="s">
        <v>1338</v>
      </c>
    </row>
    <row r="493" spans="2:15">
      <c r="B493" s="174" t="s">
        <v>2320</v>
      </c>
      <c r="C493" s="175" t="s">
        <v>1333</v>
      </c>
      <c r="D493" s="176" t="s">
        <v>1334</v>
      </c>
      <c r="E493" s="177" t="s">
        <v>2317</v>
      </c>
      <c r="F493" s="175">
        <f t="shared" si="15"/>
        <v>14</v>
      </c>
      <c r="G493" s="175" t="str">
        <f t="shared" si="16"/>
        <v>Cedar Rapids</v>
      </c>
      <c r="H493" s="175"/>
      <c r="I493" s="178" t="s">
        <v>2321</v>
      </c>
      <c r="J493" s="27" t="s">
        <v>1334</v>
      </c>
      <c r="K493" s="27">
        <v>702</v>
      </c>
      <c r="L493" s="179">
        <v>7406</v>
      </c>
      <c r="M493" s="180" t="s">
        <v>1337</v>
      </c>
      <c r="N493" s="181" t="s">
        <v>1334</v>
      </c>
      <c r="O493" s="182" t="s">
        <v>1338</v>
      </c>
    </row>
    <row r="494" spans="2:15">
      <c r="B494" s="174" t="s">
        <v>1470</v>
      </c>
      <c r="C494" s="175" t="s">
        <v>1333</v>
      </c>
      <c r="D494" s="176" t="s">
        <v>1334</v>
      </c>
      <c r="E494" s="177" t="s">
        <v>1471</v>
      </c>
      <c r="F494" s="175">
        <f t="shared" si="15"/>
        <v>9</v>
      </c>
      <c r="G494" s="175" t="str">
        <f t="shared" si="16"/>
        <v>Ottumwa</v>
      </c>
      <c r="H494" s="175"/>
      <c r="I494" s="178" t="s">
        <v>1336</v>
      </c>
      <c r="J494" s="27" t="s">
        <v>1648</v>
      </c>
      <c r="K494" s="27">
        <v>911</v>
      </c>
      <c r="L494" s="179">
        <v>6474</v>
      </c>
      <c r="M494" s="180" t="s">
        <v>1337</v>
      </c>
      <c r="N494" s="181" t="s">
        <v>1334</v>
      </c>
      <c r="O494" s="182" t="s">
        <v>1338</v>
      </c>
    </row>
    <row r="495" spans="2:15">
      <c r="B495" s="174" t="s">
        <v>1332</v>
      </c>
      <c r="C495" s="175" t="s">
        <v>1333</v>
      </c>
      <c r="D495" s="176" t="s">
        <v>1334</v>
      </c>
      <c r="E495" s="177" t="s">
        <v>1335</v>
      </c>
      <c r="F495" s="175">
        <f t="shared" si="15"/>
        <v>12</v>
      </c>
      <c r="G495" s="175" t="str">
        <f t="shared" si="16"/>
        <v>Burlington</v>
      </c>
      <c r="H495" s="175"/>
      <c r="I495" s="178" t="s">
        <v>1336</v>
      </c>
      <c r="J495" s="27" t="s">
        <v>1648</v>
      </c>
      <c r="K495" s="27">
        <v>911</v>
      </c>
      <c r="L495" s="179">
        <v>6474</v>
      </c>
      <c r="M495" s="180" t="s">
        <v>1337</v>
      </c>
      <c r="N495" s="181" t="s">
        <v>1334</v>
      </c>
      <c r="O495" s="182" t="s">
        <v>1338</v>
      </c>
    </row>
    <row r="496" spans="2:15">
      <c r="B496" s="174" t="s">
        <v>1686</v>
      </c>
      <c r="C496" s="175" t="s">
        <v>1333</v>
      </c>
      <c r="D496" s="176" t="s">
        <v>1334</v>
      </c>
      <c r="E496" s="177" t="s">
        <v>1687</v>
      </c>
      <c r="F496" s="175">
        <f t="shared" si="15"/>
        <v>11</v>
      </c>
      <c r="G496" s="175" t="str">
        <f t="shared" si="16"/>
        <v>Davenport</v>
      </c>
      <c r="H496" s="175"/>
      <c r="I496" s="178" t="s">
        <v>1336</v>
      </c>
      <c r="J496" s="27" t="s">
        <v>1648</v>
      </c>
      <c r="K496" s="27">
        <v>911</v>
      </c>
      <c r="L496" s="179">
        <v>6474</v>
      </c>
      <c r="M496" s="180" t="s">
        <v>1337</v>
      </c>
      <c r="N496" s="181" t="s">
        <v>1334</v>
      </c>
      <c r="O496" s="182" t="s">
        <v>1338</v>
      </c>
    </row>
    <row r="497" spans="2:15">
      <c r="B497" s="174" t="s">
        <v>1688</v>
      </c>
      <c r="C497" s="175" t="s">
        <v>1333</v>
      </c>
      <c r="D497" s="176" t="s">
        <v>1334</v>
      </c>
      <c r="E497" s="177" t="s">
        <v>1687</v>
      </c>
      <c r="F497" s="175">
        <f t="shared" si="15"/>
        <v>11</v>
      </c>
      <c r="G497" s="175" t="str">
        <f t="shared" si="16"/>
        <v>Davenport</v>
      </c>
      <c r="H497" s="175"/>
      <c r="I497" s="178" t="s">
        <v>1336</v>
      </c>
      <c r="J497" s="27" t="s">
        <v>1648</v>
      </c>
      <c r="K497" s="27">
        <v>911</v>
      </c>
      <c r="L497" s="179">
        <v>6474</v>
      </c>
      <c r="M497" s="180" t="s">
        <v>1337</v>
      </c>
      <c r="N497" s="181" t="s">
        <v>1334</v>
      </c>
      <c r="O497" s="182" t="s">
        <v>1338</v>
      </c>
    </row>
    <row r="498" spans="2:15">
      <c r="B498" s="174" t="s">
        <v>171</v>
      </c>
      <c r="C498" s="175" t="s">
        <v>51</v>
      </c>
      <c r="D498" s="176" t="s">
        <v>1702</v>
      </c>
      <c r="E498" s="177" t="s">
        <v>172</v>
      </c>
      <c r="F498" s="175">
        <f t="shared" si="15"/>
        <v>11</v>
      </c>
      <c r="G498" s="175" t="str">
        <f t="shared" si="16"/>
        <v>Milwaukee</v>
      </c>
      <c r="H498" s="175"/>
      <c r="I498" s="178" t="s">
        <v>944</v>
      </c>
      <c r="J498" s="27" t="s">
        <v>1702</v>
      </c>
      <c r="K498" s="27">
        <v>485</v>
      </c>
      <c r="L498" s="179">
        <v>7673</v>
      </c>
      <c r="M498" s="180" t="s">
        <v>173</v>
      </c>
      <c r="N498" s="181" t="s">
        <v>1702</v>
      </c>
      <c r="O498" s="182" t="s">
        <v>174</v>
      </c>
    </row>
    <row r="499" spans="2:15">
      <c r="B499" s="174" t="s">
        <v>175</v>
      </c>
      <c r="C499" s="175" t="s">
        <v>51</v>
      </c>
      <c r="D499" s="176" t="s">
        <v>1702</v>
      </c>
      <c r="E499" s="177" t="s">
        <v>172</v>
      </c>
      <c r="F499" s="175">
        <f t="shared" si="15"/>
        <v>11</v>
      </c>
      <c r="G499" s="175" t="str">
        <f t="shared" si="16"/>
        <v>Milwaukee</v>
      </c>
      <c r="H499" s="175"/>
      <c r="I499" s="178" t="s">
        <v>944</v>
      </c>
      <c r="J499" s="27" t="s">
        <v>1702</v>
      </c>
      <c r="K499" s="27">
        <v>485</v>
      </c>
      <c r="L499" s="179">
        <v>7673</v>
      </c>
      <c r="M499" s="180" t="s">
        <v>173</v>
      </c>
      <c r="N499" s="181" t="s">
        <v>1702</v>
      </c>
      <c r="O499" s="182" t="s">
        <v>174</v>
      </c>
    </row>
    <row r="500" spans="2:15">
      <c r="B500" s="174" t="s">
        <v>176</v>
      </c>
      <c r="C500" s="175" t="s">
        <v>51</v>
      </c>
      <c r="D500" s="176" t="s">
        <v>1702</v>
      </c>
      <c r="E500" s="177" t="s">
        <v>172</v>
      </c>
      <c r="F500" s="175">
        <f t="shared" si="15"/>
        <v>11</v>
      </c>
      <c r="G500" s="175" t="str">
        <f t="shared" si="16"/>
        <v>Milwaukee</v>
      </c>
      <c r="H500" s="175"/>
      <c r="I500" s="178" t="s">
        <v>177</v>
      </c>
      <c r="J500" s="27" t="s">
        <v>1702</v>
      </c>
      <c r="K500" s="27">
        <v>479</v>
      </c>
      <c r="L500" s="179">
        <v>7324</v>
      </c>
      <c r="M500" s="180" t="s">
        <v>173</v>
      </c>
      <c r="N500" s="181" t="s">
        <v>1702</v>
      </c>
      <c r="O500" s="182" t="s">
        <v>174</v>
      </c>
    </row>
    <row r="501" spans="2:15">
      <c r="B501" s="174" t="s">
        <v>178</v>
      </c>
      <c r="C501" s="175" t="s">
        <v>51</v>
      </c>
      <c r="D501" s="176" t="s">
        <v>1702</v>
      </c>
      <c r="E501" s="177" t="s">
        <v>172</v>
      </c>
      <c r="F501" s="175">
        <f t="shared" si="15"/>
        <v>11</v>
      </c>
      <c r="G501" s="175" t="str">
        <f t="shared" si="16"/>
        <v>Milwaukee</v>
      </c>
      <c r="H501" s="175"/>
      <c r="I501" s="178" t="s">
        <v>177</v>
      </c>
      <c r="J501" s="27" t="s">
        <v>1702</v>
      </c>
      <c r="K501" s="27">
        <v>479</v>
      </c>
      <c r="L501" s="179">
        <v>7324</v>
      </c>
      <c r="M501" s="180" t="s">
        <v>173</v>
      </c>
      <c r="N501" s="181" t="s">
        <v>1702</v>
      </c>
      <c r="O501" s="182" t="s">
        <v>174</v>
      </c>
    </row>
    <row r="502" spans="2:15">
      <c r="B502" s="174" t="s">
        <v>2494</v>
      </c>
      <c r="C502" s="175" t="s">
        <v>51</v>
      </c>
      <c r="D502" s="176" t="s">
        <v>1702</v>
      </c>
      <c r="E502" s="177" t="s">
        <v>2495</v>
      </c>
      <c r="F502" s="175">
        <f t="shared" si="15"/>
        <v>8</v>
      </c>
      <c r="G502" s="175" t="str">
        <f t="shared" si="16"/>
        <v>Racine</v>
      </c>
      <c r="H502" s="175"/>
      <c r="I502" s="178" t="s">
        <v>177</v>
      </c>
      <c r="J502" s="27" t="s">
        <v>1702</v>
      </c>
      <c r="K502" s="27">
        <v>479</v>
      </c>
      <c r="L502" s="179">
        <v>7324</v>
      </c>
      <c r="M502" s="180" t="s">
        <v>173</v>
      </c>
      <c r="N502" s="181" t="s">
        <v>1702</v>
      </c>
      <c r="O502" s="182" t="s">
        <v>174</v>
      </c>
    </row>
    <row r="503" spans="2:15">
      <c r="B503" s="174" t="s">
        <v>2177</v>
      </c>
      <c r="C503" s="175" t="s">
        <v>51</v>
      </c>
      <c r="D503" s="176" t="s">
        <v>1702</v>
      </c>
      <c r="E503" s="177" t="s">
        <v>2178</v>
      </c>
      <c r="F503" s="175">
        <f t="shared" si="15"/>
        <v>9</v>
      </c>
      <c r="G503" s="175" t="str">
        <f t="shared" si="16"/>
        <v>Madison</v>
      </c>
      <c r="H503" s="175"/>
      <c r="I503" s="178" t="s">
        <v>1701</v>
      </c>
      <c r="J503" s="27" t="s">
        <v>1702</v>
      </c>
      <c r="K503" s="27">
        <v>692</v>
      </c>
      <c r="L503" s="179">
        <v>7491</v>
      </c>
      <c r="M503" s="180" t="s">
        <v>945</v>
      </c>
      <c r="N503" s="181" t="s">
        <v>1702</v>
      </c>
      <c r="O503" s="182" t="s">
        <v>946</v>
      </c>
    </row>
    <row r="504" spans="2:15">
      <c r="B504" s="174" t="s">
        <v>2179</v>
      </c>
      <c r="C504" s="175" t="s">
        <v>51</v>
      </c>
      <c r="D504" s="176" t="s">
        <v>1702</v>
      </c>
      <c r="E504" s="177" t="s">
        <v>2178</v>
      </c>
      <c r="F504" s="175">
        <f t="shared" si="15"/>
        <v>9</v>
      </c>
      <c r="G504" s="175" t="str">
        <f t="shared" si="16"/>
        <v>Madison</v>
      </c>
      <c r="H504" s="175"/>
      <c r="I504" s="178" t="s">
        <v>1701</v>
      </c>
      <c r="J504" s="27" t="s">
        <v>1702</v>
      </c>
      <c r="K504" s="27">
        <v>692</v>
      </c>
      <c r="L504" s="179">
        <v>7491</v>
      </c>
      <c r="M504" s="180" t="s">
        <v>945</v>
      </c>
      <c r="N504" s="181" t="s">
        <v>1702</v>
      </c>
      <c r="O504" s="182" t="s">
        <v>946</v>
      </c>
    </row>
    <row r="505" spans="2:15">
      <c r="B505" s="174" t="s">
        <v>2180</v>
      </c>
      <c r="C505" s="175" t="s">
        <v>51</v>
      </c>
      <c r="D505" s="176" t="s">
        <v>1702</v>
      </c>
      <c r="E505" s="177" t="s">
        <v>2178</v>
      </c>
      <c r="F505" s="175">
        <f t="shared" si="15"/>
        <v>9</v>
      </c>
      <c r="G505" s="175" t="str">
        <f t="shared" si="16"/>
        <v>Madison</v>
      </c>
      <c r="H505" s="175"/>
      <c r="I505" s="178" t="s">
        <v>944</v>
      </c>
      <c r="J505" s="27" t="s">
        <v>1702</v>
      </c>
      <c r="K505" s="27">
        <v>485</v>
      </c>
      <c r="L505" s="179">
        <v>7673</v>
      </c>
      <c r="M505" s="180" t="s">
        <v>945</v>
      </c>
      <c r="N505" s="181" t="s">
        <v>1702</v>
      </c>
      <c r="O505" s="182" t="s">
        <v>946</v>
      </c>
    </row>
    <row r="506" spans="2:15">
      <c r="B506" s="174" t="s">
        <v>2444</v>
      </c>
      <c r="C506" s="175" t="s">
        <v>51</v>
      </c>
      <c r="D506" s="176" t="s">
        <v>1702</v>
      </c>
      <c r="E506" s="177" t="s">
        <v>2445</v>
      </c>
      <c r="F506" s="175">
        <f t="shared" si="15"/>
        <v>13</v>
      </c>
      <c r="G506" s="175" t="str">
        <f t="shared" si="16"/>
        <v>Platteville</v>
      </c>
      <c r="H506" s="175"/>
      <c r="I506" s="178" t="s">
        <v>2321</v>
      </c>
      <c r="J506" s="27" t="s">
        <v>1334</v>
      </c>
      <c r="K506" s="27">
        <v>702</v>
      </c>
      <c r="L506" s="179">
        <v>7406</v>
      </c>
      <c r="M506" s="180" t="s">
        <v>945</v>
      </c>
      <c r="N506" s="181" t="s">
        <v>1702</v>
      </c>
      <c r="O506" s="182" t="s">
        <v>946</v>
      </c>
    </row>
    <row r="507" spans="2:15">
      <c r="B507" s="174" t="s">
        <v>2459</v>
      </c>
      <c r="C507" s="175" t="s">
        <v>51</v>
      </c>
      <c r="D507" s="176" t="s">
        <v>1702</v>
      </c>
      <c r="E507" s="177" t="s">
        <v>2460</v>
      </c>
      <c r="F507" s="175">
        <f t="shared" si="15"/>
        <v>9</v>
      </c>
      <c r="G507" s="175" t="str">
        <f t="shared" si="16"/>
        <v>Portage</v>
      </c>
      <c r="H507" s="175"/>
      <c r="I507" s="178" t="s">
        <v>944</v>
      </c>
      <c r="J507" s="27" t="s">
        <v>1702</v>
      </c>
      <c r="K507" s="27">
        <v>485</v>
      </c>
      <c r="L507" s="179">
        <v>7673</v>
      </c>
      <c r="M507" s="180" t="s">
        <v>945</v>
      </c>
      <c r="N507" s="181" t="s">
        <v>1702</v>
      </c>
      <c r="O507" s="182" t="s">
        <v>946</v>
      </c>
    </row>
    <row r="508" spans="2:15">
      <c r="B508" s="174" t="s">
        <v>292</v>
      </c>
      <c r="C508" s="175" t="s">
        <v>51</v>
      </c>
      <c r="D508" s="176" t="s">
        <v>1702</v>
      </c>
      <c r="E508" s="177" t="s">
        <v>293</v>
      </c>
      <c r="F508" s="175">
        <f t="shared" si="15"/>
        <v>13</v>
      </c>
      <c r="G508" s="175" t="str">
        <f t="shared" si="16"/>
        <v>River Falls</v>
      </c>
      <c r="H508" s="175"/>
      <c r="I508" s="178" t="s">
        <v>53</v>
      </c>
      <c r="J508" s="27" t="s">
        <v>1627</v>
      </c>
      <c r="K508" s="27">
        <v>682</v>
      </c>
      <c r="L508" s="179">
        <v>7981</v>
      </c>
      <c r="M508" s="178" t="s">
        <v>684</v>
      </c>
      <c r="N508" s="27" t="s">
        <v>1627</v>
      </c>
      <c r="O508" s="182" t="s">
        <v>685</v>
      </c>
    </row>
    <row r="509" spans="2:15">
      <c r="B509" s="174" t="s">
        <v>2054</v>
      </c>
      <c r="C509" s="175" t="s">
        <v>51</v>
      </c>
      <c r="D509" s="176" t="s">
        <v>1702</v>
      </c>
      <c r="E509" s="177" t="s">
        <v>2055</v>
      </c>
      <c r="F509" s="175">
        <f t="shared" si="15"/>
        <v>11</v>
      </c>
      <c r="G509" s="175" t="str">
        <f t="shared" si="16"/>
        <v>Green Bay</v>
      </c>
      <c r="H509" s="175"/>
      <c r="I509" s="178" t="s">
        <v>2056</v>
      </c>
      <c r="J509" s="27" t="s">
        <v>1702</v>
      </c>
      <c r="K509" s="27">
        <v>381</v>
      </c>
      <c r="L509" s="179">
        <v>8089</v>
      </c>
      <c r="M509" s="180" t="s">
        <v>2057</v>
      </c>
      <c r="N509" s="181" t="s">
        <v>1702</v>
      </c>
      <c r="O509" s="182" t="s">
        <v>2058</v>
      </c>
    </row>
    <row r="510" spans="2:15">
      <c r="B510" s="174" t="s">
        <v>2059</v>
      </c>
      <c r="C510" s="175" t="s">
        <v>51</v>
      </c>
      <c r="D510" s="176" t="s">
        <v>1702</v>
      </c>
      <c r="E510" s="177" t="s">
        <v>2055</v>
      </c>
      <c r="F510" s="175">
        <f t="shared" si="15"/>
        <v>11</v>
      </c>
      <c r="G510" s="175" t="str">
        <f t="shared" si="16"/>
        <v>Green Bay</v>
      </c>
      <c r="H510" s="175"/>
      <c r="I510" s="178" t="s">
        <v>2056</v>
      </c>
      <c r="J510" s="27" t="s">
        <v>1702</v>
      </c>
      <c r="K510" s="27">
        <v>381</v>
      </c>
      <c r="L510" s="179">
        <v>8089</v>
      </c>
      <c r="M510" s="180" t="s">
        <v>2057</v>
      </c>
      <c r="N510" s="181" t="s">
        <v>1702</v>
      </c>
      <c r="O510" s="182" t="s">
        <v>2058</v>
      </c>
    </row>
    <row r="511" spans="2:15">
      <c r="B511" s="174" t="s">
        <v>2060</v>
      </c>
      <c r="C511" s="175" t="s">
        <v>51</v>
      </c>
      <c r="D511" s="176" t="s">
        <v>1702</v>
      </c>
      <c r="E511" s="177" t="s">
        <v>2055</v>
      </c>
      <c r="F511" s="175">
        <f t="shared" si="15"/>
        <v>11</v>
      </c>
      <c r="G511" s="175" t="str">
        <f t="shared" si="16"/>
        <v>Green Bay</v>
      </c>
      <c r="H511" s="175"/>
      <c r="I511" s="178" t="s">
        <v>2056</v>
      </c>
      <c r="J511" s="27" t="s">
        <v>1702</v>
      </c>
      <c r="K511" s="27">
        <v>381</v>
      </c>
      <c r="L511" s="179">
        <v>8089</v>
      </c>
      <c r="M511" s="180" t="s">
        <v>2057</v>
      </c>
      <c r="N511" s="181" t="s">
        <v>1702</v>
      </c>
      <c r="O511" s="182" t="s">
        <v>2058</v>
      </c>
    </row>
    <row r="512" spans="2:15">
      <c r="B512" s="174" t="s">
        <v>1831</v>
      </c>
      <c r="C512" s="175" t="s">
        <v>51</v>
      </c>
      <c r="D512" s="176" t="s">
        <v>1702</v>
      </c>
      <c r="E512" s="177" t="s">
        <v>1832</v>
      </c>
      <c r="F512" s="175">
        <f t="shared" si="15"/>
        <v>8</v>
      </c>
      <c r="G512" s="175" t="str">
        <f t="shared" si="16"/>
        <v>Wausau</v>
      </c>
      <c r="H512" s="175"/>
      <c r="I512" s="178" t="s">
        <v>2056</v>
      </c>
      <c r="J512" s="27" t="s">
        <v>1702</v>
      </c>
      <c r="K512" s="27">
        <v>381</v>
      </c>
      <c r="L512" s="179">
        <v>8089</v>
      </c>
      <c r="M512" s="180" t="s">
        <v>2057</v>
      </c>
      <c r="N512" s="181" t="s">
        <v>1702</v>
      </c>
      <c r="O512" s="182" t="s">
        <v>2058</v>
      </c>
    </row>
    <row r="513" spans="2:15">
      <c r="B513" s="174" t="s">
        <v>2515</v>
      </c>
      <c r="C513" s="175" t="s">
        <v>51</v>
      </c>
      <c r="D513" s="176" t="s">
        <v>1702</v>
      </c>
      <c r="E513" s="177" t="s">
        <v>2516</v>
      </c>
      <c r="F513" s="175">
        <f t="shared" si="15"/>
        <v>13</v>
      </c>
      <c r="G513" s="175" t="str">
        <f t="shared" si="16"/>
        <v>Rhinelander</v>
      </c>
      <c r="H513" s="175"/>
      <c r="I513" s="178" t="s">
        <v>804</v>
      </c>
      <c r="J513" s="27" t="s">
        <v>490</v>
      </c>
      <c r="K513" s="27">
        <v>256</v>
      </c>
      <c r="L513" s="179">
        <v>8218</v>
      </c>
      <c r="M513" s="180" t="s">
        <v>2057</v>
      </c>
      <c r="N513" s="181" t="s">
        <v>1702</v>
      </c>
      <c r="O513" s="182" t="s">
        <v>2058</v>
      </c>
    </row>
    <row r="514" spans="2:15">
      <c r="B514" s="174" t="s">
        <v>942</v>
      </c>
      <c r="C514" s="175" t="s">
        <v>51</v>
      </c>
      <c r="D514" s="176" t="s">
        <v>1702</v>
      </c>
      <c r="E514" s="177" t="s">
        <v>943</v>
      </c>
      <c r="F514" s="175">
        <f t="shared" si="15"/>
        <v>11</v>
      </c>
      <c r="G514" s="175" t="str">
        <f t="shared" si="16"/>
        <v>La Crosse</v>
      </c>
      <c r="H514" s="175"/>
      <c r="I514" s="178" t="s">
        <v>944</v>
      </c>
      <c r="J514" s="27" t="s">
        <v>1702</v>
      </c>
      <c r="K514" s="27">
        <v>485</v>
      </c>
      <c r="L514" s="179">
        <v>7673</v>
      </c>
      <c r="M514" s="180" t="s">
        <v>945</v>
      </c>
      <c r="N514" s="181" t="s">
        <v>1702</v>
      </c>
      <c r="O514" s="182" t="s">
        <v>946</v>
      </c>
    </row>
    <row r="515" spans="2:15">
      <c r="B515" s="174" t="s">
        <v>537</v>
      </c>
      <c r="C515" s="175" t="s">
        <v>51</v>
      </c>
      <c r="D515" s="176" t="s">
        <v>1702</v>
      </c>
      <c r="E515" s="177" t="s">
        <v>52</v>
      </c>
      <c r="F515" s="175">
        <f t="shared" si="15"/>
        <v>12</v>
      </c>
      <c r="G515" s="175" t="str">
        <f t="shared" si="16"/>
        <v>Eau Claire</v>
      </c>
      <c r="H515" s="175"/>
      <c r="I515" s="178" t="s">
        <v>53</v>
      </c>
      <c r="J515" s="27" t="s">
        <v>1627</v>
      </c>
      <c r="K515" s="27">
        <v>682</v>
      </c>
      <c r="L515" s="179">
        <v>7981</v>
      </c>
      <c r="M515" s="178" t="s">
        <v>684</v>
      </c>
      <c r="N515" s="27" t="s">
        <v>1627</v>
      </c>
      <c r="O515" s="182" t="s">
        <v>685</v>
      </c>
    </row>
    <row r="516" spans="2:15">
      <c r="B516" s="174" t="s">
        <v>1238</v>
      </c>
      <c r="C516" s="175" t="s">
        <v>51</v>
      </c>
      <c r="D516" s="176" t="s">
        <v>1702</v>
      </c>
      <c r="E516" s="177" t="s">
        <v>1239</v>
      </c>
      <c r="F516" s="175">
        <f t="shared" si="15"/>
        <v>9</v>
      </c>
      <c r="G516" s="175" t="str">
        <f t="shared" si="16"/>
        <v>Spooner</v>
      </c>
      <c r="H516" s="175"/>
      <c r="I516" s="178" t="s">
        <v>683</v>
      </c>
      <c r="J516" s="27" t="s">
        <v>1627</v>
      </c>
      <c r="K516" s="27">
        <v>415</v>
      </c>
      <c r="L516" s="179">
        <v>8928</v>
      </c>
      <c r="M516" s="180" t="s">
        <v>945</v>
      </c>
      <c r="N516" s="181" t="s">
        <v>1702</v>
      </c>
      <c r="O516" s="182" t="s">
        <v>946</v>
      </c>
    </row>
    <row r="517" spans="2:15">
      <c r="B517" s="174" t="s">
        <v>1468</v>
      </c>
      <c r="C517" s="175" t="s">
        <v>51</v>
      </c>
      <c r="D517" s="176" t="s">
        <v>1702</v>
      </c>
      <c r="E517" s="177" t="s">
        <v>1469</v>
      </c>
      <c r="F517" s="175">
        <f t="shared" si="15"/>
        <v>9</v>
      </c>
      <c r="G517" s="175" t="str">
        <f t="shared" si="16"/>
        <v>Oshkosh</v>
      </c>
      <c r="H517" s="175"/>
      <c r="I517" s="178" t="s">
        <v>1701</v>
      </c>
      <c r="J517" s="27" t="s">
        <v>1702</v>
      </c>
      <c r="K517" s="27">
        <v>692</v>
      </c>
      <c r="L517" s="179">
        <v>7491</v>
      </c>
      <c r="M517" s="180" t="s">
        <v>945</v>
      </c>
      <c r="N517" s="181" t="s">
        <v>1702</v>
      </c>
      <c r="O517" s="182" t="s">
        <v>946</v>
      </c>
    </row>
    <row r="518" spans="2:15">
      <c r="B518" s="174" t="s">
        <v>355</v>
      </c>
      <c r="C518" s="175" t="s">
        <v>1626</v>
      </c>
      <c r="D518" s="176" t="s">
        <v>1627</v>
      </c>
      <c r="E518" s="177" t="s">
        <v>356</v>
      </c>
      <c r="F518" s="175">
        <f t="shared" si="15"/>
        <v>12</v>
      </c>
      <c r="G518" s="175" t="str">
        <f t="shared" si="16"/>
        <v>Saint Paul</v>
      </c>
      <c r="H518" s="175"/>
      <c r="I518" s="178" t="s">
        <v>53</v>
      </c>
      <c r="J518" s="27" t="s">
        <v>1627</v>
      </c>
      <c r="K518" s="27">
        <v>682</v>
      </c>
      <c r="L518" s="179">
        <v>7981</v>
      </c>
      <c r="M518" s="178" t="s">
        <v>684</v>
      </c>
      <c r="N518" s="27" t="s">
        <v>1627</v>
      </c>
      <c r="O518" s="182" t="s">
        <v>685</v>
      </c>
    </row>
    <row r="519" spans="2:15">
      <c r="B519" s="174" t="s">
        <v>357</v>
      </c>
      <c r="C519" s="175" t="s">
        <v>1626</v>
      </c>
      <c r="D519" s="176" t="s">
        <v>1627</v>
      </c>
      <c r="E519" s="177" t="s">
        <v>356</v>
      </c>
      <c r="F519" s="175">
        <f t="shared" si="15"/>
        <v>12</v>
      </c>
      <c r="G519" s="175" t="str">
        <f t="shared" si="16"/>
        <v>Saint Paul</v>
      </c>
      <c r="H519" s="175"/>
      <c r="I519" s="178" t="s">
        <v>53</v>
      </c>
      <c r="J519" s="27" t="s">
        <v>1627</v>
      </c>
      <c r="K519" s="27">
        <v>682</v>
      </c>
      <c r="L519" s="179">
        <v>7981</v>
      </c>
      <c r="M519" s="178" t="s">
        <v>684</v>
      </c>
      <c r="N519" s="27" t="s">
        <v>1627</v>
      </c>
      <c r="O519" s="182" t="s">
        <v>685</v>
      </c>
    </row>
    <row r="520" spans="2:15">
      <c r="B520" s="174" t="s">
        <v>179</v>
      </c>
      <c r="C520" s="175" t="s">
        <v>1626</v>
      </c>
      <c r="D520" s="176" t="s">
        <v>1627</v>
      </c>
      <c r="E520" s="177" t="s">
        <v>180</v>
      </c>
      <c r="F520" s="175">
        <f t="shared" si="15"/>
        <v>13</v>
      </c>
      <c r="G520" s="175" t="str">
        <f t="shared" si="16"/>
        <v>Minneapolis</v>
      </c>
      <c r="H520" s="175"/>
      <c r="I520" s="178" t="s">
        <v>53</v>
      </c>
      <c r="J520" s="27" t="s">
        <v>1627</v>
      </c>
      <c r="K520" s="27">
        <v>682</v>
      </c>
      <c r="L520" s="179">
        <v>7981</v>
      </c>
      <c r="M520" s="178" t="s">
        <v>684</v>
      </c>
      <c r="N520" s="27" t="s">
        <v>1627</v>
      </c>
      <c r="O520" s="182" t="s">
        <v>685</v>
      </c>
    </row>
    <row r="521" spans="2:15">
      <c r="B521" s="174" t="s">
        <v>181</v>
      </c>
      <c r="C521" s="175" t="s">
        <v>1626</v>
      </c>
      <c r="D521" s="176" t="s">
        <v>1627</v>
      </c>
      <c r="E521" s="177" t="s">
        <v>180</v>
      </c>
      <c r="F521" s="175">
        <f t="shared" si="15"/>
        <v>13</v>
      </c>
      <c r="G521" s="175" t="str">
        <f t="shared" si="16"/>
        <v>Minneapolis</v>
      </c>
      <c r="H521" s="175"/>
      <c r="I521" s="178" t="s">
        <v>53</v>
      </c>
      <c r="J521" s="27" t="s">
        <v>1627</v>
      </c>
      <c r="K521" s="27">
        <v>682</v>
      </c>
      <c r="L521" s="179">
        <v>7981</v>
      </c>
      <c r="M521" s="178" t="s">
        <v>684</v>
      </c>
      <c r="N521" s="27" t="s">
        <v>1627</v>
      </c>
      <c r="O521" s="182" t="s">
        <v>685</v>
      </c>
    </row>
    <row r="522" spans="2:15">
      <c r="B522" s="174" t="s">
        <v>1747</v>
      </c>
      <c r="C522" s="175" t="s">
        <v>1626</v>
      </c>
      <c r="D522" s="176" t="s">
        <v>1627</v>
      </c>
      <c r="E522" s="177" t="s">
        <v>1748</v>
      </c>
      <c r="F522" s="175">
        <f t="shared" ref="F522:F585" si="17">LEN(E522)</f>
        <v>8</v>
      </c>
      <c r="G522" s="175" t="str">
        <f t="shared" ref="G522:G585" si="18">MID(E522,2,F522-2)</f>
        <v>Duluth</v>
      </c>
      <c r="H522" s="175"/>
      <c r="I522" s="178" t="s">
        <v>1749</v>
      </c>
      <c r="J522" s="27" t="s">
        <v>1627</v>
      </c>
      <c r="K522" s="27">
        <v>180</v>
      </c>
      <c r="L522" s="179">
        <v>9818</v>
      </c>
      <c r="M522" s="180" t="s">
        <v>1630</v>
      </c>
      <c r="N522" s="181" t="s">
        <v>1627</v>
      </c>
      <c r="O522" s="182" t="s">
        <v>1631</v>
      </c>
    </row>
    <row r="523" spans="2:15">
      <c r="B523" s="174" t="s">
        <v>1750</v>
      </c>
      <c r="C523" s="175" t="s">
        <v>1626</v>
      </c>
      <c r="D523" s="176" t="s">
        <v>1627</v>
      </c>
      <c r="E523" s="177" t="s">
        <v>1748</v>
      </c>
      <c r="F523" s="175">
        <f t="shared" si="17"/>
        <v>8</v>
      </c>
      <c r="G523" s="175" t="str">
        <f t="shared" si="18"/>
        <v>Duluth</v>
      </c>
      <c r="H523" s="175"/>
      <c r="I523" s="178" t="s">
        <v>1749</v>
      </c>
      <c r="J523" s="27" t="s">
        <v>1627</v>
      </c>
      <c r="K523" s="27">
        <v>180</v>
      </c>
      <c r="L523" s="179">
        <v>9818</v>
      </c>
      <c r="M523" s="180" t="s">
        <v>1630</v>
      </c>
      <c r="N523" s="181" t="s">
        <v>1627</v>
      </c>
      <c r="O523" s="182" t="s">
        <v>1631</v>
      </c>
    </row>
    <row r="524" spans="2:15">
      <c r="B524" s="174" t="s">
        <v>1751</v>
      </c>
      <c r="C524" s="175" t="s">
        <v>1626</v>
      </c>
      <c r="D524" s="176" t="s">
        <v>1627</v>
      </c>
      <c r="E524" s="177" t="s">
        <v>1748</v>
      </c>
      <c r="F524" s="175">
        <f t="shared" si="17"/>
        <v>8</v>
      </c>
      <c r="G524" s="175" t="str">
        <f t="shared" si="18"/>
        <v>Duluth</v>
      </c>
      <c r="H524" s="175"/>
      <c r="I524" s="178" t="s">
        <v>1749</v>
      </c>
      <c r="J524" s="27" t="s">
        <v>1627</v>
      </c>
      <c r="K524" s="27">
        <v>180</v>
      </c>
      <c r="L524" s="179">
        <v>9818</v>
      </c>
      <c r="M524" s="180" t="s">
        <v>1630</v>
      </c>
      <c r="N524" s="181" t="s">
        <v>1627</v>
      </c>
      <c r="O524" s="182" t="s">
        <v>1631</v>
      </c>
    </row>
    <row r="525" spans="2:15">
      <c r="B525" s="174" t="s">
        <v>303</v>
      </c>
      <c r="C525" s="175" t="s">
        <v>1626</v>
      </c>
      <c r="D525" s="176" t="s">
        <v>1627</v>
      </c>
      <c r="E525" s="177" t="s">
        <v>304</v>
      </c>
      <c r="F525" s="175">
        <f t="shared" si="17"/>
        <v>11</v>
      </c>
      <c r="G525" s="175" t="str">
        <f t="shared" si="18"/>
        <v>Rochester</v>
      </c>
      <c r="H525" s="175"/>
      <c r="I525" s="178" t="s">
        <v>1149</v>
      </c>
      <c r="J525" s="27" t="s">
        <v>1627</v>
      </c>
      <c r="K525" s="27">
        <v>472</v>
      </c>
      <c r="L525" s="179">
        <v>8250</v>
      </c>
      <c r="M525" s="178" t="s">
        <v>684</v>
      </c>
      <c r="N525" s="27" t="s">
        <v>1627</v>
      </c>
      <c r="O525" s="182" t="s">
        <v>685</v>
      </c>
    </row>
    <row r="526" spans="2:15">
      <c r="B526" s="174" t="s">
        <v>1147</v>
      </c>
      <c r="C526" s="175" t="s">
        <v>1626</v>
      </c>
      <c r="D526" s="176" t="s">
        <v>1627</v>
      </c>
      <c r="E526" s="177" t="s">
        <v>1148</v>
      </c>
      <c r="F526" s="175">
        <f t="shared" si="17"/>
        <v>9</v>
      </c>
      <c r="G526" s="175" t="str">
        <f t="shared" si="18"/>
        <v>Mankato</v>
      </c>
      <c r="H526" s="175"/>
      <c r="I526" s="178" t="s">
        <v>1149</v>
      </c>
      <c r="J526" s="27" t="s">
        <v>1627</v>
      </c>
      <c r="K526" s="27">
        <v>472</v>
      </c>
      <c r="L526" s="179">
        <v>8250</v>
      </c>
      <c r="M526" s="178" t="s">
        <v>684</v>
      </c>
      <c r="N526" s="27" t="s">
        <v>1627</v>
      </c>
      <c r="O526" s="182" t="s">
        <v>685</v>
      </c>
    </row>
    <row r="527" spans="2:15">
      <c r="B527" s="174" t="s">
        <v>736</v>
      </c>
      <c r="C527" s="175" t="s">
        <v>1626</v>
      </c>
      <c r="D527" s="176" t="s">
        <v>1627</v>
      </c>
      <c r="E527" s="177" t="s">
        <v>737</v>
      </c>
      <c r="F527" s="175">
        <f t="shared" si="17"/>
        <v>8</v>
      </c>
      <c r="G527" s="175" t="str">
        <f t="shared" si="18"/>
        <v>Windom</v>
      </c>
      <c r="H527" s="175"/>
      <c r="I527" s="178" t="s">
        <v>1290</v>
      </c>
      <c r="J527" s="27" t="s">
        <v>256</v>
      </c>
      <c r="K527" s="27">
        <v>744</v>
      </c>
      <c r="L527" s="179">
        <v>7809</v>
      </c>
      <c r="M527" s="180" t="s">
        <v>1291</v>
      </c>
      <c r="N527" s="181" t="s">
        <v>256</v>
      </c>
      <c r="O527" s="182" t="s">
        <v>1292</v>
      </c>
    </row>
    <row r="528" spans="2:15">
      <c r="B528" s="174" t="s">
        <v>727</v>
      </c>
      <c r="C528" s="175" t="s">
        <v>1626</v>
      </c>
      <c r="D528" s="176" t="s">
        <v>1627</v>
      </c>
      <c r="E528" s="177" t="s">
        <v>728</v>
      </c>
      <c r="F528" s="175">
        <f t="shared" si="17"/>
        <v>9</v>
      </c>
      <c r="G528" s="175" t="str">
        <f t="shared" si="18"/>
        <v>Willmar</v>
      </c>
      <c r="H528" s="175"/>
      <c r="I528" s="178" t="s">
        <v>729</v>
      </c>
      <c r="J528" s="27" t="s">
        <v>256</v>
      </c>
      <c r="K528" s="27">
        <v>743</v>
      </c>
      <c r="L528" s="179">
        <v>7923</v>
      </c>
      <c r="M528" s="178" t="s">
        <v>684</v>
      </c>
      <c r="N528" s="27" t="s">
        <v>1627</v>
      </c>
      <c r="O528" s="182" t="s">
        <v>685</v>
      </c>
    </row>
    <row r="529" spans="2:15">
      <c r="B529" s="174" t="s">
        <v>346</v>
      </c>
      <c r="C529" s="175" t="s">
        <v>1626</v>
      </c>
      <c r="D529" s="176" t="s">
        <v>1627</v>
      </c>
      <c r="E529" s="177" t="s">
        <v>347</v>
      </c>
      <c r="F529" s="175">
        <f t="shared" si="17"/>
        <v>13</v>
      </c>
      <c r="G529" s="175" t="str">
        <f t="shared" si="18"/>
        <v>Saint Cloud</v>
      </c>
      <c r="H529" s="175"/>
      <c r="I529" s="178" t="s">
        <v>683</v>
      </c>
      <c r="J529" s="27" t="s">
        <v>1627</v>
      </c>
      <c r="K529" s="27">
        <v>415</v>
      </c>
      <c r="L529" s="179">
        <v>8928</v>
      </c>
      <c r="M529" s="178" t="s">
        <v>684</v>
      </c>
      <c r="N529" s="27" t="s">
        <v>1627</v>
      </c>
      <c r="O529" s="182" t="s">
        <v>685</v>
      </c>
    </row>
    <row r="530" spans="2:15">
      <c r="B530" s="174" t="s">
        <v>681</v>
      </c>
      <c r="C530" s="175" t="s">
        <v>1626</v>
      </c>
      <c r="D530" s="176" t="s">
        <v>1627</v>
      </c>
      <c r="E530" s="177" t="s">
        <v>682</v>
      </c>
      <c r="F530" s="175">
        <f t="shared" si="17"/>
        <v>10</v>
      </c>
      <c r="G530" s="175" t="str">
        <f t="shared" si="18"/>
        <v>Brainerd</v>
      </c>
      <c r="H530" s="175"/>
      <c r="I530" s="178" t="s">
        <v>683</v>
      </c>
      <c r="J530" s="27" t="s">
        <v>1627</v>
      </c>
      <c r="K530" s="27">
        <v>415</v>
      </c>
      <c r="L530" s="179">
        <v>8928</v>
      </c>
      <c r="M530" s="178" t="s">
        <v>684</v>
      </c>
      <c r="N530" s="27" t="s">
        <v>1627</v>
      </c>
      <c r="O530" s="182" t="s">
        <v>685</v>
      </c>
    </row>
    <row r="531" spans="2:15">
      <c r="B531" s="174" t="s">
        <v>1714</v>
      </c>
      <c r="C531" s="175" t="s">
        <v>1626</v>
      </c>
      <c r="D531" s="176" t="s">
        <v>1627</v>
      </c>
      <c r="E531" s="177" t="s">
        <v>1715</v>
      </c>
      <c r="F531" s="175">
        <f t="shared" si="17"/>
        <v>15</v>
      </c>
      <c r="G531" s="175" t="str">
        <f t="shared" si="18"/>
        <v>Detroit Lakes</v>
      </c>
      <c r="H531" s="175"/>
      <c r="I531" s="178" t="s">
        <v>1716</v>
      </c>
      <c r="J531" s="27" t="s">
        <v>260</v>
      </c>
      <c r="K531" s="27">
        <v>537</v>
      </c>
      <c r="L531" s="179">
        <v>9254</v>
      </c>
      <c r="M531" s="180" t="s">
        <v>259</v>
      </c>
      <c r="N531" s="181" t="s">
        <v>260</v>
      </c>
      <c r="O531" s="182" t="s">
        <v>261</v>
      </c>
    </row>
    <row r="532" spans="2:15">
      <c r="B532" s="174" t="s">
        <v>1625</v>
      </c>
      <c r="C532" s="175" t="s">
        <v>1626</v>
      </c>
      <c r="D532" s="176" t="s">
        <v>1627</v>
      </c>
      <c r="E532" s="177" t="s">
        <v>1628</v>
      </c>
      <c r="F532" s="175">
        <f t="shared" si="17"/>
        <v>9</v>
      </c>
      <c r="G532" s="175" t="str">
        <f t="shared" si="18"/>
        <v>Bemidji</v>
      </c>
      <c r="H532" s="175"/>
      <c r="I532" s="178" t="s">
        <v>1629</v>
      </c>
      <c r="J532" s="27" t="s">
        <v>1627</v>
      </c>
      <c r="K532" s="27">
        <v>249</v>
      </c>
      <c r="L532" s="179">
        <v>10487</v>
      </c>
      <c r="M532" s="180" t="s">
        <v>1630</v>
      </c>
      <c r="N532" s="181" t="s">
        <v>1627</v>
      </c>
      <c r="O532" s="182" t="s">
        <v>1631</v>
      </c>
    </row>
    <row r="533" spans="2:15">
      <c r="B533" s="174" t="s">
        <v>864</v>
      </c>
      <c r="C533" s="175" t="s">
        <v>1626</v>
      </c>
      <c r="D533" s="176" t="s">
        <v>1627</v>
      </c>
      <c r="E533" s="177" t="s">
        <v>865</v>
      </c>
      <c r="F533" s="175">
        <f t="shared" si="17"/>
        <v>19</v>
      </c>
      <c r="G533" s="175" t="str">
        <f t="shared" si="18"/>
        <v>Thief River Falls</v>
      </c>
      <c r="H533" s="175"/>
      <c r="I533" s="178" t="s">
        <v>1716</v>
      </c>
      <c r="J533" s="27" t="s">
        <v>260</v>
      </c>
      <c r="K533" s="27">
        <v>537</v>
      </c>
      <c r="L533" s="179">
        <v>9254</v>
      </c>
      <c r="M533" s="180" t="s">
        <v>259</v>
      </c>
      <c r="N533" s="181" t="s">
        <v>260</v>
      </c>
      <c r="O533" s="182" t="s">
        <v>261</v>
      </c>
    </row>
    <row r="534" spans="2:15">
      <c r="B534" s="174" t="s">
        <v>2249</v>
      </c>
      <c r="C534" s="175" t="s">
        <v>255</v>
      </c>
      <c r="D534" s="176" t="s">
        <v>256</v>
      </c>
      <c r="E534" s="177" t="s">
        <v>2250</v>
      </c>
      <c r="F534" s="175">
        <f t="shared" si="17"/>
        <v>13</v>
      </c>
      <c r="G534" s="175" t="str">
        <f t="shared" si="18"/>
        <v>Sioux Falls</v>
      </c>
      <c r="H534" s="175"/>
      <c r="I534" s="178" t="s">
        <v>1290</v>
      </c>
      <c r="J534" s="27" t="s">
        <v>256</v>
      </c>
      <c r="K534" s="27">
        <v>744</v>
      </c>
      <c r="L534" s="179">
        <v>7809</v>
      </c>
      <c r="M534" s="180" t="s">
        <v>1291</v>
      </c>
      <c r="N534" s="181" t="s">
        <v>256</v>
      </c>
      <c r="O534" s="182" t="s">
        <v>1292</v>
      </c>
    </row>
    <row r="535" spans="2:15">
      <c r="B535" s="174" t="s">
        <v>2251</v>
      </c>
      <c r="C535" s="175" t="s">
        <v>255</v>
      </c>
      <c r="D535" s="176" t="s">
        <v>256</v>
      </c>
      <c r="E535" s="177" t="s">
        <v>2250</v>
      </c>
      <c r="F535" s="175">
        <f t="shared" si="17"/>
        <v>13</v>
      </c>
      <c r="G535" s="175" t="str">
        <f t="shared" si="18"/>
        <v>Sioux Falls</v>
      </c>
      <c r="H535" s="175"/>
      <c r="I535" s="178" t="s">
        <v>1290</v>
      </c>
      <c r="J535" s="27" t="s">
        <v>256</v>
      </c>
      <c r="K535" s="27">
        <v>744</v>
      </c>
      <c r="L535" s="179">
        <v>7809</v>
      </c>
      <c r="M535" s="180" t="s">
        <v>1291</v>
      </c>
      <c r="N535" s="181" t="s">
        <v>256</v>
      </c>
      <c r="O535" s="182" t="s">
        <v>1292</v>
      </c>
    </row>
    <row r="536" spans="2:15">
      <c r="B536" s="174" t="s">
        <v>1828</v>
      </c>
      <c r="C536" s="175" t="s">
        <v>255</v>
      </c>
      <c r="D536" s="176" t="s">
        <v>256</v>
      </c>
      <c r="E536" s="177" t="s">
        <v>1827</v>
      </c>
      <c r="F536" s="175">
        <f t="shared" si="17"/>
        <v>11</v>
      </c>
      <c r="G536" s="175" t="str">
        <f t="shared" si="18"/>
        <v>Watertown</v>
      </c>
      <c r="H536" s="175"/>
      <c r="I536" s="178" t="s">
        <v>1716</v>
      </c>
      <c r="J536" s="27" t="s">
        <v>260</v>
      </c>
      <c r="K536" s="27">
        <v>537</v>
      </c>
      <c r="L536" s="179">
        <v>9254</v>
      </c>
      <c r="M536" s="180" t="s">
        <v>259</v>
      </c>
      <c r="N536" s="181" t="s">
        <v>260</v>
      </c>
      <c r="O536" s="182" t="s">
        <v>261</v>
      </c>
    </row>
    <row r="537" spans="2:15">
      <c r="B537" s="174" t="s">
        <v>189</v>
      </c>
      <c r="C537" s="175" t="s">
        <v>255</v>
      </c>
      <c r="D537" s="176" t="s">
        <v>256</v>
      </c>
      <c r="E537" s="177" t="s">
        <v>190</v>
      </c>
      <c r="F537" s="175">
        <f t="shared" si="17"/>
        <v>10</v>
      </c>
      <c r="G537" s="175" t="str">
        <f t="shared" si="18"/>
        <v>Mitchell</v>
      </c>
      <c r="H537" s="175"/>
      <c r="I537" s="178" t="s">
        <v>459</v>
      </c>
      <c r="J537" s="27" t="s">
        <v>256</v>
      </c>
      <c r="K537" s="27">
        <v>611</v>
      </c>
      <c r="L537" s="179">
        <v>7301</v>
      </c>
      <c r="M537" s="180" t="s">
        <v>460</v>
      </c>
      <c r="N537" s="181" t="s">
        <v>256</v>
      </c>
      <c r="O537" s="182" t="s">
        <v>461</v>
      </c>
    </row>
    <row r="538" spans="2:15">
      <c r="B538" s="174" t="s">
        <v>254</v>
      </c>
      <c r="C538" s="175" t="s">
        <v>255</v>
      </c>
      <c r="D538" s="176" t="s">
        <v>256</v>
      </c>
      <c r="E538" s="177" t="s">
        <v>257</v>
      </c>
      <c r="F538" s="175">
        <f t="shared" si="17"/>
        <v>10</v>
      </c>
      <c r="G538" s="175" t="str">
        <f t="shared" si="18"/>
        <v>Aberdeen</v>
      </c>
      <c r="H538" s="175"/>
      <c r="I538" s="178" t="s">
        <v>258</v>
      </c>
      <c r="J538" s="27" t="s">
        <v>256</v>
      </c>
      <c r="K538" s="27">
        <v>633</v>
      </c>
      <c r="L538" s="179">
        <v>8446</v>
      </c>
      <c r="M538" s="180" t="s">
        <v>259</v>
      </c>
      <c r="N538" s="181" t="s">
        <v>260</v>
      </c>
      <c r="O538" s="182" t="s">
        <v>261</v>
      </c>
    </row>
    <row r="539" spans="2:15">
      <c r="B539" s="174" t="s">
        <v>2430</v>
      </c>
      <c r="C539" s="175" t="s">
        <v>255</v>
      </c>
      <c r="D539" s="176" t="s">
        <v>256</v>
      </c>
      <c r="E539" s="177" t="s">
        <v>2431</v>
      </c>
      <c r="F539" s="175">
        <f t="shared" si="17"/>
        <v>8</v>
      </c>
      <c r="G539" s="175" t="str">
        <f t="shared" si="18"/>
        <v>Pierre</v>
      </c>
      <c r="H539" s="175"/>
      <c r="I539" s="178" t="s">
        <v>459</v>
      </c>
      <c r="J539" s="27" t="s">
        <v>256</v>
      </c>
      <c r="K539" s="27">
        <v>611</v>
      </c>
      <c r="L539" s="179">
        <v>7301</v>
      </c>
      <c r="M539" s="180" t="s">
        <v>460</v>
      </c>
      <c r="N539" s="181" t="s">
        <v>256</v>
      </c>
      <c r="O539" s="182" t="s">
        <v>461</v>
      </c>
    </row>
    <row r="540" spans="2:15">
      <c r="B540" s="174" t="s">
        <v>194</v>
      </c>
      <c r="C540" s="175" t="s">
        <v>255</v>
      </c>
      <c r="D540" s="176" t="s">
        <v>256</v>
      </c>
      <c r="E540" s="177" t="s">
        <v>195</v>
      </c>
      <c r="F540" s="175">
        <f t="shared" si="17"/>
        <v>10</v>
      </c>
      <c r="G540" s="175" t="str">
        <f t="shared" si="18"/>
        <v>Mobridge</v>
      </c>
      <c r="H540" s="175"/>
      <c r="I540" s="178" t="s">
        <v>1643</v>
      </c>
      <c r="J540" s="27" t="s">
        <v>260</v>
      </c>
      <c r="K540" s="27">
        <v>488</v>
      </c>
      <c r="L540" s="179">
        <v>8968</v>
      </c>
      <c r="M540" s="180" t="s">
        <v>1644</v>
      </c>
      <c r="N540" s="181" t="s">
        <v>260</v>
      </c>
      <c r="O540" s="182" t="s">
        <v>1645</v>
      </c>
    </row>
    <row r="541" spans="2:15">
      <c r="B541" s="174" t="s">
        <v>2499</v>
      </c>
      <c r="C541" s="175" t="s">
        <v>255</v>
      </c>
      <c r="D541" s="176" t="s">
        <v>256</v>
      </c>
      <c r="E541" s="177" t="s">
        <v>2500</v>
      </c>
      <c r="F541" s="175">
        <f t="shared" si="17"/>
        <v>12</v>
      </c>
      <c r="G541" s="175" t="str">
        <f t="shared" si="18"/>
        <v>Rapid City</v>
      </c>
      <c r="H541" s="175"/>
      <c r="I541" s="178" t="s">
        <v>459</v>
      </c>
      <c r="J541" s="27" t="s">
        <v>256</v>
      </c>
      <c r="K541" s="27">
        <v>611</v>
      </c>
      <c r="L541" s="179">
        <v>7301</v>
      </c>
      <c r="M541" s="180" t="s">
        <v>460</v>
      </c>
      <c r="N541" s="181" t="s">
        <v>256</v>
      </c>
      <c r="O541" s="182" t="s">
        <v>461</v>
      </c>
    </row>
    <row r="542" spans="2:15">
      <c r="B542" s="174" t="s">
        <v>1916</v>
      </c>
      <c r="C542" s="175" t="s">
        <v>1445</v>
      </c>
      <c r="D542" s="176" t="s">
        <v>260</v>
      </c>
      <c r="E542" s="177" t="s">
        <v>1917</v>
      </c>
      <c r="F542" s="175">
        <f t="shared" si="17"/>
        <v>7</v>
      </c>
      <c r="G542" s="175" t="str">
        <f t="shared" si="18"/>
        <v>Fargo</v>
      </c>
      <c r="H542" s="175"/>
      <c r="I542" s="178" t="s">
        <v>1716</v>
      </c>
      <c r="J542" s="27" t="s">
        <v>260</v>
      </c>
      <c r="K542" s="27">
        <v>537</v>
      </c>
      <c r="L542" s="179">
        <v>9254</v>
      </c>
      <c r="M542" s="180" t="s">
        <v>259</v>
      </c>
      <c r="N542" s="181" t="s">
        <v>260</v>
      </c>
      <c r="O542" s="182" t="s">
        <v>261</v>
      </c>
    </row>
    <row r="543" spans="2:15">
      <c r="B543" s="174" t="s">
        <v>1918</v>
      </c>
      <c r="C543" s="175" t="s">
        <v>1445</v>
      </c>
      <c r="D543" s="176" t="s">
        <v>260</v>
      </c>
      <c r="E543" s="177" t="s">
        <v>1917</v>
      </c>
      <c r="F543" s="175">
        <f t="shared" si="17"/>
        <v>7</v>
      </c>
      <c r="G543" s="175" t="str">
        <f t="shared" si="18"/>
        <v>Fargo</v>
      </c>
      <c r="H543" s="175"/>
      <c r="I543" s="178" t="s">
        <v>1716</v>
      </c>
      <c r="J543" s="27" t="s">
        <v>260</v>
      </c>
      <c r="K543" s="27">
        <v>537</v>
      </c>
      <c r="L543" s="179">
        <v>9254</v>
      </c>
      <c r="M543" s="180" t="s">
        <v>259</v>
      </c>
      <c r="N543" s="181" t="s">
        <v>260</v>
      </c>
      <c r="O543" s="182" t="s">
        <v>261</v>
      </c>
    </row>
    <row r="544" spans="2:15">
      <c r="B544" s="174" t="s">
        <v>2032</v>
      </c>
      <c r="C544" s="175" t="s">
        <v>1445</v>
      </c>
      <c r="D544" s="176" t="s">
        <v>260</v>
      </c>
      <c r="E544" s="177" t="s">
        <v>2033</v>
      </c>
      <c r="F544" s="175">
        <f t="shared" si="17"/>
        <v>13</v>
      </c>
      <c r="G544" s="175" t="str">
        <f t="shared" si="18"/>
        <v>Grand Forks</v>
      </c>
      <c r="H544" s="175"/>
      <c r="I544" s="178" t="s">
        <v>1716</v>
      </c>
      <c r="J544" s="27" t="s">
        <v>260</v>
      </c>
      <c r="K544" s="27">
        <v>537</v>
      </c>
      <c r="L544" s="179">
        <v>9254</v>
      </c>
      <c r="M544" s="180" t="s">
        <v>259</v>
      </c>
      <c r="N544" s="181" t="s">
        <v>260</v>
      </c>
      <c r="O544" s="182" t="s">
        <v>261</v>
      </c>
    </row>
    <row r="545" spans="2:15">
      <c r="B545" s="174" t="s">
        <v>1720</v>
      </c>
      <c r="C545" s="175" t="s">
        <v>1445</v>
      </c>
      <c r="D545" s="176" t="s">
        <v>260</v>
      </c>
      <c r="E545" s="177" t="s">
        <v>1721</v>
      </c>
      <c r="F545" s="175">
        <f t="shared" si="17"/>
        <v>13</v>
      </c>
      <c r="G545" s="175" t="str">
        <f t="shared" si="18"/>
        <v>Devils Lake</v>
      </c>
      <c r="H545" s="175"/>
      <c r="I545" s="178" t="s">
        <v>1716</v>
      </c>
      <c r="J545" s="27" t="s">
        <v>260</v>
      </c>
      <c r="K545" s="27">
        <v>537</v>
      </c>
      <c r="L545" s="179">
        <v>9254</v>
      </c>
      <c r="M545" s="180" t="s">
        <v>259</v>
      </c>
      <c r="N545" s="181" t="s">
        <v>260</v>
      </c>
      <c r="O545" s="182" t="s">
        <v>261</v>
      </c>
    </row>
    <row r="546" spans="2:15">
      <c r="B546" s="174" t="s">
        <v>120</v>
      </c>
      <c r="C546" s="175" t="s">
        <v>1445</v>
      </c>
      <c r="D546" s="176" t="s">
        <v>260</v>
      </c>
      <c r="E546" s="177" t="s">
        <v>121</v>
      </c>
      <c r="F546" s="175">
        <f t="shared" si="17"/>
        <v>11</v>
      </c>
      <c r="G546" s="175" t="str">
        <f t="shared" si="18"/>
        <v>Jamestown</v>
      </c>
      <c r="H546" s="175"/>
      <c r="I546" s="178" t="s">
        <v>1643</v>
      </c>
      <c r="J546" s="27" t="s">
        <v>260</v>
      </c>
      <c r="K546" s="27">
        <v>488</v>
      </c>
      <c r="L546" s="179">
        <v>8968</v>
      </c>
      <c r="M546" s="180" t="s">
        <v>1644</v>
      </c>
      <c r="N546" s="181" t="s">
        <v>260</v>
      </c>
      <c r="O546" s="182" t="s">
        <v>1645</v>
      </c>
    </row>
    <row r="547" spans="2:15">
      <c r="B547" s="174" t="s">
        <v>1444</v>
      </c>
      <c r="C547" s="175" t="s">
        <v>1445</v>
      </c>
      <c r="D547" s="176" t="s">
        <v>260</v>
      </c>
      <c r="E547" s="177" t="s">
        <v>1446</v>
      </c>
      <c r="F547" s="175">
        <f t="shared" si="17"/>
        <v>10</v>
      </c>
      <c r="G547" s="175" t="str">
        <f t="shared" si="18"/>
        <v>Bismarck</v>
      </c>
      <c r="H547" s="175"/>
      <c r="I547" s="178" t="s">
        <v>1643</v>
      </c>
      <c r="J547" s="27" t="s">
        <v>260</v>
      </c>
      <c r="K547" s="27">
        <v>488</v>
      </c>
      <c r="L547" s="179">
        <v>8968</v>
      </c>
      <c r="M547" s="180" t="s">
        <v>1644</v>
      </c>
      <c r="N547" s="181" t="s">
        <v>260</v>
      </c>
      <c r="O547" s="182" t="s">
        <v>1645</v>
      </c>
    </row>
    <row r="548" spans="2:15">
      <c r="B548" s="174" t="s">
        <v>1722</v>
      </c>
      <c r="C548" s="175" t="s">
        <v>1445</v>
      </c>
      <c r="D548" s="176" t="s">
        <v>260</v>
      </c>
      <c r="E548" s="177" t="s">
        <v>1723</v>
      </c>
      <c r="F548" s="175">
        <f t="shared" si="17"/>
        <v>11</v>
      </c>
      <c r="G548" s="175" t="str">
        <f t="shared" si="18"/>
        <v>Dickinson</v>
      </c>
      <c r="H548" s="175"/>
      <c r="I548" s="178" t="s">
        <v>1643</v>
      </c>
      <c r="J548" s="27" t="s">
        <v>260</v>
      </c>
      <c r="K548" s="27">
        <v>488</v>
      </c>
      <c r="L548" s="179">
        <v>8968</v>
      </c>
      <c r="M548" s="180" t="s">
        <v>1644</v>
      </c>
      <c r="N548" s="181" t="s">
        <v>260</v>
      </c>
      <c r="O548" s="182" t="s">
        <v>1645</v>
      </c>
    </row>
    <row r="549" spans="2:15">
      <c r="B549" s="174" t="s">
        <v>184</v>
      </c>
      <c r="C549" s="175" t="s">
        <v>1445</v>
      </c>
      <c r="D549" s="176" t="s">
        <v>260</v>
      </c>
      <c r="E549" s="177" t="s">
        <v>185</v>
      </c>
      <c r="F549" s="175">
        <f t="shared" si="17"/>
        <v>7</v>
      </c>
      <c r="G549" s="175" t="str">
        <f t="shared" si="18"/>
        <v>Minot</v>
      </c>
      <c r="H549" s="175"/>
      <c r="I549" s="178" t="s">
        <v>186</v>
      </c>
      <c r="J549" s="27" t="s">
        <v>260</v>
      </c>
      <c r="K549" s="27">
        <v>548</v>
      </c>
      <c r="L549" s="179">
        <v>9090</v>
      </c>
      <c r="M549" s="180" t="s">
        <v>1644</v>
      </c>
      <c r="N549" s="181" t="s">
        <v>260</v>
      </c>
      <c r="O549" s="182" t="s">
        <v>1645</v>
      </c>
    </row>
    <row r="550" spans="2:15">
      <c r="B550" s="174" t="s">
        <v>725</v>
      </c>
      <c r="C550" s="175" t="s">
        <v>1445</v>
      </c>
      <c r="D550" s="176" t="s">
        <v>260</v>
      </c>
      <c r="E550" s="177" t="s">
        <v>726</v>
      </c>
      <c r="F550" s="175">
        <f t="shared" si="17"/>
        <v>11</v>
      </c>
      <c r="G550" s="175" t="str">
        <f t="shared" si="18"/>
        <v>Williston</v>
      </c>
      <c r="H550" s="175"/>
      <c r="I550" s="178" t="s">
        <v>186</v>
      </c>
      <c r="J550" s="27" t="s">
        <v>260</v>
      </c>
      <c r="K550" s="27">
        <v>548</v>
      </c>
      <c r="L550" s="179">
        <v>9090</v>
      </c>
      <c r="M550" s="180" t="s">
        <v>1644</v>
      </c>
      <c r="N550" s="181" t="s">
        <v>260</v>
      </c>
      <c r="O550" s="182" t="s">
        <v>1645</v>
      </c>
    </row>
    <row r="551" spans="2:15">
      <c r="B551" s="174" t="s">
        <v>1425</v>
      </c>
      <c r="C551" s="175" t="s">
        <v>1426</v>
      </c>
      <c r="D551" s="176" t="s">
        <v>1427</v>
      </c>
      <c r="E551" s="177" t="s">
        <v>1428</v>
      </c>
      <c r="F551" s="175">
        <f t="shared" si="17"/>
        <v>10</v>
      </c>
      <c r="G551" s="175" t="str">
        <f t="shared" si="18"/>
        <v>Billings</v>
      </c>
      <c r="H551" s="175"/>
      <c r="I551" s="178" t="s">
        <v>1429</v>
      </c>
      <c r="J551" s="27" t="s">
        <v>1427</v>
      </c>
      <c r="K551" s="27">
        <v>652</v>
      </c>
      <c r="L551" s="179">
        <v>7164</v>
      </c>
      <c r="M551" s="180" t="s">
        <v>1430</v>
      </c>
      <c r="N551" s="181" t="s">
        <v>1427</v>
      </c>
      <c r="O551" s="182" t="s">
        <v>1431</v>
      </c>
    </row>
    <row r="552" spans="2:15">
      <c r="B552" s="174" t="s">
        <v>1432</v>
      </c>
      <c r="C552" s="175" t="s">
        <v>1426</v>
      </c>
      <c r="D552" s="176" t="s">
        <v>1427</v>
      </c>
      <c r="E552" s="177" t="s">
        <v>1428</v>
      </c>
      <c r="F552" s="175">
        <f t="shared" si="17"/>
        <v>10</v>
      </c>
      <c r="G552" s="175" t="str">
        <f t="shared" si="18"/>
        <v>Billings</v>
      </c>
      <c r="H552" s="175"/>
      <c r="I552" s="178" t="s">
        <v>1429</v>
      </c>
      <c r="J552" s="27" t="s">
        <v>1427</v>
      </c>
      <c r="K552" s="27">
        <v>652</v>
      </c>
      <c r="L552" s="179">
        <v>7164</v>
      </c>
      <c r="M552" s="180" t="s">
        <v>1430</v>
      </c>
      <c r="N552" s="181" t="s">
        <v>1427</v>
      </c>
      <c r="O552" s="182" t="s">
        <v>1431</v>
      </c>
    </row>
    <row r="553" spans="2:15">
      <c r="B553" s="174" t="s">
        <v>745</v>
      </c>
      <c r="C553" s="175" t="s">
        <v>1426</v>
      </c>
      <c r="D553" s="176" t="s">
        <v>1427</v>
      </c>
      <c r="E553" s="177" t="s">
        <v>746</v>
      </c>
      <c r="F553" s="175">
        <f t="shared" si="17"/>
        <v>12</v>
      </c>
      <c r="G553" s="175" t="str">
        <f t="shared" si="18"/>
        <v>Wolf Point</v>
      </c>
      <c r="H553" s="175"/>
      <c r="I553" s="178" t="s">
        <v>170</v>
      </c>
      <c r="J553" s="27" t="s">
        <v>1427</v>
      </c>
      <c r="K553" s="27">
        <v>558</v>
      </c>
      <c r="L553" s="179">
        <v>8745</v>
      </c>
      <c r="M553" s="180" t="s">
        <v>2048</v>
      </c>
      <c r="N553" s="181" t="s">
        <v>1427</v>
      </c>
      <c r="O553" s="182" t="s">
        <v>2049</v>
      </c>
    </row>
    <row r="554" spans="2:15">
      <c r="B554" s="174" t="s">
        <v>168</v>
      </c>
      <c r="C554" s="175" t="s">
        <v>1426</v>
      </c>
      <c r="D554" s="176" t="s">
        <v>1427</v>
      </c>
      <c r="E554" s="177" t="s">
        <v>169</v>
      </c>
      <c r="F554" s="175">
        <f t="shared" si="17"/>
        <v>12</v>
      </c>
      <c r="G554" s="175" t="str">
        <f t="shared" si="18"/>
        <v>Miles City</v>
      </c>
      <c r="H554" s="175"/>
      <c r="I554" s="178" t="s">
        <v>170</v>
      </c>
      <c r="J554" s="27" t="s">
        <v>1427</v>
      </c>
      <c r="K554" s="27">
        <v>558</v>
      </c>
      <c r="L554" s="179">
        <v>8745</v>
      </c>
      <c r="M554" s="180" t="s">
        <v>2048</v>
      </c>
      <c r="N554" s="181" t="s">
        <v>1427</v>
      </c>
      <c r="O554" s="182" t="s">
        <v>2049</v>
      </c>
    </row>
    <row r="555" spans="2:15">
      <c r="B555" s="174" t="s">
        <v>2045</v>
      </c>
      <c r="C555" s="175" t="s">
        <v>1426</v>
      </c>
      <c r="D555" s="176" t="s">
        <v>1427</v>
      </c>
      <c r="E555" s="177" t="s">
        <v>2046</v>
      </c>
      <c r="F555" s="175">
        <f t="shared" si="17"/>
        <v>13</v>
      </c>
      <c r="G555" s="175" t="str">
        <f t="shared" si="18"/>
        <v>Great Falls</v>
      </c>
      <c r="H555" s="175"/>
      <c r="I555" s="178" t="s">
        <v>2047</v>
      </c>
      <c r="J555" s="27" t="s">
        <v>1427</v>
      </c>
      <c r="K555" s="27">
        <v>388</v>
      </c>
      <c r="L555" s="179">
        <v>7741</v>
      </c>
      <c r="M555" s="180" t="s">
        <v>2048</v>
      </c>
      <c r="N555" s="181" t="s">
        <v>1427</v>
      </c>
      <c r="O555" s="182" t="s">
        <v>2049</v>
      </c>
    </row>
    <row r="556" spans="2:15">
      <c r="B556" s="174" t="s">
        <v>764</v>
      </c>
      <c r="C556" s="175" t="s">
        <v>1426</v>
      </c>
      <c r="D556" s="176" t="s">
        <v>1427</v>
      </c>
      <c r="E556" s="177" t="s">
        <v>765</v>
      </c>
      <c r="F556" s="175">
        <f t="shared" si="17"/>
        <v>7</v>
      </c>
      <c r="G556" s="175" t="str">
        <f t="shared" si="18"/>
        <v>Havre</v>
      </c>
      <c r="H556" s="175"/>
      <c r="I556" s="178" t="s">
        <v>2047</v>
      </c>
      <c r="J556" s="27" t="s">
        <v>1427</v>
      </c>
      <c r="K556" s="27">
        <v>388</v>
      </c>
      <c r="L556" s="179">
        <v>7741</v>
      </c>
      <c r="M556" s="180" t="s">
        <v>2048</v>
      </c>
      <c r="N556" s="181" t="s">
        <v>1427</v>
      </c>
      <c r="O556" s="182" t="s">
        <v>2049</v>
      </c>
    </row>
    <row r="557" spans="2:15">
      <c r="B557" s="174" t="s">
        <v>774</v>
      </c>
      <c r="C557" s="175" t="s">
        <v>1426</v>
      </c>
      <c r="D557" s="176" t="s">
        <v>1427</v>
      </c>
      <c r="E557" s="177" t="s">
        <v>775</v>
      </c>
      <c r="F557" s="175">
        <f t="shared" si="17"/>
        <v>8</v>
      </c>
      <c r="G557" s="175" t="str">
        <f t="shared" si="18"/>
        <v>Helena</v>
      </c>
      <c r="H557" s="175"/>
      <c r="I557" s="178" t="s">
        <v>776</v>
      </c>
      <c r="J557" s="27" t="s">
        <v>1427</v>
      </c>
      <c r="K557" s="27">
        <v>386</v>
      </c>
      <c r="L557" s="179">
        <v>8031</v>
      </c>
      <c r="M557" s="180" t="s">
        <v>1356</v>
      </c>
      <c r="N557" s="181" t="s">
        <v>1427</v>
      </c>
      <c r="O557" s="182" t="s">
        <v>1357</v>
      </c>
    </row>
    <row r="558" spans="2:15">
      <c r="B558" s="174" t="s">
        <v>1353</v>
      </c>
      <c r="C558" s="175" t="s">
        <v>1426</v>
      </c>
      <c r="D558" s="176" t="s">
        <v>1427</v>
      </c>
      <c r="E558" s="177" t="s">
        <v>1354</v>
      </c>
      <c r="F558" s="175">
        <f t="shared" si="17"/>
        <v>7</v>
      </c>
      <c r="G558" s="175" t="str">
        <f t="shared" si="18"/>
        <v>Butte</v>
      </c>
      <c r="H558" s="175"/>
      <c r="I558" s="178" t="s">
        <v>1355</v>
      </c>
      <c r="J558" s="27" t="s">
        <v>1427</v>
      </c>
      <c r="K558" s="27">
        <v>280</v>
      </c>
      <c r="L558" s="179">
        <v>7792</v>
      </c>
      <c r="M558" s="180" t="s">
        <v>1356</v>
      </c>
      <c r="N558" s="181" t="s">
        <v>1427</v>
      </c>
      <c r="O558" s="182" t="s">
        <v>1357</v>
      </c>
    </row>
    <row r="559" spans="2:15">
      <c r="B559" s="174" t="s">
        <v>187</v>
      </c>
      <c r="C559" s="175" t="s">
        <v>1426</v>
      </c>
      <c r="D559" s="176" t="s">
        <v>1427</v>
      </c>
      <c r="E559" s="177" t="s">
        <v>188</v>
      </c>
      <c r="F559" s="175">
        <f t="shared" si="17"/>
        <v>10</v>
      </c>
      <c r="G559" s="175" t="str">
        <f t="shared" si="18"/>
        <v>Missoula</v>
      </c>
      <c r="H559" s="175"/>
      <c r="I559" s="178" t="s">
        <v>1355</v>
      </c>
      <c r="J559" s="27" t="s">
        <v>1427</v>
      </c>
      <c r="K559" s="27">
        <v>280</v>
      </c>
      <c r="L559" s="179">
        <v>7792</v>
      </c>
      <c r="M559" s="180" t="s">
        <v>1356</v>
      </c>
      <c r="N559" s="181" t="s">
        <v>1427</v>
      </c>
      <c r="O559" s="182" t="s">
        <v>1357</v>
      </c>
    </row>
    <row r="560" spans="2:15">
      <c r="B560" s="174" t="s">
        <v>146</v>
      </c>
      <c r="C560" s="175" t="s">
        <v>1426</v>
      </c>
      <c r="D560" s="176" t="s">
        <v>1427</v>
      </c>
      <c r="E560" s="177" t="s">
        <v>147</v>
      </c>
      <c r="F560" s="175">
        <f t="shared" si="17"/>
        <v>11</v>
      </c>
      <c r="G560" s="175" t="str">
        <f t="shared" si="18"/>
        <v>Kalispell</v>
      </c>
      <c r="H560" s="175"/>
      <c r="I560" s="178" t="s">
        <v>899</v>
      </c>
      <c r="J560" s="27" t="s">
        <v>1427</v>
      </c>
      <c r="K560" s="27">
        <v>149</v>
      </c>
      <c r="L560" s="179">
        <v>8378</v>
      </c>
      <c r="M560" s="180" t="s">
        <v>2048</v>
      </c>
      <c r="N560" s="181" t="s">
        <v>1427</v>
      </c>
      <c r="O560" s="182" t="s">
        <v>2049</v>
      </c>
    </row>
    <row r="561" spans="2:15">
      <c r="B561" s="174" t="s">
        <v>1172</v>
      </c>
      <c r="C561" s="175" t="s">
        <v>1647</v>
      </c>
      <c r="D561" s="176" t="s">
        <v>1648</v>
      </c>
      <c r="E561" s="177" t="s">
        <v>1173</v>
      </c>
      <c r="F561" s="175">
        <f t="shared" si="17"/>
        <v>20</v>
      </c>
      <c r="G561" s="175" t="str">
        <f t="shared" si="18"/>
        <v>North Chicago Sub.</v>
      </c>
      <c r="H561" s="175"/>
      <c r="I561" s="178" t="s">
        <v>1174</v>
      </c>
      <c r="J561" s="27" t="s">
        <v>1648</v>
      </c>
      <c r="K561" s="27">
        <v>702</v>
      </c>
      <c r="L561" s="179">
        <v>6969</v>
      </c>
      <c r="M561" s="178" t="s">
        <v>1175</v>
      </c>
      <c r="N561" s="27" t="s">
        <v>1648</v>
      </c>
      <c r="O561" s="182" t="s">
        <v>1176</v>
      </c>
    </row>
    <row r="562" spans="2:15">
      <c r="B562" s="174" t="s">
        <v>1177</v>
      </c>
      <c r="C562" s="175" t="s">
        <v>1647</v>
      </c>
      <c r="D562" s="176" t="s">
        <v>1648</v>
      </c>
      <c r="E562" s="177" t="s">
        <v>1173</v>
      </c>
      <c r="F562" s="175">
        <f t="shared" si="17"/>
        <v>20</v>
      </c>
      <c r="G562" s="175" t="str">
        <f t="shared" si="18"/>
        <v>North Chicago Sub.</v>
      </c>
      <c r="H562" s="175"/>
      <c r="I562" s="178" t="s">
        <v>1174</v>
      </c>
      <c r="J562" s="27" t="s">
        <v>1648</v>
      </c>
      <c r="K562" s="27">
        <v>702</v>
      </c>
      <c r="L562" s="179">
        <v>6969</v>
      </c>
      <c r="M562" s="178" t="s">
        <v>1175</v>
      </c>
      <c r="N562" s="27" t="s">
        <v>1648</v>
      </c>
      <c r="O562" s="182" t="s">
        <v>1176</v>
      </c>
    </row>
    <row r="563" spans="2:15">
      <c r="B563" s="174" t="s">
        <v>550</v>
      </c>
      <c r="C563" s="175" t="s">
        <v>1647</v>
      </c>
      <c r="D563" s="176" t="s">
        <v>1648</v>
      </c>
      <c r="E563" s="177" t="s">
        <v>551</v>
      </c>
      <c r="F563" s="175">
        <f t="shared" si="17"/>
        <v>10</v>
      </c>
      <c r="G563" s="175" t="str">
        <f t="shared" si="18"/>
        <v>Evanston</v>
      </c>
      <c r="H563" s="175"/>
      <c r="I563" s="178" t="s">
        <v>2370</v>
      </c>
      <c r="J563" s="27" t="s">
        <v>1648</v>
      </c>
      <c r="K563" s="27">
        <v>752</v>
      </c>
      <c r="L563" s="179">
        <v>6536</v>
      </c>
      <c r="M563" s="178" t="s">
        <v>2371</v>
      </c>
      <c r="N563" s="27" t="s">
        <v>1648</v>
      </c>
      <c r="O563" s="182" t="s">
        <v>2372</v>
      </c>
    </row>
    <row r="564" spans="2:15">
      <c r="B564" s="174" t="s">
        <v>1188</v>
      </c>
      <c r="C564" s="175" t="s">
        <v>1647</v>
      </c>
      <c r="D564" s="176" t="s">
        <v>1648</v>
      </c>
      <c r="E564" s="177" t="s">
        <v>1189</v>
      </c>
      <c r="F564" s="175">
        <f t="shared" si="17"/>
        <v>10</v>
      </c>
      <c r="G564" s="175" t="str">
        <f t="shared" si="18"/>
        <v>Oak Park</v>
      </c>
      <c r="H564" s="175"/>
      <c r="I564" s="178" t="s">
        <v>2370</v>
      </c>
      <c r="J564" s="27" t="s">
        <v>1648</v>
      </c>
      <c r="K564" s="27">
        <v>752</v>
      </c>
      <c r="L564" s="179">
        <v>6536</v>
      </c>
      <c r="M564" s="178" t="s">
        <v>2371</v>
      </c>
      <c r="N564" s="27" t="s">
        <v>1648</v>
      </c>
      <c r="O564" s="182" t="s">
        <v>2372</v>
      </c>
    </row>
    <row r="565" spans="2:15">
      <c r="B565" s="174" t="s">
        <v>1642</v>
      </c>
      <c r="C565" s="175" t="s">
        <v>1647</v>
      </c>
      <c r="D565" s="176" t="s">
        <v>1648</v>
      </c>
      <c r="E565" s="177" t="s">
        <v>2265</v>
      </c>
      <c r="F565" s="175">
        <f t="shared" si="17"/>
        <v>20</v>
      </c>
      <c r="G565" s="175" t="str">
        <f t="shared" si="18"/>
        <v>South Chicago Sub.</v>
      </c>
      <c r="H565" s="175"/>
      <c r="I565" s="178" t="s">
        <v>2370</v>
      </c>
      <c r="J565" s="27" t="s">
        <v>1648</v>
      </c>
      <c r="K565" s="27">
        <v>752</v>
      </c>
      <c r="L565" s="179">
        <v>6536</v>
      </c>
      <c r="M565" s="178" t="s">
        <v>2371</v>
      </c>
      <c r="N565" s="27" t="s">
        <v>1648</v>
      </c>
      <c r="O565" s="182" t="s">
        <v>2372</v>
      </c>
    </row>
    <row r="566" spans="2:15">
      <c r="B566" s="174" t="s">
        <v>1218</v>
      </c>
      <c r="C566" s="175" t="s">
        <v>1647</v>
      </c>
      <c r="D566" s="176" t="s">
        <v>1648</v>
      </c>
      <c r="E566" s="177" t="s">
        <v>2265</v>
      </c>
      <c r="F566" s="175">
        <f t="shared" si="17"/>
        <v>20</v>
      </c>
      <c r="G566" s="175" t="str">
        <f t="shared" si="18"/>
        <v>South Chicago Sub.</v>
      </c>
      <c r="H566" s="175"/>
      <c r="I566" s="178" t="s">
        <v>2370</v>
      </c>
      <c r="J566" s="27" t="s">
        <v>1648</v>
      </c>
      <c r="K566" s="27">
        <v>752</v>
      </c>
      <c r="L566" s="179">
        <v>6536</v>
      </c>
      <c r="M566" s="178" t="s">
        <v>2371</v>
      </c>
      <c r="N566" s="27" t="s">
        <v>1648</v>
      </c>
      <c r="O566" s="182" t="s">
        <v>2372</v>
      </c>
    </row>
    <row r="567" spans="2:15">
      <c r="B567" s="174" t="s">
        <v>2368</v>
      </c>
      <c r="C567" s="175" t="s">
        <v>1647</v>
      </c>
      <c r="D567" s="176" t="s">
        <v>1648</v>
      </c>
      <c r="E567" s="177" t="s">
        <v>2369</v>
      </c>
      <c r="F567" s="175">
        <f t="shared" si="17"/>
        <v>9</v>
      </c>
      <c r="G567" s="175" t="str">
        <f t="shared" si="18"/>
        <v>Chicago</v>
      </c>
      <c r="H567" s="175"/>
      <c r="I567" s="178" t="s">
        <v>2370</v>
      </c>
      <c r="J567" s="27" t="s">
        <v>1648</v>
      </c>
      <c r="K567" s="27">
        <v>752</v>
      </c>
      <c r="L567" s="179">
        <v>6536</v>
      </c>
      <c r="M567" s="178" t="s">
        <v>2371</v>
      </c>
      <c r="N567" s="27" t="s">
        <v>1648</v>
      </c>
      <c r="O567" s="182" t="s">
        <v>2372</v>
      </c>
    </row>
    <row r="568" spans="2:15">
      <c r="B568" s="174" t="s">
        <v>2373</v>
      </c>
      <c r="C568" s="175" t="s">
        <v>1647</v>
      </c>
      <c r="D568" s="176" t="s">
        <v>1648</v>
      </c>
      <c r="E568" s="177" t="s">
        <v>2369</v>
      </c>
      <c r="F568" s="175">
        <f t="shared" si="17"/>
        <v>9</v>
      </c>
      <c r="G568" s="175" t="str">
        <f t="shared" si="18"/>
        <v>Chicago</v>
      </c>
      <c r="H568" s="175"/>
      <c r="I568" s="178" t="s">
        <v>2370</v>
      </c>
      <c r="J568" s="27" t="s">
        <v>1648</v>
      </c>
      <c r="K568" s="27">
        <v>752</v>
      </c>
      <c r="L568" s="179">
        <v>6536</v>
      </c>
      <c r="M568" s="178" t="s">
        <v>2371</v>
      </c>
      <c r="N568" s="27" t="s">
        <v>1648</v>
      </c>
      <c r="O568" s="182" t="s">
        <v>2372</v>
      </c>
    </row>
    <row r="569" spans="2:15">
      <c r="B569" s="174" t="s">
        <v>900</v>
      </c>
      <c r="C569" s="175" t="s">
        <v>1647</v>
      </c>
      <c r="D569" s="176" t="s">
        <v>1648</v>
      </c>
      <c r="E569" s="177" t="s">
        <v>901</v>
      </c>
      <c r="F569" s="175">
        <f t="shared" si="17"/>
        <v>10</v>
      </c>
      <c r="G569" s="175" t="str">
        <f t="shared" si="18"/>
        <v>Kankakee</v>
      </c>
      <c r="H569" s="175"/>
      <c r="I569" s="178" t="s">
        <v>902</v>
      </c>
      <c r="J569" s="27" t="s">
        <v>1648</v>
      </c>
      <c r="K569" s="27">
        <v>982</v>
      </c>
      <c r="L569" s="179">
        <v>6148</v>
      </c>
      <c r="M569" s="178" t="s">
        <v>2001</v>
      </c>
      <c r="N569" s="27" t="s">
        <v>1648</v>
      </c>
      <c r="O569" s="182" t="s">
        <v>2002</v>
      </c>
    </row>
    <row r="570" spans="2:15">
      <c r="B570" s="174" t="s">
        <v>314</v>
      </c>
      <c r="C570" s="175" t="s">
        <v>1647</v>
      </c>
      <c r="D570" s="176" t="s">
        <v>1648</v>
      </c>
      <c r="E570" s="177" t="s">
        <v>315</v>
      </c>
      <c r="F570" s="175">
        <f t="shared" si="17"/>
        <v>10</v>
      </c>
      <c r="G570" s="175" t="str">
        <f t="shared" si="18"/>
        <v>Rockford</v>
      </c>
      <c r="H570" s="175"/>
      <c r="I570" s="178" t="s">
        <v>1174</v>
      </c>
      <c r="J570" s="27" t="s">
        <v>1648</v>
      </c>
      <c r="K570" s="27">
        <v>702</v>
      </c>
      <c r="L570" s="179">
        <v>6969</v>
      </c>
      <c r="M570" s="178" t="s">
        <v>1175</v>
      </c>
      <c r="N570" s="27" t="s">
        <v>1648</v>
      </c>
      <c r="O570" s="182" t="s">
        <v>1176</v>
      </c>
    </row>
    <row r="571" spans="2:15">
      <c r="B571" s="174" t="s">
        <v>316</v>
      </c>
      <c r="C571" s="175" t="s">
        <v>1647</v>
      </c>
      <c r="D571" s="176" t="s">
        <v>1648</v>
      </c>
      <c r="E571" s="177" t="s">
        <v>315</v>
      </c>
      <c r="F571" s="175">
        <f t="shared" si="17"/>
        <v>10</v>
      </c>
      <c r="G571" s="175" t="str">
        <f t="shared" si="18"/>
        <v>Rockford</v>
      </c>
      <c r="H571" s="175"/>
      <c r="I571" s="178" t="s">
        <v>1174</v>
      </c>
      <c r="J571" s="27" t="s">
        <v>1648</v>
      </c>
      <c r="K571" s="27">
        <v>702</v>
      </c>
      <c r="L571" s="179">
        <v>6969</v>
      </c>
      <c r="M571" s="178" t="s">
        <v>1175</v>
      </c>
      <c r="N571" s="27" t="s">
        <v>1648</v>
      </c>
      <c r="O571" s="182" t="s">
        <v>1176</v>
      </c>
    </row>
    <row r="572" spans="2:15">
      <c r="B572" s="174" t="s">
        <v>308</v>
      </c>
      <c r="C572" s="175" t="s">
        <v>1647</v>
      </c>
      <c r="D572" s="176" t="s">
        <v>1648</v>
      </c>
      <c r="E572" s="177" t="s">
        <v>309</v>
      </c>
      <c r="F572" s="175">
        <f t="shared" si="17"/>
        <v>13</v>
      </c>
      <c r="G572" s="175" t="str">
        <f t="shared" si="18"/>
        <v>Rock Island</v>
      </c>
      <c r="H572" s="175"/>
      <c r="I572" s="178" t="s">
        <v>1336</v>
      </c>
      <c r="J572" s="27" t="s">
        <v>1648</v>
      </c>
      <c r="K572" s="27">
        <v>911</v>
      </c>
      <c r="L572" s="179">
        <v>6474</v>
      </c>
      <c r="M572" s="178" t="s">
        <v>2001</v>
      </c>
      <c r="N572" s="27" t="s">
        <v>1648</v>
      </c>
      <c r="O572" s="182" t="s">
        <v>2002</v>
      </c>
    </row>
    <row r="573" spans="2:15">
      <c r="B573" s="174" t="s">
        <v>947</v>
      </c>
      <c r="C573" s="175" t="s">
        <v>1647</v>
      </c>
      <c r="D573" s="176" t="s">
        <v>1648</v>
      </c>
      <c r="E573" s="177" t="s">
        <v>948</v>
      </c>
      <c r="F573" s="175">
        <f t="shared" si="17"/>
        <v>10</v>
      </c>
      <c r="G573" s="175" t="str">
        <f t="shared" si="18"/>
        <v>La Salle</v>
      </c>
      <c r="H573" s="175"/>
      <c r="I573" s="178" t="s">
        <v>1336</v>
      </c>
      <c r="J573" s="27" t="s">
        <v>1648</v>
      </c>
      <c r="K573" s="27">
        <v>911</v>
      </c>
      <c r="L573" s="179">
        <v>6474</v>
      </c>
      <c r="M573" s="178" t="s">
        <v>2001</v>
      </c>
      <c r="N573" s="27" t="s">
        <v>1648</v>
      </c>
      <c r="O573" s="182" t="s">
        <v>2002</v>
      </c>
    </row>
    <row r="574" spans="2:15">
      <c r="B574" s="174" t="s">
        <v>1999</v>
      </c>
      <c r="C574" s="175" t="s">
        <v>1647</v>
      </c>
      <c r="D574" s="176" t="s">
        <v>1648</v>
      </c>
      <c r="E574" s="177" t="s">
        <v>2000</v>
      </c>
      <c r="F574" s="175">
        <f t="shared" si="17"/>
        <v>11</v>
      </c>
      <c r="G574" s="175" t="str">
        <f t="shared" si="18"/>
        <v>Galesburg</v>
      </c>
      <c r="H574" s="175"/>
      <c r="I574" s="178" t="s">
        <v>1336</v>
      </c>
      <c r="J574" s="27" t="s">
        <v>1648</v>
      </c>
      <c r="K574" s="27">
        <v>911</v>
      </c>
      <c r="L574" s="179">
        <v>6474</v>
      </c>
      <c r="M574" s="178" t="s">
        <v>2001</v>
      </c>
      <c r="N574" s="27" t="s">
        <v>1648</v>
      </c>
      <c r="O574" s="182" t="s">
        <v>2002</v>
      </c>
    </row>
    <row r="575" spans="2:15">
      <c r="B575" s="174" t="s">
        <v>2415</v>
      </c>
      <c r="C575" s="175" t="s">
        <v>1647</v>
      </c>
      <c r="D575" s="176" t="s">
        <v>1648</v>
      </c>
      <c r="E575" s="177" t="s">
        <v>2416</v>
      </c>
      <c r="F575" s="175">
        <f t="shared" si="17"/>
        <v>8</v>
      </c>
      <c r="G575" s="175" t="str">
        <f t="shared" si="18"/>
        <v>Peoria</v>
      </c>
      <c r="H575" s="175"/>
      <c r="I575" s="178" t="s">
        <v>902</v>
      </c>
      <c r="J575" s="27" t="s">
        <v>1648</v>
      </c>
      <c r="K575" s="27">
        <v>982</v>
      </c>
      <c r="L575" s="179">
        <v>6148</v>
      </c>
      <c r="M575" s="178" t="s">
        <v>2001</v>
      </c>
      <c r="N575" s="27" t="s">
        <v>1648</v>
      </c>
      <c r="O575" s="182" t="s">
        <v>2002</v>
      </c>
    </row>
    <row r="576" spans="2:15">
      <c r="B576" s="174" t="s">
        <v>2417</v>
      </c>
      <c r="C576" s="175" t="s">
        <v>1647</v>
      </c>
      <c r="D576" s="176" t="s">
        <v>1648</v>
      </c>
      <c r="E576" s="177" t="s">
        <v>2416</v>
      </c>
      <c r="F576" s="175">
        <f t="shared" si="17"/>
        <v>8</v>
      </c>
      <c r="G576" s="175" t="str">
        <f t="shared" si="18"/>
        <v>Peoria</v>
      </c>
      <c r="H576" s="175"/>
      <c r="I576" s="178" t="s">
        <v>902</v>
      </c>
      <c r="J576" s="27" t="s">
        <v>1648</v>
      </c>
      <c r="K576" s="27">
        <v>982</v>
      </c>
      <c r="L576" s="179">
        <v>6148</v>
      </c>
      <c r="M576" s="178" t="s">
        <v>2001</v>
      </c>
      <c r="N576" s="27" t="s">
        <v>1648</v>
      </c>
      <c r="O576" s="182" t="s">
        <v>2002</v>
      </c>
    </row>
    <row r="577" spans="2:15">
      <c r="B577" s="174" t="s">
        <v>1646</v>
      </c>
      <c r="C577" s="175" t="s">
        <v>1647</v>
      </c>
      <c r="D577" s="176" t="s">
        <v>1648</v>
      </c>
      <c r="E577" s="177" t="s">
        <v>1649</v>
      </c>
      <c r="F577" s="175">
        <f t="shared" si="17"/>
        <v>13</v>
      </c>
      <c r="G577" s="175" t="str">
        <f t="shared" si="18"/>
        <v>Bloomington</v>
      </c>
      <c r="H577" s="175"/>
      <c r="I577" s="178" t="s">
        <v>1650</v>
      </c>
      <c r="J577" s="27" t="s">
        <v>1648</v>
      </c>
      <c r="K577" s="27">
        <v>1141</v>
      </c>
      <c r="L577" s="179">
        <v>5688</v>
      </c>
      <c r="M577" s="178" t="s">
        <v>1651</v>
      </c>
      <c r="N577" s="27" t="s">
        <v>1648</v>
      </c>
      <c r="O577" s="182" t="s">
        <v>2278</v>
      </c>
    </row>
    <row r="578" spans="2:15">
      <c r="B578" s="174" t="s">
        <v>2329</v>
      </c>
      <c r="C578" s="175" t="s">
        <v>1647</v>
      </c>
      <c r="D578" s="176" t="s">
        <v>1648</v>
      </c>
      <c r="E578" s="177" t="s">
        <v>2330</v>
      </c>
      <c r="F578" s="175">
        <f t="shared" si="17"/>
        <v>18</v>
      </c>
      <c r="G578" s="175" t="str">
        <f t="shared" si="18"/>
        <v>Champaign/Urbana</v>
      </c>
      <c r="H578" s="175"/>
      <c r="I578" s="178" t="s">
        <v>1650</v>
      </c>
      <c r="J578" s="27" t="s">
        <v>1648</v>
      </c>
      <c r="K578" s="27">
        <v>1141</v>
      </c>
      <c r="L578" s="179">
        <v>5688</v>
      </c>
      <c r="M578" s="178" t="s">
        <v>1651</v>
      </c>
      <c r="N578" s="27" t="s">
        <v>1648</v>
      </c>
      <c r="O578" s="182" t="s">
        <v>2278</v>
      </c>
    </row>
    <row r="579" spans="2:15">
      <c r="B579" s="174" t="s">
        <v>2331</v>
      </c>
      <c r="C579" s="175" t="s">
        <v>1647</v>
      </c>
      <c r="D579" s="176" t="s">
        <v>1648</v>
      </c>
      <c r="E579" s="177" t="s">
        <v>2330</v>
      </c>
      <c r="F579" s="175">
        <f t="shared" si="17"/>
        <v>18</v>
      </c>
      <c r="G579" s="175" t="str">
        <f t="shared" si="18"/>
        <v>Champaign/Urbana</v>
      </c>
      <c r="H579" s="175"/>
      <c r="I579" s="178" t="s">
        <v>1650</v>
      </c>
      <c r="J579" s="27" t="s">
        <v>1648</v>
      </c>
      <c r="K579" s="27">
        <v>1141</v>
      </c>
      <c r="L579" s="179">
        <v>5688</v>
      </c>
      <c r="M579" s="178" t="s">
        <v>1651</v>
      </c>
      <c r="N579" s="27" t="s">
        <v>1648</v>
      </c>
      <c r="O579" s="182" t="s">
        <v>2278</v>
      </c>
    </row>
    <row r="580" spans="2:15">
      <c r="B580" s="174" t="s">
        <v>532</v>
      </c>
      <c r="C580" s="175" t="s">
        <v>1647</v>
      </c>
      <c r="D580" s="176" t="s">
        <v>1648</v>
      </c>
      <c r="E580" s="177" t="s">
        <v>533</v>
      </c>
      <c r="F580" s="175">
        <f t="shared" si="17"/>
        <v>18</v>
      </c>
      <c r="G580" s="175" t="str">
        <f t="shared" si="18"/>
        <v>East Saint Louis</v>
      </c>
      <c r="H580" s="175"/>
      <c r="I580" s="178" t="s">
        <v>1380</v>
      </c>
      <c r="J580" s="27" t="s">
        <v>1378</v>
      </c>
      <c r="K580" s="27">
        <v>1534</v>
      </c>
      <c r="L580" s="179">
        <v>4758</v>
      </c>
      <c r="M580" s="178" t="s">
        <v>1381</v>
      </c>
      <c r="N580" s="27" t="s">
        <v>1378</v>
      </c>
      <c r="O580" s="182" t="s">
        <v>1382</v>
      </c>
    </row>
    <row r="581" spans="2:15">
      <c r="B581" s="174" t="s">
        <v>534</v>
      </c>
      <c r="C581" s="175" t="s">
        <v>1647</v>
      </c>
      <c r="D581" s="176" t="s">
        <v>1648</v>
      </c>
      <c r="E581" s="177" t="s">
        <v>533</v>
      </c>
      <c r="F581" s="175">
        <f t="shared" si="17"/>
        <v>18</v>
      </c>
      <c r="G581" s="175" t="str">
        <f t="shared" si="18"/>
        <v>East Saint Louis</v>
      </c>
      <c r="H581" s="175"/>
      <c r="I581" s="178" t="s">
        <v>1380</v>
      </c>
      <c r="J581" s="27" t="s">
        <v>1378</v>
      </c>
      <c r="K581" s="27">
        <v>1534</v>
      </c>
      <c r="L581" s="179">
        <v>4758</v>
      </c>
      <c r="M581" s="178" t="s">
        <v>1381</v>
      </c>
      <c r="N581" s="27" t="s">
        <v>1378</v>
      </c>
      <c r="O581" s="182" t="s">
        <v>1382</v>
      </c>
    </row>
    <row r="582" spans="2:15">
      <c r="B582" s="174" t="s">
        <v>2492</v>
      </c>
      <c r="C582" s="175" t="s">
        <v>1647</v>
      </c>
      <c r="D582" s="176" t="s">
        <v>1648</v>
      </c>
      <c r="E582" s="177" t="s">
        <v>2493</v>
      </c>
      <c r="F582" s="175">
        <f t="shared" si="17"/>
        <v>8</v>
      </c>
      <c r="G582" s="175" t="str">
        <f t="shared" si="18"/>
        <v>Quincy</v>
      </c>
      <c r="H582" s="175"/>
      <c r="I582" s="178" t="s">
        <v>1650</v>
      </c>
      <c r="J582" s="27" t="s">
        <v>1648</v>
      </c>
      <c r="K582" s="27">
        <v>1141</v>
      </c>
      <c r="L582" s="179">
        <v>5688</v>
      </c>
      <c r="M582" s="178" t="s">
        <v>1651</v>
      </c>
      <c r="N582" s="27" t="s">
        <v>1648</v>
      </c>
      <c r="O582" s="182" t="s">
        <v>2278</v>
      </c>
    </row>
    <row r="583" spans="2:15">
      <c r="B583" s="174" t="s">
        <v>54</v>
      </c>
      <c r="C583" s="175" t="s">
        <v>1647</v>
      </c>
      <c r="D583" s="176" t="s">
        <v>1648</v>
      </c>
      <c r="E583" s="177" t="s">
        <v>55</v>
      </c>
      <c r="F583" s="175">
        <f t="shared" si="17"/>
        <v>11</v>
      </c>
      <c r="G583" s="175" t="str">
        <f t="shared" si="18"/>
        <v>Effingham</v>
      </c>
      <c r="H583" s="175"/>
      <c r="I583" s="178" t="s">
        <v>1380</v>
      </c>
      <c r="J583" s="27" t="s">
        <v>1378</v>
      </c>
      <c r="K583" s="27">
        <v>1534</v>
      </c>
      <c r="L583" s="179">
        <v>4758</v>
      </c>
      <c r="M583" s="178" t="s">
        <v>1381</v>
      </c>
      <c r="N583" s="27" t="s">
        <v>1378</v>
      </c>
      <c r="O583" s="182" t="s">
        <v>1382</v>
      </c>
    </row>
    <row r="584" spans="2:15">
      <c r="B584" s="174" t="s">
        <v>1240</v>
      </c>
      <c r="C584" s="175" t="s">
        <v>1647</v>
      </c>
      <c r="D584" s="176" t="s">
        <v>1648</v>
      </c>
      <c r="E584" s="177" t="s">
        <v>1241</v>
      </c>
      <c r="F584" s="175">
        <f t="shared" si="17"/>
        <v>13</v>
      </c>
      <c r="G584" s="175" t="str">
        <f t="shared" si="18"/>
        <v>Springfield</v>
      </c>
      <c r="H584" s="175"/>
      <c r="I584" s="178" t="s">
        <v>1650</v>
      </c>
      <c r="J584" s="27" t="s">
        <v>1648</v>
      </c>
      <c r="K584" s="27">
        <v>1141</v>
      </c>
      <c r="L584" s="179">
        <v>5688</v>
      </c>
      <c r="M584" s="178" t="s">
        <v>1651</v>
      </c>
      <c r="N584" s="27" t="s">
        <v>1648</v>
      </c>
      <c r="O584" s="182" t="s">
        <v>2278</v>
      </c>
    </row>
    <row r="585" spans="2:15">
      <c r="B585" s="174" t="s">
        <v>1242</v>
      </c>
      <c r="C585" s="175" t="s">
        <v>1647</v>
      </c>
      <c r="D585" s="176" t="s">
        <v>1648</v>
      </c>
      <c r="E585" s="177" t="s">
        <v>1241</v>
      </c>
      <c r="F585" s="175">
        <f t="shared" si="17"/>
        <v>13</v>
      </c>
      <c r="G585" s="175" t="str">
        <f t="shared" si="18"/>
        <v>Springfield</v>
      </c>
      <c r="H585" s="175"/>
      <c r="I585" s="178" t="s">
        <v>1650</v>
      </c>
      <c r="J585" s="27" t="s">
        <v>1648</v>
      </c>
      <c r="K585" s="27">
        <v>1141</v>
      </c>
      <c r="L585" s="179">
        <v>5688</v>
      </c>
      <c r="M585" s="178" t="s">
        <v>1651</v>
      </c>
      <c r="N585" s="27" t="s">
        <v>1648</v>
      </c>
      <c r="O585" s="182" t="s">
        <v>2278</v>
      </c>
    </row>
    <row r="586" spans="2:15">
      <c r="B586" s="174" t="s">
        <v>1243</v>
      </c>
      <c r="C586" s="175" t="s">
        <v>1647</v>
      </c>
      <c r="D586" s="176" t="s">
        <v>1648</v>
      </c>
      <c r="E586" s="177" t="s">
        <v>1241</v>
      </c>
      <c r="F586" s="175">
        <f t="shared" ref="F586:F649" si="19">LEN(E586)</f>
        <v>13</v>
      </c>
      <c r="G586" s="175" t="str">
        <f t="shared" ref="G586:G649" si="20">MID(E586,2,F586-2)</f>
        <v>Springfield</v>
      </c>
      <c r="H586" s="175"/>
      <c r="I586" s="178" t="s">
        <v>1650</v>
      </c>
      <c r="J586" s="27" t="s">
        <v>1648</v>
      </c>
      <c r="K586" s="27">
        <v>1141</v>
      </c>
      <c r="L586" s="179">
        <v>5688</v>
      </c>
      <c r="M586" s="178" t="s">
        <v>1651</v>
      </c>
      <c r="N586" s="27" t="s">
        <v>1648</v>
      </c>
      <c r="O586" s="182" t="s">
        <v>2278</v>
      </c>
    </row>
    <row r="587" spans="2:15">
      <c r="B587" s="174" t="s">
        <v>2322</v>
      </c>
      <c r="C587" s="175" t="s">
        <v>1647</v>
      </c>
      <c r="D587" s="176" t="s">
        <v>1648</v>
      </c>
      <c r="E587" s="177" t="s">
        <v>2323</v>
      </c>
      <c r="F587" s="175">
        <f t="shared" si="19"/>
        <v>11</v>
      </c>
      <c r="G587" s="175" t="str">
        <f t="shared" si="20"/>
        <v>Centralia</v>
      </c>
      <c r="H587" s="175"/>
      <c r="I587" s="178" t="s">
        <v>1385</v>
      </c>
      <c r="J587" s="27" t="s">
        <v>2281</v>
      </c>
      <c r="K587" s="27">
        <v>1376</v>
      </c>
      <c r="L587" s="179">
        <v>4708</v>
      </c>
      <c r="M587" s="178" t="s">
        <v>1386</v>
      </c>
      <c r="N587" s="27" t="s">
        <v>2281</v>
      </c>
      <c r="O587" s="182" t="s">
        <v>1387</v>
      </c>
    </row>
    <row r="588" spans="2:15">
      <c r="B588" s="174" t="s">
        <v>1383</v>
      </c>
      <c r="C588" s="175" t="s">
        <v>1647</v>
      </c>
      <c r="D588" s="176" t="s">
        <v>1648</v>
      </c>
      <c r="E588" s="177" t="s">
        <v>1384</v>
      </c>
      <c r="F588" s="175">
        <f t="shared" si="19"/>
        <v>12</v>
      </c>
      <c r="G588" s="175" t="str">
        <f t="shared" si="20"/>
        <v>Carbondale</v>
      </c>
      <c r="H588" s="175"/>
      <c r="I588" s="178" t="s">
        <v>1385</v>
      </c>
      <c r="J588" s="27" t="s">
        <v>2281</v>
      </c>
      <c r="K588" s="27">
        <v>1376</v>
      </c>
      <c r="L588" s="179">
        <v>4708</v>
      </c>
      <c r="M588" s="178" t="s">
        <v>1386</v>
      </c>
      <c r="N588" s="27" t="s">
        <v>2281</v>
      </c>
      <c r="O588" s="182" t="s">
        <v>1387</v>
      </c>
    </row>
    <row r="589" spans="2:15">
      <c r="B589" s="174" t="s">
        <v>351</v>
      </c>
      <c r="C589" s="175" t="s">
        <v>1377</v>
      </c>
      <c r="D589" s="176" t="s">
        <v>1378</v>
      </c>
      <c r="E589" s="177" t="s">
        <v>352</v>
      </c>
      <c r="F589" s="175">
        <f t="shared" si="19"/>
        <v>13</v>
      </c>
      <c r="G589" s="175" t="str">
        <f t="shared" si="20"/>
        <v>Saint Louis</v>
      </c>
      <c r="H589" s="175"/>
      <c r="I589" s="178" t="s">
        <v>1380</v>
      </c>
      <c r="J589" s="27" t="s">
        <v>1378</v>
      </c>
      <c r="K589" s="27">
        <v>1534</v>
      </c>
      <c r="L589" s="179">
        <v>4758</v>
      </c>
      <c r="M589" s="178" t="s">
        <v>1381</v>
      </c>
      <c r="N589" s="27" t="s">
        <v>1378</v>
      </c>
      <c r="O589" s="182" t="s">
        <v>1382</v>
      </c>
    </row>
    <row r="590" spans="2:15">
      <c r="B590" s="174" t="s">
        <v>353</v>
      </c>
      <c r="C590" s="175" t="s">
        <v>1377</v>
      </c>
      <c r="D590" s="176" t="s">
        <v>1378</v>
      </c>
      <c r="E590" s="177" t="s">
        <v>352</v>
      </c>
      <c r="F590" s="175">
        <f t="shared" si="19"/>
        <v>13</v>
      </c>
      <c r="G590" s="175" t="str">
        <f t="shared" si="20"/>
        <v>Saint Louis</v>
      </c>
      <c r="H590" s="175"/>
      <c r="I590" s="178" t="s">
        <v>1380</v>
      </c>
      <c r="J590" s="27" t="s">
        <v>1378</v>
      </c>
      <c r="K590" s="27">
        <v>1534</v>
      </c>
      <c r="L590" s="179">
        <v>4758</v>
      </c>
      <c r="M590" s="178" t="s">
        <v>1381</v>
      </c>
      <c r="N590" s="27" t="s">
        <v>1378</v>
      </c>
      <c r="O590" s="182" t="s">
        <v>1382</v>
      </c>
    </row>
    <row r="591" spans="2:15">
      <c r="B591" s="174" t="s">
        <v>354</v>
      </c>
      <c r="C591" s="175" t="s">
        <v>1377</v>
      </c>
      <c r="D591" s="176" t="s">
        <v>1378</v>
      </c>
      <c r="E591" s="177" t="s">
        <v>352</v>
      </c>
      <c r="F591" s="175">
        <f t="shared" si="19"/>
        <v>13</v>
      </c>
      <c r="G591" s="175" t="str">
        <f t="shared" si="20"/>
        <v>Saint Louis</v>
      </c>
      <c r="H591" s="175"/>
      <c r="I591" s="178" t="s">
        <v>1380</v>
      </c>
      <c r="J591" s="27" t="s">
        <v>1378</v>
      </c>
      <c r="K591" s="27">
        <v>1534</v>
      </c>
      <c r="L591" s="179">
        <v>4758</v>
      </c>
      <c r="M591" s="178" t="s">
        <v>1381</v>
      </c>
      <c r="N591" s="27" t="s">
        <v>1378</v>
      </c>
      <c r="O591" s="182" t="s">
        <v>1382</v>
      </c>
    </row>
    <row r="592" spans="2:15">
      <c r="B592" s="174" t="s">
        <v>344</v>
      </c>
      <c r="C592" s="175" t="s">
        <v>1377</v>
      </c>
      <c r="D592" s="176" t="s">
        <v>1378</v>
      </c>
      <c r="E592" s="177" t="s">
        <v>345</v>
      </c>
      <c r="F592" s="175">
        <f t="shared" si="19"/>
        <v>15</v>
      </c>
      <c r="G592" s="175" t="str">
        <f t="shared" si="20"/>
        <v>Saint Charles</v>
      </c>
      <c r="H592" s="175"/>
      <c r="I592" s="178" t="s">
        <v>1380</v>
      </c>
      <c r="J592" s="27" t="s">
        <v>1378</v>
      </c>
      <c r="K592" s="27">
        <v>1534</v>
      </c>
      <c r="L592" s="179">
        <v>4758</v>
      </c>
      <c r="M592" s="178" t="s">
        <v>1381</v>
      </c>
      <c r="N592" s="27" t="s">
        <v>1378</v>
      </c>
      <c r="O592" s="182" t="s">
        <v>1382</v>
      </c>
    </row>
    <row r="593" spans="2:15">
      <c r="B593" s="174" t="s">
        <v>2092</v>
      </c>
      <c r="C593" s="175" t="s">
        <v>1377</v>
      </c>
      <c r="D593" s="176" t="s">
        <v>1378</v>
      </c>
      <c r="E593" s="177" t="s">
        <v>2093</v>
      </c>
      <c r="F593" s="175">
        <f t="shared" si="19"/>
        <v>10</v>
      </c>
      <c r="G593" s="175" t="str">
        <f t="shared" si="20"/>
        <v>Hannibal</v>
      </c>
      <c r="H593" s="175"/>
      <c r="I593" s="178" t="s">
        <v>1518</v>
      </c>
      <c r="J593" s="27" t="s">
        <v>1378</v>
      </c>
      <c r="K593" s="27">
        <v>1189</v>
      </c>
      <c r="L593" s="179">
        <v>5212</v>
      </c>
      <c r="M593" s="178" t="s">
        <v>1381</v>
      </c>
      <c r="N593" s="27" t="s">
        <v>1378</v>
      </c>
      <c r="O593" s="182" t="s">
        <v>1382</v>
      </c>
    </row>
    <row r="594" spans="2:15">
      <c r="B594" s="174" t="s">
        <v>927</v>
      </c>
      <c r="C594" s="175" t="s">
        <v>1377</v>
      </c>
      <c r="D594" s="176" t="s">
        <v>1378</v>
      </c>
      <c r="E594" s="177" t="s">
        <v>928</v>
      </c>
      <c r="F594" s="175">
        <f t="shared" si="19"/>
        <v>12</v>
      </c>
      <c r="G594" s="175" t="str">
        <f t="shared" si="20"/>
        <v>Kirksville</v>
      </c>
      <c r="H594" s="175"/>
      <c r="I594" s="178" t="s">
        <v>1336</v>
      </c>
      <c r="J594" s="27" t="s">
        <v>1648</v>
      </c>
      <c r="K594" s="27">
        <v>911</v>
      </c>
      <c r="L594" s="179">
        <v>6474</v>
      </c>
      <c r="M594" s="178" t="s">
        <v>2001</v>
      </c>
      <c r="N594" s="27" t="s">
        <v>1648</v>
      </c>
      <c r="O594" s="182" t="s">
        <v>2002</v>
      </c>
    </row>
    <row r="595" spans="2:15">
      <c r="B595" s="174" t="s">
        <v>1933</v>
      </c>
      <c r="C595" s="175" t="s">
        <v>1377</v>
      </c>
      <c r="D595" s="176" t="s">
        <v>1378</v>
      </c>
      <c r="E595" s="177" t="s">
        <v>1934</v>
      </c>
      <c r="F595" s="175">
        <f t="shared" si="19"/>
        <v>12</v>
      </c>
      <c r="G595" s="175" t="str">
        <f t="shared" si="20"/>
        <v>Flat River</v>
      </c>
      <c r="H595" s="175"/>
      <c r="I595" s="178" t="s">
        <v>1380</v>
      </c>
      <c r="J595" s="27" t="s">
        <v>1378</v>
      </c>
      <c r="K595" s="27">
        <v>1534</v>
      </c>
      <c r="L595" s="179">
        <v>4758</v>
      </c>
      <c r="M595" s="178" t="s">
        <v>1381</v>
      </c>
      <c r="N595" s="27" t="s">
        <v>1378</v>
      </c>
      <c r="O595" s="182" t="s">
        <v>1382</v>
      </c>
    </row>
    <row r="596" spans="2:15">
      <c r="B596" s="174" t="s">
        <v>1376</v>
      </c>
      <c r="C596" s="175" t="s">
        <v>1377</v>
      </c>
      <c r="D596" s="176" t="s">
        <v>1378</v>
      </c>
      <c r="E596" s="177" t="s">
        <v>1379</v>
      </c>
      <c r="F596" s="175">
        <f t="shared" si="19"/>
        <v>16</v>
      </c>
      <c r="G596" s="175" t="str">
        <f t="shared" si="20"/>
        <v>Cape Girardeau</v>
      </c>
      <c r="H596" s="175"/>
      <c r="I596" s="178" t="s">
        <v>1380</v>
      </c>
      <c r="J596" s="27" t="s">
        <v>1378</v>
      </c>
      <c r="K596" s="27">
        <v>1534</v>
      </c>
      <c r="L596" s="179">
        <v>4758</v>
      </c>
      <c r="M596" s="178" t="s">
        <v>1381</v>
      </c>
      <c r="N596" s="27" t="s">
        <v>1378</v>
      </c>
      <c r="O596" s="182" t="s">
        <v>1382</v>
      </c>
    </row>
    <row r="597" spans="2:15">
      <c r="B597" s="174" t="s">
        <v>2242</v>
      </c>
      <c r="C597" s="175" t="s">
        <v>1377</v>
      </c>
      <c r="D597" s="176" t="s">
        <v>1378</v>
      </c>
      <c r="E597" s="177" t="s">
        <v>2243</v>
      </c>
      <c r="F597" s="175">
        <f t="shared" si="19"/>
        <v>10</v>
      </c>
      <c r="G597" s="175" t="str">
        <f t="shared" si="20"/>
        <v>Sikeston</v>
      </c>
      <c r="H597" s="175"/>
      <c r="I597" s="178" t="s">
        <v>1385</v>
      </c>
      <c r="J597" s="27" t="s">
        <v>2281</v>
      </c>
      <c r="K597" s="27">
        <v>1376</v>
      </c>
      <c r="L597" s="179">
        <v>4708</v>
      </c>
      <c r="M597" s="178" t="s">
        <v>1386</v>
      </c>
      <c r="N597" s="27" t="s">
        <v>2281</v>
      </c>
      <c r="O597" s="182" t="s">
        <v>1387</v>
      </c>
    </row>
    <row r="598" spans="2:15">
      <c r="B598" s="174" t="s">
        <v>2457</v>
      </c>
      <c r="C598" s="175" t="s">
        <v>1377</v>
      </c>
      <c r="D598" s="176" t="s">
        <v>1378</v>
      </c>
      <c r="E598" s="177" t="s">
        <v>2458</v>
      </c>
      <c r="F598" s="175">
        <f t="shared" si="19"/>
        <v>14</v>
      </c>
      <c r="G598" s="175" t="str">
        <f t="shared" si="20"/>
        <v>Poplar Bluff</v>
      </c>
      <c r="H598" s="175"/>
      <c r="I598" s="178" t="s">
        <v>1925</v>
      </c>
      <c r="J598" s="27" t="s">
        <v>1378</v>
      </c>
      <c r="K598" s="27">
        <v>1320</v>
      </c>
      <c r="L598" s="179">
        <v>4638</v>
      </c>
      <c r="M598" s="180" t="s">
        <v>1651</v>
      </c>
      <c r="N598" s="181" t="s">
        <v>1378</v>
      </c>
      <c r="O598" s="182" t="s">
        <v>1926</v>
      </c>
    </row>
    <row r="599" spans="2:15">
      <c r="B599" s="174" t="s">
        <v>907</v>
      </c>
      <c r="C599" s="175" t="s">
        <v>1377</v>
      </c>
      <c r="D599" s="176" t="s">
        <v>1378</v>
      </c>
      <c r="E599" s="177" t="s">
        <v>904</v>
      </c>
      <c r="F599" s="175">
        <f t="shared" si="19"/>
        <v>13</v>
      </c>
      <c r="G599" s="175" t="str">
        <f t="shared" si="20"/>
        <v>Kansas City</v>
      </c>
      <c r="H599" s="175"/>
      <c r="I599" s="178" t="s">
        <v>2381</v>
      </c>
      <c r="J599" s="27" t="s">
        <v>1378</v>
      </c>
      <c r="K599" s="27">
        <v>1288</v>
      </c>
      <c r="L599" s="179">
        <v>5393</v>
      </c>
      <c r="M599" s="180" t="s">
        <v>2382</v>
      </c>
      <c r="N599" s="181" t="s">
        <v>1378</v>
      </c>
      <c r="O599" s="182" t="s">
        <v>2383</v>
      </c>
    </row>
    <row r="600" spans="2:15">
      <c r="B600" s="174" t="s">
        <v>908</v>
      </c>
      <c r="C600" s="175" t="s">
        <v>1377</v>
      </c>
      <c r="D600" s="176" t="s">
        <v>1378</v>
      </c>
      <c r="E600" s="177" t="s">
        <v>904</v>
      </c>
      <c r="F600" s="175">
        <f t="shared" si="19"/>
        <v>13</v>
      </c>
      <c r="G600" s="175" t="str">
        <f t="shared" si="20"/>
        <v>Kansas City</v>
      </c>
      <c r="H600" s="175"/>
      <c r="I600" s="178" t="s">
        <v>2381</v>
      </c>
      <c r="J600" s="27" t="s">
        <v>1378</v>
      </c>
      <c r="K600" s="27">
        <v>1288</v>
      </c>
      <c r="L600" s="179">
        <v>5393</v>
      </c>
      <c r="M600" s="180" t="s">
        <v>2382</v>
      </c>
      <c r="N600" s="181" t="s">
        <v>1378</v>
      </c>
      <c r="O600" s="182" t="s">
        <v>2383</v>
      </c>
    </row>
    <row r="601" spans="2:15">
      <c r="B601" s="174" t="s">
        <v>348</v>
      </c>
      <c r="C601" s="175" t="s">
        <v>1377</v>
      </c>
      <c r="D601" s="176" t="s">
        <v>1378</v>
      </c>
      <c r="E601" s="177" t="s">
        <v>349</v>
      </c>
      <c r="F601" s="175">
        <f t="shared" si="19"/>
        <v>14</v>
      </c>
      <c r="G601" s="175" t="str">
        <f t="shared" si="20"/>
        <v>Saint Joseph</v>
      </c>
      <c r="H601" s="175"/>
      <c r="I601" s="178" t="s">
        <v>905</v>
      </c>
      <c r="J601" s="27" t="s">
        <v>1507</v>
      </c>
      <c r="K601" s="27">
        <v>1304</v>
      </c>
      <c r="L601" s="179">
        <v>5265</v>
      </c>
      <c r="M601" s="180" t="s">
        <v>647</v>
      </c>
      <c r="N601" s="181" t="s">
        <v>1507</v>
      </c>
      <c r="O601" s="182" t="s">
        <v>648</v>
      </c>
    </row>
    <row r="602" spans="2:15">
      <c r="B602" s="174" t="s">
        <v>350</v>
      </c>
      <c r="C602" s="175" t="s">
        <v>1377</v>
      </c>
      <c r="D602" s="176" t="s">
        <v>1378</v>
      </c>
      <c r="E602" s="177" t="s">
        <v>349</v>
      </c>
      <c r="F602" s="175">
        <f t="shared" si="19"/>
        <v>14</v>
      </c>
      <c r="G602" s="175" t="str">
        <f t="shared" si="20"/>
        <v>Saint Joseph</v>
      </c>
      <c r="H602" s="175"/>
      <c r="I602" s="178" t="s">
        <v>2381</v>
      </c>
      <c r="J602" s="27" t="s">
        <v>1378</v>
      </c>
      <c r="K602" s="27">
        <v>1288</v>
      </c>
      <c r="L602" s="179">
        <v>5393</v>
      </c>
      <c r="M602" s="180" t="s">
        <v>2382</v>
      </c>
      <c r="N602" s="181" t="s">
        <v>1378</v>
      </c>
      <c r="O602" s="182" t="s">
        <v>2383</v>
      </c>
    </row>
    <row r="603" spans="2:15">
      <c r="B603" s="174" t="s">
        <v>2379</v>
      </c>
      <c r="C603" s="175" t="s">
        <v>1377</v>
      </c>
      <c r="D603" s="176" t="s">
        <v>1378</v>
      </c>
      <c r="E603" s="177" t="s">
        <v>2380</v>
      </c>
      <c r="F603" s="175">
        <f t="shared" si="19"/>
        <v>13</v>
      </c>
      <c r="G603" s="175" t="str">
        <f t="shared" si="20"/>
        <v>Chillicothe</v>
      </c>
      <c r="H603" s="175"/>
      <c r="I603" s="178" t="s">
        <v>2381</v>
      </c>
      <c r="J603" s="27" t="s">
        <v>1378</v>
      </c>
      <c r="K603" s="27">
        <v>1288</v>
      </c>
      <c r="L603" s="179">
        <v>5393</v>
      </c>
      <c r="M603" s="180" t="s">
        <v>2382</v>
      </c>
      <c r="N603" s="181" t="s">
        <v>1378</v>
      </c>
      <c r="O603" s="182" t="s">
        <v>2383</v>
      </c>
    </row>
    <row r="604" spans="2:15">
      <c r="B604" s="174" t="s">
        <v>2190</v>
      </c>
      <c r="C604" s="175" t="s">
        <v>1377</v>
      </c>
      <c r="D604" s="176" t="s">
        <v>1378</v>
      </c>
      <c r="E604" s="177" t="s">
        <v>2191</v>
      </c>
      <c r="F604" s="175">
        <f t="shared" si="19"/>
        <v>15</v>
      </c>
      <c r="G604" s="175" t="str">
        <f t="shared" si="20"/>
        <v>Harrisonville</v>
      </c>
      <c r="H604" s="175"/>
      <c r="I604" s="178" t="s">
        <v>1925</v>
      </c>
      <c r="J604" s="27" t="s">
        <v>1378</v>
      </c>
      <c r="K604" s="27">
        <v>1320</v>
      </c>
      <c r="L604" s="179">
        <v>4638</v>
      </c>
      <c r="M604" s="180" t="s">
        <v>1651</v>
      </c>
      <c r="N604" s="181" t="s">
        <v>1378</v>
      </c>
      <c r="O604" s="182" t="s">
        <v>1926</v>
      </c>
    </row>
    <row r="605" spans="2:15">
      <c r="B605" s="174" t="s">
        <v>136</v>
      </c>
      <c r="C605" s="175" t="s">
        <v>1377</v>
      </c>
      <c r="D605" s="176" t="s">
        <v>1378</v>
      </c>
      <c r="E605" s="177" t="s">
        <v>137</v>
      </c>
      <c r="F605" s="175">
        <f t="shared" si="19"/>
        <v>8</v>
      </c>
      <c r="G605" s="175" t="str">
        <f t="shared" si="20"/>
        <v>Joplin</v>
      </c>
      <c r="H605" s="175"/>
      <c r="I605" s="178" t="s">
        <v>1925</v>
      </c>
      <c r="J605" s="27" t="s">
        <v>1378</v>
      </c>
      <c r="K605" s="27">
        <v>1320</v>
      </c>
      <c r="L605" s="179">
        <v>4638</v>
      </c>
      <c r="M605" s="180" t="s">
        <v>1651</v>
      </c>
      <c r="N605" s="181" t="s">
        <v>1378</v>
      </c>
      <c r="O605" s="182" t="s">
        <v>1926</v>
      </c>
    </row>
    <row r="606" spans="2:15">
      <c r="B606" s="174" t="s">
        <v>125</v>
      </c>
      <c r="C606" s="175" t="s">
        <v>1377</v>
      </c>
      <c r="D606" s="176" t="s">
        <v>1378</v>
      </c>
      <c r="E606" s="177" t="s">
        <v>126</v>
      </c>
      <c r="F606" s="175">
        <f t="shared" si="19"/>
        <v>16</v>
      </c>
      <c r="G606" s="175" t="str">
        <f t="shared" si="20"/>
        <v>Jefferson_City</v>
      </c>
      <c r="H606" s="175"/>
      <c r="I606" s="178" t="s">
        <v>1380</v>
      </c>
      <c r="J606" s="27" t="s">
        <v>1378</v>
      </c>
      <c r="K606" s="27">
        <v>1534</v>
      </c>
      <c r="L606" s="179">
        <v>4758</v>
      </c>
      <c r="M606" s="178" t="s">
        <v>1381</v>
      </c>
      <c r="N606" s="27" t="s">
        <v>1378</v>
      </c>
      <c r="O606" s="182" t="s">
        <v>1382</v>
      </c>
    </row>
    <row r="607" spans="2:15">
      <c r="B607" s="174" t="s">
        <v>127</v>
      </c>
      <c r="C607" s="175" t="s">
        <v>1377</v>
      </c>
      <c r="D607" s="176" t="s">
        <v>1378</v>
      </c>
      <c r="E607" s="177" t="s">
        <v>126</v>
      </c>
      <c r="F607" s="175">
        <f t="shared" si="19"/>
        <v>16</v>
      </c>
      <c r="G607" s="175" t="str">
        <f t="shared" si="20"/>
        <v>Jefferson_City</v>
      </c>
      <c r="H607" s="175"/>
      <c r="I607" s="178" t="s">
        <v>1518</v>
      </c>
      <c r="J607" s="27" t="s">
        <v>1378</v>
      </c>
      <c r="K607" s="27">
        <v>1189</v>
      </c>
      <c r="L607" s="179">
        <v>5212</v>
      </c>
      <c r="M607" s="178" t="s">
        <v>1381</v>
      </c>
      <c r="N607" s="27" t="s">
        <v>1378</v>
      </c>
      <c r="O607" s="182" t="s">
        <v>1382</v>
      </c>
    </row>
    <row r="608" spans="2:15">
      <c r="B608" s="174" t="s">
        <v>1516</v>
      </c>
      <c r="C608" s="175" t="s">
        <v>1377</v>
      </c>
      <c r="D608" s="176" t="s">
        <v>1378</v>
      </c>
      <c r="E608" s="177" t="s">
        <v>1517</v>
      </c>
      <c r="F608" s="175">
        <f t="shared" si="19"/>
        <v>10</v>
      </c>
      <c r="G608" s="175" t="str">
        <f t="shared" si="20"/>
        <v>Columbia</v>
      </c>
      <c r="H608" s="175"/>
      <c r="I608" s="178" t="s">
        <v>1518</v>
      </c>
      <c r="J608" s="27" t="s">
        <v>1378</v>
      </c>
      <c r="K608" s="27">
        <v>1189</v>
      </c>
      <c r="L608" s="179">
        <v>5212</v>
      </c>
      <c r="M608" s="178" t="s">
        <v>1381</v>
      </c>
      <c r="N608" s="27" t="s">
        <v>1378</v>
      </c>
      <c r="O608" s="182" t="s">
        <v>1382</v>
      </c>
    </row>
    <row r="609" spans="2:15">
      <c r="B609" s="174" t="s">
        <v>1280</v>
      </c>
      <c r="C609" s="175" t="s">
        <v>1377</v>
      </c>
      <c r="D609" s="176" t="s">
        <v>1378</v>
      </c>
      <c r="E609" s="177" t="s">
        <v>1281</v>
      </c>
      <c r="F609" s="175">
        <f t="shared" si="19"/>
        <v>9</v>
      </c>
      <c r="G609" s="175" t="str">
        <f t="shared" si="20"/>
        <v>Sedalia</v>
      </c>
      <c r="H609" s="175"/>
      <c r="I609" s="178" t="s">
        <v>1518</v>
      </c>
      <c r="J609" s="27" t="s">
        <v>1378</v>
      </c>
      <c r="K609" s="27">
        <v>1189</v>
      </c>
      <c r="L609" s="179">
        <v>5212</v>
      </c>
      <c r="M609" s="178" t="s">
        <v>1381</v>
      </c>
      <c r="N609" s="27" t="s">
        <v>1378</v>
      </c>
      <c r="O609" s="182" t="s">
        <v>1382</v>
      </c>
    </row>
    <row r="610" spans="2:15">
      <c r="B610" s="174" t="s">
        <v>323</v>
      </c>
      <c r="C610" s="175" t="s">
        <v>1377</v>
      </c>
      <c r="D610" s="176" t="s">
        <v>1378</v>
      </c>
      <c r="E610" s="177" t="s">
        <v>324</v>
      </c>
      <c r="F610" s="175">
        <f t="shared" si="19"/>
        <v>7</v>
      </c>
      <c r="G610" s="175" t="str">
        <f t="shared" si="20"/>
        <v>Rolla</v>
      </c>
      <c r="H610" s="175"/>
      <c r="I610" s="178" t="s">
        <v>1925</v>
      </c>
      <c r="J610" s="27" t="s">
        <v>1378</v>
      </c>
      <c r="K610" s="27">
        <v>1320</v>
      </c>
      <c r="L610" s="179">
        <v>4638</v>
      </c>
      <c r="M610" s="180" t="s">
        <v>1651</v>
      </c>
      <c r="N610" s="181" t="s">
        <v>1378</v>
      </c>
      <c r="O610" s="182" t="s">
        <v>1926</v>
      </c>
    </row>
    <row r="611" spans="2:15">
      <c r="B611" s="174" t="s">
        <v>325</v>
      </c>
      <c r="C611" s="175" t="s">
        <v>1377</v>
      </c>
      <c r="D611" s="176" t="s">
        <v>1378</v>
      </c>
      <c r="E611" s="177" t="s">
        <v>324</v>
      </c>
      <c r="F611" s="175">
        <f t="shared" si="19"/>
        <v>7</v>
      </c>
      <c r="G611" s="175" t="str">
        <f t="shared" si="20"/>
        <v>Rolla</v>
      </c>
      <c r="H611" s="175"/>
      <c r="I611" s="178" t="s">
        <v>1925</v>
      </c>
      <c r="J611" s="27" t="s">
        <v>1378</v>
      </c>
      <c r="K611" s="27">
        <v>1320</v>
      </c>
      <c r="L611" s="179">
        <v>4638</v>
      </c>
      <c r="M611" s="180" t="s">
        <v>1651</v>
      </c>
      <c r="N611" s="181" t="s">
        <v>1378</v>
      </c>
      <c r="O611" s="182" t="s">
        <v>1926</v>
      </c>
    </row>
    <row r="612" spans="2:15">
      <c r="B612" s="174" t="s">
        <v>1246</v>
      </c>
      <c r="C612" s="175" t="s">
        <v>1377</v>
      </c>
      <c r="D612" s="176" t="s">
        <v>1378</v>
      </c>
      <c r="E612" s="177" t="s">
        <v>1241</v>
      </c>
      <c r="F612" s="175">
        <f t="shared" si="19"/>
        <v>13</v>
      </c>
      <c r="G612" s="175" t="str">
        <f t="shared" si="20"/>
        <v>Springfield</v>
      </c>
      <c r="H612" s="175"/>
      <c r="I612" s="178" t="s">
        <v>1925</v>
      </c>
      <c r="J612" s="27" t="s">
        <v>1378</v>
      </c>
      <c r="K612" s="27">
        <v>1320</v>
      </c>
      <c r="L612" s="179">
        <v>4638</v>
      </c>
      <c r="M612" s="180" t="s">
        <v>1651</v>
      </c>
      <c r="N612" s="181" t="s">
        <v>1378</v>
      </c>
      <c r="O612" s="182" t="s">
        <v>1926</v>
      </c>
    </row>
    <row r="613" spans="2:15">
      <c r="B613" s="174" t="s">
        <v>1247</v>
      </c>
      <c r="C613" s="175" t="s">
        <v>1377</v>
      </c>
      <c r="D613" s="176" t="s">
        <v>1378</v>
      </c>
      <c r="E613" s="177" t="s">
        <v>1241</v>
      </c>
      <c r="F613" s="175">
        <f t="shared" si="19"/>
        <v>13</v>
      </c>
      <c r="G613" s="175" t="str">
        <f t="shared" si="20"/>
        <v>Springfield</v>
      </c>
      <c r="H613" s="175"/>
      <c r="I613" s="178" t="s">
        <v>1925</v>
      </c>
      <c r="J613" s="27" t="s">
        <v>1378</v>
      </c>
      <c r="K613" s="27">
        <v>1320</v>
      </c>
      <c r="L613" s="179">
        <v>4638</v>
      </c>
      <c r="M613" s="180" t="s">
        <v>1651</v>
      </c>
      <c r="N613" s="181" t="s">
        <v>1378</v>
      </c>
      <c r="O613" s="182" t="s">
        <v>1926</v>
      </c>
    </row>
    <row r="614" spans="2:15">
      <c r="B614" s="174" t="s">
        <v>1248</v>
      </c>
      <c r="C614" s="175" t="s">
        <v>1377</v>
      </c>
      <c r="D614" s="176" t="s">
        <v>1378</v>
      </c>
      <c r="E614" s="177" t="s">
        <v>1241</v>
      </c>
      <c r="F614" s="175">
        <f t="shared" si="19"/>
        <v>13</v>
      </c>
      <c r="G614" s="175" t="str">
        <f t="shared" si="20"/>
        <v>Springfield</v>
      </c>
      <c r="H614" s="175"/>
      <c r="I614" s="178" t="s">
        <v>1925</v>
      </c>
      <c r="J614" s="27" t="s">
        <v>1378</v>
      </c>
      <c r="K614" s="27">
        <v>1320</v>
      </c>
      <c r="L614" s="179">
        <v>4638</v>
      </c>
      <c r="M614" s="180" t="s">
        <v>1651</v>
      </c>
      <c r="N614" s="181" t="s">
        <v>1378</v>
      </c>
      <c r="O614" s="182" t="s">
        <v>1926</v>
      </c>
    </row>
    <row r="615" spans="2:15">
      <c r="B615" s="174" t="s">
        <v>903</v>
      </c>
      <c r="C615" s="175" t="s">
        <v>1506</v>
      </c>
      <c r="D615" s="176" t="s">
        <v>1507</v>
      </c>
      <c r="E615" s="177" t="s">
        <v>904</v>
      </c>
      <c r="F615" s="175">
        <f t="shared" si="19"/>
        <v>13</v>
      </c>
      <c r="G615" s="175" t="str">
        <f t="shared" si="20"/>
        <v>Kansas City</v>
      </c>
      <c r="H615" s="175"/>
      <c r="I615" s="178" t="s">
        <v>905</v>
      </c>
      <c r="J615" s="27" t="s">
        <v>1507</v>
      </c>
      <c r="K615" s="27">
        <v>1304</v>
      </c>
      <c r="L615" s="179">
        <v>5265</v>
      </c>
      <c r="M615" s="180" t="s">
        <v>2382</v>
      </c>
      <c r="N615" s="181" t="s">
        <v>1378</v>
      </c>
      <c r="O615" s="182" t="s">
        <v>2383</v>
      </c>
    </row>
    <row r="616" spans="2:15">
      <c r="B616" s="174" t="s">
        <v>906</v>
      </c>
      <c r="C616" s="175" t="s">
        <v>1506</v>
      </c>
      <c r="D616" s="176" t="s">
        <v>1507</v>
      </c>
      <c r="E616" s="177" t="s">
        <v>904</v>
      </c>
      <c r="F616" s="175">
        <f t="shared" si="19"/>
        <v>13</v>
      </c>
      <c r="G616" s="175" t="str">
        <f t="shared" si="20"/>
        <v>Kansas City</v>
      </c>
      <c r="H616" s="175"/>
      <c r="I616" s="178" t="s">
        <v>2381</v>
      </c>
      <c r="J616" s="27" t="s">
        <v>1378</v>
      </c>
      <c r="K616" s="27">
        <v>1288</v>
      </c>
      <c r="L616" s="179">
        <v>5393</v>
      </c>
      <c r="M616" s="180" t="s">
        <v>2382</v>
      </c>
      <c r="N616" s="181" t="s">
        <v>1378</v>
      </c>
      <c r="O616" s="182" t="s">
        <v>2383</v>
      </c>
    </row>
    <row r="617" spans="2:15">
      <c r="B617" s="174" t="s">
        <v>1286</v>
      </c>
      <c r="C617" s="175" t="s">
        <v>1506</v>
      </c>
      <c r="D617" s="176" t="s">
        <v>1507</v>
      </c>
      <c r="E617" s="177" t="s">
        <v>1287</v>
      </c>
      <c r="F617" s="175">
        <f t="shared" si="19"/>
        <v>17</v>
      </c>
      <c r="G617" s="175" t="str">
        <f t="shared" si="20"/>
        <v>Shawnee/Mission</v>
      </c>
      <c r="H617" s="175"/>
      <c r="I617" s="178" t="s">
        <v>2381</v>
      </c>
      <c r="J617" s="27" t="s">
        <v>1378</v>
      </c>
      <c r="K617" s="27">
        <v>1288</v>
      </c>
      <c r="L617" s="179">
        <v>5393</v>
      </c>
      <c r="M617" s="180" t="s">
        <v>2382</v>
      </c>
      <c r="N617" s="181" t="s">
        <v>1378</v>
      </c>
      <c r="O617" s="182" t="s">
        <v>2383</v>
      </c>
    </row>
    <row r="618" spans="2:15">
      <c r="B618" s="174" t="s">
        <v>872</v>
      </c>
      <c r="C618" s="175" t="s">
        <v>1506</v>
      </c>
      <c r="D618" s="176" t="s">
        <v>1507</v>
      </c>
      <c r="E618" s="177" t="s">
        <v>873</v>
      </c>
      <c r="F618" s="175">
        <f t="shared" si="19"/>
        <v>8</v>
      </c>
      <c r="G618" s="175" t="str">
        <f t="shared" si="20"/>
        <v>Topeka</v>
      </c>
      <c r="H618" s="175"/>
      <c r="I618" s="178" t="s">
        <v>905</v>
      </c>
      <c r="J618" s="27" t="s">
        <v>1507</v>
      </c>
      <c r="K618" s="27">
        <v>1304</v>
      </c>
      <c r="L618" s="179">
        <v>5265</v>
      </c>
      <c r="M618" s="180" t="s">
        <v>647</v>
      </c>
      <c r="N618" s="181" t="s">
        <v>1507</v>
      </c>
      <c r="O618" s="182" t="s">
        <v>648</v>
      </c>
    </row>
    <row r="619" spans="2:15">
      <c r="B619" s="174" t="s">
        <v>874</v>
      </c>
      <c r="C619" s="175" t="s">
        <v>1506</v>
      </c>
      <c r="D619" s="176" t="s">
        <v>1507</v>
      </c>
      <c r="E619" s="177" t="s">
        <v>873</v>
      </c>
      <c r="F619" s="175">
        <f t="shared" si="19"/>
        <v>8</v>
      </c>
      <c r="G619" s="175" t="str">
        <f t="shared" si="20"/>
        <v>Topeka</v>
      </c>
      <c r="H619" s="175"/>
      <c r="I619" s="178" t="s">
        <v>905</v>
      </c>
      <c r="J619" s="27" t="s">
        <v>1507</v>
      </c>
      <c r="K619" s="27">
        <v>1304</v>
      </c>
      <c r="L619" s="179">
        <v>5265</v>
      </c>
      <c r="M619" s="180" t="s">
        <v>647</v>
      </c>
      <c r="N619" s="181" t="s">
        <v>1507</v>
      </c>
      <c r="O619" s="182" t="s">
        <v>648</v>
      </c>
    </row>
    <row r="620" spans="2:15">
      <c r="B620" s="174" t="s">
        <v>875</v>
      </c>
      <c r="C620" s="175" t="s">
        <v>1506</v>
      </c>
      <c r="D620" s="176" t="s">
        <v>1507</v>
      </c>
      <c r="E620" s="177" t="s">
        <v>873</v>
      </c>
      <c r="F620" s="175">
        <f t="shared" si="19"/>
        <v>8</v>
      </c>
      <c r="G620" s="175" t="str">
        <f t="shared" si="20"/>
        <v>Topeka</v>
      </c>
      <c r="H620" s="175"/>
      <c r="I620" s="178" t="s">
        <v>905</v>
      </c>
      <c r="J620" s="27" t="s">
        <v>1507</v>
      </c>
      <c r="K620" s="27">
        <v>1304</v>
      </c>
      <c r="L620" s="179">
        <v>5265</v>
      </c>
      <c r="M620" s="180" t="s">
        <v>647</v>
      </c>
      <c r="N620" s="181" t="s">
        <v>1507</v>
      </c>
      <c r="O620" s="182" t="s">
        <v>648</v>
      </c>
    </row>
    <row r="621" spans="2:15">
      <c r="B621" s="174" t="s">
        <v>1962</v>
      </c>
      <c r="C621" s="175" t="s">
        <v>1506</v>
      </c>
      <c r="D621" s="176" t="s">
        <v>1507</v>
      </c>
      <c r="E621" s="177" t="s">
        <v>1963</v>
      </c>
      <c r="F621" s="175">
        <f t="shared" si="19"/>
        <v>12</v>
      </c>
      <c r="G621" s="175" t="str">
        <f t="shared" si="20"/>
        <v>Fort Scott</v>
      </c>
      <c r="H621" s="175"/>
      <c r="I621" s="178" t="s">
        <v>1925</v>
      </c>
      <c r="J621" s="27" t="s">
        <v>1378</v>
      </c>
      <c r="K621" s="27">
        <v>1320</v>
      </c>
      <c r="L621" s="179">
        <v>4638</v>
      </c>
      <c r="M621" s="180" t="s">
        <v>1651</v>
      </c>
      <c r="N621" s="181" t="s">
        <v>1378</v>
      </c>
      <c r="O621" s="182" t="s">
        <v>1926</v>
      </c>
    </row>
    <row r="622" spans="2:15">
      <c r="B622" s="174" t="s">
        <v>1051</v>
      </c>
      <c r="C622" s="175" t="s">
        <v>1506</v>
      </c>
      <c r="D622" s="176" t="s">
        <v>1507</v>
      </c>
      <c r="E622" s="177" t="s">
        <v>1052</v>
      </c>
      <c r="F622" s="175">
        <f t="shared" si="19"/>
        <v>9</v>
      </c>
      <c r="G622" s="175" t="str">
        <f t="shared" si="20"/>
        <v>Emporia</v>
      </c>
      <c r="H622" s="175"/>
      <c r="I622" s="178" t="s">
        <v>1053</v>
      </c>
      <c r="J622" s="27" t="s">
        <v>1507</v>
      </c>
      <c r="K622" s="27">
        <v>1628</v>
      </c>
      <c r="L622" s="179">
        <v>4791</v>
      </c>
      <c r="M622" s="180" t="s">
        <v>1727</v>
      </c>
      <c r="N622" s="181" t="s">
        <v>1507</v>
      </c>
      <c r="O622" s="182" t="s">
        <v>1728</v>
      </c>
    </row>
    <row r="623" spans="2:15">
      <c r="B623" s="174" t="s">
        <v>644</v>
      </c>
      <c r="C623" s="175" t="s">
        <v>1506</v>
      </c>
      <c r="D623" s="176" t="s">
        <v>1507</v>
      </c>
      <c r="E623" s="177" t="s">
        <v>645</v>
      </c>
      <c r="F623" s="175">
        <f t="shared" si="19"/>
        <v>11</v>
      </c>
      <c r="G623" s="175" t="str">
        <f t="shared" si="20"/>
        <v>Concordia</v>
      </c>
      <c r="H623" s="175"/>
      <c r="I623" s="178" t="s">
        <v>646</v>
      </c>
      <c r="J623" s="27" t="s">
        <v>1507</v>
      </c>
      <c r="K623" s="27">
        <v>1317</v>
      </c>
      <c r="L623" s="179">
        <v>5574</v>
      </c>
      <c r="M623" s="180" t="s">
        <v>647</v>
      </c>
      <c r="N623" s="181" t="s">
        <v>1507</v>
      </c>
      <c r="O623" s="182" t="s">
        <v>648</v>
      </c>
    </row>
    <row r="624" spans="2:15">
      <c r="B624" s="174" t="s">
        <v>714</v>
      </c>
      <c r="C624" s="175" t="s">
        <v>1506</v>
      </c>
      <c r="D624" s="176" t="s">
        <v>1507</v>
      </c>
      <c r="E624" s="177" t="s">
        <v>715</v>
      </c>
      <c r="F624" s="175">
        <f t="shared" si="19"/>
        <v>9</v>
      </c>
      <c r="G624" s="175" t="str">
        <f t="shared" si="20"/>
        <v>Wichita</v>
      </c>
      <c r="H624" s="175"/>
      <c r="I624" s="178" t="s">
        <v>1053</v>
      </c>
      <c r="J624" s="27" t="s">
        <v>1507</v>
      </c>
      <c r="K624" s="27">
        <v>1628</v>
      </c>
      <c r="L624" s="179">
        <v>4791</v>
      </c>
      <c r="M624" s="180" t="s">
        <v>1727</v>
      </c>
      <c r="N624" s="181" t="s">
        <v>1507</v>
      </c>
      <c r="O624" s="182" t="s">
        <v>1728</v>
      </c>
    </row>
    <row r="625" spans="2:15">
      <c r="B625" s="174" t="s">
        <v>716</v>
      </c>
      <c r="C625" s="175" t="s">
        <v>1506</v>
      </c>
      <c r="D625" s="176" t="s">
        <v>1507</v>
      </c>
      <c r="E625" s="177" t="s">
        <v>715</v>
      </c>
      <c r="F625" s="175">
        <f t="shared" si="19"/>
        <v>9</v>
      </c>
      <c r="G625" s="175" t="str">
        <f t="shared" si="20"/>
        <v>Wichita</v>
      </c>
      <c r="H625" s="175"/>
      <c r="I625" s="178" t="s">
        <v>1053</v>
      </c>
      <c r="J625" s="27" t="s">
        <v>1507</v>
      </c>
      <c r="K625" s="27">
        <v>1628</v>
      </c>
      <c r="L625" s="179">
        <v>4791</v>
      </c>
      <c r="M625" s="180" t="s">
        <v>1727</v>
      </c>
      <c r="N625" s="181" t="s">
        <v>1507</v>
      </c>
      <c r="O625" s="182" t="s">
        <v>1728</v>
      </c>
    </row>
    <row r="626" spans="2:15">
      <c r="B626" s="174" t="s">
        <v>717</v>
      </c>
      <c r="C626" s="175" t="s">
        <v>1506</v>
      </c>
      <c r="D626" s="176" t="s">
        <v>1507</v>
      </c>
      <c r="E626" s="177" t="s">
        <v>715</v>
      </c>
      <c r="F626" s="175">
        <f t="shared" si="19"/>
        <v>9</v>
      </c>
      <c r="G626" s="175" t="str">
        <f t="shared" si="20"/>
        <v>Wichita</v>
      </c>
      <c r="H626" s="175"/>
      <c r="I626" s="178" t="s">
        <v>1053</v>
      </c>
      <c r="J626" s="27" t="s">
        <v>1507</v>
      </c>
      <c r="K626" s="27">
        <v>1628</v>
      </c>
      <c r="L626" s="179">
        <v>4791</v>
      </c>
      <c r="M626" s="180" t="s">
        <v>1727</v>
      </c>
      <c r="N626" s="181" t="s">
        <v>1507</v>
      </c>
      <c r="O626" s="182" t="s">
        <v>1728</v>
      </c>
    </row>
    <row r="627" spans="2:15">
      <c r="B627" s="174" t="s">
        <v>89</v>
      </c>
      <c r="C627" s="175" t="s">
        <v>1506</v>
      </c>
      <c r="D627" s="176" t="s">
        <v>1507</v>
      </c>
      <c r="E627" s="177" t="s">
        <v>90</v>
      </c>
      <c r="F627" s="175">
        <f t="shared" si="19"/>
        <v>14</v>
      </c>
      <c r="G627" s="175" t="str">
        <f t="shared" si="20"/>
        <v>Independence</v>
      </c>
      <c r="H627" s="175"/>
      <c r="I627" s="178" t="s">
        <v>1925</v>
      </c>
      <c r="J627" s="27" t="s">
        <v>1378</v>
      </c>
      <c r="K627" s="27">
        <v>1320</v>
      </c>
      <c r="L627" s="179">
        <v>4638</v>
      </c>
      <c r="M627" s="180" t="s">
        <v>1651</v>
      </c>
      <c r="N627" s="181" t="s">
        <v>1378</v>
      </c>
      <c r="O627" s="182" t="s">
        <v>1926</v>
      </c>
    </row>
    <row r="628" spans="2:15">
      <c r="B628" s="174" t="s">
        <v>362</v>
      </c>
      <c r="C628" s="175" t="s">
        <v>1506</v>
      </c>
      <c r="D628" s="176" t="s">
        <v>1507</v>
      </c>
      <c r="E628" s="177" t="s">
        <v>363</v>
      </c>
      <c r="F628" s="175">
        <f t="shared" si="19"/>
        <v>8</v>
      </c>
      <c r="G628" s="175" t="str">
        <f t="shared" si="20"/>
        <v>Salina</v>
      </c>
      <c r="H628" s="175"/>
      <c r="I628" s="178" t="s">
        <v>905</v>
      </c>
      <c r="J628" s="27" t="s">
        <v>1507</v>
      </c>
      <c r="K628" s="27">
        <v>1304</v>
      </c>
      <c r="L628" s="179">
        <v>5265</v>
      </c>
      <c r="M628" s="180" t="s">
        <v>647</v>
      </c>
      <c r="N628" s="181" t="s">
        <v>1507</v>
      </c>
      <c r="O628" s="182" t="s">
        <v>648</v>
      </c>
    </row>
    <row r="629" spans="2:15">
      <c r="B629" s="174" t="s">
        <v>818</v>
      </c>
      <c r="C629" s="175" t="s">
        <v>1506</v>
      </c>
      <c r="D629" s="176" t="s">
        <v>1507</v>
      </c>
      <c r="E629" s="177" t="s">
        <v>819</v>
      </c>
      <c r="F629" s="175">
        <f t="shared" si="19"/>
        <v>12</v>
      </c>
      <c r="G629" s="175" t="str">
        <f t="shared" si="20"/>
        <v>Hutchinson</v>
      </c>
      <c r="H629" s="175"/>
      <c r="I629" s="178" t="s">
        <v>1053</v>
      </c>
      <c r="J629" s="27" t="s">
        <v>1507</v>
      </c>
      <c r="K629" s="27">
        <v>1628</v>
      </c>
      <c r="L629" s="179">
        <v>4791</v>
      </c>
      <c r="M629" s="180" t="s">
        <v>1727</v>
      </c>
      <c r="N629" s="181" t="s">
        <v>1507</v>
      </c>
      <c r="O629" s="182" t="s">
        <v>1728</v>
      </c>
    </row>
    <row r="630" spans="2:15">
      <c r="B630" s="174" t="s">
        <v>766</v>
      </c>
      <c r="C630" s="175" t="s">
        <v>1506</v>
      </c>
      <c r="D630" s="176" t="s">
        <v>1507</v>
      </c>
      <c r="E630" s="177" t="s">
        <v>767</v>
      </c>
      <c r="F630" s="175">
        <f t="shared" si="19"/>
        <v>6</v>
      </c>
      <c r="G630" s="175" t="str">
        <f t="shared" si="20"/>
        <v>Hays</v>
      </c>
      <c r="H630" s="175"/>
      <c r="I630" s="178" t="s">
        <v>1726</v>
      </c>
      <c r="J630" s="27" t="s">
        <v>1507</v>
      </c>
      <c r="K630" s="27">
        <v>1465</v>
      </c>
      <c r="L630" s="179">
        <v>5001</v>
      </c>
      <c r="M630" s="180" t="s">
        <v>1727</v>
      </c>
      <c r="N630" s="181" t="s">
        <v>1507</v>
      </c>
      <c r="O630" s="182" t="s">
        <v>1728</v>
      </c>
    </row>
    <row r="631" spans="2:15">
      <c r="B631" s="174" t="s">
        <v>1505</v>
      </c>
      <c r="C631" s="175" t="s">
        <v>1506</v>
      </c>
      <c r="D631" s="176" t="s">
        <v>1507</v>
      </c>
      <c r="E631" s="177" t="s">
        <v>1508</v>
      </c>
      <c r="F631" s="175">
        <f t="shared" si="19"/>
        <v>7</v>
      </c>
      <c r="G631" s="175" t="str">
        <f t="shared" si="20"/>
        <v>Colby</v>
      </c>
      <c r="H631" s="175"/>
      <c r="I631" s="178" t="s">
        <v>1509</v>
      </c>
      <c r="J631" s="27" t="s">
        <v>1507</v>
      </c>
      <c r="K631" s="27">
        <v>859</v>
      </c>
      <c r="L631" s="179">
        <v>5974</v>
      </c>
      <c r="M631" s="180" t="s">
        <v>1510</v>
      </c>
      <c r="N631" s="181" t="s">
        <v>1507</v>
      </c>
      <c r="O631" s="182" t="s">
        <v>1511</v>
      </c>
    </row>
    <row r="632" spans="2:15">
      <c r="B632" s="174" t="s">
        <v>1724</v>
      </c>
      <c r="C632" s="175" t="s">
        <v>1506</v>
      </c>
      <c r="D632" s="176" t="s">
        <v>1507</v>
      </c>
      <c r="E632" s="177" t="s">
        <v>1725</v>
      </c>
      <c r="F632" s="175">
        <f t="shared" si="19"/>
        <v>12</v>
      </c>
      <c r="G632" s="175" t="str">
        <f t="shared" si="20"/>
        <v>Dodge City</v>
      </c>
      <c r="H632" s="175"/>
      <c r="I632" s="178" t="s">
        <v>1726</v>
      </c>
      <c r="J632" s="27" t="s">
        <v>1507</v>
      </c>
      <c r="K632" s="27">
        <v>1465</v>
      </c>
      <c r="L632" s="179">
        <v>5001</v>
      </c>
      <c r="M632" s="180" t="s">
        <v>1727</v>
      </c>
      <c r="N632" s="181" t="s">
        <v>1507</v>
      </c>
      <c r="O632" s="182" t="s">
        <v>1728</v>
      </c>
    </row>
    <row r="633" spans="2:15">
      <c r="B633" s="174" t="s">
        <v>2124</v>
      </c>
      <c r="C633" s="175" t="s">
        <v>1506</v>
      </c>
      <c r="D633" s="176" t="s">
        <v>1507</v>
      </c>
      <c r="E633" s="177" t="s">
        <v>2125</v>
      </c>
      <c r="F633" s="175">
        <f t="shared" si="19"/>
        <v>9</v>
      </c>
      <c r="G633" s="175" t="str">
        <f t="shared" si="20"/>
        <v>Liberal</v>
      </c>
      <c r="H633" s="175"/>
      <c r="I633" s="178" t="s">
        <v>1726</v>
      </c>
      <c r="J633" s="27" t="s">
        <v>1507</v>
      </c>
      <c r="K633" s="27">
        <v>1465</v>
      </c>
      <c r="L633" s="179">
        <v>5001</v>
      </c>
      <c r="M633" s="180" t="s">
        <v>1727</v>
      </c>
      <c r="N633" s="181" t="s">
        <v>1507</v>
      </c>
      <c r="O633" s="182" t="s">
        <v>1728</v>
      </c>
    </row>
    <row r="634" spans="2:15">
      <c r="B634" s="174" t="s">
        <v>1456</v>
      </c>
      <c r="C634" s="175" t="s">
        <v>456</v>
      </c>
      <c r="D634" s="176" t="s">
        <v>457</v>
      </c>
      <c r="E634" s="177" t="s">
        <v>1457</v>
      </c>
      <c r="F634" s="175">
        <f t="shared" si="19"/>
        <v>7</v>
      </c>
      <c r="G634" s="175" t="str">
        <f t="shared" si="20"/>
        <v>Omaha</v>
      </c>
      <c r="H634" s="175"/>
      <c r="I634" s="178" t="s">
        <v>1458</v>
      </c>
      <c r="J634" s="27" t="s">
        <v>457</v>
      </c>
      <c r="K634" s="27">
        <v>1072</v>
      </c>
      <c r="L634" s="179">
        <v>6300</v>
      </c>
      <c r="M634" s="180" t="s">
        <v>1668</v>
      </c>
      <c r="N634" s="181" t="s">
        <v>457</v>
      </c>
      <c r="O634" s="182" t="s">
        <v>1669</v>
      </c>
    </row>
    <row r="635" spans="2:15">
      <c r="B635" s="174" t="s">
        <v>1459</v>
      </c>
      <c r="C635" s="175" t="s">
        <v>456</v>
      </c>
      <c r="D635" s="176" t="s">
        <v>457</v>
      </c>
      <c r="E635" s="177" t="s">
        <v>1457</v>
      </c>
      <c r="F635" s="175">
        <f t="shared" si="19"/>
        <v>7</v>
      </c>
      <c r="G635" s="175" t="str">
        <f t="shared" si="20"/>
        <v>Omaha</v>
      </c>
      <c r="H635" s="175"/>
      <c r="I635" s="178" t="s">
        <v>1458</v>
      </c>
      <c r="J635" s="27" t="s">
        <v>457</v>
      </c>
      <c r="K635" s="27">
        <v>1072</v>
      </c>
      <c r="L635" s="179">
        <v>6300</v>
      </c>
      <c r="M635" s="180" t="s">
        <v>1668</v>
      </c>
      <c r="N635" s="181" t="s">
        <v>457</v>
      </c>
      <c r="O635" s="182" t="s">
        <v>1669</v>
      </c>
    </row>
    <row r="636" spans="2:15">
      <c r="B636" s="174" t="s">
        <v>2128</v>
      </c>
      <c r="C636" s="175" t="s">
        <v>456</v>
      </c>
      <c r="D636" s="176" t="s">
        <v>457</v>
      </c>
      <c r="E636" s="177" t="s">
        <v>2129</v>
      </c>
      <c r="F636" s="175">
        <f t="shared" si="19"/>
        <v>9</v>
      </c>
      <c r="G636" s="175" t="str">
        <f t="shared" si="20"/>
        <v>Lincoln</v>
      </c>
      <c r="H636" s="175"/>
      <c r="I636" s="178" t="s">
        <v>2130</v>
      </c>
      <c r="J636" s="27" t="s">
        <v>457</v>
      </c>
      <c r="K636" s="27">
        <v>1134</v>
      </c>
      <c r="L636" s="179">
        <v>6278</v>
      </c>
      <c r="M636" s="180" t="s">
        <v>633</v>
      </c>
      <c r="N636" s="181" t="s">
        <v>457</v>
      </c>
      <c r="O636" s="182" t="s">
        <v>634</v>
      </c>
    </row>
    <row r="637" spans="2:15">
      <c r="B637" s="174" t="s">
        <v>2131</v>
      </c>
      <c r="C637" s="175" t="s">
        <v>456</v>
      </c>
      <c r="D637" s="176" t="s">
        <v>457</v>
      </c>
      <c r="E637" s="177" t="s">
        <v>2129</v>
      </c>
      <c r="F637" s="175">
        <f t="shared" si="19"/>
        <v>9</v>
      </c>
      <c r="G637" s="175" t="str">
        <f t="shared" si="20"/>
        <v>Lincoln</v>
      </c>
      <c r="H637" s="175"/>
      <c r="I637" s="178" t="s">
        <v>2130</v>
      </c>
      <c r="J637" s="27" t="s">
        <v>457</v>
      </c>
      <c r="K637" s="27">
        <v>1134</v>
      </c>
      <c r="L637" s="179">
        <v>6278</v>
      </c>
      <c r="M637" s="180" t="s">
        <v>633</v>
      </c>
      <c r="N637" s="181" t="s">
        <v>457</v>
      </c>
      <c r="O637" s="182" t="s">
        <v>634</v>
      </c>
    </row>
    <row r="638" spans="2:15">
      <c r="B638" s="174" t="s">
        <v>2132</v>
      </c>
      <c r="C638" s="175" t="s">
        <v>456</v>
      </c>
      <c r="D638" s="176" t="s">
        <v>457</v>
      </c>
      <c r="E638" s="177" t="s">
        <v>2129</v>
      </c>
      <c r="F638" s="175">
        <f t="shared" si="19"/>
        <v>9</v>
      </c>
      <c r="G638" s="175" t="str">
        <f t="shared" si="20"/>
        <v>Lincoln</v>
      </c>
      <c r="H638" s="175"/>
      <c r="I638" s="178" t="s">
        <v>2130</v>
      </c>
      <c r="J638" s="27" t="s">
        <v>457</v>
      </c>
      <c r="K638" s="27">
        <v>1134</v>
      </c>
      <c r="L638" s="179">
        <v>6278</v>
      </c>
      <c r="M638" s="180" t="s">
        <v>633</v>
      </c>
      <c r="N638" s="181" t="s">
        <v>457</v>
      </c>
      <c r="O638" s="182" t="s">
        <v>634</v>
      </c>
    </row>
    <row r="639" spans="2:15">
      <c r="B639" s="174" t="s">
        <v>631</v>
      </c>
      <c r="C639" s="175" t="s">
        <v>456</v>
      </c>
      <c r="D639" s="176" t="s">
        <v>457</v>
      </c>
      <c r="E639" s="177" t="s">
        <v>625</v>
      </c>
      <c r="F639" s="175">
        <f t="shared" si="19"/>
        <v>10</v>
      </c>
      <c r="G639" s="175" t="str">
        <f t="shared" si="20"/>
        <v>Columbus</v>
      </c>
      <c r="H639" s="175"/>
      <c r="I639" s="178" t="s">
        <v>632</v>
      </c>
      <c r="J639" s="27" t="s">
        <v>457</v>
      </c>
      <c r="K639" s="27">
        <v>997</v>
      </c>
      <c r="L639" s="179">
        <v>6421</v>
      </c>
      <c r="M639" s="180" t="s">
        <v>633</v>
      </c>
      <c r="N639" s="181" t="s">
        <v>457</v>
      </c>
      <c r="O639" s="182" t="s">
        <v>634</v>
      </c>
    </row>
    <row r="640" spans="2:15">
      <c r="B640" s="174" t="s">
        <v>154</v>
      </c>
      <c r="C640" s="175" t="s">
        <v>456</v>
      </c>
      <c r="D640" s="176" t="s">
        <v>457</v>
      </c>
      <c r="E640" s="177" t="s">
        <v>155</v>
      </c>
      <c r="F640" s="175">
        <f t="shared" si="19"/>
        <v>9</v>
      </c>
      <c r="G640" s="175" t="str">
        <f t="shared" si="20"/>
        <v>Norfolk</v>
      </c>
      <c r="H640" s="175"/>
      <c r="I640" s="178" t="s">
        <v>1167</v>
      </c>
      <c r="J640" s="27" t="s">
        <v>457</v>
      </c>
      <c r="K640" s="27">
        <v>877</v>
      </c>
      <c r="L640" s="179">
        <v>6873</v>
      </c>
      <c r="M640" s="178" t="s">
        <v>1398</v>
      </c>
      <c r="N640" s="27" t="s">
        <v>1334</v>
      </c>
      <c r="O640" s="182" t="s">
        <v>1399</v>
      </c>
    </row>
    <row r="641" spans="2:15">
      <c r="B641" s="174" t="s">
        <v>2034</v>
      </c>
      <c r="C641" s="175" t="s">
        <v>456</v>
      </c>
      <c r="D641" s="176" t="s">
        <v>457</v>
      </c>
      <c r="E641" s="177" t="s">
        <v>2035</v>
      </c>
      <c r="F641" s="175">
        <f t="shared" si="19"/>
        <v>14</v>
      </c>
      <c r="G641" s="175" t="str">
        <f t="shared" si="20"/>
        <v>Grand Island</v>
      </c>
      <c r="H641" s="175"/>
      <c r="I641" s="178" t="s">
        <v>632</v>
      </c>
      <c r="J641" s="27" t="s">
        <v>457</v>
      </c>
      <c r="K641" s="27">
        <v>997</v>
      </c>
      <c r="L641" s="179">
        <v>6421</v>
      </c>
      <c r="M641" s="180" t="s">
        <v>633</v>
      </c>
      <c r="N641" s="181" t="s">
        <v>457</v>
      </c>
      <c r="O641" s="182" t="s">
        <v>634</v>
      </c>
    </row>
    <row r="642" spans="2:15">
      <c r="B642" s="174" t="s">
        <v>757</v>
      </c>
      <c r="C642" s="175" t="s">
        <v>456</v>
      </c>
      <c r="D642" s="176" t="s">
        <v>457</v>
      </c>
      <c r="E642" s="177" t="s">
        <v>758</v>
      </c>
      <c r="F642" s="175">
        <f t="shared" si="19"/>
        <v>10</v>
      </c>
      <c r="G642" s="175" t="str">
        <f t="shared" si="20"/>
        <v>Hastings</v>
      </c>
      <c r="H642" s="175"/>
      <c r="I642" s="178" t="s">
        <v>632</v>
      </c>
      <c r="J642" s="27" t="s">
        <v>457</v>
      </c>
      <c r="K642" s="27">
        <v>997</v>
      </c>
      <c r="L642" s="179">
        <v>6421</v>
      </c>
      <c r="M642" s="180" t="s">
        <v>633</v>
      </c>
      <c r="N642" s="181" t="s">
        <v>457</v>
      </c>
      <c r="O642" s="182" t="s">
        <v>634</v>
      </c>
    </row>
    <row r="643" spans="2:15">
      <c r="B643" s="174" t="s">
        <v>1132</v>
      </c>
      <c r="C643" s="175" t="s">
        <v>456</v>
      </c>
      <c r="D643" s="176" t="s">
        <v>457</v>
      </c>
      <c r="E643" s="177" t="s">
        <v>1133</v>
      </c>
      <c r="F643" s="175">
        <f t="shared" si="19"/>
        <v>8</v>
      </c>
      <c r="G643" s="175" t="str">
        <f t="shared" si="20"/>
        <v>McCook</v>
      </c>
      <c r="H643" s="175"/>
      <c r="I643" s="178" t="s">
        <v>1509</v>
      </c>
      <c r="J643" s="27" t="s">
        <v>1507</v>
      </c>
      <c r="K643" s="27">
        <v>859</v>
      </c>
      <c r="L643" s="179">
        <v>5974</v>
      </c>
      <c r="M643" s="180" t="s">
        <v>1510</v>
      </c>
      <c r="N643" s="181" t="s">
        <v>1507</v>
      </c>
      <c r="O643" s="182" t="s">
        <v>1511</v>
      </c>
    </row>
    <row r="644" spans="2:15">
      <c r="B644" s="174" t="s">
        <v>1180</v>
      </c>
      <c r="C644" s="175" t="s">
        <v>456</v>
      </c>
      <c r="D644" s="176" t="s">
        <v>457</v>
      </c>
      <c r="E644" s="177" t="s">
        <v>1181</v>
      </c>
      <c r="F644" s="175">
        <f t="shared" si="19"/>
        <v>14</v>
      </c>
      <c r="G644" s="175" t="str">
        <f t="shared" si="20"/>
        <v>North_Platte</v>
      </c>
      <c r="H644" s="175"/>
      <c r="I644" s="178" t="s">
        <v>1182</v>
      </c>
      <c r="J644" s="27" t="s">
        <v>457</v>
      </c>
      <c r="K644" s="27">
        <v>713</v>
      </c>
      <c r="L644" s="179">
        <v>6859</v>
      </c>
      <c r="M644" s="180" t="s">
        <v>1183</v>
      </c>
      <c r="N644" s="181" t="s">
        <v>457</v>
      </c>
      <c r="O644" s="182" t="s">
        <v>1184</v>
      </c>
    </row>
    <row r="645" spans="2:15">
      <c r="B645" s="174" t="s">
        <v>1793</v>
      </c>
      <c r="C645" s="175" t="s">
        <v>456</v>
      </c>
      <c r="D645" s="176" t="s">
        <v>457</v>
      </c>
      <c r="E645" s="177" t="s">
        <v>1794</v>
      </c>
      <c r="F645" s="175">
        <f t="shared" si="19"/>
        <v>11</v>
      </c>
      <c r="G645" s="175" t="str">
        <f t="shared" si="20"/>
        <v>Valentine</v>
      </c>
      <c r="H645" s="175"/>
      <c r="I645" s="178" t="s">
        <v>1795</v>
      </c>
      <c r="J645" s="27" t="s">
        <v>457</v>
      </c>
      <c r="K645" s="27">
        <v>752</v>
      </c>
      <c r="L645" s="179">
        <v>7282</v>
      </c>
      <c r="M645" s="180" t="s">
        <v>1183</v>
      </c>
      <c r="N645" s="181" t="s">
        <v>457</v>
      </c>
      <c r="O645" s="182" t="s">
        <v>1184</v>
      </c>
    </row>
    <row r="646" spans="2:15">
      <c r="B646" s="174" t="s">
        <v>455</v>
      </c>
      <c r="C646" s="175" t="s">
        <v>456</v>
      </c>
      <c r="D646" s="176" t="s">
        <v>457</v>
      </c>
      <c r="E646" s="177" t="s">
        <v>458</v>
      </c>
      <c r="F646" s="175">
        <f t="shared" si="19"/>
        <v>10</v>
      </c>
      <c r="G646" s="175" t="str">
        <f t="shared" si="20"/>
        <v>Alliance</v>
      </c>
      <c r="H646" s="175"/>
      <c r="I646" s="178" t="s">
        <v>459</v>
      </c>
      <c r="J646" s="27" t="s">
        <v>256</v>
      </c>
      <c r="K646" s="27">
        <v>611</v>
      </c>
      <c r="L646" s="179">
        <v>7301</v>
      </c>
      <c r="M646" s="180" t="s">
        <v>460</v>
      </c>
      <c r="N646" s="181" t="s">
        <v>256</v>
      </c>
      <c r="O646" s="182" t="s">
        <v>461</v>
      </c>
    </row>
    <row r="647" spans="2:15">
      <c r="B647" s="174" t="s">
        <v>1115</v>
      </c>
      <c r="C647" s="175" t="s">
        <v>290</v>
      </c>
      <c r="D647" s="176" t="s">
        <v>291</v>
      </c>
      <c r="E647" s="177" t="s">
        <v>1116</v>
      </c>
      <c r="F647" s="175">
        <f t="shared" si="19"/>
        <v>13</v>
      </c>
      <c r="G647" s="175" t="str">
        <f t="shared" si="20"/>
        <v>New Orleans</v>
      </c>
      <c r="H647" s="175"/>
      <c r="I647" s="178" t="s">
        <v>2083</v>
      </c>
      <c r="J647" s="27" t="s">
        <v>291</v>
      </c>
      <c r="K647" s="27">
        <v>2655</v>
      </c>
      <c r="L647" s="179">
        <v>1513</v>
      </c>
      <c r="M647" s="180" t="s">
        <v>2084</v>
      </c>
      <c r="N647" s="181" t="s">
        <v>291</v>
      </c>
      <c r="O647" s="182" t="s">
        <v>2085</v>
      </c>
    </row>
    <row r="648" spans="2:15">
      <c r="B648" s="174" t="s">
        <v>1117</v>
      </c>
      <c r="C648" s="175" t="s">
        <v>290</v>
      </c>
      <c r="D648" s="176" t="s">
        <v>291</v>
      </c>
      <c r="E648" s="177" t="s">
        <v>1116</v>
      </c>
      <c r="F648" s="175">
        <f t="shared" si="19"/>
        <v>13</v>
      </c>
      <c r="G648" s="175" t="str">
        <f t="shared" si="20"/>
        <v>New Orleans</v>
      </c>
      <c r="H648" s="175"/>
      <c r="I648" s="178" t="s">
        <v>2083</v>
      </c>
      <c r="J648" s="27" t="s">
        <v>291</v>
      </c>
      <c r="K648" s="27">
        <v>2655</v>
      </c>
      <c r="L648" s="179">
        <v>1513</v>
      </c>
      <c r="M648" s="180" t="s">
        <v>2084</v>
      </c>
      <c r="N648" s="181" t="s">
        <v>291</v>
      </c>
      <c r="O648" s="182" t="s">
        <v>2085</v>
      </c>
    </row>
    <row r="649" spans="2:15">
      <c r="B649" s="174" t="s">
        <v>862</v>
      </c>
      <c r="C649" s="175" t="s">
        <v>290</v>
      </c>
      <c r="D649" s="176" t="s">
        <v>291</v>
      </c>
      <c r="E649" s="177" t="s">
        <v>863</v>
      </c>
      <c r="F649" s="175">
        <f t="shared" si="19"/>
        <v>11</v>
      </c>
      <c r="G649" s="175" t="str">
        <f t="shared" si="20"/>
        <v>Thibodaux</v>
      </c>
      <c r="H649" s="175"/>
      <c r="I649" s="178" t="s">
        <v>2083</v>
      </c>
      <c r="J649" s="27" t="s">
        <v>291</v>
      </c>
      <c r="K649" s="27">
        <v>2655</v>
      </c>
      <c r="L649" s="179">
        <v>1513</v>
      </c>
      <c r="M649" s="180" t="s">
        <v>2084</v>
      </c>
      <c r="N649" s="181" t="s">
        <v>291</v>
      </c>
      <c r="O649" s="182" t="s">
        <v>2085</v>
      </c>
    </row>
    <row r="650" spans="2:15">
      <c r="B650" s="174" t="s">
        <v>2090</v>
      </c>
      <c r="C650" s="175" t="s">
        <v>290</v>
      </c>
      <c r="D650" s="176" t="s">
        <v>291</v>
      </c>
      <c r="E650" s="177" t="s">
        <v>2091</v>
      </c>
      <c r="F650" s="175">
        <f t="shared" ref="F650:F713" si="21">LEN(E650)</f>
        <v>9</v>
      </c>
      <c r="G650" s="175" t="str">
        <f t="shared" ref="G650:G713" si="22">MID(E650,2,F650-2)</f>
        <v>Hammond</v>
      </c>
      <c r="H650" s="175"/>
      <c r="I650" s="178" t="s">
        <v>1599</v>
      </c>
      <c r="J650" s="27" t="s">
        <v>291</v>
      </c>
      <c r="K650" s="27">
        <v>2690</v>
      </c>
      <c r="L650" s="179">
        <v>1669</v>
      </c>
      <c r="M650" s="180" t="s">
        <v>1600</v>
      </c>
      <c r="N650" s="181" t="s">
        <v>291</v>
      </c>
      <c r="O650" s="182" t="s">
        <v>1601</v>
      </c>
    </row>
    <row r="651" spans="2:15">
      <c r="B651" s="174" t="s">
        <v>951</v>
      </c>
      <c r="C651" s="175" t="s">
        <v>290</v>
      </c>
      <c r="D651" s="176" t="s">
        <v>291</v>
      </c>
      <c r="E651" s="177" t="s">
        <v>950</v>
      </c>
      <c r="F651" s="175">
        <f t="shared" si="21"/>
        <v>11</v>
      </c>
      <c r="G651" s="175" t="str">
        <f t="shared" si="22"/>
        <v>Lafayette</v>
      </c>
      <c r="H651" s="175"/>
      <c r="I651" s="178" t="s">
        <v>1599</v>
      </c>
      <c r="J651" s="27" t="s">
        <v>291</v>
      </c>
      <c r="K651" s="27">
        <v>2690</v>
      </c>
      <c r="L651" s="179">
        <v>1669</v>
      </c>
      <c r="M651" s="180" t="s">
        <v>1600</v>
      </c>
      <c r="N651" s="181" t="s">
        <v>291</v>
      </c>
      <c r="O651" s="182" t="s">
        <v>1601</v>
      </c>
    </row>
    <row r="652" spans="2:15">
      <c r="B652" s="174" t="s">
        <v>952</v>
      </c>
      <c r="C652" s="175" t="s">
        <v>290</v>
      </c>
      <c r="D652" s="176" t="s">
        <v>291</v>
      </c>
      <c r="E652" s="177" t="s">
        <v>953</v>
      </c>
      <c r="F652" s="175">
        <f t="shared" si="21"/>
        <v>14</v>
      </c>
      <c r="G652" s="175" t="str">
        <f t="shared" si="22"/>
        <v>Lake Charles</v>
      </c>
      <c r="H652" s="175"/>
      <c r="I652" s="178" t="s">
        <v>954</v>
      </c>
      <c r="J652" s="27" t="s">
        <v>291</v>
      </c>
      <c r="K652" s="27">
        <v>2650</v>
      </c>
      <c r="L652" s="179">
        <v>1616</v>
      </c>
      <c r="M652" s="180" t="s">
        <v>955</v>
      </c>
      <c r="N652" s="181" t="s">
        <v>291</v>
      </c>
      <c r="O652" s="182" t="s">
        <v>956</v>
      </c>
    </row>
    <row r="653" spans="2:15">
      <c r="B653" s="174" t="s">
        <v>1597</v>
      </c>
      <c r="C653" s="175" t="s">
        <v>290</v>
      </c>
      <c r="D653" s="176" t="s">
        <v>291</v>
      </c>
      <c r="E653" s="177" t="s">
        <v>1598</v>
      </c>
      <c r="F653" s="175">
        <f t="shared" si="21"/>
        <v>13</v>
      </c>
      <c r="G653" s="175" t="str">
        <f t="shared" si="22"/>
        <v>Baton Rouge</v>
      </c>
      <c r="H653" s="175"/>
      <c r="I653" s="178" t="s">
        <v>1599</v>
      </c>
      <c r="J653" s="27" t="s">
        <v>291</v>
      </c>
      <c r="K653" s="27">
        <v>2690</v>
      </c>
      <c r="L653" s="179">
        <v>1669</v>
      </c>
      <c r="M653" s="180" t="s">
        <v>1600</v>
      </c>
      <c r="N653" s="181" t="s">
        <v>291</v>
      </c>
      <c r="O653" s="182" t="s">
        <v>1601</v>
      </c>
    </row>
    <row r="654" spans="2:15">
      <c r="B654" s="174" t="s">
        <v>1602</v>
      </c>
      <c r="C654" s="175" t="s">
        <v>290</v>
      </c>
      <c r="D654" s="176" t="s">
        <v>291</v>
      </c>
      <c r="E654" s="177" t="s">
        <v>1598</v>
      </c>
      <c r="F654" s="175">
        <f t="shared" si="21"/>
        <v>13</v>
      </c>
      <c r="G654" s="175" t="str">
        <f t="shared" si="22"/>
        <v>Baton Rouge</v>
      </c>
      <c r="H654" s="175"/>
      <c r="I654" s="178" t="s">
        <v>1599</v>
      </c>
      <c r="J654" s="27" t="s">
        <v>291</v>
      </c>
      <c r="K654" s="27">
        <v>2690</v>
      </c>
      <c r="L654" s="179">
        <v>1669</v>
      </c>
      <c r="M654" s="180" t="s">
        <v>1600</v>
      </c>
      <c r="N654" s="181" t="s">
        <v>291</v>
      </c>
      <c r="O654" s="182" t="s">
        <v>1601</v>
      </c>
    </row>
    <row r="655" spans="2:15">
      <c r="B655" s="174" t="s">
        <v>2237</v>
      </c>
      <c r="C655" s="175" t="s">
        <v>290</v>
      </c>
      <c r="D655" s="176" t="s">
        <v>291</v>
      </c>
      <c r="E655" s="177" t="s">
        <v>2238</v>
      </c>
      <c r="F655" s="175">
        <f t="shared" si="21"/>
        <v>12</v>
      </c>
      <c r="G655" s="175" t="str">
        <f t="shared" si="22"/>
        <v>Shreveport</v>
      </c>
      <c r="H655" s="175"/>
      <c r="I655" s="178" t="s">
        <v>390</v>
      </c>
      <c r="J655" s="27" t="s">
        <v>291</v>
      </c>
      <c r="K655" s="27">
        <v>2368</v>
      </c>
      <c r="L655" s="179">
        <v>2264</v>
      </c>
      <c r="M655" s="180" t="s">
        <v>391</v>
      </c>
      <c r="N655" s="181" t="s">
        <v>291</v>
      </c>
      <c r="O655" s="182" t="s">
        <v>392</v>
      </c>
    </row>
    <row r="656" spans="2:15">
      <c r="B656" s="174" t="s">
        <v>2239</v>
      </c>
      <c r="C656" s="175" t="s">
        <v>290</v>
      </c>
      <c r="D656" s="176" t="s">
        <v>291</v>
      </c>
      <c r="E656" s="177" t="s">
        <v>2238</v>
      </c>
      <c r="F656" s="175">
        <f t="shared" si="21"/>
        <v>12</v>
      </c>
      <c r="G656" s="175" t="str">
        <f t="shared" si="22"/>
        <v>Shreveport</v>
      </c>
      <c r="H656" s="175"/>
      <c r="I656" s="178" t="s">
        <v>390</v>
      </c>
      <c r="J656" s="27" t="s">
        <v>291</v>
      </c>
      <c r="K656" s="27">
        <v>2368</v>
      </c>
      <c r="L656" s="179">
        <v>2264</v>
      </c>
      <c r="M656" s="180" t="s">
        <v>391</v>
      </c>
      <c r="N656" s="181" t="s">
        <v>291</v>
      </c>
      <c r="O656" s="182" t="s">
        <v>392</v>
      </c>
    </row>
    <row r="657" spans="2:15">
      <c r="B657" s="174" t="s">
        <v>196</v>
      </c>
      <c r="C657" s="175" t="s">
        <v>290</v>
      </c>
      <c r="D657" s="176" t="s">
        <v>291</v>
      </c>
      <c r="E657" s="177" t="s">
        <v>197</v>
      </c>
      <c r="F657" s="175">
        <f t="shared" si="21"/>
        <v>8</v>
      </c>
      <c r="G657" s="175" t="str">
        <f t="shared" si="22"/>
        <v>Monroe</v>
      </c>
      <c r="H657" s="175"/>
      <c r="I657" s="178" t="s">
        <v>2074</v>
      </c>
      <c r="J657" s="27" t="s">
        <v>1346</v>
      </c>
      <c r="K657" s="27">
        <v>2215</v>
      </c>
      <c r="L657" s="179">
        <v>2467</v>
      </c>
      <c r="M657" s="180" t="s">
        <v>1347</v>
      </c>
      <c r="N657" s="181" t="s">
        <v>1346</v>
      </c>
      <c r="O657" s="182" t="s">
        <v>1348</v>
      </c>
    </row>
    <row r="658" spans="2:15">
      <c r="B658" s="174" t="s">
        <v>431</v>
      </c>
      <c r="C658" s="175" t="s">
        <v>290</v>
      </c>
      <c r="D658" s="176" t="s">
        <v>291</v>
      </c>
      <c r="E658" s="177" t="s">
        <v>432</v>
      </c>
      <c r="F658" s="175">
        <f t="shared" si="21"/>
        <v>12</v>
      </c>
      <c r="G658" s="175" t="str">
        <f t="shared" si="22"/>
        <v>Alexandria</v>
      </c>
      <c r="H658" s="175"/>
      <c r="I658" s="178" t="s">
        <v>390</v>
      </c>
      <c r="J658" s="27" t="s">
        <v>291</v>
      </c>
      <c r="K658" s="27">
        <v>2368</v>
      </c>
      <c r="L658" s="179">
        <v>2264</v>
      </c>
      <c r="M658" s="180" t="s">
        <v>391</v>
      </c>
      <c r="N658" s="181" t="s">
        <v>291</v>
      </c>
      <c r="O658" s="182" t="s">
        <v>392</v>
      </c>
    </row>
    <row r="659" spans="2:15">
      <c r="B659" s="174" t="s">
        <v>289</v>
      </c>
      <c r="C659" s="175" t="s">
        <v>290</v>
      </c>
      <c r="D659" s="176" t="s">
        <v>291</v>
      </c>
      <c r="E659" s="177" t="s">
        <v>389</v>
      </c>
      <c r="F659" s="175">
        <f t="shared" si="21"/>
        <v>9</v>
      </c>
      <c r="G659" s="175" t="str">
        <f t="shared" si="22"/>
        <v>Aimwell</v>
      </c>
      <c r="H659" s="175"/>
      <c r="I659" s="178" t="s">
        <v>390</v>
      </c>
      <c r="J659" s="27" t="s">
        <v>291</v>
      </c>
      <c r="K659" s="27">
        <v>2368</v>
      </c>
      <c r="L659" s="179">
        <v>2264</v>
      </c>
      <c r="M659" s="180" t="s">
        <v>391</v>
      </c>
      <c r="N659" s="181" t="s">
        <v>291</v>
      </c>
      <c r="O659" s="182" t="s">
        <v>392</v>
      </c>
    </row>
    <row r="660" spans="2:15">
      <c r="B660" s="174" t="s">
        <v>2435</v>
      </c>
      <c r="C660" s="175" t="s">
        <v>1589</v>
      </c>
      <c r="D660" s="176" t="s">
        <v>1590</v>
      </c>
      <c r="E660" s="177" t="s">
        <v>2436</v>
      </c>
      <c r="F660" s="175">
        <f t="shared" si="21"/>
        <v>12</v>
      </c>
      <c r="G660" s="175" t="str">
        <f t="shared" si="22"/>
        <v>Pine Bluff</v>
      </c>
      <c r="H660" s="175"/>
      <c r="I660" s="178" t="s">
        <v>2074</v>
      </c>
      <c r="J660" s="27" t="s">
        <v>1346</v>
      </c>
      <c r="K660" s="27">
        <v>2215</v>
      </c>
      <c r="L660" s="179">
        <v>2467</v>
      </c>
      <c r="M660" s="180" t="s">
        <v>1347</v>
      </c>
      <c r="N660" s="181" t="s">
        <v>1346</v>
      </c>
      <c r="O660" s="182" t="s">
        <v>1348</v>
      </c>
    </row>
    <row r="661" spans="2:15">
      <c r="B661" s="174" t="s">
        <v>1360</v>
      </c>
      <c r="C661" s="175" t="s">
        <v>1589</v>
      </c>
      <c r="D661" s="176" t="s">
        <v>1590</v>
      </c>
      <c r="E661" s="177" t="s">
        <v>1361</v>
      </c>
      <c r="F661" s="175">
        <f t="shared" si="21"/>
        <v>8</v>
      </c>
      <c r="G661" s="175" t="str">
        <f t="shared" si="22"/>
        <v>Camden</v>
      </c>
      <c r="H661" s="175"/>
      <c r="I661" s="178" t="s">
        <v>1362</v>
      </c>
      <c r="J661" s="27" t="s">
        <v>1590</v>
      </c>
      <c r="K661" s="27">
        <v>2005</v>
      </c>
      <c r="L661" s="179">
        <v>3155</v>
      </c>
      <c r="M661" s="178" t="s">
        <v>1593</v>
      </c>
      <c r="N661" s="27" t="s">
        <v>1590</v>
      </c>
      <c r="O661" s="182" t="s">
        <v>1594</v>
      </c>
    </row>
    <row r="662" spans="2:15">
      <c r="B662" s="174" t="s">
        <v>798</v>
      </c>
      <c r="C662" s="175" t="s">
        <v>1589</v>
      </c>
      <c r="D662" s="176" t="s">
        <v>1590</v>
      </c>
      <c r="E662" s="177" t="s">
        <v>799</v>
      </c>
      <c r="F662" s="175">
        <f t="shared" si="21"/>
        <v>6</v>
      </c>
      <c r="G662" s="175" t="str">
        <f t="shared" si="22"/>
        <v>Hope</v>
      </c>
      <c r="H662" s="175"/>
      <c r="I662" s="178" t="s">
        <v>1362</v>
      </c>
      <c r="J662" s="27" t="s">
        <v>1590</v>
      </c>
      <c r="K662" s="27">
        <v>2005</v>
      </c>
      <c r="L662" s="179">
        <v>3155</v>
      </c>
      <c r="M662" s="178" t="s">
        <v>1593</v>
      </c>
      <c r="N662" s="27" t="s">
        <v>1590</v>
      </c>
      <c r="O662" s="182" t="s">
        <v>1594</v>
      </c>
    </row>
    <row r="663" spans="2:15">
      <c r="B663" s="174" t="s">
        <v>800</v>
      </c>
      <c r="C663" s="175" t="s">
        <v>1589</v>
      </c>
      <c r="D663" s="176" t="s">
        <v>1590</v>
      </c>
      <c r="E663" s="177" t="s">
        <v>801</v>
      </c>
      <c r="F663" s="175">
        <f t="shared" si="21"/>
        <v>13</v>
      </c>
      <c r="G663" s="175" t="str">
        <f t="shared" si="22"/>
        <v>Hot Springs</v>
      </c>
      <c r="H663" s="175"/>
      <c r="I663" s="178" t="s">
        <v>1362</v>
      </c>
      <c r="J663" s="27" t="s">
        <v>1590</v>
      </c>
      <c r="K663" s="27">
        <v>2005</v>
      </c>
      <c r="L663" s="179">
        <v>3155</v>
      </c>
      <c r="M663" s="178" t="s">
        <v>1593</v>
      </c>
      <c r="N663" s="27" t="s">
        <v>1590</v>
      </c>
      <c r="O663" s="182" t="s">
        <v>1594</v>
      </c>
    </row>
    <row r="664" spans="2:15">
      <c r="B664" s="174" t="s">
        <v>2133</v>
      </c>
      <c r="C664" s="175" t="s">
        <v>1589</v>
      </c>
      <c r="D664" s="176" t="s">
        <v>1590</v>
      </c>
      <c r="E664" s="177" t="s">
        <v>2134</v>
      </c>
      <c r="F664" s="175">
        <f t="shared" si="21"/>
        <v>13</v>
      </c>
      <c r="G664" s="175" t="str">
        <f t="shared" si="22"/>
        <v>Little Rock</v>
      </c>
      <c r="H664" s="175"/>
      <c r="I664" s="178" t="s">
        <v>1362</v>
      </c>
      <c r="J664" s="27" t="s">
        <v>1590</v>
      </c>
      <c r="K664" s="27">
        <v>2005</v>
      </c>
      <c r="L664" s="179">
        <v>3155</v>
      </c>
      <c r="M664" s="178" t="s">
        <v>1593</v>
      </c>
      <c r="N664" s="27" t="s">
        <v>1590</v>
      </c>
      <c r="O664" s="182" t="s">
        <v>1594</v>
      </c>
    </row>
    <row r="665" spans="2:15">
      <c r="B665" s="174" t="s">
        <v>2135</v>
      </c>
      <c r="C665" s="175" t="s">
        <v>1589</v>
      </c>
      <c r="D665" s="176" t="s">
        <v>1590</v>
      </c>
      <c r="E665" s="177" t="s">
        <v>2134</v>
      </c>
      <c r="F665" s="175">
        <f t="shared" si="21"/>
        <v>13</v>
      </c>
      <c r="G665" s="175" t="str">
        <f t="shared" si="22"/>
        <v>Little Rock</v>
      </c>
      <c r="H665" s="175"/>
      <c r="I665" s="178" t="s">
        <v>1362</v>
      </c>
      <c r="J665" s="27" t="s">
        <v>1590</v>
      </c>
      <c r="K665" s="27">
        <v>2005</v>
      </c>
      <c r="L665" s="179">
        <v>3155</v>
      </c>
      <c r="M665" s="178" t="s">
        <v>1593</v>
      </c>
      <c r="N665" s="27" t="s">
        <v>1590</v>
      </c>
      <c r="O665" s="182" t="s">
        <v>1594</v>
      </c>
    </row>
    <row r="666" spans="2:15">
      <c r="B666" s="174" t="s">
        <v>2136</v>
      </c>
      <c r="C666" s="175" t="s">
        <v>1589</v>
      </c>
      <c r="D666" s="176" t="s">
        <v>1590</v>
      </c>
      <c r="E666" s="177" t="s">
        <v>2134</v>
      </c>
      <c r="F666" s="175">
        <f t="shared" si="21"/>
        <v>13</v>
      </c>
      <c r="G666" s="175" t="str">
        <f t="shared" si="22"/>
        <v>Little Rock</v>
      </c>
      <c r="H666" s="175"/>
      <c r="I666" s="178" t="s">
        <v>1362</v>
      </c>
      <c r="J666" s="27" t="s">
        <v>1590</v>
      </c>
      <c r="K666" s="27">
        <v>2005</v>
      </c>
      <c r="L666" s="179">
        <v>3155</v>
      </c>
      <c r="M666" s="178" t="s">
        <v>1593</v>
      </c>
      <c r="N666" s="27" t="s">
        <v>1590</v>
      </c>
      <c r="O666" s="182" t="s">
        <v>1594</v>
      </c>
    </row>
    <row r="667" spans="2:15">
      <c r="B667" s="174" t="s">
        <v>1842</v>
      </c>
      <c r="C667" s="175" t="s">
        <v>1589</v>
      </c>
      <c r="D667" s="176" t="s">
        <v>1590</v>
      </c>
      <c r="E667" s="177" t="s">
        <v>1843</v>
      </c>
      <c r="F667" s="175">
        <f t="shared" si="21"/>
        <v>14</v>
      </c>
      <c r="G667" s="175" t="str">
        <f t="shared" si="22"/>
        <v>West Memphis</v>
      </c>
      <c r="H667" s="175"/>
      <c r="I667" s="178" t="s">
        <v>1592</v>
      </c>
      <c r="J667" s="27" t="s">
        <v>1590</v>
      </c>
      <c r="K667" s="27">
        <v>1916</v>
      </c>
      <c r="L667" s="179">
        <v>3228</v>
      </c>
      <c r="M667" s="178" t="s">
        <v>1593</v>
      </c>
      <c r="N667" s="27" t="s">
        <v>1590</v>
      </c>
      <c r="O667" s="182" t="s">
        <v>1594</v>
      </c>
    </row>
    <row r="668" spans="2:15">
      <c r="B668" s="174" t="s">
        <v>134</v>
      </c>
      <c r="C668" s="175" t="s">
        <v>1589</v>
      </c>
      <c r="D668" s="176" t="s">
        <v>1590</v>
      </c>
      <c r="E668" s="177" t="s">
        <v>135</v>
      </c>
      <c r="F668" s="175">
        <f t="shared" si="21"/>
        <v>11</v>
      </c>
      <c r="G668" s="175" t="str">
        <f t="shared" si="22"/>
        <v>Jonesboro</v>
      </c>
      <c r="H668" s="175"/>
      <c r="I668" s="178" t="s">
        <v>1592</v>
      </c>
      <c r="J668" s="27" t="s">
        <v>1590</v>
      </c>
      <c r="K668" s="27">
        <v>1916</v>
      </c>
      <c r="L668" s="179">
        <v>3228</v>
      </c>
      <c r="M668" s="178" t="s">
        <v>1593</v>
      </c>
      <c r="N668" s="27" t="s">
        <v>1590</v>
      </c>
      <c r="O668" s="182" t="s">
        <v>1594</v>
      </c>
    </row>
    <row r="669" spans="2:15">
      <c r="B669" s="174" t="s">
        <v>1588</v>
      </c>
      <c r="C669" s="175" t="s">
        <v>1589</v>
      </c>
      <c r="D669" s="176" t="s">
        <v>1590</v>
      </c>
      <c r="E669" s="177" t="s">
        <v>1591</v>
      </c>
      <c r="F669" s="175">
        <f t="shared" si="21"/>
        <v>12</v>
      </c>
      <c r="G669" s="175" t="str">
        <f t="shared" si="22"/>
        <v>Batesville</v>
      </c>
      <c r="H669" s="175"/>
      <c r="I669" s="178" t="s">
        <v>1592</v>
      </c>
      <c r="J669" s="27" t="s">
        <v>1590</v>
      </c>
      <c r="K669" s="27">
        <v>1916</v>
      </c>
      <c r="L669" s="179">
        <v>3228</v>
      </c>
      <c r="M669" s="178" t="s">
        <v>1593</v>
      </c>
      <c r="N669" s="27" t="s">
        <v>1590</v>
      </c>
      <c r="O669" s="182" t="s">
        <v>1594</v>
      </c>
    </row>
    <row r="670" spans="2:15">
      <c r="B670" s="174" t="s">
        <v>2097</v>
      </c>
      <c r="C670" s="175" t="s">
        <v>1589</v>
      </c>
      <c r="D670" s="176" t="s">
        <v>1590</v>
      </c>
      <c r="E670" s="177" t="s">
        <v>2187</v>
      </c>
      <c r="F670" s="175">
        <f t="shared" si="21"/>
        <v>10</v>
      </c>
      <c r="G670" s="175" t="str">
        <f t="shared" si="22"/>
        <v>Harrison</v>
      </c>
      <c r="H670" s="175"/>
      <c r="I670" s="178" t="s">
        <v>1966</v>
      </c>
      <c r="J670" s="27" t="s">
        <v>1590</v>
      </c>
      <c r="K670" s="27">
        <v>1894</v>
      </c>
      <c r="L670" s="179">
        <v>3478</v>
      </c>
      <c r="M670" s="178" t="s">
        <v>1967</v>
      </c>
      <c r="N670" s="27" t="s">
        <v>1590</v>
      </c>
      <c r="O670" s="182" t="s">
        <v>1968</v>
      </c>
    </row>
    <row r="671" spans="2:15">
      <c r="B671" s="174" t="s">
        <v>1923</v>
      </c>
      <c r="C671" s="175" t="s">
        <v>1589</v>
      </c>
      <c r="D671" s="176" t="s">
        <v>1590</v>
      </c>
      <c r="E671" s="177" t="s">
        <v>1924</v>
      </c>
      <c r="F671" s="175">
        <f t="shared" si="21"/>
        <v>14</v>
      </c>
      <c r="G671" s="175" t="str">
        <f t="shared" si="22"/>
        <v>Fayetteville</v>
      </c>
      <c r="H671" s="175"/>
      <c r="I671" s="178" t="s">
        <v>1925</v>
      </c>
      <c r="J671" s="27" t="s">
        <v>1378</v>
      </c>
      <c r="K671" s="27">
        <v>1320</v>
      </c>
      <c r="L671" s="179">
        <v>4638</v>
      </c>
      <c r="M671" s="180" t="s">
        <v>1651</v>
      </c>
      <c r="N671" s="181" t="s">
        <v>1378</v>
      </c>
      <c r="O671" s="182" t="s">
        <v>1926</v>
      </c>
    </row>
    <row r="672" spans="2:15">
      <c r="B672" s="174" t="s">
        <v>331</v>
      </c>
      <c r="C672" s="175" t="s">
        <v>1589</v>
      </c>
      <c r="D672" s="176" t="s">
        <v>1590</v>
      </c>
      <c r="E672" s="177" t="s">
        <v>332</v>
      </c>
      <c r="F672" s="175">
        <f t="shared" si="21"/>
        <v>14</v>
      </c>
      <c r="G672" s="175" t="str">
        <f t="shared" si="22"/>
        <v>Russellville</v>
      </c>
      <c r="H672" s="175"/>
      <c r="I672" s="178" t="s">
        <v>1966</v>
      </c>
      <c r="J672" s="27" t="s">
        <v>1590</v>
      </c>
      <c r="K672" s="27">
        <v>1894</v>
      </c>
      <c r="L672" s="179">
        <v>3478</v>
      </c>
      <c r="M672" s="178" t="s">
        <v>1967</v>
      </c>
      <c r="N672" s="27" t="s">
        <v>1590</v>
      </c>
      <c r="O672" s="182" t="s">
        <v>1968</v>
      </c>
    </row>
    <row r="673" spans="2:15">
      <c r="B673" s="174" t="s">
        <v>1964</v>
      </c>
      <c r="C673" s="175" t="s">
        <v>1589</v>
      </c>
      <c r="D673" s="176" t="s">
        <v>1590</v>
      </c>
      <c r="E673" s="177" t="s">
        <v>1965</v>
      </c>
      <c r="F673" s="175">
        <f t="shared" si="21"/>
        <v>12</v>
      </c>
      <c r="G673" s="175" t="str">
        <f t="shared" si="22"/>
        <v>Fort Smith</v>
      </c>
      <c r="H673" s="175"/>
      <c r="I673" s="178" t="s">
        <v>1966</v>
      </c>
      <c r="J673" s="27" t="s">
        <v>1590</v>
      </c>
      <c r="K673" s="27">
        <v>1894</v>
      </c>
      <c r="L673" s="179">
        <v>3478</v>
      </c>
      <c r="M673" s="178" t="s">
        <v>1967</v>
      </c>
      <c r="N673" s="27" t="s">
        <v>1590</v>
      </c>
      <c r="O673" s="182" t="s">
        <v>1968</v>
      </c>
    </row>
    <row r="674" spans="2:15">
      <c r="B674" s="174" t="s">
        <v>1450</v>
      </c>
      <c r="C674" s="175" t="s">
        <v>509</v>
      </c>
      <c r="D674" s="176" t="s">
        <v>510</v>
      </c>
      <c r="E674" s="177" t="s">
        <v>1451</v>
      </c>
      <c r="F674" s="175">
        <f t="shared" si="21"/>
        <v>15</v>
      </c>
      <c r="G674" s="175" t="str">
        <f t="shared" si="22"/>
        <v>Oklahoma City</v>
      </c>
      <c r="H674" s="175"/>
      <c r="I674" s="178" t="s">
        <v>606</v>
      </c>
      <c r="J674" s="27" t="s">
        <v>510</v>
      </c>
      <c r="K674" s="27">
        <v>1859</v>
      </c>
      <c r="L674" s="179">
        <v>3659</v>
      </c>
      <c r="M674" s="180" t="s">
        <v>698</v>
      </c>
      <c r="N674" s="181" t="s">
        <v>510</v>
      </c>
      <c r="O674" s="182" t="s">
        <v>699</v>
      </c>
    </row>
    <row r="675" spans="2:15">
      <c r="B675" s="174" t="s">
        <v>1452</v>
      </c>
      <c r="C675" s="175" t="s">
        <v>509</v>
      </c>
      <c r="D675" s="176" t="s">
        <v>510</v>
      </c>
      <c r="E675" s="177" t="s">
        <v>1451</v>
      </c>
      <c r="F675" s="175">
        <f t="shared" si="21"/>
        <v>15</v>
      </c>
      <c r="G675" s="175" t="str">
        <f t="shared" si="22"/>
        <v>Oklahoma City</v>
      </c>
      <c r="H675" s="175"/>
      <c r="I675" s="178" t="s">
        <v>606</v>
      </c>
      <c r="J675" s="27" t="s">
        <v>510</v>
      </c>
      <c r="K675" s="27">
        <v>1859</v>
      </c>
      <c r="L675" s="179">
        <v>3659</v>
      </c>
      <c r="M675" s="180" t="s">
        <v>698</v>
      </c>
      <c r="N675" s="181" t="s">
        <v>510</v>
      </c>
      <c r="O675" s="182" t="s">
        <v>699</v>
      </c>
    </row>
    <row r="676" spans="2:15">
      <c r="B676" s="174" t="s">
        <v>508</v>
      </c>
      <c r="C676" s="175" t="s">
        <v>509</v>
      </c>
      <c r="D676" s="176" t="s">
        <v>510</v>
      </c>
      <c r="E676" s="177" t="s">
        <v>511</v>
      </c>
      <c r="F676" s="175">
        <f t="shared" si="21"/>
        <v>9</v>
      </c>
      <c r="G676" s="175" t="str">
        <f t="shared" si="22"/>
        <v>Ardmore</v>
      </c>
      <c r="H676" s="175"/>
      <c r="I676" s="178" t="s">
        <v>512</v>
      </c>
      <c r="J676" s="27" t="s">
        <v>264</v>
      </c>
      <c r="K676" s="27">
        <v>2603</v>
      </c>
      <c r="L676" s="179">
        <v>2407</v>
      </c>
      <c r="M676" s="180" t="s">
        <v>513</v>
      </c>
      <c r="N676" s="181" t="s">
        <v>264</v>
      </c>
      <c r="O676" s="182" t="s">
        <v>514</v>
      </c>
    </row>
    <row r="677" spans="2:15">
      <c r="B677" s="174" t="s">
        <v>2108</v>
      </c>
      <c r="C677" s="175" t="s">
        <v>509</v>
      </c>
      <c r="D677" s="176" t="s">
        <v>510</v>
      </c>
      <c r="E677" s="177" t="s">
        <v>2109</v>
      </c>
      <c r="F677" s="175">
        <f t="shared" si="21"/>
        <v>8</v>
      </c>
      <c r="G677" s="175" t="str">
        <f t="shared" si="22"/>
        <v>Lawton</v>
      </c>
      <c r="H677" s="175"/>
      <c r="I677" s="178" t="s">
        <v>2110</v>
      </c>
      <c r="J677" s="27" t="s">
        <v>264</v>
      </c>
      <c r="K677" s="27">
        <v>2340</v>
      </c>
      <c r="L677" s="179">
        <v>3042</v>
      </c>
      <c r="M677" s="180" t="s">
        <v>2111</v>
      </c>
      <c r="N677" s="181" t="s">
        <v>264</v>
      </c>
      <c r="O677" s="182" t="s">
        <v>2112</v>
      </c>
    </row>
    <row r="678" spans="2:15">
      <c r="B678" s="174" t="s">
        <v>604</v>
      </c>
      <c r="C678" s="175" t="s">
        <v>509</v>
      </c>
      <c r="D678" s="176" t="s">
        <v>510</v>
      </c>
      <c r="E678" s="177" t="s">
        <v>605</v>
      </c>
      <c r="F678" s="175">
        <f t="shared" si="21"/>
        <v>9</v>
      </c>
      <c r="G678" s="175" t="str">
        <f t="shared" si="22"/>
        <v>Clinton</v>
      </c>
      <c r="H678" s="175"/>
      <c r="I678" s="178" t="s">
        <v>606</v>
      </c>
      <c r="J678" s="27" t="s">
        <v>510</v>
      </c>
      <c r="K678" s="27">
        <v>1859</v>
      </c>
      <c r="L678" s="179">
        <v>3659</v>
      </c>
      <c r="M678" s="180" t="s">
        <v>698</v>
      </c>
      <c r="N678" s="181" t="s">
        <v>510</v>
      </c>
      <c r="O678" s="182" t="s">
        <v>699</v>
      </c>
    </row>
    <row r="679" spans="2:15">
      <c r="B679" s="174" t="s">
        <v>1054</v>
      </c>
      <c r="C679" s="175" t="s">
        <v>509</v>
      </c>
      <c r="D679" s="176" t="s">
        <v>510</v>
      </c>
      <c r="E679" s="177" t="s">
        <v>1055</v>
      </c>
      <c r="F679" s="175">
        <f t="shared" si="21"/>
        <v>6</v>
      </c>
      <c r="G679" s="175" t="str">
        <f t="shared" si="22"/>
        <v>Enid</v>
      </c>
      <c r="H679" s="175"/>
      <c r="I679" s="178" t="s">
        <v>606</v>
      </c>
      <c r="J679" s="27" t="s">
        <v>510</v>
      </c>
      <c r="K679" s="27">
        <v>1859</v>
      </c>
      <c r="L679" s="179">
        <v>3659</v>
      </c>
      <c r="M679" s="180" t="s">
        <v>698</v>
      </c>
      <c r="N679" s="181" t="s">
        <v>510</v>
      </c>
      <c r="O679" s="182" t="s">
        <v>699</v>
      </c>
    </row>
    <row r="680" spans="2:15">
      <c r="B680" s="174" t="s">
        <v>747</v>
      </c>
      <c r="C680" s="175" t="s">
        <v>509</v>
      </c>
      <c r="D680" s="176" t="s">
        <v>510</v>
      </c>
      <c r="E680" s="177" t="s">
        <v>748</v>
      </c>
      <c r="F680" s="175">
        <f t="shared" si="21"/>
        <v>10</v>
      </c>
      <c r="G680" s="175" t="str">
        <f t="shared" si="22"/>
        <v>Woodward</v>
      </c>
      <c r="H680" s="175"/>
      <c r="I680" s="178" t="s">
        <v>279</v>
      </c>
      <c r="J680" s="27" t="s">
        <v>264</v>
      </c>
      <c r="K680" s="27">
        <v>1354</v>
      </c>
      <c r="L680" s="179">
        <v>4258</v>
      </c>
      <c r="M680" s="180" t="s">
        <v>280</v>
      </c>
      <c r="N680" s="181" t="s">
        <v>264</v>
      </c>
      <c r="O680" s="182" t="s">
        <v>281</v>
      </c>
    </row>
    <row r="681" spans="2:15">
      <c r="B681" s="174" t="s">
        <v>2086</v>
      </c>
      <c r="C681" s="175" t="s">
        <v>509</v>
      </c>
      <c r="D681" s="176" t="s">
        <v>510</v>
      </c>
      <c r="E681" s="177" t="s">
        <v>2087</v>
      </c>
      <c r="F681" s="175">
        <f t="shared" si="21"/>
        <v>8</v>
      </c>
      <c r="G681" s="175" t="str">
        <f t="shared" si="22"/>
        <v>Guymon</v>
      </c>
      <c r="H681" s="175"/>
      <c r="I681" s="178" t="s">
        <v>279</v>
      </c>
      <c r="J681" s="27" t="s">
        <v>264</v>
      </c>
      <c r="K681" s="27">
        <v>1354</v>
      </c>
      <c r="L681" s="179">
        <v>4258</v>
      </c>
      <c r="M681" s="180" t="s">
        <v>698</v>
      </c>
      <c r="N681" s="181" t="s">
        <v>510</v>
      </c>
      <c r="O681" s="182" t="s">
        <v>699</v>
      </c>
    </row>
    <row r="682" spans="2:15">
      <c r="B682" s="174" t="s">
        <v>1770</v>
      </c>
      <c r="C682" s="175" t="s">
        <v>509</v>
      </c>
      <c r="D682" s="176" t="s">
        <v>510</v>
      </c>
      <c r="E682" s="177" t="s">
        <v>1771</v>
      </c>
      <c r="F682" s="175">
        <f t="shared" si="21"/>
        <v>7</v>
      </c>
      <c r="G682" s="175" t="str">
        <f t="shared" si="22"/>
        <v>Tulsa</v>
      </c>
      <c r="H682" s="175"/>
      <c r="I682" s="178" t="s">
        <v>606</v>
      </c>
      <c r="J682" s="27" t="s">
        <v>510</v>
      </c>
      <c r="K682" s="27">
        <v>1859</v>
      </c>
      <c r="L682" s="179">
        <v>3659</v>
      </c>
      <c r="M682" s="180" t="s">
        <v>2455</v>
      </c>
      <c r="N682" s="181" t="s">
        <v>510</v>
      </c>
      <c r="O682" s="182" t="s">
        <v>2456</v>
      </c>
    </row>
    <row r="683" spans="2:15">
      <c r="B683" s="174" t="s">
        <v>1772</v>
      </c>
      <c r="C683" s="175" t="s">
        <v>509</v>
      </c>
      <c r="D683" s="176" t="s">
        <v>510</v>
      </c>
      <c r="E683" s="177" t="s">
        <v>1771</v>
      </c>
      <c r="F683" s="175">
        <f t="shared" si="21"/>
        <v>7</v>
      </c>
      <c r="G683" s="175" t="str">
        <f t="shared" si="22"/>
        <v>Tulsa</v>
      </c>
      <c r="H683" s="175"/>
      <c r="I683" s="178" t="s">
        <v>2454</v>
      </c>
      <c r="J683" s="27" t="s">
        <v>510</v>
      </c>
      <c r="K683" s="27">
        <v>2017</v>
      </c>
      <c r="L683" s="179">
        <v>3691</v>
      </c>
      <c r="M683" s="180" t="s">
        <v>2455</v>
      </c>
      <c r="N683" s="181" t="s">
        <v>510</v>
      </c>
      <c r="O683" s="182" t="s">
        <v>2456</v>
      </c>
    </row>
    <row r="684" spans="2:15">
      <c r="B684" s="174" t="s">
        <v>1805</v>
      </c>
      <c r="C684" s="175" t="s">
        <v>509</v>
      </c>
      <c r="D684" s="176" t="s">
        <v>510</v>
      </c>
      <c r="E684" s="177" t="s">
        <v>1806</v>
      </c>
      <c r="F684" s="175">
        <f t="shared" si="21"/>
        <v>8</v>
      </c>
      <c r="G684" s="175" t="str">
        <f t="shared" si="22"/>
        <v>Vinita</v>
      </c>
      <c r="H684" s="175"/>
      <c r="I684" s="178" t="s">
        <v>2454</v>
      </c>
      <c r="J684" s="27" t="s">
        <v>510</v>
      </c>
      <c r="K684" s="27">
        <v>2017</v>
      </c>
      <c r="L684" s="179">
        <v>3691</v>
      </c>
      <c r="M684" s="180" t="s">
        <v>2455</v>
      </c>
      <c r="N684" s="181" t="s">
        <v>510</v>
      </c>
      <c r="O684" s="182" t="s">
        <v>2456</v>
      </c>
    </row>
    <row r="685" spans="2:15">
      <c r="B685" s="174" t="s">
        <v>1093</v>
      </c>
      <c r="C685" s="175" t="s">
        <v>509</v>
      </c>
      <c r="D685" s="176" t="s">
        <v>510</v>
      </c>
      <c r="E685" s="177" t="s">
        <v>1094</v>
      </c>
      <c r="F685" s="175">
        <f t="shared" si="21"/>
        <v>10</v>
      </c>
      <c r="G685" s="175" t="str">
        <f t="shared" si="22"/>
        <v>Muskogee</v>
      </c>
      <c r="H685" s="175"/>
      <c r="I685" s="178" t="s">
        <v>1966</v>
      </c>
      <c r="J685" s="27" t="s">
        <v>1590</v>
      </c>
      <c r="K685" s="27">
        <v>1894</v>
      </c>
      <c r="L685" s="179">
        <v>3478</v>
      </c>
      <c r="M685" s="178" t="s">
        <v>1967</v>
      </c>
      <c r="N685" s="27" t="s">
        <v>1590</v>
      </c>
      <c r="O685" s="182" t="s">
        <v>1968</v>
      </c>
    </row>
    <row r="686" spans="2:15">
      <c r="B686" s="174" t="s">
        <v>1164</v>
      </c>
      <c r="C686" s="175" t="s">
        <v>509</v>
      </c>
      <c r="D686" s="176" t="s">
        <v>510</v>
      </c>
      <c r="E686" s="177" t="s">
        <v>1165</v>
      </c>
      <c r="F686" s="175">
        <f t="shared" si="21"/>
        <v>11</v>
      </c>
      <c r="G686" s="175" t="str">
        <f t="shared" si="22"/>
        <v>McAlester</v>
      </c>
      <c r="H686" s="175"/>
      <c r="I686" s="178" t="s">
        <v>1966</v>
      </c>
      <c r="J686" s="27" t="s">
        <v>1590</v>
      </c>
      <c r="K686" s="27">
        <v>1894</v>
      </c>
      <c r="L686" s="179">
        <v>3478</v>
      </c>
      <c r="M686" s="178" t="s">
        <v>1967</v>
      </c>
      <c r="N686" s="27" t="s">
        <v>1590</v>
      </c>
      <c r="O686" s="182" t="s">
        <v>1968</v>
      </c>
    </row>
    <row r="687" spans="2:15">
      <c r="B687" s="174" t="s">
        <v>2452</v>
      </c>
      <c r="C687" s="175" t="s">
        <v>509</v>
      </c>
      <c r="D687" s="176" t="s">
        <v>510</v>
      </c>
      <c r="E687" s="177" t="s">
        <v>2453</v>
      </c>
      <c r="F687" s="175">
        <f t="shared" si="21"/>
        <v>12</v>
      </c>
      <c r="G687" s="175" t="str">
        <f t="shared" si="22"/>
        <v>Ponca City</v>
      </c>
      <c r="H687" s="175"/>
      <c r="I687" s="178" t="s">
        <v>2454</v>
      </c>
      <c r="J687" s="27" t="s">
        <v>510</v>
      </c>
      <c r="K687" s="27">
        <v>2017</v>
      </c>
      <c r="L687" s="179">
        <v>3691</v>
      </c>
      <c r="M687" s="180" t="s">
        <v>2455</v>
      </c>
      <c r="N687" s="181" t="s">
        <v>510</v>
      </c>
      <c r="O687" s="182" t="s">
        <v>2456</v>
      </c>
    </row>
    <row r="688" spans="2:15">
      <c r="B688" s="174" t="s">
        <v>1757</v>
      </c>
      <c r="C688" s="175" t="s">
        <v>509</v>
      </c>
      <c r="D688" s="176" t="s">
        <v>510</v>
      </c>
      <c r="E688" s="177" t="s">
        <v>1758</v>
      </c>
      <c r="F688" s="175">
        <f t="shared" si="21"/>
        <v>8</v>
      </c>
      <c r="G688" s="175" t="str">
        <f t="shared" si="22"/>
        <v>Durant</v>
      </c>
      <c r="H688" s="175"/>
      <c r="I688" s="178" t="s">
        <v>512</v>
      </c>
      <c r="J688" s="27" t="s">
        <v>264</v>
      </c>
      <c r="K688" s="27">
        <v>2603</v>
      </c>
      <c r="L688" s="179">
        <v>2407</v>
      </c>
      <c r="M688" s="180" t="s">
        <v>513</v>
      </c>
      <c r="N688" s="181" t="s">
        <v>264</v>
      </c>
      <c r="O688" s="182" t="s">
        <v>514</v>
      </c>
    </row>
    <row r="689" spans="2:15">
      <c r="B689" s="174" t="s">
        <v>1284</v>
      </c>
      <c r="C689" s="175" t="s">
        <v>509</v>
      </c>
      <c r="D689" s="176" t="s">
        <v>510</v>
      </c>
      <c r="E689" s="177" t="s">
        <v>1285</v>
      </c>
      <c r="F689" s="175">
        <f t="shared" si="21"/>
        <v>9</v>
      </c>
      <c r="G689" s="175" t="str">
        <f t="shared" si="22"/>
        <v>Shawnee</v>
      </c>
      <c r="H689" s="175"/>
      <c r="I689" s="178" t="s">
        <v>2110</v>
      </c>
      <c r="J689" s="27" t="s">
        <v>264</v>
      </c>
      <c r="K689" s="27">
        <v>2340</v>
      </c>
      <c r="L689" s="179">
        <v>3042</v>
      </c>
      <c r="M689" s="180" t="s">
        <v>2111</v>
      </c>
      <c r="N689" s="181" t="s">
        <v>264</v>
      </c>
      <c r="O689" s="182" t="s">
        <v>2112</v>
      </c>
    </row>
    <row r="690" spans="2:15">
      <c r="B690" s="174" t="s">
        <v>2471</v>
      </c>
      <c r="C690" s="175" t="s">
        <v>509</v>
      </c>
      <c r="D690" s="176" t="s">
        <v>510</v>
      </c>
      <c r="E690" s="177" t="s">
        <v>2472</v>
      </c>
      <c r="F690" s="175">
        <f t="shared" si="21"/>
        <v>8</v>
      </c>
      <c r="G690" s="175" t="str">
        <f t="shared" si="22"/>
        <v>Poteau</v>
      </c>
      <c r="H690" s="175"/>
      <c r="I690" s="178" t="s">
        <v>1966</v>
      </c>
      <c r="J690" s="27" t="s">
        <v>1590</v>
      </c>
      <c r="K690" s="27">
        <v>1894</v>
      </c>
      <c r="L690" s="179">
        <v>3478</v>
      </c>
      <c r="M690" s="178" t="s">
        <v>1967</v>
      </c>
      <c r="N690" s="27" t="s">
        <v>1590</v>
      </c>
      <c r="O690" s="182" t="s">
        <v>1968</v>
      </c>
    </row>
    <row r="691" spans="2:15">
      <c r="B691" s="174" t="s">
        <v>1679</v>
      </c>
      <c r="C691" s="175" t="s">
        <v>263</v>
      </c>
      <c r="D691" s="176" t="s">
        <v>264</v>
      </c>
      <c r="E691" s="177" t="s">
        <v>1680</v>
      </c>
      <c r="F691" s="175">
        <f t="shared" si="21"/>
        <v>8</v>
      </c>
      <c r="G691" s="175" t="str">
        <f t="shared" si="22"/>
        <v>Dallas</v>
      </c>
      <c r="H691" s="175"/>
      <c r="I691" s="178" t="s">
        <v>512</v>
      </c>
      <c r="J691" s="27" t="s">
        <v>264</v>
      </c>
      <c r="K691" s="27">
        <v>2603</v>
      </c>
      <c r="L691" s="179">
        <v>2407</v>
      </c>
      <c r="M691" s="180" t="s">
        <v>513</v>
      </c>
      <c r="N691" s="181" t="s">
        <v>264</v>
      </c>
      <c r="O691" s="182" t="s">
        <v>514</v>
      </c>
    </row>
    <row r="692" spans="2:15">
      <c r="B692" s="174" t="s">
        <v>1681</v>
      </c>
      <c r="C692" s="175" t="s">
        <v>263</v>
      </c>
      <c r="D692" s="176" t="s">
        <v>264</v>
      </c>
      <c r="E692" s="177" t="s">
        <v>1680</v>
      </c>
      <c r="F692" s="175">
        <f t="shared" si="21"/>
        <v>8</v>
      </c>
      <c r="G692" s="175" t="str">
        <f t="shared" si="22"/>
        <v>Dallas</v>
      </c>
      <c r="H692" s="175"/>
      <c r="I692" s="178" t="s">
        <v>512</v>
      </c>
      <c r="J692" s="27" t="s">
        <v>264</v>
      </c>
      <c r="K692" s="27">
        <v>2603</v>
      </c>
      <c r="L692" s="179">
        <v>2407</v>
      </c>
      <c r="M692" s="180" t="s">
        <v>513</v>
      </c>
      <c r="N692" s="181" t="s">
        <v>264</v>
      </c>
      <c r="O692" s="182" t="s">
        <v>514</v>
      </c>
    </row>
    <row r="693" spans="2:15">
      <c r="B693" s="174" t="s">
        <v>1682</v>
      </c>
      <c r="C693" s="175" t="s">
        <v>263</v>
      </c>
      <c r="D693" s="176" t="s">
        <v>264</v>
      </c>
      <c r="E693" s="177" t="s">
        <v>1680</v>
      </c>
      <c r="F693" s="175">
        <f t="shared" si="21"/>
        <v>8</v>
      </c>
      <c r="G693" s="175" t="str">
        <f t="shared" si="22"/>
        <v>Dallas</v>
      </c>
      <c r="H693" s="175"/>
      <c r="I693" s="178" t="s">
        <v>512</v>
      </c>
      <c r="J693" s="27" t="s">
        <v>264</v>
      </c>
      <c r="K693" s="27">
        <v>2603</v>
      </c>
      <c r="L693" s="179">
        <v>2407</v>
      </c>
      <c r="M693" s="180" t="s">
        <v>513</v>
      </c>
      <c r="N693" s="181" t="s">
        <v>264</v>
      </c>
      <c r="O693" s="182" t="s">
        <v>514</v>
      </c>
    </row>
    <row r="694" spans="2:15">
      <c r="B694" s="174" t="s">
        <v>1683</v>
      </c>
      <c r="C694" s="175" t="s">
        <v>263</v>
      </c>
      <c r="D694" s="176" t="s">
        <v>264</v>
      </c>
      <c r="E694" s="177" t="s">
        <v>1680</v>
      </c>
      <c r="F694" s="175">
        <f t="shared" si="21"/>
        <v>8</v>
      </c>
      <c r="G694" s="175" t="str">
        <f t="shared" si="22"/>
        <v>Dallas</v>
      </c>
      <c r="H694" s="175"/>
      <c r="I694" s="178" t="s">
        <v>512</v>
      </c>
      <c r="J694" s="27" t="s">
        <v>264</v>
      </c>
      <c r="K694" s="27">
        <v>2603</v>
      </c>
      <c r="L694" s="179">
        <v>2407</v>
      </c>
      <c r="M694" s="180" t="s">
        <v>513</v>
      </c>
      <c r="N694" s="181" t="s">
        <v>264</v>
      </c>
      <c r="O694" s="182" t="s">
        <v>514</v>
      </c>
    </row>
    <row r="695" spans="2:15">
      <c r="B695" s="174" t="s">
        <v>2076</v>
      </c>
      <c r="C695" s="175" t="s">
        <v>263</v>
      </c>
      <c r="D695" s="176" t="s">
        <v>264</v>
      </c>
      <c r="E695" s="177" t="s">
        <v>2073</v>
      </c>
      <c r="F695" s="175">
        <f t="shared" si="21"/>
        <v>12</v>
      </c>
      <c r="G695" s="175" t="str">
        <f t="shared" si="22"/>
        <v>Greenville</v>
      </c>
      <c r="H695" s="175"/>
      <c r="I695" s="178" t="s">
        <v>512</v>
      </c>
      <c r="J695" s="27" t="s">
        <v>264</v>
      </c>
      <c r="K695" s="27">
        <v>2603</v>
      </c>
      <c r="L695" s="179">
        <v>2407</v>
      </c>
      <c r="M695" s="180" t="s">
        <v>513</v>
      </c>
      <c r="N695" s="181" t="s">
        <v>264</v>
      </c>
      <c r="O695" s="182" t="s">
        <v>514</v>
      </c>
    </row>
    <row r="696" spans="2:15">
      <c r="B696" s="174" t="s">
        <v>860</v>
      </c>
      <c r="C696" s="175" t="s">
        <v>263</v>
      </c>
      <c r="D696" s="176" t="s">
        <v>264</v>
      </c>
      <c r="E696" s="177" t="s">
        <v>861</v>
      </c>
      <c r="F696" s="175">
        <f t="shared" si="21"/>
        <v>11</v>
      </c>
      <c r="G696" s="175" t="str">
        <f t="shared" si="22"/>
        <v>Texarkana</v>
      </c>
      <c r="H696" s="175"/>
      <c r="I696" s="178" t="s">
        <v>390</v>
      </c>
      <c r="J696" s="27" t="s">
        <v>291</v>
      </c>
      <c r="K696" s="27">
        <v>2368</v>
      </c>
      <c r="L696" s="179">
        <v>2264</v>
      </c>
      <c r="M696" s="180" t="s">
        <v>391</v>
      </c>
      <c r="N696" s="181" t="s">
        <v>291</v>
      </c>
      <c r="O696" s="182" t="s">
        <v>392</v>
      </c>
    </row>
    <row r="697" spans="2:15">
      <c r="B697" s="174" t="s">
        <v>2145</v>
      </c>
      <c r="C697" s="175" t="s">
        <v>263</v>
      </c>
      <c r="D697" s="176" t="s">
        <v>264</v>
      </c>
      <c r="E697" s="177" t="s">
        <v>2146</v>
      </c>
      <c r="F697" s="175">
        <f t="shared" si="21"/>
        <v>10</v>
      </c>
      <c r="G697" s="175" t="str">
        <f t="shared" si="22"/>
        <v>Longview</v>
      </c>
      <c r="H697" s="175"/>
      <c r="I697" s="178" t="s">
        <v>390</v>
      </c>
      <c r="J697" s="27" t="s">
        <v>291</v>
      </c>
      <c r="K697" s="27">
        <v>2368</v>
      </c>
      <c r="L697" s="179">
        <v>2264</v>
      </c>
      <c r="M697" s="180" t="s">
        <v>391</v>
      </c>
      <c r="N697" s="181" t="s">
        <v>291</v>
      </c>
      <c r="O697" s="182" t="s">
        <v>392</v>
      </c>
    </row>
    <row r="698" spans="2:15">
      <c r="B698" s="174" t="s">
        <v>1780</v>
      </c>
      <c r="C698" s="175" t="s">
        <v>263</v>
      </c>
      <c r="D698" s="176" t="s">
        <v>264</v>
      </c>
      <c r="E698" s="177" t="s">
        <v>1781</v>
      </c>
      <c r="F698" s="175">
        <f t="shared" si="21"/>
        <v>7</v>
      </c>
      <c r="G698" s="175" t="str">
        <f t="shared" si="22"/>
        <v>Tyler</v>
      </c>
      <c r="H698" s="175"/>
      <c r="I698" s="178" t="s">
        <v>512</v>
      </c>
      <c r="J698" s="27" t="s">
        <v>264</v>
      </c>
      <c r="K698" s="27">
        <v>2603</v>
      </c>
      <c r="L698" s="179">
        <v>2407</v>
      </c>
      <c r="M698" s="180" t="s">
        <v>513</v>
      </c>
      <c r="N698" s="181" t="s">
        <v>264</v>
      </c>
      <c r="O698" s="182" t="s">
        <v>514</v>
      </c>
    </row>
    <row r="699" spans="2:15">
      <c r="B699" s="174" t="s">
        <v>2303</v>
      </c>
      <c r="C699" s="175" t="s">
        <v>263</v>
      </c>
      <c r="D699" s="176" t="s">
        <v>264</v>
      </c>
      <c r="E699" s="177" t="s">
        <v>2304</v>
      </c>
      <c r="F699" s="175">
        <f t="shared" si="21"/>
        <v>11</v>
      </c>
      <c r="G699" s="175" t="str">
        <f t="shared" si="22"/>
        <v>Palestine</v>
      </c>
      <c r="H699" s="175"/>
      <c r="I699" s="178" t="s">
        <v>2160</v>
      </c>
      <c r="J699" s="27" t="s">
        <v>264</v>
      </c>
      <c r="K699" s="27">
        <v>2816</v>
      </c>
      <c r="L699" s="179">
        <v>2179</v>
      </c>
      <c r="M699" s="180" t="s">
        <v>2161</v>
      </c>
      <c r="N699" s="181" t="s">
        <v>264</v>
      </c>
      <c r="O699" s="182" t="s">
        <v>2162</v>
      </c>
    </row>
    <row r="700" spans="2:15">
      <c r="B700" s="174" t="s">
        <v>2158</v>
      </c>
      <c r="C700" s="175" t="s">
        <v>263</v>
      </c>
      <c r="D700" s="176" t="s">
        <v>264</v>
      </c>
      <c r="E700" s="177" t="s">
        <v>2159</v>
      </c>
      <c r="F700" s="175">
        <f t="shared" si="21"/>
        <v>8</v>
      </c>
      <c r="G700" s="175" t="str">
        <f t="shared" si="22"/>
        <v>Lufkin</v>
      </c>
      <c r="H700" s="175"/>
      <c r="I700" s="178" t="s">
        <v>2160</v>
      </c>
      <c r="J700" s="27" t="s">
        <v>264</v>
      </c>
      <c r="K700" s="27">
        <v>2816</v>
      </c>
      <c r="L700" s="179">
        <v>2179</v>
      </c>
      <c r="M700" s="180" t="s">
        <v>2161</v>
      </c>
      <c r="N700" s="181" t="s">
        <v>264</v>
      </c>
      <c r="O700" s="182" t="s">
        <v>2162</v>
      </c>
    </row>
    <row r="701" spans="2:15">
      <c r="B701" s="174" t="s">
        <v>1976</v>
      </c>
      <c r="C701" s="175" t="s">
        <v>263</v>
      </c>
      <c r="D701" s="176" t="s">
        <v>264</v>
      </c>
      <c r="E701" s="177" t="s">
        <v>1977</v>
      </c>
      <c r="F701" s="175">
        <f t="shared" si="21"/>
        <v>12</v>
      </c>
      <c r="G701" s="175" t="str">
        <f t="shared" si="22"/>
        <v>Fort Worth</v>
      </c>
      <c r="H701" s="175"/>
      <c r="I701" s="178" t="s">
        <v>512</v>
      </c>
      <c r="J701" s="27" t="s">
        <v>264</v>
      </c>
      <c r="K701" s="27">
        <v>2603</v>
      </c>
      <c r="L701" s="179">
        <v>2407</v>
      </c>
      <c r="M701" s="180" t="s">
        <v>513</v>
      </c>
      <c r="N701" s="181" t="s">
        <v>264</v>
      </c>
      <c r="O701" s="182" t="s">
        <v>514</v>
      </c>
    </row>
    <row r="702" spans="2:15">
      <c r="B702" s="174" t="s">
        <v>1978</v>
      </c>
      <c r="C702" s="175" t="s">
        <v>263</v>
      </c>
      <c r="D702" s="176" t="s">
        <v>264</v>
      </c>
      <c r="E702" s="177" t="s">
        <v>1977</v>
      </c>
      <c r="F702" s="175">
        <f t="shared" si="21"/>
        <v>12</v>
      </c>
      <c r="G702" s="175" t="str">
        <f t="shared" si="22"/>
        <v>Fort Worth</v>
      </c>
      <c r="H702" s="175"/>
      <c r="I702" s="178" t="s">
        <v>512</v>
      </c>
      <c r="J702" s="27" t="s">
        <v>264</v>
      </c>
      <c r="K702" s="27">
        <v>2603</v>
      </c>
      <c r="L702" s="179">
        <v>2407</v>
      </c>
      <c r="M702" s="180" t="s">
        <v>513</v>
      </c>
      <c r="N702" s="181" t="s">
        <v>264</v>
      </c>
      <c r="O702" s="182" t="s">
        <v>514</v>
      </c>
    </row>
    <row r="703" spans="2:15">
      <c r="B703" s="174" t="s">
        <v>1703</v>
      </c>
      <c r="C703" s="175" t="s">
        <v>263</v>
      </c>
      <c r="D703" s="176" t="s">
        <v>264</v>
      </c>
      <c r="E703" s="177" t="s">
        <v>1704</v>
      </c>
      <c r="F703" s="175">
        <f t="shared" si="21"/>
        <v>8</v>
      </c>
      <c r="G703" s="175" t="str">
        <f t="shared" si="22"/>
        <v>Denton</v>
      </c>
      <c r="H703" s="175"/>
      <c r="I703" s="178" t="s">
        <v>512</v>
      </c>
      <c r="J703" s="27" t="s">
        <v>264</v>
      </c>
      <c r="K703" s="27">
        <v>2603</v>
      </c>
      <c r="L703" s="179">
        <v>2407</v>
      </c>
      <c r="M703" s="180" t="s">
        <v>513</v>
      </c>
      <c r="N703" s="181" t="s">
        <v>264</v>
      </c>
      <c r="O703" s="182" t="s">
        <v>514</v>
      </c>
    </row>
    <row r="704" spans="2:15">
      <c r="B704" s="174" t="s">
        <v>712</v>
      </c>
      <c r="C704" s="175" t="s">
        <v>263</v>
      </c>
      <c r="D704" s="176" t="s">
        <v>264</v>
      </c>
      <c r="E704" s="177" t="s">
        <v>713</v>
      </c>
      <c r="F704" s="175">
        <f t="shared" si="21"/>
        <v>15</v>
      </c>
      <c r="G704" s="175" t="str">
        <f t="shared" si="22"/>
        <v>Wichita Falls</v>
      </c>
      <c r="H704" s="175"/>
      <c r="I704" s="178" t="s">
        <v>2110</v>
      </c>
      <c r="J704" s="27" t="s">
        <v>264</v>
      </c>
      <c r="K704" s="27">
        <v>2340</v>
      </c>
      <c r="L704" s="179">
        <v>3042</v>
      </c>
      <c r="M704" s="180" t="s">
        <v>2111</v>
      </c>
      <c r="N704" s="181" t="s">
        <v>264</v>
      </c>
      <c r="O704" s="182" t="s">
        <v>2112</v>
      </c>
    </row>
    <row r="705" spans="2:15">
      <c r="B705" s="174" t="s">
        <v>1263</v>
      </c>
      <c r="C705" s="175" t="s">
        <v>263</v>
      </c>
      <c r="D705" s="176" t="s">
        <v>264</v>
      </c>
      <c r="E705" s="177" t="s">
        <v>1264</v>
      </c>
      <c r="F705" s="175">
        <f t="shared" si="21"/>
        <v>14</v>
      </c>
      <c r="G705" s="175" t="str">
        <f t="shared" si="22"/>
        <v>Stephenville</v>
      </c>
      <c r="H705" s="175"/>
      <c r="I705" s="178" t="s">
        <v>266</v>
      </c>
      <c r="J705" s="27" t="s">
        <v>264</v>
      </c>
      <c r="K705" s="27">
        <v>2451</v>
      </c>
      <c r="L705" s="179">
        <v>2584</v>
      </c>
      <c r="M705" s="180" t="s">
        <v>267</v>
      </c>
      <c r="N705" s="181" t="s">
        <v>264</v>
      </c>
      <c r="O705" s="182" t="s">
        <v>268</v>
      </c>
    </row>
    <row r="706" spans="2:15">
      <c r="B706" s="174" t="s">
        <v>856</v>
      </c>
      <c r="C706" s="175" t="s">
        <v>263</v>
      </c>
      <c r="D706" s="176" t="s">
        <v>264</v>
      </c>
      <c r="E706" s="177" t="s">
        <v>857</v>
      </c>
      <c r="F706" s="175">
        <f t="shared" si="21"/>
        <v>8</v>
      </c>
      <c r="G706" s="175" t="str">
        <f t="shared" si="22"/>
        <v>Temple</v>
      </c>
      <c r="H706" s="175"/>
      <c r="I706" s="178" t="s">
        <v>2160</v>
      </c>
      <c r="J706" s="27" t="s">
        <v>264</v>
      </c>
      <c r="K706" s="27">
        <v>2816</v>
      </c>
      <c r="L706" s="179">
        <v>2179</v>
      </c>
      <c r="M706" s="180" t="s">
        <v>2161</v>
      </c>
      <c r="N706" s="181" t="s">
        <v>264</v>
      </c>
      <c r="O706" s="182" t="s">
        <v>2162</v>
      </c>
    </row>
    <row r="707" spans="2:15">
      <c r="B707" s="174" t="s">
        <v>1807</v>
      </c>
      <c r="C707" s="175" t="s">
        <v>263</v>
      </c>
      <c r="D707" s="176" t="s">
        <v>264</v>
      </c>
      <c r="E707" s="177" t="s">
        <v>1808</v>
      </c>
      <c r="F707" s="175">
        <f t="shared" si="21"/>
        <v>6</v>
      </c>
      <c r="G707" s="175" t="str">
        <f t="shared" si="22"/>
        <v>Waco</v>
      </c>
      <c r="H707" s="175"/>
      <c r="I707" s="178" t="s">
        <v>2160</v>
      </c>
      <c r="J707" s="27" t="s">
        <v>264</v>
      </c>
      <c r="K707" s="27">
        <v>2816</v>
      </c>
      <c r="L707" s="179">
        <v>2179</v>
      </c>
      <c r="M707" s="180" t="s">
        <v>2161</v>
      </c>
      <c r="N707" s="181" t="s">
        <v>264</v>
      </c>
      <c r="O707" s="182" t="s">
        <v>2162</v>
      </c>
    </row>
    <row r="708" spans="2:15">
      <c r="B708" s="174" t="s">
        <v>1809</v>
      </c>
      <c r="C708" s="175" t="s">
        <v>263</v>
      </c>
      <c r="D708" s="176" t="s">
        <v>264</v>
      </c>
      <c r="E708" s="177" t="s">
        <v>1808</v>
      </c>
      <c r="F708" s="175">
        <f t="shared" si="21"/>
        <v>6</v>
      </c>
      <c r="G708" s="175" t="str">
        <f t="shared" si="22"/>
        <v>Waco</v>
      </c>
      <c r="H708" s="175"/>
      <c r="I708" s="178" t="s">
        <v>2160</v>
      </c>
      <c r="J708" s="27" t="s">
        <v>264</v>
      </c>
      <c r="K708" s="27">
        <v>2816</v>
      </c>
      <c r="L708" s="179">
        <v>2179</v>
      </c>
      <c r="M708" s="180" t="s">
        <v>2161</v>
      </c>
      <c r="N708" s="181" t="s">
        <v>264</v>
      </c>
      <c r="O708" s="182" t="s">
        <v>2162</v>
      </c>
    </row>
    <row r="709" spans="2:15">
      <c r="B709" s="174" t="s">
        <v>1306</v>
      </c>
      <c r="C709" s="175" t="s">
        <v>263</v>
      </c>
      <c r="D709" s="176" t="s">
        <v>264</v>
      </c>
      <c r="E709" s="177" t="s">
        <v>1307</v>
      </c>
      <c r="F709" s="175">
        <f t="shared" si="21"/>
        <v>11</v>
      </c>
      <c r="G709" s="175" t="str">
        <f t="shared" si="22"/>
        <v>Brownwood</v>
      </c>
      <c r="H709" s="175"/>
      <c r="I709" s="178" t="s">
        <v>266</v>
      </c>
      <c r="J709" s="27" t="s">
        <v>264</v>
      </c>
      <c r="K709" s="27">
        <v>2451</v>
      </c>
      <c r="L709" s="179">
        <v>2584</v>
      </c>
      <c r="M709" s="180" t="s">
        <v>267</v>
      </c>
      <c r="N709" s="181" t="s">
        <v>264</v>
      </c>
      <c r="O709" s="182" t="s">
        <v>268</v>
      </c>
    </row>
    <row r="710" spans="2:15">
      <c r="B710" s="174" t="s">
        <v>371</v>
      </c>
      <c r="C710" s="175" t="s">
        <v>263</v>
      </c>
      <c r="D710" s="176" t="s">
        <v>264</v>
      </c>
      <c r="E710" s="177" t="s">
        <v>372</v>
      </c>
      <c r="F710" s="175">
        <f t="shared" si="21"/>
        <v>12</v>
      </c>
      <c r="G710" s="175" t="str">
        <f t="shared" si="22"/>
        <v>San Angelo</v>
      </c>
      <c r="H710" s="175"/>
      <c r="I710" s="178" t="s">
        <v>373</v>
      </c>
      <c r="J710" s="27" t="s">
        <v>264</v>
      </c>
      <c r="K710" s="27">
        <v>2400</v>
      </c>
      <c r="L710" s="179">
        <v>2414</v>
      </c>
      <c r="M710" s="180" t="s">
        <v>374</v>
      </c>
      <c r="N710" s="181" t="s">
        <v>264</v>
      </c>
      <c r="O710" s="182" t="s">
        <v>375</v>
      </c>
    </row>
    <row r="711" spans="2:15">
      <c r="B711" s="174" t="s">
        <v>807</v>
      </c>
      <c r="C711" s="175" t="s">
        <v>263</v>
      </c>
      <c r="D711" s="176" t="s">
        <v>264</v>
      </c>
      <c r="E711" s="177" t="s">
        <v>808</v>
      </c>
      <c r="F711" s="175">
        <f t="shared" si="21"/>
        <v>9</v>
      </c>
      <c r="G711" s="175" t="str">
        <f t="shared" si="22"/>
        <v>Houston</v>
      </c>
      <c r="H711" s="175"/>
      <c r="I711" s="178" t="s">
        <v>1654</v>
      </c>
      <c r="J711" s="27" t="s">
        <v>264</v>
      </c>
      <c r="K711" s="27">
        <v>2700</v>
      </c>
      <c r="L711" s="179">
        <v>1599</v>
      </c>
      <c r="M711" s="180" t="s">
        <v>1613</v>
      </c>
      <c r="N711" s="181" t="s">
        <v>264</v>
      </c>
      <c r="O711" s="182" t="s">
        <v>1614</v>
      </c>
    </row>
    <row r="712" spans="2:15">
      <c r="B712" s="174" t="s">
        <v>809</v>
      </c>
      <c r="C712" s="175" t="s">
        <v>263</v>
      </c>
      <c r="D712" s="176" t="s">
        <v>264</v>
      </c>
      <c r="E712" s="177" t="s">
        <v>808</v>
      </c>
      <c r="F712" s="175">
        <f t="shared" si="21"/>
        <v>9</v>
      </c>
      <c r="G712" s="175" t="str">
        <f t="shared" si="22"/>
        <v>Houston</v>
      </c>
      <c r="H712" s="175"/>
      <c r="I712" s="178" t="s">
        <v>1654</v>
      </c>
      <c r="J712" s="27" t="s">
        <v>264</v>
      </c>
      <c r="K712" s="27">
        <v>2700</v>
      </c>
      <c r="L712" s="179">
        <v>1599</v>
      </c>
      <c r="M712" s="180" t="s">
        <v>1613</v>
      </c>
      <c r="N712" s="181" t="s">
        <v>264</v>
      </c>
      <c r="O712" s="182" t="s">
        <v>1614</v>
      </c>
    </row>
    <row r="713" spans="2:15">
      <c r="B713" s="174" t="s">
        <v>810</v>
      </c>
      <c r="C713" s="175" t="s">
        <v>263</v>
      </c>
      <c r="D713" s="176" t="s">
        <v>264</v>
      </c>
      <c r="E713" s="177" t="s">
        <v>808</v>
      </c>
      <c r="F713" s="175">
        <f t="shared" si="21"/>
        <v>9</v>
      </c>
      <c r="G713" s="175" t="str">
        <f t="shared" si="22"/>
        <v>Houston</v>
      </c>
      <c r="H713" s="175"/>
      <c r="I713" s="178" t="s">
        <v>1654</v>
      </c>
      <c r="J713" s="27" t="s">
        <v>264</v>
      </c>
      <c r="K713" s="27">
        <v>2700</v>
      </c>
      <c r="L713" s="179">
        <v>1599</v>
      </c>
      <c r="M713" s="180" t="s">
        <v>1613</v>
      </c>
      <c r="N713" s="181" t="s">
        <v>264</v>
      </c>
      <c r="O713" s="182" t="s">
        <v>1614</v>
      </c>
    </row>
    <row r="714" spans="2:15">
      <c r="B714" s="174" t="s">
        <v>1652</v>
      </c>
      <c r="C714" s="175" t="s">
        <v>263</v>
      </c>
      <c r="D714" s="176" t="s">
        <v>264</v>
      </c>
      <c r="E714" s="177" t="s">
        <v>1653</v>
      </c>
      <c r="F714" s="175">
        <f t="shared" ref="F714:F777" si="23">LEN(E714)</f>
        <v>8</v>
      </c>
      <c r="G714" s="175" t="str">
        <f t="shared" ref="G714:G777" si="24">MID(E714,2,F714-2)</f>
        <v>Conroe</v>
      </c>
      <c r="H714" s="175"/>
      <c r="I714" s="178" t="s">
        <v>1654</v>
      </c>
      <c r="J714" s="27" t="s">
        <v>264</v>
      </c>
      <c r="K714" s="27">
        <v>2700</v>
      </c>
      <c r="L714" s="179">
        <v>1599</v>
      </c>
      <c r="M714" s="180" t="s">
        <v>1613</v>
      </c>
      <c r="N714" s="181" t="s">
        <v>264</v>
      </c>
      <c r="O714" s="182" t="s">
        <v>1614</v>
      </c>
    </row>
    <row r="715" spans="2:15">
      <c r="B715" s="174" t="s">
        <v>811</v>
      </c>
      <c r="C715" s="175" t="s">
        <v>263</v>
      </c>
      <c r="D715" s="176" t="s">
        <v>264</v>
      </c>
      <c r="E715" s="177" t="s">
        <v>808</v>
      </c>
      <c r="F715" s="175">
        <f t="shared" si="23"/>
        <v>9</v>
      </c>
      <c r="G715" s="175" t="str">
        <f t="shared" si="24"/>
        <v>Houston</v>
      </c>
      <c r="H715" s="175"/>
      <c r="I715" s="178" t="s">
        <v>1654</v>
      </c>
      <c r="J715" s="27" t="s">
        <v>264</v>
      </c>
      <c r="K715" s="27">
        <v>2700</v>
      </c>
      <c r="L715" s="179">
        <v>1599</v>
      </c>
      <c r="M715" s="180" t="s">
        <v>1613</v>
      </c>
      <c r="N715" s="181" t="s">
        <v>264</v>
      </c>
      <c r="O715" s="182" t="s">
        <v>1614</v>
      </c>
    </row>
    <row r="716" spans="2:15">
      <c r="B716" s="174" t="s">
        <v>2005</v>
      </c>
      <c r="C716" s="175" t="s">
        <v>263</v>
      </c>
      <c r="D716" s="176" t="s">
        <v>264</v>
      </c>
      <c r="E716" s="177" t="s">
        <v>2006</v>
      </c>
      <c r="F716" s="175">
        <f t="shared" si="23"/>
        <v>11</v>
      </c>
      <c r="G716" s="175" t="str">
        <f t="shared" si="24"/>
        <v>Galveston</v>
      </c>
      <c r="H716" s="175"/>
      <c r="I716" s="178" t="s">
        <v>2007</v>
      </c>
      <c r="J716" s="27" t="s">
        <v>264</v>
      </c>
      <c r="K716" s="27">
        <v>2994</v>
      </c>
      <c r="L716" s="179">
        <v>1263</v>
      </c>
      <c r="M716" s="180" t="s">
        <v>1613</v>
      </c>
      <c r="N716" s="181" t="s">
        <v>264</v>
      </c>
      <c r="O716" s="182" t="s">
        <v>1614</v>
      </c>
    </row>
    <row r="717" spans="2:15">
      <c r="B717" s="174" t="s">
        <v>1610</v>
      </c>
      <c r="C717" s="175" t="s">
        <v>263</v>
      </c>
      <c r="D717" s="176" t="s">
        <v>264</v>
      </c>
      <c r="E717" s="177" t="s">
        <v>1611</v>
      </c>
      <c r="F717" s="175">
        <f t="shared" si="23"/>
        <v>10</v>
      </c>
      <c r="G717" s="175" t="str">
        <f t="shared" si="24"/>
        <v>Beaumont</v>
      </c>
      <c r="H717" s="175"/>
      <c r="I717" s="178" t="s">
        <v>1612</v>
      </c>
      <c r="J717" s="27" t="s">
        <v>264</v>
      </c>
      <c r="K717" s="27">
        <v>2764</v>
      </c>
      <c r="L717" s="179">
        <v>1499</v>
      </c>
      <c r="M717" s="180" t="s">
        <v>1613</v>
      </c>
      <c r="N717" s="181" t="s">
        <v>264</v>
      </c>
      <c r="O717" s="182" t="s">
        <v>1614</v>
      </c>
    </row>
    <row r="718" spans="2:15">
      <c r="B718" s="174" t="s">
        <v>1615</v>
      </c>
      <c r="C718" s="175" t="s">
        <v>263</v>
      </c>
      <c r="D718" s="176" t="s">
        <v>264</v>
      </c>
      <c r="E718" s="177" t="s">
        <v>1611</v>
      </c>
      <c r="F718" s="175">
        <f t="shared" si="23"/>
        <v>10</v>
      </c>
      <c r="G718" s="175" t="str">
        <f t="shared" si="24"/>
        <v>Beaumont</v>
      </c>
      <c r="H718" s="175"/>
      <c r="I718" s="178" t="s">
        <v>1612</v>
      </c>
      <c r="J718" s="27" t="s">
        <v>264</v>
      </c>
      <c r="K718" s="27">
        <v>2764</v>
      </c>
      <c r="L718" s="179">
        <v>1499</v>
      </c>
      <c r="M718" s="180" t="s">
        <v>1613</v>
      </c>
      <c r="N718" s="181" t="s">
        <v>264</v>
      </c>
      <c r="O718" s="182" t="s">
        <v>1614</v>
      </c>
    </row>
    <row r="719" spans="2:15">
      <c r="B719" s="174" t="s">
        <v>1308</v>
      </c>
      <c r="C719" s="175" t="s">
        <v>263</v>
      </c>
      <c r="D719" s="176" t="s">
        <v>264</v>
      </c>
      <c r="E719" s="177" t="s">
        <v>1309</v>
      </c>
      <c r="F719" s="175">
        <f t="shared" si="23"/>
        <v>7</v>
      </c>
      <c r="G719" s="175" t="str">
        <f t="shared" si="24"/>
        <v>Bryan</v>
      </c>
      <c r="H719" s="175"/>
      <c r="I719" s="178" t="s">
        <v>1572</v>
      </c>
      <c r="J719" s="27" t="s">
        <v>264</v>
      </c>
      <c r="K719" s="27">
        <v>3016</v>
      </c>
      <c r="L719" s="179">
        <v>1688</v>
      </c>
      <c r="M719" s="180" t="s">
        <v>1569</v>
      </c>
      <c r="N719" s="181" t="s">
        <v>264</v>
      </c>
      <c r="O719" s="182" t="s">
        <v>1570</v>
      </c>
    </row>
    <row r="720" spans="2:15">
      <c r="B720" s="174" t="s">
        <v>1803</v>
      </c>
      <c r="C720" s="175" t="s">
        <v>263</v>
      </c>
      <c r="D720" s="176" t="s">
        <v>264</v>
      </c>
      <c r="E720" s="177" t="s">
        <v>1804</v>
      </c>
      <c r="F720" s="175">
        <f t="shared" si="23"/>
        <v>10</v>
      </c>
      <c r="G720" s="175" t="str">
        <f t="shared" si="24"/>
        <v>Victoria</v>
      </c>
      <c r="H720" s="175"/>
      <c r="I720" s="178" t="s">
        <v>973</v>
      </c>
      <c r="J720" s="27" t="s">
        <v>264</v>
      </c>
      <c r="K720" s="27">
        <v>3118</v>
      </c>
      <c r="L720" s="179">
        <v>1296</v>
      </c>
      <c r="M720" s="180" t="s">
        <v>1662</v>
      </c>
      <c r="N720" s="181" t="s">
        <v>264</v>
      </c>
      <c r="O720" s="182" t="s">
        <v>1663</v>
      </c>
    </row>
    <row r="721" spans="2:15">
      <c r="B721" s="174" t="s">
        <v>971</v>
      </c>
      <c r="C721" s="175" t="s">
        <v>263</v>
      </c>
      <c r="D721" s="176" t="s">
        <v>264</v>
      </c>
      <c r="E721" s="177" t="s">
        <v>972</v>
      </c>
      <c r="F721" s="175">
        <f t="shared" si="23"/>
        <v>17</v>
      </c>
      <c r="G721" s="175" t="str">
        <f t="shared" si="24"/>
        <v>Laredo/Pearsall</v>
      </c>
      <c r="H721" s="175"/>
      <c r="I721" s="178" t="s">
        <v>973</v>
      </c>
      <c r="J721" s="27" t="s">
        <v>264</v>
      </c>
      <c r="K721" s="27">
        <v>3118</v>
      </c>
      <c r="L721" s="179">
        <v>1296</v>
      </c>
      <c r="M721" s="180" t="s">
        <v>974</v>
      </c>
      <c r="N721" s="181" t="s">
        <v>264</v>
      </c>
      <c r="O721" s="182" t="s">
        <v>975</v>
      </c>
    </row>
    <row r="722" spans="2:15">
      <c r="B722" s="174" t="s">
        <v>376</v>
      </c>
      <c r="C722" s="175" t="s">
        <v>263</v>
      </c>
      <c r="D722" s="176" t="s">
        <v>264</v>
      </c>
      <c r="E722" s="177" t="s">
        <v>377</v>
      </c>
      <c r="F722" s="175">
        <f t="shared" si="23"/>
        <v>13</v>
      </c>
      <c r="G722" s="175" t="str">
        <f t="shared" si="24"/>
        <v>San Antonio</v>
      </c>
      <c r="H722" s="175"/>
      <c r="I722" s="178" t="s">
        <v>1572</v>
      </c>
      <c r="J722" s="27" t="s">
        <v>264</v>
      </c>
      <c r="K722" s="27">
        <v>3016</v>
      </c>
      <c r="L722" s="179">
        <v>1688</v>
      </c>
      <c r="M722" s="180" t="s">
        <v>974</v>
      </c>
      <c r="N722" s="181" t="s">
        <v>264</v>
      </c>
      <c r="O722" s="182" t="s">
        <v>975</v>
      </c>
    </row>
    <row r="723" spans="2:15">
      <c r="B723" s="174" t="s">
        <v>378</v>
      </c>
      <c r="C723" s="175" t="s">
        <v>263</v>
      </c>
      <c r="D723" s="176" t="s">
        <v>264</v>
      </c>
      <c r="E723" s="177" t="s">
        <v>377</v>
      </c>
      <c r="F723" s="175">
        <f t="shared" si="23"/>
        <v>13</v>
      </c>
      <c r="G723" s="175" t="str">
        <f t="shared" si="24"/>
        <v>San Antonio</v>
      </c>
      <c r="H723" s="175"/>
      <c r="I723" s="178" t="s">
        <v>1568</v>
      </c>
      <c r="J723" s="27" t="s">
        <v>264</v>
      </c>
      <c r="K723" s="27">
        <v>2996</v>
      </c>
      <c r="L723" s="179">
        <v>1644</v>
      </c>
      <c r="M723" s="180" t="s">
        <v>974</v>
      </c>
      <c r="N723" s="181" t="s">
        <v>264</v>
      </c>
      <c r="O723" s="182" t="s">
        <v>975</v>
      </c>
    </row>
    <row r="724" spans="2:15">
      <c r="B724" s="174" t="s">
        <v>1659</v>
      </c>
      <c r="C724" s="175" t="s">
        <v>263</v>
      </c>
      <c r="D724" s="176" t="s">
        <v>264</v>
      </c>
      <c r="E724" s="177" t="s">
        <v>1660</v>
      </c>
      <c r="F724" s="175">
        <f t="shared" si="23"/>
        <v>16</v>
      </c>
      <c r="G724" s="175" t="str">
        <f t="shared" si="24"/>
        <v>Corpus Christi</v>
      </c>
      <c r="H724" s="175"/>
      <c r="I724" s="178" t="s">
        <v>1661</v>
      </c>
      <c r="J724" s="27" t="s">
        <v>264</v>
      </c>
      <c r="K724" s="27">
        <v>3439</v>
      </c>
      <c r="L724" s="179">
        <v>1016</v>
      </c>
      <c r="M724" s="180" t="s">
        <v>1662</v>
      </c>
      <c r="N724" s="181" t="s">
        <v>264</v>
      </c>
      <c r="O724" s="182" t="s">
        <v>1663</v>
      </c>
    </row>
    <row r="725" spans="2:15">
      <c r="B725" s="174" t="s">
        <v>1664</v>
      </c>
      <c r="C725" s="175" t="s">
        <v>263</v>
      </c>
      <c r="D725" s="176" t="s">
        <v>264</v>
      </c>
      <c r="E725" s="177" t="s">
        <v>1660</v>
      </c>
      <c r="F725" s="175">
        <f t="shared" si="23"/>
        <v>16</v>
      </c>
      <c r="G725" s="175" t="str">
        <f t="shared" si="24"/>
        <v>Corpus Christi</v>
      </c>
      <c r="H725" s="175"/>
      <c r="I725" s="178" t="s">
        <v>1661</v>
      </c>
      <c r="J725" s="27" t="s">
        <v>264</v>
      </c>
      <c r="K725" s="27">
        <v>3439</v>
      </c>
      <c r="L725" s="179">
        <v>1016</v>
      </c>
      <c r="M725" s="180" t="s">
        <v>1662</v>
      </c>
      <c r="N725" s="181" t="s">
        <v>264</v>
      </c>
      <c r="O725" s="182" t="s">
        <v>1663</v>
      </c>
    </row>
    <row r="726" spans="2:15">
      <c r="B726" s="174" t="s">
        <v>1301</v>
      </c>
      <c r="C726" s="175" t="s">
        <v>263</v>
      </c>
      <c r="D726" s="176" t="s">
        <v>264</v>
      </c>
      <c r="E726" s="177" t="s">
        <v>1302</v>
      </c>
      <c r="F726" s="175">
        <f t="shared" si="23"/>
        <v>13</v>
      </c>
      <c r="G726" s="175" t="str">
        <f t="shared" si="24"/>
        <v>Brownsville</v>
      </c>
      <c r="H726" s="175"/>
      <c r="I726" s="178" t="s">
        <v>1303</v>
      </c>
      <c r="J726" s="27" t="s">
        <v>264</v>
      </c>
      <c r="K726" s="27">
        <v>3888</v>
      </c>
      <c r="L726" s="179">
        <v>635</v>
      </c>
      <c r="M726" s="180" t="s">
        <v>1304</v>
      </c>
      <c r="N726" s="181" t="s">
        <v>264</v>
      </c>
      <c r="O726" s="182" t="s">
        <v>1305</v>
      </c>
    </row>
    <row r="727" spans="2:15">
      <c r="B727" s="174" t="s">
        <v>1566</v>
      </c>
      <c r="C727" s="175" t="s">
        <v>263</v>
      </c>
      <c r="D727" s="176" t="s">
        <v>264</v>
      </c>
      <c r="E727" s="177" t="s">
        <v>1567</v>
      </c>
      <c r="F727" s="175">
        <f t="shared" si="23"/>
        <v>8</v>
      </c>
      <c r="G727" s="175" t="str">
        <f t="shared" si="24"/>
        <v>Austin</v>
      </c>
      <c r="H727" s="175"/>
      <c r="I727" s="178" t="s">
        <v>1568</v>
      </c>
      <c r="J727" s="27" t="s">
        <v>264</v>
      </c>
      <c r="K727" s="27">
        <v>2996</v>
      </c>
      <c r="L727" s="179">
        <v>1644</v>
      </c>
      <c r="M727" s="180" t="s">
        <v>1569</v>
      </c>
      <c r="N727" s="181" t="s">
        <v>264</v>
      </c>
      <c r="O727" s="182" t="s">
        <v>1570</v>
      </c>
    </row>
    <row r="728" spans="2:15">
      <c r="B728" s="174" t="s">
        <v>1571</v>
      </c>
      <c r="C728" s="175" t="s">
        <v>263</v>
      </c>
      <c r="D728" s="176" t="s">
        <v>264</v>
      </c>
      <c r="E728" s="177" t="s">
        <v>1567</v>
      </c>
      <c r="F728" s="175">
        <f t="shared" si="23"/>
        <v>8</v>
      </c>
      <c r="G728" s="175" t="str">
        <f t="shared" si="24"/>
        <v>Austin</v>
      </c>
      <c r="H728" s="175"/>
      <c r="I728" s="178" t="s">
        <v>1572</v>
      </c>
      <c r="J728" s="27" t="s">
        <v>264</v>
      </c>
      <c r="K728" s="27">
        <v>3016</v>
      </c>
      <c r="L728" s="179">
        <v>1688</v>
      </c>
      <c r="M728" s="180" t="s">
        <v>1569</v>
      </c>
      <c r="N728" s="181" t="s">
        <v>264</v>
      </c>
      <c r="O728" s="182" t="s">
        <v>1570</v>
      </c>
    </row>
    <row r="729" spans="2:15">
      <c r="B729" s="174" t="s">
        <v>1788</v>
      </c>
      <c r="C729" s="175" t="s">
        <v>263</v>
      </c>
      <c r="D729" s="176" t="s">
        <v>264</v>
      </c>
      <c r="E729" s="177" t="s">
        <v>1789</v>
      </c>
      <c r="F729" s="175">
        <f t="shared" si="23"/>
        <v>8</v>
      </c>
      <c r="G729" s="175" t="str">
        <f t="shared" si="24"/>
        <v>Uvalde</v>
      </c>
      <c r="H729" s="175"/>
      <c r="I729" s="178" t="s">
        <v>1790</v>
      </c>
      <c r="J729" s="27" t="s">
        <v>264</v>
      </c>
      <c r="K729" s="27">
        <v>3142</v>
      </c>
      <c r="L729" s="179">
        <v>1506</v>
      </c>
      <c r="M729" s="180" t="s">
        <v>974</v>
      </c>
      <c r="N729" s="181" t="s">
        <v>264</v>
      </c>
      <c r="O729" s="182" t="s">
        <v>975</v>
      </c>
    </row>
    <row r="730" spans="2:15">
      <c r="B730" s="174" t="s">
        <v>2015</v>
      </c>
      <c r="C730" s="175" t="s">
        <v>263</v>
      </c>
      <c r="D730" s="176" t="s">
        <v>264</v>
      </c>
      <c r="E730" s="177" t="s">
        <v>2016</v>
      </c>
      <c r="F730" s="175">
        <f t="shared" si="23"/>
        <v>10</v>
      </c>
      <c r="G730" s="175" t="str">
        <f t="shared" si="24"/>
        <v>Giddings</v>
      </c>
      <c r="H730" s="175"/>
      <c r="I730" s="178" t="s">
        <v>1572</v>
      </c>
      <c r="J730" s="27" t="s">
        <v>264</v>
      </c>
      <c r="K730" s="27">
        <v>3016</v>
      </c>
      <c r="L730" s="179">
        <v>1688</v>
      </c>
      <c r="M730" s="180" t="s">
        <v>1569</v>
      </c>
      <c r="N730" s="181" t="s">
        <v>264</v>
      </c>
      <c r="O730" s="182" t="s">
        <v>1570</v>
      </c>
    </row>
    <row r="731" spans="2:15">
      <c r="B731" s="174" t="s">
        <v>277</v>
      </c>
      <c r="C731" s="175" t="s">
        <v>263</v>
      </c>
      <c r="D731" s="176" t="s">
        <v>264</v>
      </c>
      <c r="E731" s="177" t="s">
        <v>278</v>
      </c>
      <c r="F731" s="175">
        <f t="shared" si="23"/>
        <v>8</v>
      </c>
      <c r="G731" s="175" t="str">
        <f t="shared" si="24"/>
        <v>Adrian</v>
      </c>
      <c r="H731" s="175"/>
      <c r="I731" s="178" t="s">
        <v>279</v>
      </c>
      <c r="J731" s="27" t="s">
        <v>264</v>
      </c>
      <c r="K731" s="27">
        <v>1354</v>
      </c>
      <c r="L731" s="179">
        <v>4258</v>
      </c>
      <c r="M731" s="180" t="s">
        <v>280</v>
      </c>
      <c r="N731" s="181" t="s">
        <v>264</v>
      </c>
      <c r="O731" s="182" t="s">
        <v>281</v>
      </c>
    </row>
    <row r="732" spans="2:15">
      <c r="B732" s="174" t="s">
        <v>467</v>
      </c>
      <c r="C732" s="175" t="s">
        <v>263</v>
      </c>
      <c r="D732" s="176" t="s">
        <v>264</v>
      </c>
      <c r="E732" s="177" t="s">
        <v>468</v>
      </c>
      <c r="F732" s="175">
        <f t="shared" si="23"/>
        <v>10</v>
      </c>
      <c r="G732" s="175" t="str">
        <f t="shared" si="24"/>
        <v>Amarillo</v>
      </c>
      <c r="H732" s="175"/>
      <c r="I732" s="178" t="s">
        <v>279</v>
      </c>
      <c r="J732" s="27" t="s">
        <v>264</v>
      </c>
      <c r="K732" s="27">
        <v>1354</v>
      </c>
      <c r="L732" s="179">
        <v>4258</v>
      </c>
      <c r="M732" s="180" t="s">
        <v>280</v>
      </c>
      <c r="N732" s="181" t="s">
        <v>264</v>
      </c>
      <c r="O732" s="182" t="s">
        <v>281</v>
      </c>
    </row>
    <row r="733" spans="2:15">
      <c r="B733" s="174" t="s">
        <v>2374</v>
      </c>
      <c r="C733" s="175" t="s">
        <v>263</v>
      </c>
      <c r="D733" s="176" t="s">
        <v>264</v>
      </c>
      <c r="E733" s="177" t="s">
        <v>2375</v>
      </c>
      <c r="F733" s="175">
        <f t="shared" si="23"/>
        <v>11</v>
      </c>
      <c r="G733" s="175" t="str">
        <f t="shared" si="24"/>
        <v>Childress</v>
      </c>
      <c r="H733" s="175"/>
      <c r="I733" s="178" t="s">
        <v>2376</v>
      </c>
      <c r="J733" s="27" t="s">
        <v>264</v>
      </c>
      <c r="K733" s="27">
        <v>1689</v>
      </c>
      <c r="L733" s="179">
        <v>3431</v>
      </c>
      <c r="M733" s="180" t="s">
        <v>2377</v>
      </c>
      <c r="N733" s="181" t="s">
        <v>264</v>
      </c>
      <c r="O733" s="182" t="s">
        <v>2378</v>
      </c>
    </row>
    <row r="734" spans="2:15">
      <c r="B734" s="174" t="s">
        <v>2155</v>
      </c>
      <c r="C734" s="175" t="s">
        <v>263</v>
      </c>
      <c r="D734" s="176" t="s">
        <v>264</v>
      </c>
      <c r="E734" s="177" t="s">
        <v>2156</v>
      </c>
      <c r="F734" s="175">
        <f t="shared" si="23"/>
        <v>9</v>
      </c>
      <c r="G734" s="175" t="str">
        <f t="shared" si="24"/>
        <v>Lubbock</v>
      </c>
      <c r="H734" s="175"/>
      <c r="I734" s="178" t="s">
        <v>2376</v>
      </c>
      <c r="J734" s="27" t="s">
        <v>264</v>
      </c>
      <c r="K734" s="27">
        <v>1689</v>
      </c>
      <c r="L734" s="179">
        <v>3431</v>
      </c>
      <c r="M734" s="180" t="s">
        <v>2377</v>
      </c>
      <c r="N734" s="181" t="s">
        <v>264</v>
      </c>
      <c r="O734" s="182" t="s">
        <v>2378</v>
      </c>
    </row>
    <row r="735" spans="2:15">
      <c r="B735" s="174" t="s">
        <v>2157</v>
      </c>
      <c r="C735" s="175" t="s">
        <v>263</v>
      </c>
      <c r="D735" s="176" t="s">
        <v>264</v>
      </c>
      <c r="E735" s="177" t="s">
        <v>2156</v>
      </c>
      <c r="F735" s="175">
        <f t="shared" si="23"/>
        <v>9</v>
      </c>
      <c r="G735" s="175" t="str">
        <f t="shared" si="24"/>
        <v>Lubbock</v>
      </c>
      <c r="H735" s="175"/>
      <c r="I735" s="178" t="s">
        <v>2376</v>
      </c>
      <c r="J735" s="27" t="s">
        <v>264</v>
      </c>
      <c r="K735" s="27">
        <v>1689</v>
      </c>
      <c r="L735" s="179">
        <v>3431</v>
      </c>
      <c r="M735" s="180" t="s">
        <v>2377</v>
      </c>
      <c r="N735" s="181" t="s">
        <v>264</v>
      </c>
      <c r="O735" s="182" t="s">
        <v>2378</v>
      </c>
    </row>
    <row r="736" spans="2:15">
      <c r="B736" s="174" t="s">
        <v>262</v>
      </c>
      <c r="C736" s="175" t="s">
        <v>263</v>
      </c>
      <c r="D736" s="176" t="s">
        <v>264</v>
      </c>
      <c r="E736" s="177" t="s">
        <v>265</v>
      </c>
      <c r="F736" s="175">
        <f t="shared" si="23"/>
        <v>9</v>
      </c>
      <c r="G736" s="175" t="str">
        <f t="shared" si="24"/>
        <v>Abilene</v>
      </c>
      <c r="H736" s="175"/>
      <c r="I736" s="178" t="s">
        <v>266</v>
      </c>
      <c r="J736" s="27" t="s">
        <v>264</v>
      </c>
      <c r="K736" s="27">
        <v>2451</v>
      </c>
      <c r="L736" s="179">
        <v>2584</v>
      </c>
      <c r="M736" s="180" t="s">
        <v>267</v>
      </c>
      <c r="N736" s="181" t="s">
        <v>264</v>
      </c>
      <c r="O736" s="182" t="s">
        <v>268</v>
      </c>
    </row>
    <row r="737" spans="2:15">
      <c r="B737" s="174" t="s">
        <v>269</v>
      </c>
      <c r="C737" s="175" t="s">
        <v>263</v>
      </c>
      <c r="D737" s="176" t="s">
        <v>264</v>
      </c>
      <c r="E737" s="177" t="s">
        <v>265</v>
      </c>
      <c r="F737" s="175">
        <f t="shared" si="23"/>
        <v>9</v>
      </c>
      <c r="G737" s="175" t="str">
        <f t="shared" si="24"/>
        <v>Abilene</v>
      </c>
      <c r="H737" s="175"/>
      <c r="I737" s="178" t="s">
        <v>266</v>
      </c>
      <c r="J737" s="27" t="s">
        <v>264</v>
      </c>
      <c r="K737" s="27">
        <v>2451</v>
      </c>
      <c r="L737" s="179">
        <v>2584</v>
      </c>
      <c r="M737" s="180" t="s">
        <v>267</v>
      </c>
      <c r="N737" s="181" t="s">
        <v>264</v>
      </c>
      <c r="O737" s="182" t="s">
        <v>268</v>
      </c>
    </row>
    <row r="738" spans="2:15">
      <c r="B738" s="174" t="s">
        <v>164</v>
      </c>
      <c r="C738" s="175" t="s">
        <v>263</v>
      </c>
      <c r="D738" s="176" t="s">
        <v>264</v>
      </c>
      <c r="E738" s="177" t="s">
        <v>165</v>
      </c>
      <c r="F738" s="175">
        <f t="shared" si="23"/>
        <v>9</v>
      </c>
      <c r="G738" s="175" t="str">
        <f t="shared" si="24"/>
        <v>Midland</v>
      </c>
      <c r="H738" s="175"/>
      <c r="I738" s="178" t="s">
        <v>62</v>
      </c>
      <c r="J738" s="27" t="s">
        <v>264</v>
      </c>
      <c r="K738" s="27">
        <v>2094</v>
      </c>
      <c r="L738" s="179">
        <v>2708</v>
      </c>
      <c r="M738" s="180" t="s">
        <v>166</v>
      </c>
      <c r="N738" s="181" t="s">
        <v>264</v>
      </c>
      <c r="O738" s="182" t="s">
        <v>167</v>
      </c>
    </row>
    <row r="739" spans="2:15">
      <c r="B739" s="174" t="s">
        <v>56</v>
      </c>
      <c r="C739" s="175" t="s">
        <v>263</v>
      </c>
      <c r="D739" s="176" t="s">
        <v>264</v>
      </c>
      <c r="E739" s="177" t="s">
        <v>57</v>
      </c>
      <c r="F739" s="175">
        <f t="shared" si="23"/>
        <v>9</v>
      </c>
      <c r="G739" s="175" t="str">
        <f t="shared" si="24"/>
        <v>El Paso</v>
      </c>
      <c r="H739" s="175"/>
      <c r="I739" s="178" t="s">
        <v>58</v>
      </c>
      <c r="J739" s="27" t="s">
        <v>264</v>
      </c>
      <c r="K739" s="27">
        <v>2163</v>
      </c>
      <c r="L739" s="179">
        <v>2751</v>
      </c>
      <c r="M739" s="180" t="s">
        <v>59</v>
      </c>
      <c r="N739" s="181" t="s">
        <v>264</v>
      </c>
      <c r="O739" s="182" t="s">
        <v>60</v>
      </c>
    </row>
    <row r="740" spans="2:15">
      <c r="B740" s="174" t="s">
        <v>61</v>
      </c>
      <c r="C740" s="175" t="s">
        <v>263</v>
      </c>
      <c r="D740" s="176" t="s">
        <v>264</v>
      </c>
      <c r="E740" s="177" t="s">
        <v>57</v>
      </c>
      <c r="F740" s="175">
        <f t="shared" si="23"/>
        <v>9</v>
      </c>
      <c r="G740" s="175" t="str">
        <f t="shared" si="24"/>
        <v>El Paso</v>
      </c>
      <c r="H740" s="175"/>
      <c r="I740" s="178" t="s">
        <v>62</v>
      </c>
      <c r="J740" s="27" t="s">
        <v>264</v>
      </c>
      <c r="K740" s="27">
        <v>2094</v>
      </c>
      <c r="L740" s="179">
        <v>2708</v>
      </c>
      <c r="M740" s="180" t="s">
        <v>59</v>
      </c>
      <c r="N740" s="181" t="s">
        <v>264</v>
      </c>
      <c r="O740" s="182" t="s">
        <v>60</v>
      </c>
    </row>
    <row r="741" spans="2:15">
      <c r="B741" s="174" t="s">
        <v>1705</v>
      </c>
      <c r="C741" s="175" t="s">
        <v>402</v>
      </c>
      <c r="D741" s="176" t="s">
        <v>403</v>
      </c>
      <c r="E741" s="177" t="s">
        <v>1706</v>
      </c>
      <c r="F741" s="175">
        <f t="shared" si="23"/>
        <v>8</v>
      </c>
      <c r="G741" s="175" t="str">
        <f t="shared" si="24"/>
        <v>Denver</v>
      </c>
      <c r="H741" s="175"/>
      <c r="I741" s="178" t="s">
        <v>657</v>
      </c>
      <c r="J741" s="27" t="s">
        <v>403</v>
      </c>
      <c r="K741" s="27">
        <v>679</v>
      </c>
      <c r="L741" s="179">
        <v>6020</v>
      </c>
      <c r="M741" s="180" t="s">
        <v>658</v>
      </c>
      <c r="N741" s="181" t="s">
        <v>403</v>
      </c>
      <c r="O741" s="182" t="s">
        <v>659</v>
      </c>
    </row>
    <row r="742" spans="2:15">
      <c r="B742" s="174" t="s">
        <v>1707</v>
      </c>
      <c r="C742" s="175" t="s">
        <v>402</v>
      </c>
      <c r="D742" s="176" t="s">
        <v>403</v>
      </c>
      <c r="E742" s="177" t="s">
        <v>1706</v>
      </c>
      <c r="F742" s="175">
        <f t="shared" si="23"/>
        <v>8</v>
      </c>
      <c r="G742" s="175" t="str">
        <f t="shared" si="24"/>
        <v>Denver</v>
      </c>
      <c r="H742" s="175"/>
      <c r="I742" s="178" t="s">
        <v>657</v>
      </c>
      <c r="J742" s="27" t="s">
        <v>403</v>
      </c>
      <c r="K742" s="27">
        <v>679</v>
      </c>
      <c r="L742" s="179">
        <v>6020</v>
      </c>
      <c r="M742" s="180" t="s">
        <v>658</v>
      </c>
      <c r="N742" s="181" t="s">
        <v>403</v>
      </c>
      <c r="O742" s="182" t="s">
        <v>659</v>
      </c>
    </row>
    <row r="743" spans="2:15">
      <c r="B743" s="174" t="s">
        <v>1708</v>
      </c>
      <c r="C743" s="175" t="s">
        <v>402</v>
      </c>
      <c r="D743" s="176" t="s">
        <v>403</v>
      </c>
      <c r="E743" s="177" t="s">
        <v>1706</v>
      </c>
      <c r="F743" s="175">
        <f t="shared" si="23"/>
        <v>8</v>
      </c>
      <c r="G743" s="175" t="str">
        <f t="shared" si="24"/>
        <v>Denver</v>
      </c>
      <c r="H743" s="175"/>
      <c r="I743" s="178" t="s">
        <v>657</v>
      </c>
      <c r="J743" s="27" t="s">
        <v>403</v>
      </c>
      <c r="K743" s="27">
        <v>679</v>
      </c>
      <c r="L743" s="179">
        <v>6020</v>
      </c>
      <c r="M743" s="180" t="s">
        <v>658</v>
      </c>
      <c r="N743" s="181" t="s">
        <v>403</v>
      </c>
      <c r="O743" s="182" t="s">
        <v>659</v>
      </c>
    </row>
    <row r="744" spans="2:15">
      <c r="B744" s="174" t="s">
        <v>655</v>
      </c>
      <c r="C744" s="175" t="s">
        <v>402</v>
      </c>
      <c r="D744" s="176" t="s">
        <v>403</v>
      </c>
      <c r="E744" s="177" t="s">
        <v>656</v>
      </c>
      <c r="F744" s="175">
        <f t="shared" si="23"/>
        <v>9</v>
      </c>
      <c r="G744" s="175" t="str">
        <f t="shared" si="24"/>
        <v>Boulder</v>
      </c>
      <c r="H744" s="175"/>
      <c r="I744" s="178" t="s">
        <v>657</v>
      </c>
      <c r="J744" s="27" t="s">
        <v>403</v>
      </c>
      <c r="K744" s="27">
        <v>679</v>
      </c>
      <c r="L744" s="179">
        <v>6020</v>
      </c>
      <c r="M744" s="180" t="s">
        <v>658</v>
      </c>
      <c r="N744" s="181" t="s">
        <v>403</v>
      </c>
      <c r="O744" s="182" t="s">
        <v>659</v>
      </c>
    </row>
    <row r="745" spans="2:15">
      <c r="B745" s="174" t="s">
        <v>2030</v>
      </c>
      <c r="C745" s="175" t="s">
        <v>402</v>
      </c>
      <c r="D745" s="176" t="s">
        <v>403</v>
      </c>
      <c r="E745" s="177" t="s">
        <v>2031</v>
      </c>
      <c r="F745" s="175">
        <f t="shared" si="23"/>
        <v>15</v>
      </c>
      <c r="G745" s="175" t="str">
        <f t="shared" si="24"/>
        <v>Golden/Dillon</v>
      </c>
      <c r="H745" s="175"/>
      <c r="I745" s="178" t="s">
        <v>657</v>
      </c>
      <c r="J745" s="27" t="s">
        <v>403</v>
      </c>
      <c r="K745" s="27">
        <v>679</v>
      </c>
      <c r="L745" s="179">
        <v>6020</v>
      </c>
      <c r="M745" s="180" t="s">
        <v>658</v>
      </c>
      <c r="N745" s="181" t="s">
        <v>403</v>
      </c>
      <c r="O745" s="182" t="s">
        <v>659</v>
      </c>
    </row>
    <row r="746" spans="2:15">
      <c r="B746" s="174" t="s">
        <v>2143</v>
      </c>
      <c r="C746" s="175" t="s">
        <v>402</v>
      </c>
      <c r="D746" s="176" t="s">
        <v>403</v>
      </c>
      <c r="E746" s="177" t="s">
        <v>2144</v>
      </c>
      <c r="F746" s="175">
        <f t="shared" si="23"/>
        <v>10</v>
      </c>
      <c r="G746" s="175" t="str">
        <f t="shared" si="24"/>
        <v>Longmont</v>
      </c>
      <c r="H746" s="175"/>
      <c r="I746" s="178" t="s">
        <v>657</v>
      </c>
      <c r="J746" s="27" t="s">
        <v>403</v>
      </c>
      <c r="K746" s="27">
        <v>679</v>
      </c>
      <c r="L746" s="179">
        <v>6020</v>
      </c>
      <c r="M746" s="180" t="s">
        <v>658</v>
      </c>
      <c r="N746" s="181" t="s">
        <v>403</v>
      </c>
      <c r="O746" s="182" t="s">
        <v>659</v>
      </c>
    </row>
    <row r="747" spans="2:15">
      <c r="B747" s="174" t="s">
        <v>2052</v>
      </c>
      <c r="C747" s="175" t="s">
        <v>402</v>
      </c>
      <c r="D747" s="176" t="s">
        <v>403</v>
      </c>
      <c r="E747" s="177" t="s">
        <v>2053</v>
      </c>
      <c r="F747" s="175">
        <f t="shared" si="23"/>
        <v>9</v>
      </c>
      <c r="G747" s="175" t="str">
        <f t="shared" si="24"/>
        <v>Greeley</v>
      </c>
      <c r="H747" s="175"/>
      <c r="I747" s="178" t="s">
        <v>657</v>
      </c>
      <c r="J747" s="27" t="s">
        <v>403</v>
      </c>
      <c r="K747" s="27">
        <v>679</v>
      </c>
      <c r="L747" s="179">
        <v>6020</v>
      </c>
      <c r="M747" s="180" t="s">
        <v>658</v>
      </c>
      <c r="N747" s="181" t="s">
        <v>403</v>
      </c>
      <c r="O747" s="182" t="s">
        <v>659</v>
      </c>
    </row>
    <row r="748" spans="2:15">
      <c r="B748" s="174" t="s">
        <v>1955</v>
      </c>
      <c r="C748" s="175" t="s">
        <v>402</v>
      </c>
      <c r="D748" s="176" t="s">
        <v>403</v>
      </c>
      <c r="E748" s="177" t="s">
        <v>1956</v>
      </c>
      <c r="F748" s="175">
        <f t="shared" si="23"/>
        <v>13</v>
      </c>
      <c r="G748" s="175" t="str">
        <f t="shared" si="24"/>
        <v>Fort Morgan</v>
      </c>
      <c r="H748" s="175"/>
      <c r="I748" s="178" t="s">
        <v>1514</v>
      </c>
      <c r="J748" s="27" t="s">
        <v>403</v>
      </c>
      <c r="K748" s="27">
        <v>419</v>
      </c>
      <c r="L748" s="179">
        <v>6415</v>
      </c>
      <c r="M748" s="178" t="s">
        <v>406</v>
      </c>
      <c r="N748" s="27" t="s">
        <v>403</v>
      </c>
      <c r="O748" s="182" t="s">
        <v>407</v>
      </c>
    </row>
    <row r="749" spans="2:15">
      <c r="B749" s="174" t="s">
        <v>1512</v>
      </c>
      <c r="C749" s="175" t="s">
        <v>402</v>
      </c>
      <c r="D749" s="176" t="s">
        <v>403</v>
      </c>
      <c r="E749" s="177" t="s">
        <v>1513</v>
      </c>
      <c r="F749" s="175">
        <f t="shared" si="23"/>
        <v>18</v>
      </c>
      <c r="G749" s="175" t="str">
        <f t="shared" si="24"/>
        <v>Colorado Springs</v>
      </c>
      <c r="H749" s="175"/>
      <c r="I749" s="178" t="s">
        <v>1514</v>
      </c>
      <c r="J749" s="27" t="s">
        <v>403</v>
      </c>
      <c r="K749" s="27">
        <v>419</v>
      </c>
      <c r="L749" s="179">
        <v>6415</v>
      </c>
      <c r="M749" s="178" t="s">
        <v>406</v>
      </c>
      <c r="N749" s="27" t="s">
        <v>403</v>
      </c>
      <c r="O749" s="182" t="s">
        <v>407</v>
      </c>
    </row>
    <row r="750" spans="2:15">
      <c r="B750" s="174" t="s">
        <v>1515</v>
      </c>
      <c r="C750" s="175" t="s">
        <v>402</v>
      </c>
      <c r="D750" s="176" t="s">
        <v>403</v>
      </c>
      <c r="E750" s="177" t="s">
        <v>1513</v>
      </c>
      <c r="F750" s="175">
        <f t="shared" si="23"/>
        <v>18</v>
      </c>
      <c r="G750" s="175" t="str">
        <f t="shared" si="24"/>
        <v>Colorado Springs</v>
      </c>
      <c r="H750" s="175"/>
      <c r="I750" s="178" t="s">
        <v>1514</v>
      </c>
      <c r="J750" s="27" t="s">
        <v>403</v>
      </c>
      <c r="K750" s="27">
        <v>419</v>
      </c>
      <c r="L750" s="179">
        <v>6415</v>
      </c>
      <c r="M750" s="178" t="s">
        <v>406</v>
      </c>
      <c r="N750" s="27" t="s">
        <v>403</v>
      </c>
      <c r="O750" s="182" t="s">
        <v>407</v>
      </c>
    </row>
    <row r="751" spans="2:15">
      <c r="B751" s="174" t="s">
        <v>2486</v>
      </c>
      <c r="C751" s="175" t="s">
        <v>402</v>
      </c>
      <c r="D751" s="176" t="s">
        <v>403</v>
      </c>
      <c r="E751" s="177" t="s">
        <v>2487</v>
      </c>
      <c r="F751" s="175">
        <f t="shared" si="23"/>
        <v>8</v>
      </c>
      <c r="G751" s="175" t="str">
        <f t="shared" si="24"/>
        <v>Pueblo</v>
      </c>
      <c r="H751" s="175"/>
      <c r="I751" s="178" t="s">
        <v>2100</v>
      </c>
      <c r="J751" s="27" t="s">
        <v>403</v>
      </c>
      <c r="K751" s="27">
        <v>973</v>
      </c>
      <c r="L751" s="179">
        <v>5413</v>
      </c>
      <c r="M751" s="180" t="s">
        <v>2101</v>
      </c>
      <c r="N751" s="181" t="s">
        <v>403</v>
      </c>
      <c r="O751" s="182" t="s">
        <v>2102</v>
      </c>
    </row>
    <row r="752" spans="2:15">
      <c r="B752" s="174" t="s">
        <v>401</v>
      </c>
      <c r="C752" s="175" t="s">
        <v>402</v>
      </c>
      <c r="D752" s="176" t="s">
        <v>403</v>
      </c>
      <c r="E752" s="177" t="s">
        <v>404</v>
      </c>
      <c r="F752" s="175">
        <f t="shared" si="23"/>
        <v>9</v>
      </c>
      <c r="G752" s="175" t="str">
        <f t="shared" si="24"/>
        <v>Alamosa</v>
      </c>
      <c r="H752" s="175"/>
      <c r="I752" s="178" t="s">
        <v>405</v>
      </c>
      <c r="J752" s="27" t="s">
        <v>403</v>
      </c>
      <c r="K752" s="27">
        <v>62</v>
      </c>
      <c r="L752" s="179">
        <v>8749</v>
      </c>
      <c r="M752" s="178" t="s">
        <v>406</v>
      </c>
      <c r="N752" s="27" t="s">
        <v>403</v>
      </c>
      <c r="O752" s="182" t="s">
        <v>407</v>
      </c>
    </row>
    <row r="753" spans="2:15">
      <c r="B753" s="174" t="s">
        <v>360</v>
      </c>
      <c r="C753" s="175" t="s">
        <v>402</v>
      </c>
      <c r="D753" s="176" t="s">
        <v>403</v>
      </c>
      <c r="E753" s="177" t="s">
        <v>361</v>
      </c>
      <c r="F753" s="175">
        <f t="shared" si="23"/>
        <v>8</v>
      </c>
      <c r="G753" s="175" t="str">
        <f t="shared" si="24"/>
        <v>Salida</v>
      </c>
      <c r="H753" s="175"/>
      <c r="I753" s="178" t="s">
        <v>405</v>
      </c>
      <c r="J753" s="27" t="s">
        <v>403</v>
      </c>
      <c r="K753" s="27">
        <v>62</v>
      </c>
      <c r="L753" s="179">
        <v>8749</v>
      </c>
      <c r="M753" s="180" t="s">
        <v>2101</v>
      </c>
      <c r="N753" s="181" t="s">
        <v>403</v>
      </c>
      <c r="O753" s="182" t="s">
        <v>2102</v>
      </c>
    </row>
    <row r="754" spans="2:15">
      <c r="B754" s="174" t="s">
        <v>1752</v>
      </c>
      <c r="C754" s="175" t="s">
        <v>402</v>
      </c>
      <c r="D754" s="176" t="s">
        <v>403</v>
      </c>
      <c r="E754" s="177" t="s">
        <v>1753</v>
      </c>
      <c r="F754" s="175">
        <f t="shared" si="23"/>
        <v>9</v>
      </c>
      <c r="G754" s="175" t="str">
        <f t="shared" si="24"/>
        <v>Durango</v>
      </c>
      <c r="H754" s="175"/>
      <c r="I754" s="178" t="s">
        <v>1754</v>
      </c>
      <c r="J754" s="27" t="s">
        <v>403</v>
      </c>
      <c r="K754" s="27">
        <v>1183</v>
      </c>
      <c r="L754" s="179">
        <v>5548</v>
      </c>
      <c r="M754" s="178" t="s">
        <v>1755</v>
      </c>
      <c r="N754" s="27" t="s">
        <v>403</v>
      </c>
      <c r="O754" s="182" t="s">
        <v>1756</v>
      </c>
    </row>
    <row r="755" spans="2:15">
      <c r="B755" s="174" t="s">
        <v>1084</v>
      </c>
      <c r="C755" s="175" t="s">
        <v>402</v>
      </c>
      <c r="D755" s="176" t="s">
        <v>403</v>
      </c>
      <c r="E755" s="177" t="s">
        <v>1085</v>
      </c>
      <c r="F755" s="175">
        <f t="shared" si="23"/>
        <v>10</v>
      </c>
      <c r="G755" s="175" t="str">
        <f t="shared" si="24"/>
        <v>Montrose</v>
      </c>
      <c r="H755" s="175"/>
      <c r="I755" s="178" t="s">
        <v>1754</v>
      </c>
      <c r="J755" s="27" t="s">
        <v>403</v>
      </c>
      <c r="K755" s="27">
        <v>1183</v>
      </c>
      <c r="L755" s="179">
        <v>5548</v>
      </c>
      <c r="M755" s="178" t="s">
        <v>1755</v>
      </c>
      <c r="N755" s="27" t="s">
        <v>403</v>
      </c>
      <c r="O755" s="182" t="s">
        <v>1756</v>
      </c>
    </row>
    <row r="756" spans="2:15">
      <c r="B756" s="174" t="s">
        <v>2036</v>
      </c>
      <c r="C756" s="175" t="s">
        <v>402</v>
      </c>
      <c r="D756" s="176" t="s">
        <v>403</v>
      </c>
      <c r="E756" s="177" t="s">
        <v>2037</v>
      </c>
      <c r="F756" s="175">
        <f t="shared" si="23"/>
        <v>16</v>
      </c>
      <c r="G756" s="175" t="str">
        <f t="shared" si="24"/>
        <v>Grand Junction</v>
      </c>
      <c r="H756" s="175"/>
      <c r="I756" s="178" t="s">
        <v>1754</v>
      </c>
      <c r="J756" s="27" t="s">
        <v>403</v>
      </c>
      <c r="K756" s="27">
        <v>1183</v>
      </c>
      <c r="L756" s="179">
        <v>5548</v>
      </c>
      <c r="M756" s="178" t="s">
        <v>1755</v>
      </c>
      <c r="N756" s="27" t="s">
        <v>403</v>
      </c>
      <c r="O756" s="182" t="s">
        <v>1756</v>
      </c>
    </row>
    <row r="757" spans="2:15">
      <c r="B757" s="174" t="s">
        <v>2026</v>
      </c>
      <c r="C757" s="175" t="s">
        <v>402</v>
      </c>
      <c r="D757" s="176" t="s">
        <v>403</v>
      </c>
      <c r="E757" s="177" t="s">
        <v>2027</v>
      </c>
      <c r="F757" s="175">
        <f t="shared" si="23"/>
        <v>18</v>
      </c>
      <c r="G757" s="175" t="str">
        <f t="shared" si="24"/>
        <v>Glenwood Springs</v>
      </c>
      <c r="H757" s="175"/>
      <c r="I757" s="178" t="s">
        <v>1754</v>
      </c>
      <c r="J757" s="27" t="s">
        <v>403</v>
      </c>
      <c r="K757" s="27">
        <v>1183</v>
      </c>
      <c r="L757" s="179">
        <v>5548</v>
      </c>
      <c r="M757" s="178" t="s">
        <v>1755</v>
      </c>
      <c r="N757" s="27" t="s">
        <v>403</v>
      </c>
      <c r="O757" s="182" t="s">
        <v>1756</v>
      </c>
    </row>
    <row r="758" spans="2:15">
      <c r="B758" s="174" t="s">
        <v>2363</v>
      </c>
      <c r="C758" s="175" t="s">
        <v>1413</v>
      </c>
      <c r="D758" s="176" t="s">
        <v>1414</v>
      </c>
      <c r="E758" s="177" t="s">
        <v>2364</v>
      </c>
      <c r="F758" s="175">
        <f t="shared" si="23"/>
        <v>10</v>
      </c>
      <c r="G758" s="175" t="str">
        <f t="shared" si="24"/>
        <v>Cheyenne</v>
      </c>
      <c r="H758" s="175"/>
      <c r="I758" s="178" t="s">
        <v>2365</v>
      </c>
      <c r="J758" s="27" t="s">
        <v>1414</v>
      </c>
      <c r="K758" s="27">
        <v>285</v>
      </c>
      <c r="L758" s="179">
        <v>7326</v>
      </c>
      <c r="M758" s="180" t="s">
        <v>2366</v>
      </c>
      <c r="N758" s="181" t="s">
        <v>1414</v>
      </c>
      <c r="O758" s="182" t="s">
        <v>2367</v>
      </c>
    </row>
    <row r="759" spans="2:15">
      <c r="B759" s="174" t="s">
        <v>1865</v>
      </c>
      <c r="C759" s="175" t="s">
        <v>1413</v>
      </c>
      <c r="D759" s="176" t="s">
        <v>1414</v>
      </c>
      <c r="E759" s="177" t="s">
        <v>1866</v>
      </c>
      <c r="F759" s="175">
        <f t="shared" si="23"/>
        <v>20</v>
      </c>
      <c r="G759" s="175" t="str">
        <f t="shared" si="24"/>
        <v>Yellowstone Nat Pk</v>
      </c>
      <c r="H759" s="175"/>
      <c r="I759" s="178" t="s">
        <v>776</v>
      </c>
      <c r="J759" s="27" t="s">
        <v>1427</v>
      </c>
      <c r="K759" s="27">
        <v>386</v>
      </c>
      <c r="L759" s="179">
        <v>8031</v>
      </c>
      <c r="M759" s="180" t="s">
        <v>1356</v>
      </c>
      <c r="N759" s="181" t="s">
        <v>1427</v>
      </c>
      <c r="O759" s="182" t="s">
        <v>1357</v>
      </c>
    </row>
    <row r="760" spans="2:15">
      <c r="B760" s="174" t="s">
        <v>1851</v>
      </c>
      <c r="C760" s="175" t="s">
        <v>1413</v>
      </c>
      <c r="D760" s="176" t="s">
        <v>1414</v>
      </c>
      <c r="E760" s="177" t="s">
        <v>1852</v>
      </c>
      <c r="F760" s="175">
        <f t="shared" si="23"/>
        <v>11</v>
      </c>
      <c r="G760" s="175" t="str">
        <f t="shared" si="24"/>
        <v>Wheatland</v>
      </c>
      <c r="H760" s="175"/>
      <c r="I760" s="178" t="s">
        <v>1853</v>
      </c>
      <c r="J760" s="27" t="s">
        <v>457</v>
      </c>
      <c r="K760" s="27">
        <v>713</v>
      </c>
      <c r="L760" s="179">
        <v>6729</v>
      </c>
      <c r="M760" s="180" t="s">
        <v>2366</v>
      </c>
      <c r="N760" s="181" t="s">
        <v>1414</v>
      </c>
      <c r="O760" s="182" t="s">
        <v>2367</v>
      </c>
    </row>
    <row r="761" spans="2:15">
      <c r="B761" s="174" t="s">
        <v>2501</v>
      </c>
      <c r="C761" s="175" t="s">
        <v>1413</v>
      </c>
      <c r="D761" s="176" t="s">
        <v>1414</v>
      </c>
      <c r="E761" s="177" t="s">
        <v>2502</v>
      </c>
      <c r="F761" s="175">
        <f t="shared" si="23"/>
        <v>9</v>
      </c>
      <c r="G761" s="175" t="str">
        <f t="shared" si="24"/>
        <v>Rawlins</v>
      </c>
      <c r="H761" s="175"/>
      <c r="I761" s="178" t="s">
        <v>2365</v>
      </c>
      <c r="J761" s="27" t="s">
        <v>1414</v>
      </c>
      <c r="K761" s="27">
        <v>285</v>
      </c>
      <c r="L761" s="179">
        <v>7326</v>
      </c>
      <c r="M761" s="180" t="s">
        <v>2366</v>
      </c>
      <c r="N761" s="181" t="s">
        <v>1414</v>
      </c>
      <c r="O761" s="182" t="s">
        <v>2367</v>
      </c>
    </row>
    <row r="762" spans="2:15">
      <c r="B762" s="174" t="s">
        <v>1861</v>
      </c>
      <c r="C762" s="175" t="s">
        <v>1413</v>
      </c>
      <c r="D762" s="176" t="s">
        <v>1414</v>
      </c>
      <c r="E762" s="177" t="s">
        <v>1862</v>
      </c>
      <c r="F762" s="175">
        <f t="shared" si="23"/>
        <v>9</v>
      </c>
      <c r="G762" s="175" t="str">
        <f t="shared" si="24"/>
        <v>Worland</v>
      </c>
      <c r="H762" s="175"/>
      <c r="I762" s="178" t="s">
        <v>112</v>
      </c>
      <c r="J762" s="27" t="s">
        <v>1414</v>
      </c>
      <c r="K762" s="27">
        <v>479</v>
      </c>
      <c r="L762" s="179">
        <v>7889</v>
      </c>
      <c r="M762" s="180" t="s">
        <v>1417</v>
      </c>
      <c r="N762" s="181" t="s">
        <v>1414</v>
      </c>
      <c r="O762" s="182" t="s">
        <v>2315</v>
      </c>
    </row>
    <row r="763" spans="2:15">
      <c r="B763" s="174" t="s">
        <v>298</v>
      </c>
      <c r="C763" s="175" t="s">
        <v>1413</v>
      </c>
      <c r="D763" s="176" t="s">
        <v>1414</v>
      </c>
      <c r="E763" s="177" t="s">
        <v>299</v>
      </c>
      <c r="F763" s="175">
        <f t="shared" si="23"/>
        <v>10</v>
      </c>
      <c r="G763" s="175" t="str">
        <f t="shared" si="24"/>
        <v>Riverton</v>
      </c>
      <c r="H763" s="175"/>
      <c r="I763" s="178" t="s">
        <v>112</v>
      </c>
      <c r="J763" s="27" t="s">
        <v>1414</v>
      </c>
      <c r="K763" s="27">
        <v>479</v>
      </c>
      <c r="L763" s="179">
        <v>7889</v>
      </c>
      <c r="M763" s="180" t="s">
        <v>1417</v>
      </c>
      <c r="N763" s="181" t="s">
        <v>1414</v>
      </c>
      <c r="O763" s="182" t="s">
        <v>2315</v>
      </c>
    </row>
    <row r="764" spans="2:15">
      <c r="B764" s="174" t="s">
        <v>1412</v>
      </c>
      <c r="C764" s="175" t="s">
        <v>1413</v>
      </c>
      <c r="D764" s="176" t="s">
        <v>1414</v>
      </c>
      <c r="E764" s="177" t="s">
        <v>1415</v>
      </c>
      <c r="F764" s="175">
        <f t="shared" si="23"/>
        <v>8</v>
      </c>
      <c r="G764" s="175" t="str">
        <f t="shared" si="24"/>
        <v>Casper</v>
      </c>
      <c r="H764" s="175"/>
      <c r="I764" s="178" t="s">
        <v>1416</v>
      </c>
      <c r="J764" s="27" t="s">
        <v>1414</v>
      </c>
      <c r="K764" s="27">
        <v>439</v>
      </c>
      <c r="L764" s="179">
        <v>7804</v>
      </c>
      <c r="M764" s="180" t="s">
        <v>1417</v>
      </c>
      <c r="N764" s="181" t="s">
        <v>1414</v>
      </c>
      <c r="O764" s="182" t="s">
        <v>2315</v>
      </c>
    </row>
    <row r="765" spans="2:15">
      <c r="B765" s="174" t="s">
        <v>2017</v>
      </c>
      <c r="C765" s="175" t="s">
        <v>1413</v>
      </c>
      <c r="D765" s="176" t="s">
        <v>1414</v>
      </c>
      <c r="E765" s="177" t="s">
        <v>2018</v>
      </c>
      <c r="F765" s="175">
        <f t="shared" si="23"/>
        <v>10</v>
      </c>
      <c r="G765" s="175" t="str">
        <f t="shared" si="24"/>
        <v>Gillette</v>
      </c>
      <c r="H765" s="175"/>
      <c r="I765" s="178" t="s">
        <v>2019</v>
      </c>
      <c r="J765" s="27" t="s">
        <v>1414</v>
      </c>
      <c r="K765" s="27">
        <v>445</v>
      </c>
      <c r="L765" s="179">
        <v>7682</v>
      </c>
      <c r="M765" s="180" t="s">
        <v>1417</v>
      </c>
      <c r="N765" s="181" t="s">
        <v>1414</v>
      </c>
      <c r="O765" s="182" t="s">
        <v>2315</v>
      </c>
    </row>
    <row r="766" spans="2:15">
      <c r="B766" s="174" t="s">
        <v>1295</v>
      </c>
      <c r="C766" s="175" t="s">
        <v>1413</v>
      </c>
      <c r="D766" s="176" t="s">
        <v>1414</v>
      </c>
      <c r="E766" s="177" t="s">
        <v>1296</v>
      </c>
      <c r="F766" s="175">
        <f t="shared" si="23"/>
        <v>10</v>
      </c>
      <c r="G766" s="175" t="str">
        <f t="shared" si="24"/>
        <v>Sheridan</v>
      </c>
      <c r="H766" s="175"/>
      <c r="I766" s="178" t="s">
        <v>1416</v>
      </c>
      <c r="J766" s="27" t="s">
        <v>1414</v>
      </c>
      <c r="K766" s="27">
        <v>439</v>
      </c>
      <c r="L766" s="179">
        <v>7804</v>
      </c>
      <c r="M766" s="180" t="s">
        <v>1417</v>
      </c>
      <c r="N766" s="181" t="s">
        <v>1414</v>
      </c>
      <c r="O766" s="182" t="s">
        <v>2315</v>
      </c>
    </row>
    <row r="767" spans="2:15">
      <c r="B767" s="174" t="s">
        <v>310</v>
      </c>
      <c r="C767" s="175" t="s">
        <v>1413</v>
      </c>
      <c r="D767" s="176" t="s">
        <v>1414</v>
      </c>
      <c r="E767" s="177" t="s">
        <v>311</v>
      </c>
      <c r="F767" s="175">
        <f t="shared" si="23"/>
        <v>14</v>
      </c>
      <c r="G767" s="175" t="str">
        <f t="shared" si="24"/>
        <v>Rock Springs</v>
      </c>
      <c r="H767" s="175"/>
      <c r="I767" s="178" t="s">
        <v>112</v>
      </c>
      <c r="J767" s="27" t="s">
        <v>1414</v>
      </c>
      <c r="K767" s="27">
        <v>479</v>
      </c>
      <c r="L767" s="179">
        <v>7889</v>
      </c>
      <c r="M767" s="180" t="s">
        <v>1417</v>
      </c>
      <c r="N767" s="181" t="s">
        <v>1414</v>
      </c>
      <c r="O767" s="182" t="s">
        <v>2315</v>
      </c>
    </row>
    <row r="768" spans="2:15">
      <c r="B768" s="174" t="s">
        <v>111</v>
      </c>
      <c r="C768" s="175" t="s">
        <v>1413</v>
      </c>
      <c r="D768" s="176" t="s">
        <v>1414</v>
      </c>
      <c r="E768" s="177" t="s">
        <v>106</v>
      </c>
      <c r="F768" s="175">
        <f t="shared" si="23"/>
        <v>9</v>
      </c>
      <c r="G768" s="175" t="str">
        <f t="shared" si="24"/>
        <v>Jackson</v>
      </c>
      <c r="H768" s="175"/>
      <c r="I768" s="178" t="s">
        <v>112</v>
      </c>
      <c r="J768" s="27" t="s">
        <v>1414</v>
      </c>
      <c r="K768" s="27">
        <v>479</v>
      </c>
      <c r="L768" s="179">
        <v>7889</v>
      </c>
      <c r="M768" s="180" t="s">
        <v>1417</v>
      </c>
      <c r="N768" s="181" t="s">
        <v>1414</v>
      </c>
      <c r="O768" s="182" t="s">
        <v>2315</v>
      </c>
    </row>
    <row r="769" spans="2:15">
      <c r="B769" s="174" t="s">
        <v>911</v>
      </c>
      <c r="C769" s="175" t="s">
        <v>1413</v>
      </c>
      <c r="D769" s="176" t="s">
        <v>1414</v>
      </c>
      <c r="E769" s="177" t="s">
        <v>912</v>
      </c>
      <c r="F769" s="175">
        <f t="shared" si="23"/>
        <v>10</v>
      </c>
      <c r="G769" s="175" t="str">
        <f t="shared" si="24"/>
        <v>Kemmerer</v>
      </c>
      <c r="H769" s="175"/>
      <c r="I769" s="178" t="s">
        <v>112</v>
      </c>
      <c r="J769" s="27" t="s">
        <v>1414</v>
      </c>
      <c r="K769" s="27">
        <v>479</v>
      </c>
      <c r="L769" s="179">
        <v>7889</v>
      </c>
      <c r="M769" s="180" t="s">
        <v>1417</v>
      </c>
      <c r="N769" s="181" t="s">
        <v>1414</v>
      </c>
      <c r="O769" s="182" t="s">
        <v>2315</v>
      </c>
    </row>
    <row r="770" spans="2:15">
      <c r="B770" s="174" t="s">
        <v>2448</v>
      </c>
      <c r="C770" s="175" t="s">
        <v>2291</v>
      </c>
      <c r="D770" s="176" t="s">
        <v>2292</v>
      </c>
      <c r="E770" s="177" t="s">
        <v>2449</v>
      </c>
      <c r="F770" s="175">
        <f t="shared" si="23"/>
        <v>11</v>
      </c>
      <c r="G770" s="175" t="str">
        <f t="shared" si="24"/>
        <v>Pocatello</v>
      </c>
      <c r="H770" s="175"/>
      <c r="I770" s="178" t="s">
        <v>86</v>
      </c>
      <c r="J770" s="27" t="s">
        <v>2292</v>
      </c>
      <c r="K770" s="27">
        <v>421</v>
      </c>
      <c r="L770" s="179">
        <v>7180</v>
      </c>
      <c r="M770" s="180" t="s">
        <v>87</v>
      </c>
      <c r="N770" s="181" t="s">
        <v>2292</v>
      </c>
      <c r="O770" s="182" t="s">
        <v>88</v>
      </c>
    </row>
    <row r="771" spans="2:15">
      <c r="B771" s="174" t="s">
        <v>1778</v>
      </c>
      <c r="C771" s="175" t="s">
        <v>2291</v>
      </c>
      <c r="D771" s="176" t="s">
        <v>2292</v>
      </c>
      <c r="E771" s="177" t="s">
        <v>1779</v>
      </c>
      <c r="F771" s="175">
        <f t="shared" si="23"/>
        <v>12</v>
      </c>
      <c r="G771" s="175" t="str">
        <f t="shared" si="24"/>
        <v>Twin Falls</v>
      </c>
      <c r="H771" s="175"/>
      <c r="I771" s="178" t="s">
        <v>86</v>
      </c>
      <c r="J771" s="27" t="s">
        <v>2292</v>
      </c>
      <c r="K771" s="27">
        <v>421</v>
      </c>
      <c r="L771" s="179">
        <v>7180</v>
      </c>
      <c r="M771" s="180" t="s">
        <v>87</v>
      </c>
      <c r="N771" s="181" t="s">
        <v>2292</v>
      </c>
      <c r="O771" s="182" t="s">
        <v>88</v>
      </c>
    </row>
    <row r="772" spans="2:15">
      <c r="B772" s="174" t="s">
        <v>84</v>
      </c>
      <c r="C772" s="175" t="s">
        <v>2291</v>
      </c>
      <c r="D772" s="176" t="s">
        <v>2292</v>
      </c>
      <c r="E772" s="177" t="s">
        <v>85</v>
      </c>
      <c r="F772" s="175">
        <f t="shared" si="23"/>
        <v>13</v>
      </c>
      <c r="G772" s="175" t="str">
        <f t="shared" si="24"/>
        <v>Idaho Falls</v>
      </c>
      <c r="H772" s="175"/>
      <c r="I772" s="178" t="s">
        <v>86</v>
      </c>
      <c r="J772" s="27" t="s">
        <v>2292</v>
      </c>
      <c r="K772" s="27">
        <v>421</v>
      </c>
      <c r="L772" s="179">
        <v>7180</v>
      </c>
      <c r="M772" s="180" t="s">
        <v>87</v>
      </c>
      <c r="N772" s="181" t="s">
        <v>2292</v>
      </c>
      <c r="O772" s="182" t="s">
        <v>88</v>
      </c>
    </row>
    <row r="773" spans="2:15">
      <c r="B773" s="174" t="s">
        <v>2117</v>
      </c>
      <c r="C773" s="175" t="s">
        <v>2291</v>
      </c>
      <c r="D773" s="176" t="s">
        <v>2292</v>
      </c>
      <c r="E773" s="177" t="s">
        <v>2118</v>
      </c>
      <c r="F773" s="175">
        <f t="shared" si="23"/>
        <v>10</v>
      </c>
      <c r="G773" s="175" t="str">
        <f t="shared" si="24"/>
        <v>Lewiston</v>
      </c>
      <c r="H773" s="175"/>
      <c r="I773" s="178" t="s">
        <v>2119</v>
      </c>
      <c r="J773" s="27" t="s">
        <v>2292</v>
      </c>
      <c r="K773" s="27">
        <v>814</v>
      </c>
      <c r="L773" s="179">
        <v>5270</v>
      </c>
      <c r="M773" s="180" t="s">
        <v>1503</v>
      </c>
      <c r="N773" s="181" t="s">
        <v>1638</v>
      </c>
      <c r="O773" s="182" t="s">
        <v>1504</v>
      </c>
    </row>
    <row r="774" spans="2:15">
      <c r="B774" s="174" t="s">
        <v>2290</v>
      </c>
      <c r="C774" s="175" t="s">
        <v>2291</v>
      </c>
      <c r="D774" s="176" t="s">
        <v>2292</v>
      </c>
      <c r="E774" s="177" t="s">
        <v>2293</v>
      </c>
      <c r="F774" s="175">
        <f t="shared" si="23"/>
        <v>7</v>
      </c>
      <c r="G774" s="175" t="str">
        <f t="shared" si="24"/>
        <v>Boise</v>
      </c>
      <c r="H774" s="175"/>
      <c r="I774" s="178" t="s">
        <v>2294</v>
      </c>
      <c r="J774" s="27" t="s">
        <v>2292</v>
      </c>
      <c r="K774" s="27">
        <v>754</v>
      </c>
      <c r="L774" s="179">
        <v>5861</v>
      </c>
      <c r="M774" s="180" t="s">
        <v>2295</v>
      </c>
      <c r="N774" s="181" t="s">
        <v>2292</v>
      </c>
      <c r="O774" s="182" t="s">
        <v>2296</v>
      </c>
    </row>
    <row r="775" spans="2:15">
      <c r="B775" s="174" t="s">
        <v>2297</v>
      </c>
      <c r="C775" s="175" t="s">
        <v>2291</v>
      </c>
      <c r="D775" s="176" t="s">
        <v>2292</v>
      </c>
      <c r="E775" s="177" t="s">
        <v>2293</v>
      </c>
      <c r="F775" s="175">
        <f t="shared" si="23"/>
        <v>7</v>
      </c>
      <c r="G775" s="175" t="str">
        <f t="shared" si="24"/>
        <v>Boise</v>
      </c>
      <c r="H775" s="175"/>
      <c r="I775" s="178" t="s">
        <v>2294</v>
      </c>
      <c r="J775" s="27" t="s">
        <v>2292</v>
      </c>
      <c r="K775" s="27">
        <v>754</v>
      </c>
      <c r="L775" s="179">
        <v>5861</v>
      </c>
      <c r="M775" s="180" t="s">
        <v>2295</v>
      </c>
      <c r="N775" s="181" t="s">
        <v>2292</v>
      </c>
      <c r="O775" s="182" t="s">
        <v>2296</v>
      </c>
    </row>
    <row r="776" spans="2:15">
      <c r="B776" s="174" t="s">
        <v>703</v>
      </c>
      <c r="C776" s="175" t="s">
        <v>2291</v>
      </c>
      <c r="D776" s="176" t="s">
        <v>2292</v>
      </c>
      <c r="E776" s="177" t="s">
        <v>704</v>
      </c>
      <c r="F776" s="175">
        <f t="shared" si="23"/>
        <v>15</v>
      </c>
      <c r="G776" s="175" t="str">
        <f t="shared" si="24"/>
        <v>Coeur D'Alene</v>
      </c>
      <c r="H776" s="175"/>
      <c r="I776" s="178" t="s">
        <v>1502</v>
      </c>
      <c r="J776" s="27" t="s">
        <v>1638</v>
      </c>
      <c r="K776" s="27">
        <v>398</v>
      </c>
      <c r="L776" s="179">
        <v>6842</v>
      </c>
      <c r="M776" s="180" t="s">
        <v>1503</v>
      </c>
      <c r="N776" s="181" t="s">
        <v>1638</v>
      </c>
      <c r="O776" s="182" t="s">
        <v>1504</v>
      </c>
    </row>
    <row r="777" spans="2:15">
      <c r="B777" s="174" t="s">
        <v>369</v>
      </c>
      <c r="C777" s="175" t="s">
        <v>1198</v>
      </c>
      <c r="D777" s="176" t="s">
        <v>1199</v>
      </c>
      <c r="E777" s="177" t="s">
        <v>370</v>
      </c>
      <c r="F777" s="175">
        <f t="shared" si="23"/>
        <v>27</v>
      </c>
      <c r="G777" s="175" t="str">
        <f t="shared" si="24"/>
        <v>Salt Lake City/Heber City</v>
      </c>
      <c r="H777" s="175"/>
      <c r="I777" s="178" t="s">
        <v>1201</v>
      </c>
      <c r="J777" s="27" t="s">
        <v>1199</v>
      </c>
      <c r="K777" s="27">
        <v>1047</v>
      </c>
      <c r="L777" s="179">
        <v>5765</v>
      </c>
      <c r="M777" s="180" t="s">
        <v>1202</v>
      </c>
      <c r="N777" s="181" t="s">
        <v>1199</v>
      </c>
      <c r="O777" s="182" t="s">
        <v>1203</v>
      </c>
    </row>
    <row r="778" spans="2:15">
      <c r="B778" s="174" t="s">
        <v>367</v>
      </c>
      <c r="C778" s="175" t="s">
        <v>1198</v>
      </c>
      <c r="D778" s="176" t="s">
        <v>1199</v>
      </c>
      <c r="E778" s="177" t="s">
        <v>368</v>
      </c>
      <c r="F778" s="175">
        <f t="shared" ref="F778:F841" si="25">LEN(E778)</f>
        <v>16</v>
      </c>
      <c r="G778" s="175" t="str">
        <f t="shared" ref="G778:G841" si="26">MID(E778,2,F778-2)</f>
        <v>Salt Lake City</v>
      </c>
      <c r="H778" s="175"/>
      <c r="I778" s="178" t="s">
        <v>1201</v>
      </c>
      <c r="J778" s="27" t="s">
        <v>1199</v>
      </c>
      <c r="K778" s="27">
        <v>1047</v>
      </c>
      <c r="L778" s="179">
        <v>5765</v>
      </c>
      <c r="M778" s="180" t="s">
        <v>1202</v>
      </c>
      <c r="N778" s="181" t="s">
        <v>1199</v>
      </c>
      <c r="O778" s="182" t="s">
        <v>1203</v>
      </c>
    </row>
    <row r="779" spans="2:15">
      <c r="B779" s="174" t="s">
        <v>1204</v>
      </c>
      <c r="C779" s="175" t="s">
        <v>1198</v>
      </c>
      <c r="D779" s="176" t="s">
        <v>1199</v>
      </c>
      <c r="E779" s="177" t="s">
        <v>1447</v>
      </c>
      <c r="F779" s="175">
        <f t="shared" si="25"/>
        <v>13</v>
      </c>
      <c r="G779" s="175" t="str">
        <f t="shared" si="26"/>
        <v>Ogden/Logan</v>
      </c>
      <c r="H779" s="175"/>
      <c r="I779" s="178" t="s">
        <v>1201</v>
      </c>
      <c r="J779" s="27" t="s">
        <v>1199</v>
      </c>
      <c r="K779" s="27">
        <v>1047</v>
      </c>
      <c r="L779" s="179">
        <v>5765</v>
      </c>
      <c r="M779" s="180" t="s">
        <v>1202</v>
      </c>
      <c r="N779" s="181" t="s">
        <v>1199</v>
      </c>
      <c r="O779" s="182" t="s">
        <v>1203</v>
      </c>
    </row>
    <row r="780" spans="2:15">
      <c r="B780" s="174" t="s">
        <v>1197</v>
      </c>
      <c r="C780" s="175" t="s">
        <v>1198</v>
      </c>
      <c r="D780" s="176" t="s">
        <v>1199</v>
      </c>
      <c r="E780" s="177" t="s">
        <v>1200</v>
      </c>
      <c r="F780" s="175">
        <f t="shared" si="25"/>
        <v>7</v>
      </c>
      <c r="G780" s="175" t="str">
        <f t="shared" si="26"/>
        <v>Ogden</v>
      </c>
      <c r="H780" s="175"/>
      <c r="I780" s="178" t="s">
        <v>1201</v>
      </c>
      <c r="J780" s="27" t="s">
        <v>1199</v>
      </c>
      <c r="K780" s="27">
        <v>1047</v>
      </c>
      <c r="L780" s="179">
        <v>5765</v>
      </c>
      <c r="M780" s="180" t="s">
        <v>1202</v>
      </c>
      <c r="N780" s="181" t="s">
        <v>1199</v>
      </c>
      <c r="O780" s="182" t="s">
        <v>1203</v>
      </c>
    </row>
    <row r="781" spans="2:15">
      <c r="B781" s="174" t="s">
        <v>1222</v>
      </c>
      <c r="C781" s="175" t="s">
        <v>1198</v>
      </c>
      <c r="D781" s="176" t="s">
        <v>1199</v>
      </c>
      <c r="E781" s="177" t="s">
        <v>1223</v>
      </c>
      <c r="F781" s="175">
        <f t="shared" si="25"/>
        <v>28</v>
      </c>
      <c r="G781" s="175" t="str">
        <f t="shared" si="26"/>
        <v>Southeast Utah/Green River</v>
      </c>
      <c r="H781" s="175"/>
      <c r="I781" s="178" t="s">
        <v>1754</v>
      </c>
      <c r="J781" s="27" t="s">
        <v>403</v>
      </c>
      <c r="K781" s="27">
        <v>1183</v>
      </c>
      <c r="L781" s="179">
        <v>5548</v>
      </c>
      <c r="M781" s="178" t="s">
        <v>1755</v>
      </c>
      <c r="N781" s="27" t="s">
        <v>403</v>
      </c>
      <c r="O781" s="182" t="s">
        <v>1756</v>
      </c>
    </row>
    <row r="782" spans="2:15">
      <c r="B782" s="174" t="s">
        <v>2484</v>
      </c>
      <c r="C782" s="175" t="s">
        <v>1198</v>
      </c>
      <c r="D782" s="176" t="s">
        <v>1199</v>
      </c>
      <c r="E782" s="177" t="s">
        <v>2485</v>
      </c>
      <c r="F782" s="175">
        <f t="shared" si="25"/>
        <v>7</v>
      </c>
      <c r="G782" s="175" t="str">
        <f t="shared" si="26"/>
        <v>Provo</v>
      </c>
      <c r="H782" s="175"/>
      <c r="I782" s="178" t="s">
        <v>1201</v>
      </c>
      <c r="J782" s="27" t="s">
        <v>1199</v>
      </c>
      <c r="K782" s="27">
        <v>1047</v>
      </c>
      <c r="L782" s="179">
        <v>5765</v>
      </c>
      <c r="M782" s="180" t="s">
        <v>1202</v>
      </c>
      <c r="N782" s="181" t="s">
        <v>1199</v>
      </c>
      <c r="O782" s="182" t="s">
        <v>1203</v>
      </c>
    </row>
    <row r="783" spans="2:15">
      <c r="B783" s="174" t="s">
        <v>1227</v>
      </c>
      <c r="C783" s="175" t="s">
        <v>1198</v>
      </c>
      <c r="D783" s="176" t="s">
        <v>1199</v>
      </c>
      <c r="E783" s="177" t="s">
        <v>1228</v>
      </c>
      <c r="F783" s="175">
        <f t="shared" si="25"/>
        <v>27</v>
      </c>
      <c r="G783" s="175" t="str">
        <f t="shared" si="26"/>
        <v>Southwest Utah/Cedar City</v>
      </c>
      <c r="H783" s="175"/>
      <c r="I783" s="178" t="s">
        <v>1229</v>
      </c>
      <c r="J783" s="27" t="s">
        <v>1199</v>
      </c>
      <c r="K783" s="27">
        <v>647</v>
      </c>
      <c r="L783" s="179">
        <v>6511</v>
      </c>
      <c r="M783" s="178" t="s">
        <v>1755</v>
      </c>
      <c r="N783" s="27" t="s">
        <v>403</v>
      </c>
      <c r="O783" s="182" t="s">
        <v>1756</v>
      </c>
    </row>
    <row r="784" spans="2:15">
      <c r="B784" s="174" t="s">
        <v>2424</v>
      </c>
      <c r="C784" s="175" t="s">
        <v>1311</v>
      </c>
      <c r="D784" s="176" t="s">
        <v>1312</v>
      </c>
      <c r="E784" s="177" t="s">
        <v>2425</v>
      </c>
      <c r="F784" s="175">
        <f t="shared" si="25"/>
        <v>9</v>
      </c>
      <c r="G784" s="175" t="str">
        <f t="shared" si="26"/>
        <v>Phoenix</v>
      </c>
      <c r="H784" s="175"/>
      <c r="I784" s="178" t="s">
        <v>2426</v>
      </c>
      <c r="J784" s="27" t="s">
        <v>1312</v>
      </c>
      <c r="K784" s="27">
        <v>4162</v>
      </c>
      <c r="L784" s="179">
        <v>1350</v>
      </c>
      <c r="M784" s="178" t="s">
        <v>2427</v>
      </c>
      <c r="N784" s="27" t="s">
        <v>1312</v>
      </c>
      <c r="O784" s="182" t="s">
        <v>2428</v>
      </c>
    </row>
    <row r="785" spans="2:15">
      <c r="B785" s="174" t="s">
        <v>2429</v>
      </c>
      <c r="C785" s="175" t="s">
        <v>1311</v>
      </c>
      <c r="D785" s="176" t="s">
        <v>1312</v>
      </c>
      <c r="E785" s="177" t="s">
        <v>2425</v>
      </c>
      <c r="F785" s="175">
        <f t="shared" si="25"/>
        <v>9</v>
      </c>
      <c r="G785" s="175" t="str">
        <f t="shared" si="26"/>
        <v>Phoenix</v>
      </c>
      <c r="H785" s="175"/>
      <c r="I785" s="178" t="s">
        <v>2426</v>
      </c>
      <c r="J785" s="27" t="s">
        <v>1312</v>
      </c>
      <c r="K785" s="27">
        <v>4162</v>
      </c>
      <c r="L785" s="179">
        <v>1350</v>
      </c>
      <c r="M785" s="178" t="s">
        <v>2427</v>
      </c>
      <c r="N785" s="27" t="s">
        <v>1312</v>
      </c>
      <c r="O785" s="182" t="s">
        <v>2428</v>
      </c>
    </row>
    <row r="786" spans="2:15">
      <c r="B786" s="174" t="s">
        <v>1407</v>
      </c>
      <c r="C786" s="175" t="s">
        <v>1311</v>
      </c>
      <c r="D786" s="176" t="s">
        <v>1312</v>
      </c>
      <c r="E786" s="177" t="s">
        <v>1408</v>
      </c>
      <c r="F786" s="175">
        <f t="shared" si="25"/>
        <v>13</v>
      </c>
      <c r="G786" s="175" t="str">
        <f t="shared" si="26"/>
        <v>Casa Grande</v>
      </c>
      <c r="H786" s="175"/>
      <c r="I786" s="178" t="s">
        <v>1409</v>
      </c>
      <c r="J786" s="27" t="s">
        <v>1312</v>
      </c>
      <c r="K786" s="27">
        <v>2954</v>
      </c>
      <c r="L786" s="179">
        <v>1678</v>
      </c>
      <c r="M786" s="178" t="s">
        <v>1410</v>
      </c>
      <c r="N786" s="27" t="s">
        <v>1312</v>
      </c>
      <c r="O786" s="182" t="s">
        <v>1411</v>
      </c>
    </row>
    <row r="787" spans="2:15">
      <c r="B787" s="174" t="s">
        <v>1310</v>
      </c>
      <c r="C787" s="175" t="s">
        <v>1311</v>
      </c>
      <c r="D787" s="176" t="s">
        <v>1312</v>
      </c>
      <c r="E787" s="177" t="s">
        <v>1313</v>
      </c>
      <c r="F787" s="175">
        <f t="shared" si="25"/>
        <v>14</v>
      </c>
      <c r="G787" s="175" t="str">
        <f t="shared" si="26"/>
        <v>Buckeye/Yuma</v>
      </c>
      <c r="H787" s="175"/>
      <c r="I787" s="178" t="s">
        <v>1314</v>
      </c>
      <c r="J787" s="27" t="s">
        <v>1312</v>
      </c>
      <c r="K787" s="27">
        <v>4305</v>
      </c>
      <c r="L787" s="179">
        <v>927</v>
      </c>
      <c r="M787" s="178" t="s">
        <v>1315</v>
      </c>
      <c r="N787" s="27" t="s">
        <v>1312</v>
      </c>
      <c r="O787" s="182" t="s">
        <v>1316</v>
      </c>
    </row>
    <row r="788" spans="2:15">
      <c r="B788" s="174" t="s">
        <v>2028</v>
      </c>
      <c r="C788" s="175" t="s">
        <v>1311</v>
      </c>
      <c r="D788" s="176" t="s">
        <v>1312</v>
      </c>
      <c r="E788" s="177" t="s">
        <v>2029</v>
      </c>
      <c r="F788" s="175">
        <f t="shared" si="25"/>
        <v>7</v>
      </c>
      <c r="G788" s="175" t="str">
        <f t="shared" si="26"/>
        <v>Globe</v>
      </c>
      <c r="H788" s="175"/>
      <c r="I788" s="178" t="s">
        <v>1409</v>
      </c>
      <c r="J788" s="27" t="s">
        <v>1312</v>
      </c>
      <c r="K788" s="27">
        <v>2954</v>
      </c>
      <c r="L788" s="179">
        <v>1678</v>
      </c>
      <c r="M788" s="178" t="s">
        <v>1410</v>
      </c>
      <c r="N788" s="27" t="s">
        <v>1312</v>
      </c>
      <c r="O788" s="182" t="s">
        <v>1411</v>
      </c>
    </row>
    <row r="789" spans="2:15">
      <c r="B789" s="174" t="s">
        <v>2240</v>
      </c>
      <c r="C789" s="175" t="s">
        <v>1311</v>
      </c>
      <c r="D789" s="176" t="s">
        <v>1312</v>
      </c>
      <c r="E789" s="177" t="s">
        <v>2241</v>
      </c>
      <c r="F789" s="175">
        <f t="shared" si="25"/>
        <v>22</v>
      </c>
      <c r="G789" s="175" t="str">
        <f t="shared" si="26"/>
        <v>Sierra Vista/Nogales</v>
      </c>
      <c r="H789" s="175"/>
      <c r="I789" s="178" t="s">
        <v>1409</v>
      </c>
      <c r="J789" s="27" t="s">
        <v>1312</v>
      </c>
      <c r="K789" s="27">
        <v>2954</v>
      </c>
      <c r="L789" s="179">
        <v>1678</v>
      </c>
      <c r="M789" s="178" t="s">
        <v>1410</v>
      </c>
      <c r="N789" s="27" t="s">
        <v>1312</v>
      </c>
      <c r="O789" s="182" t="s">
        <v>1411</v>
      </c>
    </row>
    <row r="790" spans="2:15">
      <c r="B790" s="174" t="s">
        <v>1766</v>
      </c>
      <c r="C790" s="175" t="s">
        <v>1311</v>
      </c>
      <c r="D790" s="176" t="s">
        <v>1312</v>
      </c>
      <c r="E790" s="177" t="s">
        <v>1767</v>
      </c>
      <c r="F790" s="175">
        <f t="shared" si="25"/>
        <v>8</v>
      </c>
      <c r="G790" s="175" t="str">
        <f t="shared" si="26"/>
        <v>Tucson</v>
      </c>
      <c r="H790" s="175"/>
      <c r="I790" s="178" t="s">
        <v>1409</v>
      </c>
      <c r="J790" s="27" t="s">
        <v>1312</v>
      </c>
      <c r="K790" s="27">
        <v>2954</v>
      </c>
      <c r="L790" s="179">
        <v>1678</v>
      </c>
      <c r="M790" s="178" t="s">
        <v>1410</v>
      </c>
      <c r="N790" s="27" t="s">
        <v>1312</v>
      </c>
      <c r="O790" s="182" t="s">
        <v>1411</v>
      </c>
    </row>
    <row r="791" spans="2:15">
      <c r="B791" s="174" t="s">
        <v>1297</v>
      </c>
      <c r="C791" s="175" t="s">
        <v>1311</v>
      </c>
      <c r="D791" s="176" t="s">
        <v>1312</v>
      </c>
      <c r="E791" s="177" t="s">
        <v>2236</v>
      </c>
      <c r="F791" s="175">
        <f t="shared" si="25"/>
        <v>10</v>
      </c>
      <c r="G791" s="175" t="str">
        <f t="shared" si="26"/>
        <v>Show Low</v>
      </c>
      <c r="H791" s="175"/>
      <c r="I791" s="178" t="s">
        <v>427</v>
      </c>
      <c r="J791" s="27" t="s">
        <v>425</v>
      </c>
      <c r="K791" s="27">
        <v>1244</v>
      </c>
      <c r="L791" s="179">
        <v>4425</v>
      </c>
      <c r="M791" s="180" t="s">
        <v>428</v>
      </c>
      <c r="N791" s="181" t="s">
        <v>425</v>
      </c>
      <c r="O791" s="182" t="s">
        <v>429</v>
      </c>
    </row>
    <row r="792" spans="2:15">
      <c r="B792" s="174" t="s">
        <v>1928</v>
      </c>
      <c r="C792" s="175" t="s">
        <v>1311</v>
      </c>
      <c r="D792" s="176" t="s">
        <v>1312</v>
      </c>
      <c r="E792" s="177" t="s">
        <v>1929</v>
      </c>
      <c r="F792" s="175">
        <f t="shared" si="25"/>
        <v>11</v>
      </c>
      <c r="G792" s="175" t="str">
        <f t="shared" si="26"/>
        <v>Flagstaff</v>
      </c>
      <c r="H792" s="175"/>
      <c r="I792" s="178" t="s">
        <v>1930</v>
      </c>
      <c r="J792" s="27" t="s">
        <v>1312</v>
      </c>
      <c r="K792" s="27">
        <v>145</v>
      </c>
      <c r="L792" s="179">
        <v>7131</v>
      </c>
      <c r="M792" s="178" t="s">
        <v>1931</v>
      </c>
      <c r="N792" s="27" t="s">
        <v>1312</v>
      </c>
      <c r="O792" s="182" t="s">
        <v>1932</v>
      </c>
    </row>
    <row r="793" spans="2:15">
      <c r="B793" s="174" t="s">
        <v>2478</v>
      </c>
      <c r="C793" s="175" t="s">
        <v>1311</v>
      </c>
      <c r="D793" s="176" t="s">
        <v>1312</v>
      </c>
      <c r="E793" s="177" t="s">
        <v>2479</v>
      </c>
      <c r="F793" s="175">
        <f t="shared" si="25"/>
        <v>10</v>
      </c>
      <c r="G793" s="175" t="str">
        <f t="shared" si="26"/>
        <v>Prescott</v>
      </c>
      <c r="H793" s="175"/>
      <c r="I793" s="178" t="s">
        <v>1930</v>
      </c>
      <c r="J793" s="27" t="s">
        <v>1312</v>
      </c>
      <c r="K793" s="27">
        <v>145</v>
      </c>
      <c r="L793" s="179">
        <v>7131</v>
      </c>
      <c r="M793" s="178" t="s">
        <v>1931</v>
      </c>
      <c r="N793" s="27" t="s">
        <v>1312</v>
      </c>
      <c r="O793" s="182" t="s">
        <v>1932</v>
      </c>
    </row>
    <row r="794" spans="2:15">
      <c r="B794" s="174" t="s">
        <v>918</v>
      </c>
      <c r="C794" s="175" t="s">
        <v>1311</v>
      </c>
      <c r="D794" s="176" t="s">
        <v>1312</v>
      </c>
      <c r="E794" s="177" t="s">
        <v>919</v>
      </c>
      <c r="F794" s="175">
        <f t="shared" si="25"/>
        <v>9</v>
      </c>
      <c r="G794" s="175" t="str">
        <f t="shared" si="26"/>
        <v>Kingman</v>
      </c>
      <c r="H794" s="175"/>
      <c r="I794" s="178" t="s">
        <v>920</v>
      </c>
      <c r="J794" s="27" t="s">
        <v>1402</v>
      </c>
      <c r="K794" s="27">
        <v>3201</v>
      </c>
      <c r="L794" s="179">
        <v>2407</v>
      </c>
      <c r="M794" s="180" t="s">
        <v>921</v>
      </c>
      <c r="N794" s="181" t="s">
        <v>1402</v>
      </c>
      <c r="O794" s="182" t="s">
        <v>922</v>
      </c>
    </row>
    <row r="795" spans="2:15">
      <c r="B795" s="174" t="s">
        <v>738</v>
      </c>
      <c r="C795" s="175" t="s">
        <v>1311</v>
      </c>
      <c r="D795" s="176" t="s">
        <v>1312</v>
      </c>
      <c r="E795" s="177" t="s">
        <v>739</v>
      </c>
      <c r="F795" s="175">
        <f t="shared" si="25"/>
        <v>13</v>
      </c>
      <c r="G795" s="175" t="str">
        <f t="shared" si="26"/>
        <v>Window Rock</v>
      </c>
      <c r="H795" s="175"/>
      <c r="I795" s="178" t="s">
        <v>1930</v>
      </c>
      <c r="J795" s="27" t="s">
        <v>1312</v>
      </c>
      <c r="K795" s="27">
        <v>145</v>
      </c>
      <c r="L795" s="179">
        <v>7131</v>
      </c>
      <c r="M795" s="178" t="s">
        <v>1931</v>
      </c>
      <c r="N795" s="27" t="s">
        <v>1312</v>
      </c>
      <c r="O795" s="182" t="s">
        <v>1932</v>
      </c>
    </row>
    <row r="796" spans="2:15">
      <c r="B796" s="174" t="s">
        <v>1423</v>
      </c>
      <c r="C796" s="175" t="s">
        <v>424</v>
      </c>
      <c r="D796" s="176" t="s">
        <v>425</v>
      </c>
      <c r="E796" s="177" t="s">
        <v>1424</v>
      </c>
      <c r="F796" s="175">
        <f t="shared" si="25"/>
        <v>12</v>
      </c>
      <c r="G796" s="175" t="str">
        <f t="shared" si="26"/>
        <v>Bernalillo</v>
      </c>
      <c r="H796" s="175"/>
      <c r="I796" s="178" t="s">
        <v>427</v>
      </c>
      <c r="J796" s="27" t="s">
        <v>425</v>
      </c>
      <c r="K796" s="27">
        <v>1244</v>
      </c>
      <c r="L796" s="179">
        <v>4425</v>
      </c>
      <c r="M796" s="180" t="s">
        <v>428</v>
      </c>
      <c r="N796" s="181" t="s">
        <v>425</v>
      </c>
      <c r="O796" s="182" t="s">
        <v>429</v>
      </c>
    </row>
    <row r="797" spans="2:15">
      <c r="B797" s="174" t="s">
        <v>423</v>
      </c>
      <c r="C797" s="175" t="s">
        <v>424</v>
      </c>
      <c r="D797" s="176" t="s">
        <v>425</v>
      </c>
      <c r="E797" s="177" t="s">
        <v>426</v>
      </c>
      <c r="F797" s="175">
        <f t="shared" si="25"/>
        <v>13</v>
      </c>
      <c r="G797" s="175" t="str">
        <f t="shared" si="26"/>
        <v>Albuquerque</v>
      </c>
      <c r="H797" s="175"/>
      <c r="I797" s="178" t="s">
        <v>427</v>
      </c>
      <c r="J797" s="27" t="s">
        <v>425</v>
      </c>
      <c r="K797" s="27">
        <v>1244</v>
      </c>
      <c r="L797" s="179">
        <v>4425</v>
      </c>
      <c r="M797" s="180" t="s">
        <v>428</v>
      </c>
      <c r="N797" s="181" t="s">
        <v>425</v>
      </c>
      <c r="O797" s="182" t="s">
        <v>429</v>
      </c>
    </row>
    <row r="798" spans="2:15">
      <c r="B798" s="174" t="s">
        <v>430</v>
      </c>
      <c r="C798" s="175" t="s">
        <v>424</v>
      </c>
      <c r="D798" s="176" t="s">
        <v>425</v>
      </c>
      <c r="E798" s="177" t="s">
        <v>426</v>
      </c>
      <c r="F798" s="175">
        <f t="shared" si="25"/>
        <v>13</v>
      </c>
      <c r="G798" s="175" t="str">
        <f t="shared" si="26"/>
        <v>Albuquerque</v>
      </c>
      <c r="H798" s="175"/>
      <c r="I798" s="178" t="s">
        <v>427</v>
      </c>
      <c r="J798" s="27" t="s">
        <v>425</v>
      </c>
      <c r="K798" s="27">
        <v>1244</v>
      </c>
      <c r="L798" s="179">
        <v>4425</v>
      </c>
      <c r="M798" s="180" t="s">
        <v>428</v>
      </c>
      <c r="N798" s="181" t="s">
        <v>425</v>
      </c>
      <c r="O798" s="182" t="s">
        <v>429</v>
      </c>
    </row>
    <row r="799" spans="2:15">
      <c r="B799" s="174" t="s">
        <v>2003</v>
      </c>
      <c r="C799" s="175" t="s">
        <v>424</v>
      </c>
      <c r="D799" s="176" t="s">
        <v>425</v>
      </c>
      <c r="E799" s="177" t="s">
        <v>2004</v>
      </c>
      <c r="F799" s="175">
        <f t="shared" si="25"/>
        <v>8</v>
      </c>
      <c r="G799" s="175" t="str">
        <f t="shared" si="26"/>
        <v>Gallup</v>
      </c>
      <c r="H799" s="175"/>
      <c r="I799" s="178" t="s">
        <v>427</v>
      </c>
      <c r="J799" s="27" t="s">
        <v>425</v>
      </c>
      <c r="K799" s="27">
        <v>1244</v>
      </c>
      <c r="L799" s="179">
        <v>4425</v>
      </c>
      <c r="M799" s="180" t="s">
        <v>428</v>
      </c>
      <c r="N799" s="181" t="s">
        <v>425</v>
      </c>
      <c r="O799" s="182" t="s">
        <v>429</v>
      </c>
    </row>
    <row r="800" spans="2:15">
      <c r="B800" s="174" t="s">
        <v>1919</v>
      </c>
      <c r="C800" s="175" t="s">
        <v>424</v>
      </c>
      <c r="D800" s="176" t="s">
        <v>425</v>
      </c>
      <c r="E800" s="177" t="s">
        <v>1920</v>
      </c>
      <c r="F800" s="175">
        <f t="shared" si="25"/>
        <v>12</v>
      </c>
      <c r="G800" s="175" t="str">
        <f t="shared" si="26"/>
        <v>Farmington</v>
      </c>
      <c r="H800" s="175"/>
      <c r="I800" s="178" t="s">
        <v>1754</v>
      </c>
      <c r="J800" s="27" t="s">
        <v>403</v>
      </c>
      <c r="K800" s="27">
        <v>1183</v>
      </c>
      <c r="L800" s="179">
        <v>5548</v>
      </c>
      <c r="M800" s="178" t="s">
        <v>1755</v>
      </c>
      <c r="N800" s="27" t="s">
        <v>403</v>
      </c>
      <c r="O800" s="182" t="s">
        <v>1756</v>
      </c>
    </row>
    <row r="801" spans="2:15">
      <c r="B801" s="174" t="s">
        <v>1017</v>
      </c>
      <c r="C801" s="175" t="s">
        <v>424</v>
      </c>
      <c r="D801" s="176" t="s">
        <v>425</v>
      </c>
      <c r="E801" s="177" t="s">
        <v>1018</v>
      </c>
      <c r="F801" s="175">
        <f t="shared" si="25"/>
        <v>10</v>
      </c>
      <c r="G801" s="175" t="str">
        <f t="shared" si="26"/>
        <v>Santa Fe</v>
      </c>
      <c r="H801" s="175"/>
      <c r="I801" s="178" t="s">
        <v>427</v>
      </c>
      <c r="J801" s="27" t="s">
        <v>425</v>
      </c>
      <c r="K801" s="27">
        <v>1244</v>
      </c>
      <c r="L801" s="179">
        <v>4425</v>
      </c>
      <c r="M801" s="180" t="s">
        <v>1019</v>
      </c>
      <c r="N801" s="181" t="s">
        <v>425</v>
      </c>
      <c r="O801" s="182" t="s">
        <v>1020</v>
      </c>
    </row>
    <row r="802" spans="2:15">
      <c r="B802" s="174" t="s">
        <v>978</v>
      </c>
      <c r="C802" s="175" t="s">
        <v>424</v>
      </c>
      <c r="D802" s="176" t="s">
        <v>425</v>
      </c>
      <c r="E802" s="177" t="s">
        <v>979</v>
      </c>
      <c r="F802" s="175">
        <f t="shared" si="25"/>
        <v>11</v>
      </c>
      <c r="G802" s="175" t="str">
        <f t="shared" si="26"/>
        <v>Las Vegas</v>
      </c>
      <c r="H802" s="175"/>
      <c r="I802" s="178" t="s">
        <v>2100</v>
      </c>
      <c r="J802" s="27" t="s">
        <v>403</v>
      </c>
      <c r="K802" s="27">
        <v>973</v>
      </c>
      <c r="L802" s="179">
        <v>5413</v>
      </c>
      <c r="M802" s="180" t="s">
        <v>2101</v>
      </c>
      <c r="N802" s="181" t="s">
        <v>403</v>
      </c>
      <c r="O802" s="182" t="s">
        <v>2102</v>
      </c>
    </row>
    <row r="803" spans="2:15">
      <c r="B803" s="174" t="s">
        <v>2254</v>
      </c>
      <c r="C803" s="175" t="s">
        <v>424</v>
      </c>
      <c r="D803" s="176" t="s">
        <v>425</v>
      </c>
      <c r="E803" s="177" t="s">
        <v>2255</v>
      </c>
      <c r="F803" s="175">
        <f t="shared" si="25"/>
        <v>9</v>
      </c>
      <c r="G803" s="175" t="str">
        <f t="shared" si="26"/>
        <v>Socorro</v>
      </c>
      <c r="H803" s="175"/>
      <c r="I803" s="178" t="s">
        <v>427</v>
      </c>
      <c r="J803" s="27" t="s">
        <v>425</v>
      </c>
      <c r="K803" s="27">
        <v>1244</v>
      </c>
      <c r="L803" s="179">
        <v>4425</v>
      </c>
      <c r="M803" s="180" t="s">
        <v>428</v>
      </c>
      <c r="N803" s="181" t="s">
        <v>425</v>
      </c>
      <c r="O803" s="182" t="s">
        <v>429</v>
      </c>
    </row>
    <row r="804" spans="2:15">
      <c r="B804" s="174" t="s">
        <v>1764</v>
      </c>
      <c r="C804" s="175" t="s">
        <v>424</v>
      </c>
      <c r="D804" s="176" t="s">
        <v>425</v>
      </c>
      <c r="E804" s="177" t="s">
        <v>1765</v>
      </c>
      <c r="F804" s="175">
        <f t="shared" si="25"/>
        <v>18</v>
      </c>
      <c r="G804" s="175" t="str">
        <f t="shared" si="26"/>
        <v>Truth or Conseq.</v>
      </c>
      <c r="H804" s="175"/>
      <c r="I804" s="178" t="s">
        <v>62</v>
      </c>
      <c r="J804" s="27" t="s">
        <v>264</v>
      </c>
      <c r="K804" s="27">
        <v>2094</v>
      </c>
      <c r="L804" s="179">
        <v>2708</v>
      </c>
      <c r="M804" s="180" t="s">
        <v>59</v>
      </c>
      <c r="N804" s="181" t="s">
        <v>264</v>
      </c>
      <c r="O804" s="182" t="s">
        <v>60</v>
      </c>
    </row>
    <row r="805" spans="2:15">
      <c r="B805" s="174" t="s">
        <v>976</v>
      </c>
      <c r="C805" s="175" t="s">
        <v>424</v>
      </c>
      <c r="D805" s="176" t="s">
        <v>425</v>
      </c>
      <c r="E805" s="177" t="s">
        <v>977</v>
      </c>
      <c r="F805" s="175">
        <f t="shared" si="25"/>
        <v>12</v>
      </c>
      <c r="G805" s="175" t="str">
        <f t="shared" si="26"/>
        <v>Las Cruces</v>
      </c>
      <c r="H805" s="175"/>
      <c r="I805" s="178" t="s">
        <v>62</v>
      </c>
      <c r="J805" s="27" t="s">
        <v>264</v>
      </c>
      <c r="K805" s="27">
        <v>2094</v>
      </c>
      <c r="L805" s="179">
        <v>2708</v>
      </c>
      <c r="M805" s="180" t="s">
        <v>59</v>
      </c>
      <c r="N805" s="181" t="s">
        <v>264</v>
      </c>
      <c r="O805" s="182" t="s">
        <v>60</v>
      </c>
    </row>
    <row r="806" spans="2:15">
      <c r="B806" s="174" t="s">
        <v>700</v>
      </c>
      <c r="C806" s="175" t="s">
        <v>424</v>
      </c>
      <c r="D806" s="176" t="s">
        <v>425</v>
      </c>
      <c r="E806" s="177" t="s">
        <v>701</v>
      </c>
      <c r="F806" s="175">
        <f t="shared" si="25"/>
        <v>8</v>
      </c>
      <c r="G806" s="175" t="str">
        <f t="shared" si="26"/>
        <v>Clovis</v>
      </c>
      <c r="H806" s="175"/>
      <c r="I806" s="178" t="s">
        <v>702</v>
      </c>
      <c r="J806" s="27" t="s">
        <v>425</v>
      </c>
      <c r="K806" s="27">
        <v>772</v>
      </c>
      <c r="L806" s="179">
        <v>5064</v>
      </c>
      <c r="M806" s="180" t="s">
        <v>280</v>
      </c>
      <c r="N806" s="181" t="s">
        <v>264</v>
      </c>
      <c r="O806" s="182" t="s">
        <v>281</v>
      </c>
    </row>
    <row r="807" spans="2:15">
      <c r="B807" s="174" t="s">
        <v>326</v>
      </c>
      <c r="C807" s="175" t="s">
        <v>424</v>
      </c>
      <c r="D807" s="176" t="s">
        <v>425</v>
      </c>
      <c r="E807" s="177" t="s">
        <v>327</v>
      </c>
      <c r="F807" s="175">
        <f t="shared" si="25"/>
        <v>9</v>
      </c>
      <c r="G807" s="175" t="str">
        <f t="shared" si="26"/>
        <v>Roswell</v>
      </c>
      <c r="H807" s="175"/>
      <c r="I807" s="178" t="s">
        <v>328</v>
      </c>
      <c r="J807" s="27" t="s">
        <v>425</v>
      </c>
      <c r="K807" s="27">
        <v>1776</v>
      </c>
      <c r="L807" s="179">
        <v>3267</v>
      </c>
      <c r="M807" s="180" t="s">
        <v>2377</v>
      </c>
      <c r="N807" s="181" t="s">
        <v>264</v>
      </c>
      <c r="O807" s="182" t="s">
        <v>2378</v>
      </c>
    </row>
    <row r="808" spans="2:15">
      <c r="B808" s="174" t="s">
        <v>1393</v>
      </c>
      <c r="C808" s="175" t="s">
        <v>424</v>
      </c>
      <c r="D808" s="176" t="s">
        <v>425</v>
      </c>
      <c r="E808" s="177" t="s">
        <v>1394</v>
      </c>
      <c r="F808" s="175">
        <f t="shared" si="25"/>
        <v>11</v>
      </c>
      <c r="G808" s="175" t="str">
        <f t="shared" si="26"/>
        <v>Carrizozo</v>
      </c>
      <c r="H808" s="175"/>
      <c r="I808" s="178" t="s">
        <v>427</v>
      </c>
      <c r="J808" s="27" t="s">
        <v>425</v>
      </c>
      <c r="K808" s="27">
        <v>1244</v>
      </c>
      <c r="L808" s="179">
        <v>4425</v>
      </c>
      <c r="M808" s="180" t="s">
        <v>428</v>
      </c>
      <c r="N808" s="181" t="s">
        <v>425</v>
      </c>
      <c r="O808" s="182" t="s">
        <v>429</v>
      </c>
    </row>
    <row r="809" spans="2:15">
      <c r="B809" s="174" t="s">
        <v>1768</v>
      </c>
      <c r="C809" s="175" t="s">
        <v>424</v>
      </c>
      <c r="D809" s="176" t="s">
        <v>425</v>
      </c>
      <c r="E809" s="177" t="s">
        <v>1769</v>
      </c>
      <c r="F809" s="175">
        <f t="shared" si="25"/>
        <v>11</v>
      </c>
      <c r="G809" s="175" t="str">
        <f t="shared" si="26"/>
        <v>Tucumcari</v>
      </c>
      <c r="H809" s="175"/>
      <c r="I809" s="178" t="s">
        <v>702</v>
      </c>
      <c r="J809" s="27" t="s">
        <v>425</v>
      </c>
      <c r="K809" s="27">
        <v>772</v>
      </c>
      <c r="L809" s="179">
        <v>5064</v>
      </c>
      <c r="M809" s="180" t="s">
        <v>280</v>
      </c>
      <c r="N809" s="181" t="s">
        <v>264</v>
      </c>
      <c r="O809" s="182" t="s">
        <v>281</v>
      </c>
    </row>
    <row r="810" spans="2:15">
      <c r="B810" s="174" t="s">
        <v>870</v>
      </c>
      <c r="C810" s="175" t="s">
        <v>1401</v>
      </c>
      <c r="D810" s="176" t="s">
        <v>1402</v>
      </c>
      <c r="E810" s="177" t="s">
        <v>871</v>
      </c>
      <c r="F810" s="175">
        <f t="shared" si="25"/>
        <v>9</v>
      </c>
      <c r="G810" s="175" t="str">
        <f t="shared" si="26"/>
        <v>Tonopah</v>
      </c>
      <c r="H810" s="175"/>
      <c r="I810" s="178" t="s">
        <v>1229</v>
      </c>
      <c r="J810" s="27" t="s">
        <v>1199</v>
      </c>
      <c r="K810" s="27">
        <v>647</v>
      </c>
      <c r="L810" s="179">
        <v>6511</v>
      </c>
      <c r="M810" s="180" t="s">
        <v>921</v>
      </c>
      <c r="N810" s="181" t="s">
        <v>1402</v>
      </c>
      <c r="O810" s="182" t="s">
        <v>922</v>
      </c>
    </row>
    <row r="811" spans="2:15">
      <c r="B811" s="174" t="s">
        <v>2103</v>
      </c>
      <c r="C811" s="175" t="s">
        <v>1401</v>
      </c>
      <c r="D811" s="176" t="s">
        <v>1402</v>
      </c>
      <c r="E811" s="177" t="s">
        <v>979</v>
      </c>
      <c r="F811" s="175">
        <f t="shared" si="25"/>
        <v>11</v>
      </c>
      <c r="G811" s="175" t="str">
        <f t="shared" si="26"/>
        <v>Las Vegas</v>
      </c>
      <c r="H811" s="175"/>
      <c r="I811" s="178" t="s">
        <v>920</v>
      </c>
      <c r="J811" s="27" t="s">
        <v>1402</v>
      </c>
      <c r="K811" s="27">
        <v>3201</v>
      </c>
      <c r="L811" s="179">
        <v>2407</v>
      </c>
      <c r="M811" s="180" t="s">
        <v>921</v>
      </c>
      <c r="N811" s="181" t="s">
        <v>1402</v>
      </c>
      <c r="O811" s="182" t="s">
        <v>922</v>
      </c>
    </row>
    <row r="812" spans="2:15">
      <c r="B812" s="174" t="s">
        <v>1048</v>
      </c>
      <c r="C812" s="175" t="s">
        <v>1401</v>
      </c>
      <c r="D812" s="176" t="s">
        <v>1402</v>
      </c>
      <c r="E812" s="177" t="s">
        <v>1049</v>
      </c>
      <c r="F812" s="175">
        <f t="shared" si="25"/>
        <v>5</v>
      </c>
      <c r="G812" s="175" t="str">
        <f t="shared" si="26"/>
        <v>Ely</v>
      </c>
      <c r="H812" s="175"/>
      <c r="I812" s="178" t="s">
        <v>1050</v>
      </c>
      <c r="J812" s="27" t="s">
        <v>1402</v>
      </c>
      <c r="K812" s="27">
        <v>208</v>
      </c>
      <c r="L812" s="179">
        <v>7621</v>
      </c>
      <c r="M812" s="180" t="s">
        <v>1405</v>
      </c>
      <c r="N812" s="181" t="s">
        <v>1402</v>
      </c>
      <c r="O812" s="182" t="s">
        <v>1406</v>
      </c>
    </row>
    <row r="813" spans="2:15">
      <c r="B813" s="174" t="s">
        <v>2511</v>
      </c>
      <c r="C813" s="175" t="s">
        <v>1401</v>
      </c>
      <c r="D813" s="176" t="s">
        <v>1402</v>
      </c>
      <c r="E813" s="177" t="s">
        <v>2512</v>
      </c>
      <c r="F813" s="175">
        <f t="shared" si="25"/>
        <v>6</v>
      </c>
      <c r="G813" s="175" t="str">
        <f t="shared" si="26"/>
        <v>Reno</v>
      </c>
      <c r="H813" s="175"/>
      <c r="I813" s="178" t="s">
        <v>1404</v>
      </c>
      <c r="J813" s="27" t="s">
        <v>1402</v>
      </c>
      <c r="K813" s="27">
        <v>508</v>
      </c>
      <c r="L813" s="179">
        <v>5674</v>
      </c>
      <c r="M813" s="180" t="s">
        <v>1405</v>
      </c>
      <c r="N813" s="181" t="s">
        <v>1402</v>
      </c>
      <c r="O813" s="182" t="s">
        <v>1406</v>
      </c>
    </row>
    <row r="814" spans="2:15">
      <c r="B814" s="174" t="s">
        <v>2513</v>
      </c>
      <c r="C814" s="175" t="s">
        <v>1401</v>
      </c>
      <c r="D814" s="176" t="s">
        <v>1402</v>
      </c>
      <c r="E814" s="177" t="s">
        <v>2512</v>
      </c>
      <c r="F814" s="175">
        <f t="shared" si="25"/>
        <v>6</v>
      </c>
      <c r="G814" s="175" t="str">
        <f t="shared" si="26"/>
        <v>Reno</v>
      </c>
      <c r="H814" s="175"/>
      <c r="I814" s="178" t="s">
        <v>1404</v>
      </c>
      <c r="J814" s="27" t="s">
        <v>1402</v>
      </c>
      <c r="K814" s="27">
        <v>508</v>
      </c>
      <c r="L814" s="179">
        <v>5674</v>
      </c>
      <c r="M814" s="180" t="s">
        <v>1405</v>
      </c>
      <c r="N814" s="181" t="s">
        <v>1402</v>
      </c>
      <c r="O814" s="182" t="s">
        <v>1406</v>
      </c>
    </row>
    <row r="815" spans="2:15">
      <c r="B815" s="174" t="s">
        <v>2514</v>
      </c>
      <c r="C815" s="175" t="s">
        <v>1401</v>
      </c>
      <c r="D815" s="176" t="s">
        <v>1402</v>
      </c>
      <c r="E815" s="177" t="s">
        <v>2512</v>
      </c>
      <c r="F815" s="175">
        <f t="shared" si="25"/>
        <v>6</v>
      </c>
      <c r="G815" s="175" t="str">
        <f t="shared" si="26"/>
        <v>Reno</v>
      </c>
      <c r="H815" s="175"/>
      <c r="I815" s="178" t="s">
        <v>1404</v>
      </c>
      <c r="J815" s="27" t="s">
        <v>1402</v>
      </c>
      <c r="K815" s="27">
        <v>508</v>
      </c>
      <c r="L815" s="179">
        <v>5674</v>
      </c>
      <c r="M815" s="180" t="s">
        <v>1405</v>
      </c>
      <c r="N815" s="181" t="s">
        <v>1402</v>
      </c>
      <c r="O815" s="182" t="s">
        <v>1406</v>
      </c>
    </row>
    <row r="816" spans="2:15">
      <c r="B816" s="174" t="s">
        <v>1400</v>
      </c>
      <c r="C816" s="175" t="s">
        <v>1401</v>
      </c>
      <c r="D816" s="176" t="s">
        <v>1402</v>
      </c>
      <c r="E816" s="177" t="s">
        <v>1403</v>
      </c>
      <c r="F816" s="175">
        <f t="shared" si="25"/>
        <v>13</v>
      </c>
      <c r="G816" s="175" t="str">
        <f t="shared" si="26"/>
        <v>Carson City</v>
      </c>
      <c r="H816" s="175"/>
      <c r="I816" s="178" t="s">
        <v>1404</v>
      </c>
      <c r="J816" s="27" t="s">
        <v>1402</v>
      </c>
      <c r="K816" s="27">
        <v>508</v>
      </c>
      <c r="L816" s="179">
        <v>5674</v>
      </c>
      <c r="M816" s="180" t="s">
        <v>1405</v>
      </c>
      <c r="N816" s="181" t="s">
        <v>1402</v>
      </c>
      <c r="O816" s="182" t="s">
        <v>1406</v>
      </c>
    </row>
    <row r="817" spans="2:15">
      <c r="B817" s="174" t="s">
        <v>75</v>
      </c>
      <c r="C817" s="175" t="s">
        <v>1401</v>
      </c>
      <c r="D817" s="176" t="s">
        <v>1402</v>
      </c>
      <c r="E817" s="177" t="s">
        <v>76</v>
      </c>
      <c r="F817" s="175">
        <f t="shared" si="25"/>
        <v>6</v>
      </c>
      <c r="G817" s="175" t="str">
        <f t="shared" si="26"/>
        <v>Elko</v>
      </c>
      <c r="H817" s="175"/>
      <c r="I817" s="178" t="s">
        <v>1036</v>
      </c>
      <c r="J817" s="27" t="s">
        <v>1402</v>
      </c>
      <c r="K817" s="27">
        <v>457</v>
      </c>
      <c r="L817" s="179">
        <v>7077</v>
      </c>
      <c r="M817" s="180" t="s">
        <v>1405</v>
      </c>
      <c r="N817" s="181" t="s">
        <v>1402</v>
      </c>
      <c r="O817" s="182" t="s">
        <v>1406</v>
      </c>
    </row>
    <row r="818" spans="2:15">
      <c r="B818" s="174" t="s">
        <v>2147</v>
      </c>
      <c r="C818" s="175" t="s">
        <v>442</v>
      </c>
      <c r="D818" s="176" t="s">
        <v>443</v>
      </c>
      <c r="E818" s="177" t="s">
        <v>2148</v>
      </c>
      <c r="F818" s="175">
        <f t="shared" si="25"/>
        <v>13</v>
      </c>
      <c r="G818" s="175" t="str">
        <f t="shared" si="26"/>
        <v>Los Angeles</v>
      </c>
      <c r="H818" s="175"/>
      <c r="I818" s="178" t="s">
        <v>98</v>
      </c>
      <c r="J818" s="27" t="s">
        <v>443</v>
      </c>
      <c r="K818" s="27">
        <v>727</v>
      </c>
      <c r="L818" s="179">
        <v>1458</v>
      </c>
      <c r="M818" s="178" t="s">
        <v>446</v>
      </c>
      <c r="N818" s="27" t="s">
        <v>443</v>
      </c>
      <c r="O818" s="182" t="s">
        <v>447</v>
      </c>
    </row>
    <row r="819" spans="2:15">
      <c r="B819" s="174" t="s">
        <v>2149</v>
      </c>
      <c r="C819" s="175" t="s">
        <v>442</v>
      </c>
      <c r="D819" s="176" t="s">
        <v>443</v>
      </c>
      <c r="E819" s="177" t="s">
        <v>2148</v>
      </c>
      <c r="F819" s="175">
        <f t="shared" si="25"/>
        <v>13</v>
      </c>
      <c r="G819" s="175" t="str">
        <f t="shared" si="26"/>
        <v>Los Angeles</v>
      </c>
      <c r="H819" s="175"/>
      <c r="I819" s="178" t="s">
        <v>98</v>
      </c>
      <c r="J819" s="27" t="s">
        <v>443</v>
      </c>
      <c r="K819" s="27">
        <v>727</v>
      </c>
      <c r="L819" s="179">
        <v>1458</v>
      </c>
      <c r="M819" s="178" t="s">
        <v>446</v>
      </c>
      <c r="N819" s="27" t="s">
        <v>443</v>
      </c>
      <c r="O819" s="182" t="s">
        <v>447</v>
      </c>
    </row>
    <row r="820" spans="2:15">
      <c r="B820" s="174" t="s">
        <v>2150</v>
      </c>
      <c r="C820" s="175" t="s">
        <v>442</v>
      </c>
      <c r="D820" s="176" t="s">
        <v>443</v>
      </c>
      <c r="E820" s="177" t="s">
        <v>2148</v>
      </c>
      <c r="F820" s="175">
        <f t="shared" si="25"/>
        <v>13</v>
      </c>
      <c r="G820" s="175" t="str">
        <f t="shared" si="26"/>
        <v>Los Angeles</v>
      </c>
      <c r="H820" s="175"/>
      <c r="I820" s="178" t="s">
        <v>98</v>
      </c>
      <c r="J820" s="27" t="s">
        <v>443</v>
      </c>
      <c r="K820" s="27">
        <v>727</v>
      </c>
      <c r="L820" s="179">
        <v>1458</v>
      </c>
      <c r="M820" s="178" t="s">
        <v>446</v>
      </c>
      <c r="N820" s="27" t="s">
        <v>443</v>
      </c>
      <c r="O820" s="182" t="s">
        <v>447</v>
      </c>
    </row>
    <row r="821" spans="2:15">
      <c r="B821" s="174" t="s">
        <v>96</v>
      </c>
      <c r="C821" s="175" t="s">
        <v>442</v>
      </c>
      <c r="D821" s="176" t="s">
        <v>443</v>
      </c>
      <c r="E821" s="177" t="s">
        <v>97</v>
      </c>
      <c r="F821" s="175">
        <f t="shared" si="25"/>
        <v>11</v>
      </c>
      <c r="G821" s="175" t="str">
        <f t="shared" si="26"/>
        <v>Inglewood</v>
      </c>
      <c r="H821" s="175"/>
      <c r="I821" s="178" t="s">
        <v>98</v>
      </c>
      <c r="J821" s="27" t="s">
        <v>443</v>
      </c>
      <c r="K821" s="27">
        <v>727</v>
      </c>
      <c r="L821" s="179">
        <v>1458</v>
      </c>
      <c r="M821" s="178" t="s">
        <v>446</v>
      </c>
      <c r="N821" s="27" t="s">
        <v>443</v>
      </c>
      <c r="O821" s="182" t="s">
        <v>447</v>
      </c>
    </row>
    <row r="822" spans="2:15">
      <c r="B822" s="174" t="s">
        <v>1021</v>
      </c>
      <c r="C822" s="175" t="s">
        <v>442</v>
      </c>
      <c r="D822" s="176" t="s">
        <v>443</v>
      </c>
      <c r="E822" s="177" t="s">
        <v>1022</v>
      </c>
      <c r="F822" s="175">
        <f t="shared" si="25"/>
        <v>14</v>
      </c>
      <c r="G822" s="175" t="str">
        <f t="shared" si="26"/>
        <v>Santa Monica</v>
      </c>
      <c r="H822" s="175"/>
      <c r="I822" s="178" t="s">
        <v>98</v>
      </c>
      <c r="J822" s="27" t="s">
        <v>443</v>
      </c>
      <c r="K822" s="27">
        <v>727</v>
      </c>
      <c r="L822" s="179">
        <v>1458</v>
      </c>
      <c r="M822" s="178" t="s">
        <v>446</v>
      </c>
      <c r="N822" s="27" t="s">
        <v>443</v>
      </c>
      <c r="O822" s="182" t="s">
        <v>447</v>
      </c>
    </row>
    <row r="823" spans="2:15">
      <c r="B823" s="174" t="s">
        <v>876</v>
      </c>
      <c r="C823" s="175" t="s">
        <v>442</v>
      </c>
      <c r="D823" s="176" t="s">
        <v>443</v>
      </c>
      <c r="E823" s="177" t="s">
        <v>877</v>
      </c>
      <c r="F823" s="175">
        <f t="shared" si="25"/>
        <v>10</v>
      </c>
      <c r="G823" s="175" t="str">
        <f t="shared" si="26"/>
        <v>Torrance</v>
      </c>
      <c r="H823" s="175"/>
      <c r="I823" s="178" t="s">
        <v>471</v>
      </c>
      <c r="J823" s="27" t="s">
        <v>443</v>
      </c>
      <c r="K823" s="27">
        <v>1201</v>
      </c>
      <c r="L823" s="179">
        <v>1430</v>
      </c>
      <c r="M823" s="178" t="s">
        <v>446</v>
      </c>
      <c r="N823" s="27" t="s">
        <v>443</v>
      </c>
      <c r="O823" s="182" t="s">
        <v>447</v>
      </c>
    </row>
    <row r="824" spans="2:15">
      <c r="B824" s="174" t="s">
        <v>1860</v>
      </c>
      <c r="C824" s="175" t="s">
        <v>442</v>
      </c>
      <c r="D824" s="176" t="s">
        <v>443</v>
      </c>
      <c r="E824" s="177" t="s">
        <v>711</v>
      </c>
      <c r="F824" s="175">
        <f t="shared" si="25"/>
        <v>10</v>
      </c>
      <c r="G824" s="175" t="str">
        <f t="shared" si="26"/>
        <v>Whittier</v>
      </c>
      <c r="H824" s="175"/>
      <c r="I824" s="178" t="s">
        <v>471</v>
      </c>
      <c r="J824" s="27" t="s">
        <v>443</v>
      </c>
      <c r="K824" s="27">
        <v>1201</v>
      </c>
      <c r="L824" s="179">
        <v>1430</v>
      </c>
      <c r="M824" s="178" t="s">
        <v>446</v>
      </c>
      <c r="N824" s="27" t="s">
        <v>443</v>
      </c>
      <c r="O824" s="182" t="s">
        <v>447</v>
      </c>
    </row>
    <row r="825" spans="2:15">
      <c r="B825" s="174" t="s">
        <v>1007</v>
      </c>
      <c r="C825" s="175" t="s">
        <v>442</v>
      </c>
      <c r="D825" s="176" t="s">
        <v>443</v>
      </c>
      <c r="E825" s="177" t="s">
        <v>1008</v>
      </c>
      <c r="F825" s="175">
        <f t="shared" si="25"/>
        <v>11</v>
      </c>
      <c r="G825" s="175" t="str">
        <f t="shared" si="26"/>
        <v>San Pedro</v>
      </c>
      <c r="H825" s="175"/>
      <c r="I825" s="178" t="s">
        <v>471</v>
      </c>
      <c r="J825" s="27" t="s">
        <v>443</v>
      </c>
      <c r="K825" s="27">
        <v>1201</v>
      </c>
      <c r="L825" s="179">
        <v>1430</v>
      </c>
      <c r="M825" s="178" t="s">
        <v>446</v>
      </c>
      <c r="N825" s="27" t="s">
        <v>443</v>
      </c>
      <c r="O825" s="182" t="s">
        <v>447</v>
      </c>
    </row>
    <row r="826" spans="2:15">
      <c r="B826" s="174" t="s">
        <v>2141</v>
      </c>
      <c r="C826" s="175" t="s">
        <v>442</v>
      </c>
      <c r="D826" s="176" t="s">
        <v>443</v>
      </c>
      <c r="E826" s="177" t="s">
        <v>2142</v>
      </c>
      <c r="F826" s="175">
        <f t="shared" si="25"/>
        <v>12</v>
      </c>
      <c r="G826" s="175" t="str">
        <f t="shared" si="26"/>
        <v>Long Beach</v>
      </c>
      <c r="H826" s="175"/>
      <c r="I826" s="178" t="s">
        <v>471</v>
      </c>
      <c r="J826" s="27" t="s">
        <v>443</v>
      </c>
      <c r="K826" s="27">
        <v>1201</v>
      </c>
      <c r="L826" s="179">
        <v>1430</v>
      </c>
      <c r="M826" s="178" t="s">
        <v>446</v>
      </c>
      <c r="N826" s="27" t="s">
        <v>443</v>
      </c>
      <c r="O826" s="182" t="s">
        <v>447</v>
      </c>
    </row>
    <row r="827" spans="2:15">
      <c r="B827" s="174" t="s">
        <v>615</v>
      </c>
      <c r="C827" s="175" t="s">
        <v>442</v>
      </c>
      <c r="D827" s="176" t="s">
        <v>443</v>
      </c>
      <c r="E827" s="177" t="s">
        <v>616</v>
      </c>
      <c r="F827" s="175">
        <f t="shared" si="25"/>
        <v>10</v>
      </c>
      <c r="G827" s="175" t="str">
        <f t="shared" si="26"/>
        <v>Pasadena</v>
      </c>
      <c r="H827" s="175"/>
      <c r="I827" s="178" t="s">
        <v>445</v>
      </c>
      <c r="J827" s="27" t="s">
        <v>443</v>
      </c>
      <c r="K827" s="27">
        <v>1537</v>
      </c>
      <c r="L827" s="179">
        <v>1154</v>
      </c>
      <c r="M827" s="178" t="s">
        <v>446</v>
      </c>
      <c r="N827" s="27" t="s">
        <v>443</v>
      </c>
      <c r="O827" s="182" t="s">
        <v>447</v>
      </c>
    </row>
    <row r="828" spans="2:15">
      <c r="B828" s="174" t="s">
        <v>617</v>
      </c>
      <c r="C828" s="175" t="s">
        <v>442</v>
      </c>
      <c r="D828" s="176" t="s">
        <v>443</v>
      </c>
      <c r="E828" s="177" t="s">
        <v>616</v>
      </c>
      <c r="F828" s="175">
        <f t="shared" si="25"/>
        <v>10</v>
      </c>
      <c r="G828" s="175" t="str">
        <f t="shared" si="26"/>
        <v>Pasadena</v>
      </c>
      <c r="H828" s="175"/>
      <c r="I828" s="178" t="s">
        <v>445</v>
      </c>
      <c r="J828" s="27" t="s">
        <v>443</v>
      </c>
      <c r="K828" s="27">
        <v>1537</v>
      </c>
      <c r="L828" s="179">
        <v>1154</v>
      </c>
      <c r="M828" s="178" t="s">
        <v>446</v>
      </c>
      <c r="N828" s="27" t="s">
        <v>443</v>
      </c>
      <c r="O828" s="182" t="s">
        <v>447</v>
      </c>
    </row>
    <row r="829" spans="2:15">
      <c r="B829" s="174" t="s">
        <v>2022</v>
      </c>
      <c r="C829" s="175" t="s">
        <v>442</v>
      </c>
      <c r="D829" s="176" t="s">
        <v>443</v>
      </c>
      <c r="E829" s="177" t="s">
        <v>2023</v>
      </c>
      <c r="F829" s="175">
        <f t="shared" si="25"/>
        <v>10</v>
      </c>
      <c r="G829" s="175" t="str">
        <f t="shared" si="26"/>
        <v>Glendale</v>
      </c>
      <c r="H829" s="175"/>
      <c r="I829" s="178" t="s">
        <v>445</v>
      </c>
      <c r="J829" s="27" t="s">
        <v>443</v>
      </c>
      <c r="K829" s="27">
        <v>1537</v>
      </c>
      <c r="L829" s="179">
        <v>1154</v>
      </c>
      <c r="M829" s="178" t="s">
        <v>446</v>
      </c>
      <c r="N829" s="27" t="s">
        <v>443</v>
      </c>
      <c r="O829" s="182" t="s">
        <v>447</v>
      </c>
    </row>
    <row r="830" spans="2:15">
      <c r="B830" s="174" t="s">
        <v>1796</v>
      </c>
      <c r="C830" s="175" t="s">
        <v>442</v>
      </c>
      <c r="D830" s="176" t="s">
        <v>443</v>
      </c>
      <c r="E830" s="177" t="s">
        <v>1797</v>
      </c>
      <c r="F830" s="175">
        <f t="shared" si="25"/>
        <v>10</v>
      </c>
      <c r="G830" s="175" t="str">
        <f t="shared" si="26"/>
        <v>Van Nuys</v>
      </c>
      <c r="H830" s="175"/>
      <c r="I830" s="178" t="s">
        <v>1575</v>
      </c>
      <c r="J830" s="27" t="s">
        <v>443</v>
      </c>
      <c r="K830" s="27">
        <v>2365</v>
      </c>
      <c r="L830" s="179">
        <v>2182</v>
      </c>
      <c r="M830" s="178" t="s">
        <v>446</v>
      </c>
      <c r="N830" s="27" t="s">
        <v>443</v>
      </c>
      <c r="O830" s="182" t="s">
        <v>447</v>
      </c>
    </row>
    <row r="831" spans="2:15">
      <c r="B831" s="174" t="s">
        <v>1798</v>
      </c>
      <c r="C831" s="175" t="s">
        <v>442</v>
      </c>
      <c r="D831" s="176" t="s">
        <v>443</v>
      </c>
      <c r="E831" s="177" t="s">
        <v>1797</v>
      </c>
      <c r="F831" s="175">
        <f t="shared" si="25"/>
        <v>10</v>
      </c>
      <c r="G831" s="175" t="str">
        <f t="shared" si="26"/>
        <v>Van Nuys</v>
      </c>
      <c r="H831" s="175"/>
      <c r="I831" s="178" t="s">
        <v>445</v>
      </c>
      <c r="J831" s="27" t="s">
        <v>443</v>
      </c>
      <c r="K831" s="27">
        <v>1537</v>
      </c>
      <c r="L831" s="179">
        <v>1154</v>
      </c>
      <c r="M831" s="178" t="s">
        <v>446</v>
      </c>
      <c r="N831" s="27" t="s">
        <v>443</v>
      </c>
      <c r="O831" s="182" t="s">
        <v>447</v>
      </c>
    </row>
    <row r="832" spans="2:15">
      <c r="B832" s="174" t="s">
        <v>1330</v>
      </c>
      <c r="C832" s="175" t="s">
        <v>442</v>
      </c>
      <c r="D832" s="176" t="s">
        <v>443</v>
      </c>
      <c r="E832" s="177" t="s">
        <v>1331</v>
      </c>
      <c r="F832" s="175">
        <f t="shared" si="25"/>
        <v>9</v>
      </c>
      <c r="G832" s="175" t="str">
        <f t="shared" si="26"/>
        <v>Burbank</v>
      </c>
      <c r="H832" s="175"/>
      <c r="I832" s="178" t="s">
        <v>445</v>
      </c>
      <c r="J832" s="27" t="s">
        <v>443</v>
      </c>
      <c r="K832" s="27">
        <v>1537</v>
      </c>
      <c r="L832" s="179">
        <v>1154</v>
      </c>
      <c r="M832" s="178" t="s">
        <v>446</v>
      </c>
      <c r="N832" s="27" t="s">
        <v>443</v>
      </c>
      <c r="O832" s="182" t="s">
        <v>447</v>
      </c>
    </row>
    <row r="833" spans="2:15">
      <c r="B833" s="174" t="s">
        <v>1178</v>
      </c>
      <c r="C833" s="175" t="s">
        <v>442</v>
      </c>
      <c r="D833" s="176" t="s">
        <v>443</v>
      </c>
      <c r="E833" s="177" t="s">
        <v>1179</v>
      </c>
      <c r="F833" s="175">
        <f t="shared" si="25"/>
        <v>17</v>
      </c>
      <c r="G833" s="175" t="str">
        <f t="shared" si="26"/>
        <v>North Hollywood</v>
      </c>
      <c r="H833" s="175"/>
      <c r="I833" s="178" t="s">
        <v>445</v>
      </c>
      <c r="J833" s="27" t="s">
        <v>443</v>
      </c>
      <c r="K833" s="27">
        <v>1537</v>
      </c>
      <c r="L833" s="179">
        <v>1154</v>
      </c>
      <c r="M833" s="178" t="s">
        <v>446</v>
      </c>
      <c r="N833" s="27" t="s">
        <v>443</v>
      </c>
      <c r="O833" s="182" t="s">
        <v>447</v>
      </c>
    </row>
    <row r="834" spans="2:15">
      <c r="B834" s="174" t="s">
        <v>1670</v>
      </c>
      <c r="C834" s="175" t="s">
        <v>442</v>
      </c>
      <c r="D834" s="176" t="s">
        <v>443</v>
      </c>
      <c r="E834" s="177" t="s">
        <v>1671</v>
      </c>
      <c r="F834" s="175">
        <f t="shared" si="25"/>
        <v>8</v>
      </c>
      <c r="G834" s="175" t="str">
        <f t="shared" si="26"/>
        <v>Covina</v>
      </c>
      <c r="H834" s="175"/>
      <c r="I834" s="178" t="s">
        <v>471</v>
      </c>
      <c r="J834" s="27" t="s">
        <v>443</v>
      </c>
      <c r="K834" s="27">
        <v>1201</v>
      </c>
      <c r="L834" s="179">
        <v>1430</v>
      </c>
      <c r="M834" s="178" t="s">
        <v>446</v>
      </c>
      <c r="N834" s="27" t="s">
        <v>443</v>
      </c>
      <c r="O834" s="182" t="s">
        <v>447</v>
      </c>
    </row>
    <row r="835" spans="2:15">
      <c r="B835" s="174" t="s">
        <v>441</v>
      </c>
      <c r="C835" s="175" t="s">
        <v>442</v>
      </c>
      <c r="D835" s="176" t="s">
        <v>443</v>
      </c>
      <c r="E835" s="177" t="s">
        <v>444</v>
      </c>
      <c r="F835" s="175">
        <f t="shared" si="25"/>
        <v>10</v>
      </c>
      <c r="G835" s="175" t="str">
        <f t="shared" si="26"/>
        <v>Alhambra</v>
      </c>
      <c r="H835" s="175"/>
      <c r="I835" s="178" t="s">
        <v>445</v>
      </c>
      <c r="J835" s="27" t="s">
        <v>443</v>
      </c>
      <c r="K835" s="27">
        <v>1537</v>
      </c>
      <c r="L835" s="179">
        <v>1154</v>
      </c>
      <c r="M835" s="178" t="s">
        <v>446</v>
      </c>
      <c r="N835" s="27" t="s">
        <v>443</v>
      </c>
      <c r="O835" s="182" t="s">
        <v>447</v>
      </c>
    </row>
    <row r="836" spans="2:15">
      <c r="B836" s="174" t="s">
        <v>383</v>
      </c>
      <c r="C836" s="175" t="s">
        <v>442</v>
      </c>
      <c r="D836" s="176" t="s">
        <v>443</v>
      </c>
      <c r="E836" s="177" t="s">
        <v>384</v>
      </c>
      <c r="F836" s="175">
        <f t="shared" si="25"/>
        <v>11</v>
      </c>
      <c r="G836" s="175" t="str">
        <f t="shared" si="26"/>
        <v>San Diego</v>
      </c>
      <c r="H836" s="175"/>
      <c r="I836" s="178" t="s">
        <v>2307</v>
      </c>
      <c r="J836" s="27" t="s">
        <v>443</v>
      </c>
      <c r="K836" s="27">
        <v>984</v>
      </c>
      <c r="L836" s="179">
        <v>1256</v>
      </c>
      <c r="M836" s="178" t="s">
        <v>2308</v>
      </c>
      <c r="N836" s="27" t="s">
        <v>443</v>
      </c>
      <c r="O836" s="182" t="s">
        <v>2309</v>
      </c>
    </row>
    <row r="837" spans="2:15">
      <c r="B837" s="174" t="s">
        <v>385</v>
      </c>
      <c r="C837" s="175" t="s">
        <v>442</v>
      </c>
      <c r="D837" s="176" t="s">
        <v>443</v>
      </c>
      <c r="E837" s="177" t="s">
        <v>384</v>
      </c>
      <c r="F837" s="175">
        <f t="shared" si="25"/>
        <v>11</v>
      </c>
      <c r="G837" s="175" t="str">
        <f t="shared" si="26"/>
        <v>San Diego</v>
      </c>
      <c r="H837" s="175"/>
      <c r="I837" s="178" t="s">
        <v>471</v>
      </c>
      <c r="J837" s="27" t="s">
        <v>443</v>
      </c>
      <c r="K837" s="27">
        <v>1201</v>
      </c>
      <c r="L837" s="179">
        <v>1430</v>
      </c>
      <c r="M837" s="178" t="s">
        <v>2308</v>
      </c>
      <c r="N837" s="27" t="s">
        <v>443</v>
      </c>
      <c r="O837" s="182" t="s">
        <v>2309</v>
      </c>
    </row>
    <row r="838" spans="2:15">
      <c r="B838" s="174" t="s">
        <v>386</v>
      </c>
      <c r="C838" s="175" t="s">
        <v>442</v>
      </c>
      <c r="D838" s="176" t="s">
        <v>443</v>
      </c>
      <c r="E838" s="177" t="s">
        <v>384</v>
      </c>
      <c r="F838" s="175">
        <f t="shared" si="25"/>
        <v>11</v>
      </c>
      <c r="G838" s="175" t="str">
        <f t="shared" si="26"/>
        <v>San Diego</v>
      </c>
      <c r="H838" s="175"/>
      <c r="I838" s="178" t="s">
        <v>2307</v>
      </c>
      <c r="J838" s="27" t="s">
        <v>443</v>
      </c>
      <c r="K838" s="27">
        <v>984</v>
      </c>
      <c r="L838" s="179">
        <v>1256</v>
      </c>
      <c r="M838" s="178" t="s">
        <v>2308</v>
      </c>
      <c r="N838" s="27" t="s">
        <v>443</v>
      </c>
      <c r="O838" s="182" t="s">
        <v>2309</v>
      </c>
    </row>
    <row r="839" spans="2:15">
      <c r="B839" s="174" t="s">
        <v>2305</v>
      </c>
      <c r="C839" s="175" t="s">
        <v>442</v>
      </c>
      <c r="D839" s="176" t="s">
        <v>443</v>
      </c>
      <c r="E839" s="177" t="s">
        <v>2306</v>
      </c>
      <c r="F839" s="175">
        <f t="shared" si="25"/>
        <v>14</v>
      </c>
      <c r="G839" s="175" t="str">
        <f t="shared" si="26"/>
        <v>Palm Springs</v>
      </c>
      <c r="H839" s="175"/>
      <c r="I839" s="178" t="s">
        <v>2307</v>
      </c>
      <c r="J839" s="27" t="s">
        <v>443</v>
      </c>
      <c r="K839" s="27">
        <v>984</v>
      </c>
      <c r="L839" s="179">
        <v>1256</v>
      </c>
      <c r="M839" s="178" t="s">
        <v>2308</v>
      </c>
      <c r="N839" s="27" t="s">
        <v>443</v>
      </c>
      <c r="O839" s="182" t="s">
        <v>2309</v>
      </c>
    </row>
    <row r="840" spans="2:15">
      <c r="B840" s="174" t="s">
        <v>379</v>
      </c>
      <c r="C840" s="175" t="s">
        <v>442</v>
      </c>
      <c r="D840" s="176" t="s">
        <v>443</v>
      </c>
      <c r="E840" s="177" t="s">
        <v>380</v>
      </c>
      <c r="F840" s="175">
        <f t="shared" si="25"/>
        <v>32</v>
      </c>
      <c r="G840" s="175" t="str">
        <f t="shared" si="26"/>
        <v>San Bern./Victorville/Redlands</v>
      </c>
      <c r="H840" s="175"/>
      <c r="I840" s="178" t="s">
        <v>920</v>
      </c>
      <c r="J840" s="27" t="s">
        <v>1402</v>
      </c>
      <c r="K840" s="27">
        <v>3201</v>
      </c>
      <c r="L840" s="179">
        <v>2407</v>
      </c>
      <c r="M840" s="180" t="s">
        <v>921</v>
      </c>
      <c r="N840" s="181" t="s">
        <v>1402</v>
      </c>
      <c r="O840" s="182" t="s">
        <v>922</v>
      </c>
    </row>
    <row r="841" spans="2:15">
      <c r="B841" s="174" t="s">
        <v>381</v>
      </c>
      <c r="C841" s="175" t="s">
        <v>442</v>
      </c>
      <c r="D841" s="176" t="s">
        <v>443</v>
      </c>
      <c r="E841" s="177" t="s">
        <v>382</v>
      </c>
      <c r="F841" s="175">
        <f t="shared" si="25"/>
        <v>16</v>
      </c>
      <c r="G841" s="175" t="str">
        <f t="shared" si="26"/>
        <v>San Bernardino</v>
      </c>
      <c r="H841" s="175"/>
      <c r="I841" s="178" t="s">
        <v>445</v>
      </c>
      <c r="J841" s="27" t="s">
        <v>443</v>
      </c>
      <c r="K841" s="27">
        <v>1537</v>
      </c>
      <c r="L841" s="179">
        <v>1154</v>
      </c>
      <c r="M841" s="178" t="s">
        <v>446</v>
      </c>
      <c r="N841" s="27" t="s">
        <v>443</v>
      </c>
      <c r="O841" s="182" t="s">
        <v>447</v>
      </c>
    </row>
    <row r="842" spans="2:15">
      <c r="B842" s="174" t="s">
        <v>296</v>
      </c>
      <c r="C842" s="175" t="s">
        <v>442</v>
      </c>
      <c r="D842" s="176" t="s">
        <v>443</v>
      </c>
      <c r="E842" s="177" t="s">
        <v>297</v>
      </c>
      <c r="F842" s="175">
        <f t="shared" ref="F842:F905" si="27">LEN(E842)</f>
        <v>11</v>
      </c>
      <c r="G842" s="175" t="str">
        <f t="shared" ref="G842:G905" si="28">MID(E842,2,F842-2)</f>
        <v>Riverside</v>
      </c>
      <c r="H842" s="175"/>
      <c r="I842" s="178" t="s">
        <v>445</v>
      </c>
      <c r="J842" s="27" t="s">
        <v>443</v>
      </c>
      <c r="K842" s="27">
        <v>1537</v>
      </c>
      <c r="L842" s="179">
        <v>1154</v>
      </c>
      <c r="M842" s="178" t="s">
        <v>446</v>
      </c>
      <c r="N842" s="27" t="s">
        <v>443</v>
      </c>
      <c r="O842" s="182" t="s">
        <v>447</v>
      </c>
    </row>
    <row r="843" spans="2:15">
      <c r="B843" s="174" t="s">
        <v>1011</v>
      </c>
      <c r="C843" s="175" t="s">
        <v>442</v>
      </c>
      <c r="D843" s="176" t="s">
        <v>443</v>
      </c>
      <c r="E843" s="177" t="s">
        <v>1012</v>
      </c>
      <c r="F843" s="175">
        <f t="shared" si="27"/>
        <v>11</v>
      </c>
      <c r="G843" s="175" t="str">
        <f t="shared" si="28"/>
        <v>Santa Ana</v>
      </c>
      <c r="H843" s="175"/>
      <c r="I843" s="178" t="s">
        <v>471</v>
      </c>
      <c r="J843" s="27" t="s">
        <v>443</v>
      </c>
      <c r="K843" s="27">
        <v>1201</v>
      </c>
      <c r="L843" s="179">
        <v>1430</v>
      </c>
      <c r="M843" s="178" t="s">
        <v>446</v>
      </c>
      <c r="N843" s="27" t="s">
        <v>443</v>
      </c>
      <c r="O843" s="182" t="s">
        <v>447</v>
      </c>
    </row>
    <row r="844" spans="2:15">
      <c r="B844" s="174" t="s">
        <v>1013</v>
      </c>
      <c r="C844" s="175" t="s">
        <v>442</v>
      </c>
      <c r="D844" s="176" t="s">
        <v>443</v>
      </c>
      <c r="E844" s="177" t="s">
        <v>1012</v>
      </c>
      <c r="F844" s="175">
        <f t="shared" si="27"/>
        <v>11</v>
      </c>
      <c r="G844" s="175" t="str">
        <f t="shared" si="28"/>
        <v>Santa Ana</v>
      </c>
      <c r="H844" s="175"/>
      <c r="I844" s="178" t="s">
        <v>471</v>
      </c>
      <c r="J844" s="27" t="s">
        <v>443</v>
      </c>
      <c r="K844" s="27">
        <v>1201</v>
      </c>
      <c r="L844" s="179">
        <v>1430</v>
      </c>
      <c r="M844" s="178" t="s">
        <v>446</v>
      </c>
      <c r="N844" s="27" t="s">
        <v>443</v>
      </c>
      <c r="O844" s="182" t="s">
        <v>447</v>
      </c>
    </row>
    <row r="845" spans="2:15">
      <c r="B845" s="174" t="s">
        <v>469</v>
      </c>
      <c r="C845" s="175" t="s">
        <v>442</v>
      </c>
      <c r="D845" s="176" t="s">
        <v>443</v>
      </c>
      <c r="E845" s="177" t="s">
        <v>470</v>
      </c>
      <c r="F845" s="175">
        <f t="shared" si="27"/>
        <v>9</v>
      </c>
      <c r="G845" s="175" t="str">
        <f t="shared" si="28"/>
        <v>Anaheim</v>
      </c>
      <c r="H845" s="175"/>
      <c r="I845" s="178" t="s">
        <v>471</v>
      </c>
      <c r="J845" s="27" t="s">
        <v>443</v>
      </c>
      <c r="K845" s="27">
        <v>1201</v>
      </c>
      <c r="L845" s="179">
        <v>1430</v>
      </c>
      <c r="M845" s="178" t="s">
        <v>446</v>
      </c>
      <c r="N845" s="27" t="s">
        <v>443</v>
      </c>
      <c r="O845" s="182" t="s">
        <v>447</v>
      </c>
    </row>
    <row r="846" spans="2:15">
      <c r="B846" s="174" t="s">
        <v>1801</v>
      </c>
      <c r="C846" s="175" t="s">
        <v>442</v>
      </c>
      <c r="D846" s="176" t="s">
        <v>443</v>
      </c>
      <c r="E846" s="177" t="s">
        <v>1802</v>
      </c>
      <c r="F846" s="175">
        <f t="shared" si="27"/>
        <v>16</v>
      </c>
      <c r="G846" s="175" t="str">
        <f t="shared" si="28"/>
        <v>Ventura/Oxnard</v>
      </c>
      <c r="H846" s="175"/>
      <c r="I846" s="178" t="s">
        <v>1575</v>
      </c>
      <c r="J846" s="27" t="s">
        <v>443</v>
      </c>
      <c r="K846" s="27">
        <v>2365</v>
      </c>
      <c r="L846" s="179">
        <v>2182</v>
      </c>
      <c r="M846" s="178" t="s">
        <v>446</v>
      </c>
      <c r="N846" s="27" t="s">
        <v>443</v>
      </c>
      <c r="O846" s="182" t="s">
        <v>447</v>
      </c>
    </row>
    <row r="847" spans="2:15">
      <c r="B847" s="174" t="s">
        <v>1014</v>
      </c>
      <c r="C847" s="175" t="s">
        <v>442</v>
      </c>
      <c r="D847" s="176" t="s">
        <v>443</v>
      </c>
      <c r="E847" s="177" t="s">
        <v>1015</v>
      </c>
      <c r="F847" s="175">
        <f t="shared" si="27"/>
        <v>15</v>
      </c>
      <c r="G847" s="175" t="str">
        <f t="shared" si="28"/>
        <v>Santa Barbara</v>
      </c>
      <c r="H847" s="175"/>
      <c r="I847" s="178" t="s">
        <v>1016</v>
      </c>
      <c r="J847" s="27" t="s">
        <v>443</v>
      </c>
      <c r="K847" s="27">
        <v>289</v>
      </c>
      <c r="L847" s="179">
        <v>2438</v>
      </c>
      <c r="M847" s="178" t="s">
        <v>446</v>
      </c>
      <c r="N847" s="27" t="s">
        <v>443</v>
      </c>
      <c r="O847" s="182" t="s">
        <v>447</v>
      </c>
    </row>
    <row r="848" spans="2:15">
      <c r="B848" s="174" t="s">
        <v>1578</v>
      </c>
      <c r="C848" s="175" t="s">
        <v>442</v>
      </c>
      <c r="D848" s="176" t="s">
        <v>443</v>
      </c>
      <c r="E848" s="177" t="s">
        <v>1579</v>
      </c>
      <c r="F848" s="175">
        <f t="shared" si="27"/>
        <v>21</v>
      </c>
      <c r="G848" s="175" t="str">
        <f t="shared" si="28"/>
        <v>Bakersfield/Visalia</v>
      </c>
      <c r="H848" s="175"/>
      <c r="I848" s="178" t="s">
        <v>1580</v>
      </c>
      <c r="J848" s="27" t="s">
        <v>443</v>
      </c>
      <c r="K848" s="27">
        <v>1967</v>
      </c>
      <c r="L848" s="179">
        <v>2556</v>
      </c>
      <c r="M848" s="178" t="s">
        <v>1576</v>
      </c>
      <c r="N848" s="27" t="s">
        <v>443</v>
      </c>
      <c r="O848" s="182" t="s">
        <v>1577</v>
      </c>
    </row>
    <row r="849" spans="2:15">
      <c r="B849" s="174" t="s">
        <v>1573</v>
      </c>
      <c r="C849" s="175" t="s">
        <v>442</v>
      </c>
      <c r="D849" s="176" t="s">
        <v>443</v>
      </c>
      <c r="E849" s="177" t="s">
        <v>1574</v>
      </c>
      <c r="F849" s="175">
        <f t="shared" si="27"/>
        <v>13</v>
      </c>
      <c r="G849" s="175" t="str">
        <f t="shared" si="28"/>
        <v>Bakersfield</v>
      </c>
      <c r="H849" s="175"/>
      <c r="I849" s="178" t="s">
        <v>1575</v>
      </c>
      <c r="J849" s="27" t="s">
        <v>443</v>
      </c>
      <c r="K849" s="27">
        <v>2365</v>
      </c>
      <c r="L849" s="179">
        <v>2182</v>
      </c>
      <c r="M849" s="178" t="s">
        <v>1576</v>
      </c>
      <c r="N849" s="27" t="s">
        <v>443</v>
      </c>
      <c r="O849" s="182" t="s">
        <v>1577</v>
      </c>
    </row>
    <row r="850" spans="2:15">
      <c r="B850" s="174" t="s">
        <v>1002</v>
      </c>
      <c r="C850" s="175" t="s">
        <v>442</v>
      </c>
      <c r="D850" s="176" t="s">
        <v>443</v>
      </c>
      <c r="E850" s="177" t="s">
        <v>1003</v>
      </c>
      <c r="F850" s="175">
        <f t="shared" si="27"/>
        <v>17</v>
      </c>
      <c r="G850" s="175" t="str">
        <f t="shared" si="28"/>
        <v>San Luis Obispo</v>
      </c>
      <c r="H850" s="175"/>
      <c r="I850" s="178" t="s">
        <v>1004</v>
      </c>
      <c r="J850" s="27" t="s">
        <v>443</v>
      </c>
      <c r="K850" s="27">
        <v>169</v>
      </c>
      <c r="L850" s="179">
        <v>2984</v>
      </c>
      <c r="M850" s="178" t="s">
        <v>1576</v>
      </c>
      <c r="N850" s="27" t="s">
        <v>443</v>
      </c>
      <c r="O850" s="182" t="s">
        <v>1577</v>
      </c>
    </row>
    <row r="851" spans="2:15">
      <c r="B851" s="174" t="s">
        <v>961</v>
      </c>
      <c r="C851" s="175" t="s">
        <v>442</v>
      </c>
      <c r="D851" s="176" t="s">
        <v>443</v>
      </c>
      <c r="E851" s="177" t="s">
        <v>962</v>
      </c>
      <c r="F851" s="175">
        <f t="shared" si="27"/>
        <v>11</v>
      </c>
      <c r="G851" s="175" t="str">
        <f t="shared" si="28"/>
        <v>Lancaster</v>
      </c>
      <c r="H851" s="175"/>
      <c r="I851" s="178" t="s">
        <v>963</v>
      </c>
      <c r="J851" s="27" t="s">
        <v>443</v>
      </c>
      <c r="K851" s="27">
        <v>1039</v>
      </c>
      <c r="L851" s="179">
        <v>4310</v>
      </c>
      <c r="M851" s="180" t="s">
        <v>1405</v>
      </c>
      <c r="N851" s="181" t="s">
        <v>1402</v>
      </c>
      <c r="O851" s="182" t="s">
        <v>1406</v>
      </c>
    </row>
    <row r="852" spans="2:15">
      <c r="B852" s="174" t="s">
        <v>1988</v>
      </c>
      <c r="C852" s="175" t="s">
        <v>442</v>
      </c>
      <c r="D852" s="176" t="s">
        <v>443</v>
      </c>
      <c r="E852" s="177" t="s">
        <v>1989</v>
      </c>
      <c r="F852" s="175">
        <f t="shared" si="27"/>
        <v>8</v>
      </c>
      <c r="G852" s="175" t="str">
        <f t="shared" si="28"/>
        <v>Fresno</v>
      </c>
      <c r="H852" s="175"/>
      <c r="I852" s="178" t="s">
        <v>1580</v>
      </c>
      <c r="J852" s="27" t="s">
        <v>443</v>
      </c>
      <c r="K852" s="27">
        <v>1967</v>
      </c>
      <c r="L852" s="179">
        <v>2556</v>
      </c>
      <c r="M852" s="178" t="s">
        <v>1576</v>
      </c>
      <c r="N852" s="27" t="s">
        <v>443</v>
      </c>
      <c r="O852" s="182" t="s">
        <v>1577</v>
      </c>
    </row>
    <row r="853" spans="2:15">
      <c r="B853" s="174" t="s">
        <v>1990</v>
      </c>
      <c r="C853" s="175" t="s">
        <v>442</v>
      </c>
      <c r="D853" s="176" t="s">
        <v>443</v>
      </c>
      <c r="E853" s="177" t="s">
        <v>1989</v>
      </c>
      <c r="F853" s="175">
        <f t="shared" si="27"/>
        <v>8</v>
      </c>
      <c r="G853" s="175" t="str">
        <f t="shared" si="28"/>
        <v>Fresno</v>
      </c>
      <c r="H853" s="175"/>
      <c r="I853" s="178" t="s">
        <v>1580</v>
      </c>
      <c r="J853" s="27" t="s">
        <v>443</v>
      </c>
      <c r="K853" s="27">
        <v>1967</v>
      </c>
      <c r="L853" s="179">
        <v>2556</v>
      </c>
      <c r="M853" s="178" t="s">
        <v>1576</v>
      </c>
      <c r="N853" s="27" t="s">
        <v>443</v>
      </c>
      <c r="O853" s="182" t="s">
        <v>1577</v>
      </c>
    </row>
    <row r="854" spans="2:15">
      <c r="B854" s="174" t="s">
        <v>198</v>
      </c>
      <c r="C854" s="175" t="s">
        <v>442</v>
      </c>
      <c r="D854" s="176" t="s">
        <v>443</v>
      </c>
      <c r="E854" s="177" t="s">
        <v>199</v>
      </c>
      <c r="F854" s="175">
        <f t="shared" si="27"/>
        <v>10</v>
      </c>
      <c r="G854" s="175" t="str">
        <f t="shared" si="28"/>
        <v>Monterey</v>
      </c>
      <c r="H854" s="175"/>
      <c r="I854" s="178" t="s">
        <v>200</v>
      </c>
      <c r="J854" s="27" t="s">
        <v>443</v>
      </c>
      <c r="K854" s="27">
        <v>65</v>
      </c>
      <c r="L854" s="179">
        <v>3005</v>
      </c>
      <c r="M854" s="178" t="s">
        <v>201</v>
      </c>
      <c r="N854" s="27" t="s">
        <v>443</v>
      </c>
      <c r="O854" s="182" t="s">
        <v>202</v>
      </c>
    </row>
    <row r="855" spans="2:15">
      <c r="B855" s="174" t="s">
        <v>2252</v>
      </c>
      <c r="C855" s="175" t="s">
        <v>442</v>
      </c>
      <c r="D855" s="176" t="s">
        <v>443</v>
      </c>
      <c r="E855" s="177" t="s">
        <v>2253</v>
      </c>
      <c r="F855" s="175">
        <f t="shared" si="27"/>
        <v>19</v>
      </c>
      <c r="G855" s="175" t="str">
        <f t="shared" si="28"/>
        <v>So. San Francisco</v>
      </c>
      <c r="H855" s="175"/>
      <c r="I855" s="178" t="s">
        <v>200</v>
      </c>
      <c r="J855" s="27" t="s">
        <v>443</v>
      </c>
      <c r="K855" s="27">
        <v>65</v>
      </c>
      <c r="L855" s="179">
        <v>3005</v>
      </c>
      <c r="M855" s="178" t="s">
        <v>201</v>
      </c>
      <c r="N855" s="27" t="s">
        <v>443</v>
      </c>
      <c r="O855" s="182" t="s">
        <v>202</v>
      </c>
    </row>
    <row r="856" spans="2:15">
      <c r="B856" s="174" t="s">
        <v>387</v>
      </c>
      <c r="C856" s="175" t="s">
        <v>442</v>
      </c>
      <c r="D856" s="176" t="s">
        <v>443</v>
      </c>
      <c r="E856" s="177" t="s">
        <v>388</v>
      </c>
      <c r="F856" s="175">
        <f t="shared" si="27"/>
        <v>15</v>
      </c>
      <c r="G856" s="175" t="str">
        <f t="shared" si="28"/>
        <v>San Francisco</v>
      </c>
      <c r="H856" s="175"/>
      <c r="I856" s="178" t="s">
        <v>200</v>
      </c>
      <c r="J856" s="27" t="s">
        <v>443</v>
      </c>
      <c r="K856" s="27">
        <v>65</v>
      </c>
      <c r="L856" s="179">
        <v>3005</v>
      </c>
      <c r="M856" s="178" t="s">
        <v>201</v>
      </c>
      <c r="N856" s="27" t="s">
        <v>443</v>
      </c>
      <c r="O856" s="182" t="s">
        <v>202</v>
      </c>
    </row>
    <row r="857" spans="2:15">
      <c r="B857" s="174" t="s">
        <v>338</v>
      </c>
      <c r="C857" s="175" t="s">
        <v>442</v>
      </c>
      <c r="D857" s="176" t="s">
        <v>443</v>
      </c>
      <c r="E857" s="177" t="s">
        <v>339</v>
      </c>
      <c r="F857" s="175">
        <f t="shared" si="27"/>
        <v>24</v>
      </c>
      <c r="G857" s="175" t="str">
        <f t="shared" si="28"/>
        <v>Sacramento/Placerville</v>
      </c>
      <c r="H857" s="175"/>
      <c r="I857" s="178" t="s">
        <v>1420</v>
      </c>
      <c r="J857" s="27" t="s">
        <v>443</v>
      </c>
      <c r="K857" s="27">
        <v>145</v>
      </c>
      <c r="L857" s="179">
        <v>3016</v>
      </c>
      <c r="M857" s="178" t="s">
        <v>641</v>
      </c>
      <c r="N857" s="27" t="s">
        <v>443</v>
      </c>
      <c r="O857" s="182" t="s">
        <v>642</v>
      </c>
    </row>
    <row r="858" spans="2:15">
      <c r="B858" s="174" t="s">
        <v>2310</v>
      </c>
      <c r="C858" s="175" t="s">
        <v>442</v>
      </c>
      <c r="D858" s="176" t="s">
        <v>443</v>
      </c>
      <c r="E858" s="177" t="s">
        <v>607</v>
      </c>
      <c r="F858" s="175">
        <f t="shared" si="27"/>
        <v>11</v>
      </c>
      <c r="G858" s="175" t="str">
        <f t="shared" si="28"/>
        <v>Palo Alto</v>
      </c>
      <c r="H858" s="175"/>
      <c r="I858" s="178" t="s">
        <v>1420</v>
      </c>
      <c r="J858" s="27" t="s">
        <v>443</v>
      </c>
      <c r="K858" s="27">
        <v>145</v>
      </c>
      <c r="L858" s="179">
        <v>3016</v>
      </c>
      <c r="M858" s="178" t="s">
        <v>1421</v>
      </c>
      <c r="N858" s="27" t="s">
        <v>443</v>
      </c>
      <c r="O858" s="182" t="s">
        <v>1422</v>
      </c>
    </row>
    <row r="859" spans="2:15">
      <c r="B859" s="174" t="s">
        <v>1005</v>
      </c>
      <c r="C859" s="175" t="s">
        <v>442</v>
      </c>
      <c r="D859" s="176" t="s">
        <v>443</v>
      </c>
      <c r="E859" s="177" t="s">
        <v>1006</v>
      </c>
      <c r="F859" s="175">
        <f t="shared" si="27"/>
        <v>11</v>
      </c>
      <c r="G859" s="175" t="str">
        <f t="shared" si="28"/>
        <v>San Mateo</v>
      </c>
      <c r="H859" s="175"/>
      <c r="I859" s="178" t="s">
        <v>1420</v>
      </c>
      <c r="J859" s="27" t="s">
        <v>443</v>
      </c>
      <c r="K859" s="27">
        <v>145</v>
      </c>
      <c r="L859" s="179">
        <v>3016</v>
      </c>
      <c r="M859" s="178" t="s">
        <v>1421</v>
      </c>
      <c r="N859" s="27" t="s">
        <v>443</v>
      </c>
      <c r="O859" s="182" t="s">
        <v>1422</v>
      </c>
    </row>
    <row r="860" spans="2:15">
      <c r="B860" s="174" t="s">
        <v>638</v>
      </c>
      <c r="C860" s="175" t="s">
        <v>442</v>
      </c>
      <c r="D860" s="176" t="s">
        <v>443</v>
      </c>
      <c r="E860" s="177" t="s">
        <v>639</v>
      </c>
      <c r="F860" s="175">
        <f t="shared" si="27"/>
        <v>9</v>
      </c>
      <c r="G860" s="175" t="str">
        <f t="shared" si="28"/>
        <v>Concord</v>
      </c>
      <c r="H860" s="175"/>
      <c r="I860" s="178" t="s">
        <v>640</v>
      </c>
      <c r="J860" s="27" t="s">
        <v>443</v>
      </c>
      <c r="K860" s="27">
        <v>1237</v>
      </c>
      <c r="L860" s="179">
        <v>2749</v>
      </c>
      <c r="M860" s="178" t="s">
        <v>641</v>
      </c>
      <c r="N860" s="27" t="s">
        <v>443</v>
      </c>
      <c r="O860" s="182" t="s">
        <v>642</v>
      </c>
    </row>
    <row r="861" spans="2:15">
      <c r="B861" s="174" t="s">
        <v>1190</v>
      </c>
      <c r="C861" s="175" t="s">
        <v>442</v>
      </c>
      <c r="D861" s="176" t="s">
        <v>443</v>
      </c>
      <c r="E861" s="177" t="s">
        <v>1191</v>
      </c>
      <c r="F861" s="175">
        <f t="shared" si="27"/>
        <v>9</v>
      </c>
      <c r="G861" s="175" t="str">
        <f t="shared" si="28"/>
        <v>Oakland</v>
      </c>
      <c r="H861" s="175"/>
      <c r="I861" s="178" t="s">
        <v>1420</v>
      </c>
      <c r="J861" s="27" t="s">
        <v>443</v>
      </c>
      <c r="K861" s="27">
        <v>145</v>
      </c>
      <c r="L861" s="179">
        <v>3016</v>
      </c>
      <c r="M861" s="178" t="s">
        <v>1421</v>
      </c>
      <c r="N861" s="27" t="s">
        <v>443</v>
      </c>
      <c r="O861" s="182" t="s">
        <v>1422</v>
      </c>
    </row>
    <row r="862" spans="2:15">
      <c r="B862" s="174" t="s">
        <v>1418</v>
      </c>
      <c r="C862" s="175" t="s">
        <v>442</v>
      </c>
      <c r="D862" s="176" t="s">
        <v>443</v>
      </c>
      <c r="E862" s="177" t="s">
        <v>1419</v>
      </c>
      <c r="F862" s="175">
        <f t="shared" si="27"/>
        <v>10</v>
      </c>
      <c r="G862" s="175" t="str">
        <f t="shared" si="28"/>
        <v>Berkeley</v>
      </c>
      <c r="H862" s="175"/>
      <c r="I862" s="178" t="s">
        <v>1420</v>
      </c>
      <c r="J862" s="27" t="s">
        <v>443</v>
      </c>
      <c r="K862" s="27">
        <v>145</v>
      </c>
      <c r="L862" s="179">
        <v>3016</v>
      </c>
      <c r="M862" s="178" t="s">
        <v>1421</v>
      </c>
      <c r="N862" s="27" t="s">
        <v>443</v>
      </c>
      <c r="O862" s="182" t="s">
        <v>1422</v>
      </c>
    </row>
    <row r="863" spans="2:15">
      <c r="B863" s="174" t="s">
        <v>43</v>
      </c>
      <c r="C863" s="175" t="s">
        <v>442</v>
      </c>
      <c r="D863" s="176" t="s">
        <v>443</v>
      </c>
      <c r="E863" s="177" t="s">
        <v>44</v>
      </c>
      <c r="F863" s="175">
        <f t="shared" si="27"/>
        <v>10</v>
      </c>
      <c r="G863" s="175" t="str">
        <f t="shared" si="28"/>
        <v>Richmond</v>
      </c>
      <c r="H863" s="175"/>
      <c r="I863" s="178" t="s">
        <v>1420</v>
      </c>
      <c r="J863" s="27" t="s">
        <v>443</v>
      </c>
      <c r="K863" s="27">
        <v>145</v>
      </c>
      <c r="L863" s="179">
        <v>3016</v>
      </c>
      <c r="M863" s="178" t="s">
        <v>1421</v>
      </c>
      <c r="N863" s="27" t="s">
        <v>443</v>
      </c>
      <c r="O863" s="182" t="s">
        <v>1422</v>
      </c>
    </row>
    <row r="864" spans="2:15">
      <c r="B864" s="174" t="s">
        <v>1009</v>
      </c>
      <c r="C864" s="175" t="s">
        <v>442</v>
      </c>
      <c r="D864" s="176" t="s">
        <v>443</v>
      </c>
      <c r="E864" s="177" t="s">
        <v>1010</v>
      </c>
      <c r="F864" s="175">
        <f t="shared" si="27"/>
        <v>12</v>
      </c>
      <c r="G864" s="175" t="str">
        <f t="shared" si="28"/>
        <v>San Rafael</v>
      </c>
      <c r="H864" s="175"/>
      <c r="I864" s="178" t="s">
        <v>1420</v>
      </c>
      <c r="J864" s="27" t="s">
        <v>443</v>
      </c>
      <c r="K864" s="27">
        <v>145</v>
      </c>
      <c r="L864" s="179">
        <v>3016</v>
      </c>
      <c r="M864" s="178" t="s">
        <v>1421</v>
      </c>
      <c r="N864" s="27" t="s">
        <v>443</v>
      </c>
      <c r="O864" s="182" t="s">
        <v>1422</v>
      </c>
    </row>
    <row r="865" spans="2:15">
      <c r="B865" s="174" t="s">
        <v>2020</v>
      </c>
      <c r="C865" s="175" t="s">
        <v>442</v>
      </c>
      <c r="D865" s="176" t="s">
        <v>443</v>
      </c>
      <c r="E865" s="177" t="s">
        <v>2021</v>
      </c>
      <c r="F865" s="175">
        <f t="shared" si="27"/>
        <v>8</v>
      </c>
      <c r="G865" s="175" t="str">
        <f t="shared" si="28"/>
        <v>Gilroy</v>
      </c>
      <c r="H865" s="175"/>
      <c r="I865" s="178" t="s">
        <v>1420</v>
      </c>
      <c r="J865" s="27" t="s">
        <v>443</v>
      </c>
      <c r="K865" s="27">
        <v>145</v>
      </c>
      <c r="L865" s="179">
        <v>3016</v>
      </c>
      <c r="M865" s="178" t="s">
        <v>1421</v>
      </c>
      <c r="N865" s="27" t="s">
        <v>443</v>
      </c>
      <c r="O865" s="182" t="s">
        <v>1422</v>
      </c>
    </row>
    <row r="866" spans="2:15">
      <c r="B866" s="174" t="s">
        <v>993</v>
      </c>
      <c r="C866" s="175" t="s">
        <v>442</v>
      </c>
      <c r="D866" s="176" t="s">
        <v>443</v>
      </c>
      <c r="E866" s="177" t="s">
        <v>994</v>
      </c>
      <c r="F866" s="175">
        <f t="shared" si="27"/>
        <v>10</v>
      </c>
      <c r="G866" s="175" t="str">
        <f t="shared" si="28"/>
        <v>San Jose</v>
      </c>
      <c r="H866" s="175"/>
      <c r="I866" s="178" t="s">
        <v>1420</v>
      </c>
      <c r="J866" s="27" t="s">
        <v>443</v>
      </c>
      <c r="K866" s="27">
        <v>145</v>
      </c>
      <c r="L866" s="179">
        <v>3016</v>
      </c>
      <c r="M866" s="178" t="s">
        <v>1421</v>
      </c>
      <c r="N866" s="27" t="s">
        <v>443</v>
      </c>
      <c r="O866" s="182" t="s">
        <v>1422</v>
      </c>
    </row>
    <row r="867" spans="2:15">
      <c r="B867" s="174" t="s">
        <v>822</v>
      </c>
      <c r="C867" s="175" t="s">
        <v>442</v>
      </c>
      <c r="D867" s="176" t="s">
        <v>443</v>
      </c>
      <c r="E867" s="177" t="s">
        <v>823</v>
      </c>
      <c r="F867" s="175">
        <f t="shared" si="27"/>
        <v>10</v>
      </c>
      <c r="G867" s="175" t="str">
        <f t="shared" si="28"/>
        <v>Stockton</v>
      </c>
      <c r="H867" s="175"/>
      <c r="I867" s="178" t="s">
        <v>824</v>
      </c>
      <c r="J867" s="27" t="s">
        <v>443</v>
      </c>
      <c r="K867" s="27">
        <v>1470</v>
      </c>
      <c r="L867" s="179">
        <v>2707</v>
      </c>
      <c r="M867" s="178" t="s">
        <v>641</v>
      </c>
      <c r="N867" s="27" t="s">
        <v>443</v>
      </c>
      <c r="O867" s="182" t="s">
        <v>642</v>
      </c>
    </row>
    <row r="868" spans="2:15">
      <c r="B868" s="174" t="s">
        <v>1212</v>
      </c>
      <c r="C868" s="175" t="s">
        <v>442</v>
      </c>
      <c r="D868" s="176" t="s">
        <v>443</v>
      </c>
      <c r="E868" s="177" t="s">
        <v>1213</v>
      </c>
      <c r="F868" s="175">
        <f t="shared" si="27"/>
        <v>8</v>
      </c>
      <c r="G868" s="175" t="str">
        <f t="shared" si="28"/>
        <v>Merced</v>
      </c>
      <c r="H868" s="175"/>
      <c r="I868" s="178" t="s">
        <v>640</v>
      </c>
      <c r="J868" s="27" t="s">
        <v>443</v>
      </c>
      <c r="K868" s="27">
        <v>1237</v>
      </c>
      <c r="L868" s="179">
        <v>2749</v>
      </c>
      <c r="M868" s="178" t="s">
        <v>641</v>
      </c>
      <c r="N868" s="27" t="s">
        <v>443</v>
      </c>
      <c r="O868" s="182" t="s">
        <v>642</v>
      </c>
    </row>
    <row r="869" spans="2:15">
      <c r="B869" s="174" t="s">
        <v>1023</v>
      </c>
      <c r="C869" s="175" t="s">
        <v>442</v>
      </c>
      <c r="D869" s="176" t="s">
        <v>443</v>
      </c>
      <c r="E869" s="177" t="s">
        <v>1024</v>
      </c>
      <c r="F869" s="175">
        <f t="shared" si="27"/>
        <v>12</v>
      </c>
      <c r="G869" s="175" t="str">
        <f t="shared" si="28"/>
        <v>Santa Rosa</v>
      </c>
      <c r="H869" s="175"/>
      <c r="I869" s="178" t="s">
        <v>640</v>
      </c>
      <c r="J869" s="27" t="s">
        <v>443</v>
      </c>
      <c r="K869" s="27">
        <v>1237</v>
      </c>
      <c r="L869" s="179">
        <v>2749</v>
      </c>
      <c r="M869" s="178" t="s">
        <v>641</v>
      </c>
      <c r="N869" s="27" t="s">
        <v>443</v>
      </c>
      <c r="O869" s="182" t="s">
        <v>642</v>
      </c>
    </row>
    <row r="870" spans="2:15">
      <c r="B870" s="174" t="s">
        <v>545</v>
      </c>
      <c r="C870" s="175" t="s">
        <v>442</v>
      </c>
      <c r="D870" s="176" t="s">
        <v>443</v>
      </c>
      <c r="E870" s="177" t="s">
        <v>546</v>
      </c>
      <c r="F870" s="175">
        <f t="shared" si="27"/>
        <v>8</v>
      </c>
      <c r="G870" s="175" t="str">
        <f t="shared" si="28"/>
        <v>Eureka</v>
      </c>
      <c r="H870" s="175"/>
      <c r="I870" s="178" t="s">
        <v>547</v>
      </c>
      <c r="J870" s="27" t="s">
        <v>443</v>
      </c>
      <c r="K870" s="188">
        <v>725</v>
      </c>
      <c r="L870" s="179">
        <v>4496</v>
      </c>
      <c r="M870" s="180" t="s">
        <v>548</v>
      </c>
      <c r="N870" s="181" t="s">
        <v>1634</v>
      </c>
      <c r="O870" s="182" t="s">
        <v>549</v>
      </c>
    </row>
    <row r="871" spans="2:15">
      <c r="B871" s="174" t="s">
        <v>340</v>
      </c>
      <c r="C871" s="175" t="s">
        <v>442</v>
      </c>
      <c r="D871" s="176" t="s">
        <v>443</v>
      </c>
      <c r="E871" s="177" t="s">
        <v>339</v>
      </c>
      <c r="F871" s="175">
        <f t="shared" si="27"/>
        <v>24</v>
      </c>
      <c r="G871" s="175" t="str">
        <f t="shared" si="28"/>
        <v>Sacramento/Placerville</v>
      </c>
      <c r="H871" s="175"/>
      <c r="I871" s="178" t="s">
        <v>640</v>
      </c>
      <c r="J871" s="27" t="s">
        <v>443</v>
      </c>
      <c r="K871" s="27">
        <v>1237</v>
      </c>
      <c r="L871" s="179">
        <v>2749</v>
      </c>
      <c r="M871" s="178" t="s">
        <v>641</v>
      </c>
      <c r="N871" s="27" t="s">
        <v>443</v>
      </c>
      <c r="O871" s="182" t="s">
        <v>642</v>
      </c>
    </row>
    <row r="872" spans="2:15">
      <c r="B872" s="174" t="s">
        <v>2450</v>
      </c>
      <c r="C872" s="175" t="s">
        <v>442</v>
      </c>
      <c r="D872" s="176" t="s">
        <v>443</v>
      </c>
      <c r="E872" s="177" t="s">
        <v>2451</v>
      </c>
      <c r="F872" s="175">
        <f t="shared" si="27"/>
        <v>15</v>
      </c>
      <c r="G872" s="175" t="str">
        <f t="shared" si="28"/>
        <v>Pollock Pines</v>
      </c>
      <c r="H872" s="175"/>
      <c r="I872" s="178" t="s">
        <v>1404</v>
      </c>
      <c r="J872" s="27" t="s">
        <v>1402</v>
      </c>
      <c r="K872" s="27">
        <v>508</v>
      </c>
      <c r="L872" s="179">
        <v>5674</v>
      </c>
      <c r="M872" s="180" t="s">
        <v>1405</v>
      </c>
      <c r="N872" s="181" t="s">
        <v>1402</v>
      </c>
      <c r="O872" s="182" t="s">
        <v>1406</v>
      </c>
    </row>
    <row r="873" spans="2:15">
      <c r="B873" s="174" t="s">
        <v>336</v>
      </c>
      <c r="C873" s="175" t="s">
        <v>442</v>
      </c>
      <c r="D873" s="176" t="s">
        <v>443</v>
      </c>
      <c r="E873" s="177" t="s">
        <v>337</v>
      </c>
      <c r="F873" s="175">
        <f t="shared" si="27"/>
        <v>12</v>
      </c>
      <c r="G873" s="175" t="str">
        <f t="shared" si="28"/>
        <v>Sacramento</v>
      </c>
      <c r="H873" s="175"/>
      <c r="I873" s="178" t="s">
        <v>640</v>
      </c>
      <c r="J873" s="27" t="s">
        <v>443</v>
      </c>
      <c r="K873" s="27">
        <v>1237</v>
      </c>
      <c r="L873" s="179">
        <v>2749</v>
      </c>
      <c r="M873" s="178" t="s">
        <v>641</v>
      </c>
      <c r="N873" s="27" t="s">
        <v>443</v>
      </c>
      <c r="O873" s="182" t="s">
        <v>642</v>
      </c>
    </row>
    <row r="874" spans="2:15">
      <c r="B874" s="174" t="s">
        <v>1158</v>
      </c>
      <c r="C874" s="175" t="s">
        <v>442</v>
      </c>
      <c r="D874" s="176" t="s">
        <v>443</v>
      </c>
      <c r="E874" s="177" t="s">
        <v>1159</v>
      </c>
      <c r="F874" s="175">
        <f t="shared" si="27"/>
        <v>12</v>
      </c>
      <c r="G874" s="175" t="str">
        <f t="shared" si="28"/>
        <v>Marysville</v>
      </c>
      <c r="H874" s="175"/>
      <c r="I874" s="178" t="s">
        <v>640</v>
      </c>
      <c r="J874" s="27" t="s">
        <v>443</v>
      </c>
      <c r="K874" s="27">
        <v>1237</v>
      </c>
      <c r="L874" s="179">
        <v>2749</v>
      </c>
      <c r="M874" s="178" t="s">
        <v>641</v>
      </c>
      <c r="N874" s="27" t="s">
        <v>443</v>
      </c>
      <c r="O874" s="182" t="s">
        <v>642</v>
      </c>
    </row>
    <row r="875" spans="2:15">
      <c r="B875" s="174" t="s">
        <v>2508</v>
      </c>
      <c r="C875" s="175" t="s">
        <v>442</v>
      </c>
      <c r="D875" s="176" t="s">
        <v>443</v>
      </c>
      <c r="E875" s="177" t="s">
        <v>2509</v>
      </c>
      <c r="F875" s="175">
        <f t="shared" si="27"/>
        <v>9</v>
      </c>
      <c r="G875" s="175" t="str">
        <f t="shared" si="28"/>
        <v>Redding</v>
      </c>
      <c r="H875" s="175"/>
      <c r="I875" s="178" t="s">
        <v>2510</v>
      </c>
      <c r="J875" s="27" t="s">
        <v>443</v>
      </c>
      <c r="K875" s="27">
        <v>1797</v>
      </c>
      <c r="L875" s="179">
        <v>2855</v>
      </c>
      <c r="M875" s="178" t="s">
        <v>641</v>
      </c>
      <c r="N875" s="27" t="s">
        <v>443</v>
      </c>
      <c r="O875" s="182" t="s">
        <v>642</v>
      </c>
    </row>
    <row r="876" spans="2:15">
      <c r="B876" s="174" t="s">
        <v>835</v>
      </c>
      <c r="C876" s="175" t="s">
        <v>442</v>
      </c>
      <c r="D876" s="176" t="s">
        <v>443</v>
      </c>
      <c r="E876" s="177" t="s">
        <v>836</v>
      </c>
      <c r="F876" s="175">
        <f t="shared" si="27"/>
        <v>12</v>
      </c>
      <c r="G876" s="175" t="str">
        <f t="shared" si="28"/>
        <v>Susanville</v>
      </c>
      <c r="H876" s="175"/>
      <c r="I876" s="178" t="s">
        <v>837</v>
      </c>
      <c r="J876" s="27" t="s">
        <v>1402</v>
      </c>
      <c r="K876" s="27">
        <v>538</v>
      </c>
      <c r="L876" s="179">
        <v>6315</v>
      </c>
      <c r="M876" s="178" t="s">
        <v>641</v>
      </c>
      <c r="N876" s="27" t="s">
        <v>443</v>
      </c>
      <c r="O876" s="182" t="s">
        <v>642</v>
      </c>
    </row>
    <row r="877" spans="2:15">
      <c r="B877" s="174" t="s">
        <v>784</v>
      </c>
      <c r="C877" s="175" t="s">
        <v>785</v>
      </c>
      <c r="D877" s="176" t="s">
        <v>786</v>
      </c>
      <c r="E877" s="177" t="s">
        <v>787</v>
      </c>
      <c r="F877" s="175">
        <f t="shared" si="27"/>
        <v>10</v>
      </c>
      <c r="G877" s="175" t="str">
        <f t="shared" si="28"/>
        <v>Honolulu</v>
      </c>
      <c r="H877" s="175"/>
      <c r="I877" s="178" t="s">
        <v>788</v>
      </c>
      <c r="J877" s="27" t="s">
        <v>786</v>
      </c>
      <c r="K877" s="27">
        <v>3284</v>
      </c>
      <c r="L877" s="179">
        <v>0</v>
      </c>
      <c r="M877" s="178" t="s">
        <v>789</v>
      </c>
      <c r="N877" s="27" t="s">
        <v>786</v>
      </c>
      <c r="O877" s="182" t="s">
        <v>790</v>
      </c>
    </row>
    <row r="878" spans="2:15">
      <c r="B878" s="174" t="s">
        <v>791</v>
      </c>
      <c r="C878" s="175" t="s">
        <v>785</v>
      </c>
      <c r="D878" s="176" t="s">
        <v>786</v>
      </c>
      <c r="E878" s="177" t="s">
        <v>787</v>
      </c>
      <c r="F878" s="175">
        <f t="shared" si="27"/>
        <v>10</v>
      </c>
      <c r="G878" s="175" t="str">
        <f t="shared" si="28"/>
        <v>Honolulu</v>
      </c>
      <c r="H878" s="175"/>
      <c r="I878" s="178" t="s">
        <v>792</v>
      </c>
      <c r="J878" s="27" t="s">
        <v>786</v>
      </c>
      <c r="K878" s="27">
        <v>4474</v>
      </c>
      <c r="L878" s="179">
        <v>0</v>
      </c>
      <c r="M878" s="178" t="s">
        <v>789</v>
      </c>
      <c r="N878" s="27" t="s">
        <v>786</v>
      </c>
      <c r="O878" s="182" t="s">
        <v>790</v>
      </c>
    </row>
    <row r="879" spans="2:15">
      <c r="B879" s="174">
        <v>969</v>
      </c>
      <c r="C879" s="175" t="s">
        <v>2184</v>
      </c>
      <c r="D879" s="176" t="s">
        <v>2185</v>
      </c>
      <c r="E879" s="177" t="s">
        <v>2186</v>
      </c>
      <c r="F879" s="175">
        <f t="shared" si="27"/>
        <v>10</v>
      </c>
      <c r="G879" s="175" t="str">
        <f t="shared" si="28"/>
        <v>Mangilao</v>
      </c>
      <c r="H879" s="175"/>
      <c r="I879" s="178" t="s">
        <v>1145</v>
      </c>
      <c r="J879" s="27" t="s">
        <v>1146</v>
      </c>
      <c r="K879" s="27">
        <v>5034</v>
      </c>
      <c r="L879" s="179">
        <v>0</v>
      </c>
      <c r="M879" s="178" t="s">
        <v>789</v>
      </c>
      <c r="N879" s="27" t="s">
        <v>786</v>
      </c>
      <c r="O879" s="182" t="s">
        <v>790</v>
      </c>
    </row>
    <row r="880" spans="2:15">
      <c r="B880" s="174" t="s">
        <v>793</v>
      </c>
      <c r="C880" s="175" t="s">
        <v>1633</v>
      </c>
      <c r="D880" s="176" t="s">
        <v>1634</v>
      </c>
      <c r="E880" s="177" t="s">
        <v>794</v>
      </c>
      <c r="F880" s="175">
        <f t="shared" si="27"/>
        <v>12</v>
      </c>
      <c r="G880" s="175" t="str">
        <f t="shared" si="28"/>
        <v>Hood River</v>
      </c>
      <c r="H880" s="175"/>
      <c r="I880" s="178" t="s">
        <v>795</v>
      </c>
      <c r="J880" s="27" t="s">
        <v>1634</v>
      </c>
      <c r="K880" s="27">
        <v>247</v>
      </c>
      <c r="L880" s="179">
        <v>4927</v>
      </c>
      <c r="M880" s="178" t="s">
        <v>796</v>
      </c>
      <c r="N880" s="27" t="s">
        <v>1634</v>
      </c>
      <c r="O880" s="182" t="s">
        <v>797</v>
      </c>
    </row>
    <row r="881" spans="2:15">
      <c r="B881" s="174" t="s">
        <v>2464</v>
      </c>
      <c r="C881" s="175" t="s">
        <v>1633</v>
      </c>
      <c r="D881" s="176" t="s">
        <v>1634</v>
      </c>
      <c r="E881" s="177" t="s">
        <v>2462</v>
      </c>
      <c r="F881" s="175">
        <f t="shared" si="27"/>
        <v>10</v>
      </c>
      <c r="G881" s="175" t="str">
        <f t="shared" si="28"/>
        <v>Portland</v>
      </c>
      <c r="H881" s="175"/>
      <c r="I881" s="178" t="s">
        <v>2465</v>
      </c>
      <c r="J881" s="27" t="s">
        <v>1634</v>
      </c>
      <c r="K881" s="27">
        <v>371</v>
      </c>
      <c r="L881" s="179">
        <v>4522</v>
      </c>
      <c r="M881" s="180" t="s">
        <v>1559</v>
      </c>
      <c r="N881" s="181" t="s">
        <v>1634</v>
      </c>
      <c r="O881" s="182" t="s">
        <v>2466</v>
      </c>
    </row>
    <row r="882" spans="2:15">
      <c r="B882" s="174" t="s">
        <v>2467</v>
      </c>
      <c r="C882" s="175" t="s">
        <v>1633</v>
      </c>
      <c r="D882" s="176" t="s">
        <v>1634</v>
      </c>
      <c r="E882" s="177" t="s">
        <v>2462</v>
      </c>
      <c r="F882" s="175">
        <f t="shared" si="27"/>
        <v>10</v>
      </c>
      <c r="G882" s="175" t="str">
        <f t="shared" si="28"/>
        <v>Portland</v>
      </c>
      <c r="H882" s="175"/>
      <c r="I882" s="178" t="s">
        <v>2465</v>
      </c>
      <c r="J882" s="27" t="s">
        <v>1634</v>
      </c>
      <c r="K882" s="27">
        <v>371</v>
      </c>
      <c r="L882" s="179">
        <v>4522</v>
      </c>
      <c r="M882" s="180" t="s">
        <v>1559</v>
      </c>
      <c r="N882" s="181" t="s">
        <v>1634</v>
      </c>
      <c r="O882" s="182" t="s">
        <v>2466</v>
      </c>
    </row>
    <row r="883" spans="2:15">
      <c r="B883" s="174" t="s">
        <v>358</v>
      </c>
      <c r="C883" s="175" t="s">
        <v>1633</v>
      </c>
      <c r="D883" s="176" t="s">
        <v>1634</v>
      </c>
      <c r="E883" s="177" t="s">
        <v>359</v>
      </c>
      <c r="F883" s="175">
        <f t="shared" si="27"/>
        <v>7</v>
      </c>
      <c r="G883" s="175" t="str">
        <f t="shared" si="28"/>
        <v>Salem</v>
      </c>
      <c r="H883" s="175"/>
      <c r="I883" s="178" t="s">
        <v>795</v>
      </c>
      <c r="J883" s="27" t="s">
        <v>1634</v>
      </c>
      <c r="K883" s="27">
        <v>247</v>
      </c>
      <c r="L883" s="179">
        <v>4927</v>
      </c>
      <c r="M883" s="178" t="s">
        <v>796</v>
      </c>
      <c r="N883" s="27" t="s">
        <v>1634</v>
      </c>
      <c r="O883" s="182" t="s">
        <v>797</v>
      </c>
    </row>
    <row r="884" spans="2:15">
      <c r="B884" s="174" t="s">
        <v>540</v>
      </c>
      <c r="C884" s="175" t="s">
        <v>1633</v>
      </c>
      <c r="D884" s="176" t="s">
        <v>1634</v>
      </c>
      <c r="E884" s="177" t="s">
        <v>541</v>
      </c>
      <c r="F884" s="175">
        <f t="shared" si="27"/>
        <v>8</v>
      </c>
      <c r="G884" s="175" t="str">
        <f t="shared" si="28"/>
        <v>Eugene</v>
      </c>
      <c r="H884" s="175"/>
      <c r="I884" s="178" t="s">
        <v>542</v>
      </c>
      <c r="J884" s="27" t="s">
        <v>1634</v>
      </c>
      <c r="K884" s="27">
        <v>300</v>
      </c>
      <c r="L884" s="179">
        <v>4546</v>
      </c>
      <c r="M884" s="180" t="s">
        <v>543</v>
      </c>
      <c r="N884" s="181" t="s">
        <v>1634</v>
      </c>
      <c r="O884" s="182" t="s">
        <v>544</v>
      </c>
    </row>
    <row r="885" spans="2:15">
      <c r="B885" s="174" t="s">
        <v>1134</v>
      </c>
      <c r="C885" s="175" t="s">
        <v>1633</v>
      </c>
      <c r="D885" s="176" t="s">
        <v>1634</v>
      </c>
      <c r="E885" s="177" t="s">
        <v>1135</v>
      </c>
      <c r="F885" s="175">
        <f t="shared" si="27"/>
        <v>9</v>
      </c>
      <c r="G885" s="175" t="str">
        <f t="shared" si="28"/>
        <v>Medford</v>
      </c>
      <c r="H885" s="175"/>
      <c r="I885" s="178" t="s">
        <v>935</v>
      </c>
      <c r="J885" s="27" t="s">
        <v>1634</v>
      </c>
      <c r="K885" s="27">
        <v>725</v>
      </c>
      <c r="L885" s="179">
        <v>4611</v>
      </c>
      <c r="M885" s="180" t="s">
        <v>548</v>
      </c>
      <c r="N885" s="181" t="s">
        <v>1634</v>
      </c>
      <c r="O885" s="182" t="s">
        <v>549</v>
      </c>
    </row>
    <row r="886" spans="2:15">
      <c r="B886" s="174" t="s">
        <v>933</v>
      </c>
      <c r="C886" s="175" t="s">
        <v>1633</v>
      </c>
      <c r="D886" s="176" t="s">
        <v>1634</v>
      </c>
      <c r="E886" s="177" t="s">
        <v>934</v>
      </c>
      <c r="F886" s="175">
        <f t="shared" si="27"/>
        <v>15</v>
      </c>
      <c r="G886" s="175" t="str">
        <f t="shared" si="28"/>
        <v>Klamath Falls</v>
      </c>
      <c r="H886" s="175"/>
      <c r="I886" s="178" t="s">
        <v>935</v>
      </c>
      <c r="J886" s="27" t="s">
        <v>1634</v>
      </c>
      <c r="K886" s="27">
        <v>725</v>
      </c>
      <c r="L886" s="179">
        <v>4611</v>
      </c>
      <c r="M886" s="180" t="s">
        <v>548</v>
      </c>
      <c r="N886" s="181" t="s">
        <v>1634</v>
      </c>
      <c r="O886" s="182" t="s">
        <v>549</v>
      </c>
    </row>
    <row r="887" spans="2:15">
      <c r="B887" s="174" t="s">
        <v>1632</v>
      </c>
      <c r="C887" s="175" t="s">
        <v>1633</v>
      </c>
      <c r="D887" s="176" t="s">
        <v>1634</v>
      </c>
      <c r="E887" s="177" t="s">
        <v>1635</v>
      </c>
      <c r="F887" s="175">
        <f t="shared" si="27"/>
        <v>6</v>
      </c>
      <c r="G887" s="175" t="str">
        <f t="shared" si="28"/>
        <v>Bend</v>
      </c>
      <c r="H887" s="175"/>
      <c r="I887" s="178" t="s">
        <v>1636</v>
      </c>
      <c r="J887" s="27" t="s">
        <v>1634</v>
      </c>
      <c r="K887" s="27">
        <v>202</v>
      </c>
      <c r="L887" s="179">
        <v>7785</v>
      </c>
      <c r="M887" s="180" t="s">
        <v>1637</v>
      </c>
      <c r="N887" s="181" t="s">
        <v>1638</v>
      </c>
      <c r="O887" s="182" t="s">
        <v>1639</v>
      </c>
    </row>
    <row r="888" spans="2:15">
      <c r="B888" s="174" t="s">
        <v>621</v>
      </c>
      <c r="C888" s="175" t="s">
        <v>1633</v>
      </c>
      <c r="D888" s="176" t="s">
        <v>1634</v>
      </c>
      <c r="E888" s="177" t="s">
        <v>622</v>
      </c>
      <c r="F888" s="175">
        <f t="shared" si="27"/>
        <v>11</v>
      </c>
      <c r="G888" s="175" t="str">
        <f t="shared" si="28"/>
        <v>Pendleton</v>
      </c>
      <c r="H888" s="175"/>
      <c r="I888" s="178" t="s">
        <v>595</v>
      </c>
      <c r="J888" s="27" t="s">
        <v>1634</v>
      </c>
      <c r="K888" s="27">
        <v>701</v>
      </c>
      <c r="L888" s="179">
        <v>5294</v>
      </c>
      <c r="M888" s="180" t="s">
        <v>1637</v>
      </c>
      <c r="N888" s="181" t="s">
        <v>1638</v>
      </c>
      <c r="O888" s="182" t="s">
        <v>1639</v>
      </c>
    </row>
    <row r="889" spans="2:15">
      <c r="B889" s="174" t="s">
        <v>1460</v>
      </c>
      <c r="C889" s="175" t="s">
        <v>1633</v>
      </c>
      <c r="D889" s="176" t="s">
        <v>1634</v>
      </c>
      <c r="E889" s="177" t="s">
        <v>1461</v>
      </c>
      <c r="F889" s="175">
        <f t="shared" si="27"/>
        <v>9</v>
      </c>
      <c r="G889" s="175" t="str">
        <f t="shared" si="28"/>
        <v>Ontario</v>
      </c>
      <c r="H889" s="175"/>
      <c r="I889" s="178" t="s">
        <v>2294</v>
      </c>
      <c r="J889" s="27" t="s">
        <v>2292</v>
      </c>
      <c r="K889" s="27">
        <v>754</v>
      </c>
      <c r="L889" s="179">
        <v>5861</v>
      </c>
      <c r="M889" s="180" t="s">
        <v>2295</v>
      </c>
      <c r="N889" s="181" t="s">
        <v>2292</v>
      </c>
      <c r="O889" s="182" t="s">
        <v>2296</v>
      </c>
    </row>
    <row r="890" spans="2:15">
      <c r="B890" s="174" t="s">
        <v>1033</v>
      </c>
      <c r="C890" s="175" t="s">
        <v>593</v>
      </c>
      <c r="D890" s="176" t="s">
        <v>1638</v>
      </c>
      <c r="E890" s="177" t="s">
        <v>1277</v>
      </c>
      <c r="F890" s="175">
        <f t="shared" si="27"/>
        <v>9</v>
      </c>
      <c r="G890" s="175" t="str">
        <f t="shared" si="28"/>
        <v>Seattle</v>
      </c>
      <c r="H890" s="175"/>
      <c r="I890" s="178" t="s">
        <v>1278</v>
      </c>
      <c r="J890" s="27" t="s">
        <v>1638</v>
      </c>
      <c r="K890" s="27">
        <v>167</v>
      </c>
      <c r="L890" s="179">
        <v>4611</v>
      </c>
      <c r="M890" s="180" t="s">
        <v>2403</v>
      </c>
      <c r="N890" s="181" t="s">
        <v>1638</v>
      </c>
      <c r="O890" s="182" t="s">
        <v>2404</v>
      </c>
    </row>
    <row r="891" spans="2:15">
      <c r="B891" s="174" t="s">
        <v>1279</v>
      </c>
      <c r="C891" s="175" t="s">
        <v>593</v>
      </c>
      <c r="D891" s="176" t="s">
        <v>1638</v>
      </c>
      <c r="E891" s="177" t="s">
        <v>1277</v>
      </c>
      <c r="F891" s="175">
        <f t="shared" si="27"/>
        <v>9</v>
      </c>
      <c r="G891" s="175" t="str">
        <f t="shared" si="28"/>
        <v>Seattle</v>
      </c>
      <c r="H891" s="175"/>
      <c r="I891" s="178" t="s">
        <v>1278</v>
      </c>
      <c r="J891" s="27" t="s">
        <v>1638</v>
      </c>
      <c r="K891" s="27">
        <v>167</v>
      </c>
      <c r="L891" s="179">
        <v>4611</v>
      </c>
      <c r="M891" s="180" t="s">
        <v>2403</v>
      </c>
      <c r="N891" s="181" t="s">
        <v>1638</v>
      </c>
      <c r="O891" s="182" t="s">
        <v>2404</v>
      </c>
    </row>
    <row r="892" spans="2:15">
      <c r="B892" s="174" t="s">
        <v>2400</v>
      </c>
      <c r="C892" s="175" t="s">
        <v>593</v>
      </c>
      <c r="D892" s="176" t="s">
        <v>1638</v>
      </c>
      <c r="E892" s="177" t="s">
        <v>2401</v>
      </c>
      <c r="F892" s="175">
        <f t="shared" si="27"/>
        <v>9</v>
      </c>
      <c r="G892" s="175" t="str">
        <f t="shared" si="28"/>
        <v>Everett</v>
      </c>
      <c r="H892" s="175"/>
      <c r="I892" s="178" t="s">
        <v>2402</v>
      </c>
      <c r="J892" s="27" t="s">
        <v>1638</v>
      </c>
      <c r="K892" s="27">
        <v>6</v>
      </c>
      <c r="L892" s="179">
        <v>5858</v>
      </c>
      <c r="M892" s="180" t="s">
        <v>2403</v>
      </c>
      <c r="N892" s="181" t="s">
        <v>1638</v>
      </c>
      <c r="O892" s="182" t="s">
        <v>2404</v>
      </c>
    </row>
    <row r="893" spans="2:15">
      <c r="B893" s="174" t="s">
        <v>844</v>
      </c>
      <c r="C893" s="175" t="s">
        <v>593</v>
      </c>
      <c r="D893" s="176" t="s">
        <v>1638</v>
      </c>
      <c r="E893" s="177" t="s">
        <v>845</v>
      </c>
      <c r="F893" s="175">
        <f t="shared" si="27"/>
        <v>8</v>
      </c>
      <c r="G893" s="175" t="str">
        <f t="shared" si="28"/>
        <v>Tacoma</v>
      </c>
      <c r="H893" s="175"/>
      <c r="I893" s="178" t="s">
        <v>846</v>
      </c>
      <c r="J893" s="27" t="s">
        <v>1638</v>
      </c>
      <c r="K893" s="27">
        <v>190</v>
      </c>
      <c r="L893" s="179">
        <v>4908</v>
      </c>
      <c r="M893" s="180" t="s">
        <v>2403</v>
      </c>
      <c r="N893" s="181" t="s">
        <v>1638</v>
      </c>
      <c r="O893" s="182" t="s">
        <v>2404</v>
      </c>
    </row>
    <row r="894" spans="2:15">
      <c r="B894" s="174" t="s">
        <v>847</v>
      </c>
      <c r="C894" s="175" t="s">
        <v>593</v>
      </c>
      <c r="D894" s="176" t="s">
        <v>1638</v>
      </c>
      <c r="E894" s="177" t="s">
        <v>845</v>
      </c>
      <c r="F894" s="175">
        <f t="shared" si="27"/>
        <v>8</v>
      </c>
      <c r="G894" s="175" t="str">
        <f t="shared" si="28"/>
        <v>Tacoma</v>
      </c>
      <c r="H894" s="175"/>
      <c r="I894" s="178" t="s">
        <v>846</v>
      </c>
      <c r="J894" s="27" t="s">
        <v>1638</v>
      </c>
      <c r="K894" s="27">
        <v>190</v>
      </c>
      <c r="L894" s="179">
        <v>4908</v>
      </c>
      <c r="M894" s="180" t="s">
        <v>2403</v>
      </c>
      <c r="N894" s="181" t="s">
        <v>1638</v>
      </c>
      <c r="O894" s="182" t="s">
        <v>2404</v>
      </c>
    </row>
    <row r="895" spans="2:15">
      <c r="B895" s="174" t="s">
        <v>1453</v>
      </c>
      <c r="C895" s="175" t="s">
        <v>593</v>
      </c>
      <c r="D895" s="176" t="s">
        <v>1638</v>
      </c>
      <c r="E895" s="177" t="s">
        <v>1454</v>
      </c>
      <c r="F895" s="175">
        <f t="shared" si="27"/>
        <v>9</v>
      </c>
      <c r="G895" s="175" t="str">
        <f t="shared" si="28"/>
        <v>Olympia</v>
      </c>
      <c r="H895" s="175"/>
      <c r="I895" s="178" t="s">
        <v>1455</v>
      </c>
      <c r="J895" s="27" t="s">
        <v>1638</v>
      </c>
      <c r="K895" s="27">
        <v>101</v>
      </c>
      <c r="L895" s="179">
        <v>5655</v>
      </c>
      <c r="M895" s="180" t="s">
        <v>2403</v>
      </c>
      <c r="N895" s="181" t="s">
        <v>1638</v>
      </c>
      <c r="O895" s="182" t="s">
        <v>2404</v>
      </c>
    </row>
    <row r="896" spans="2:15">
      <c r="B896" s="174" t="s">
        <v>1799</v>
      </c>
      <c r="C896" s="175" t="s">
        <v>593</v>
      </c>
      <c r="D896" s="176" t="s">
        <v>1638</v>
      </c>
      <c r="E896" s="177" t="s">
        <v>1800</v>
      </c>
      <c r="F896" s="175">
        <f t="shared" si="27"/>
        <v>11</v>
      </c>
      <c r="G896" s="175" t="str">
        <f t="shared" si="28"/>
        <v>Vancouver</v>
      </c>
      <c r="H896" s="175"/>
      <c r="I896" s="178" t="s">
        <v>2465</v>
      </c>
      <c r="J896" s="27" t="s">
        <v>1634</v>
      </c>
      <c r="K896" s="27">
        <v>371</v>
      </c>
      <c r="L896" s="179">
        <v>4522</v>
      </c>
      <c r="M896" s="180" t="s">
        <v>1559</v>
      </c>
      <c r="N896" s="181" t="s">
        <v>1634</v>
      </c>
      <c r="O896" s="182" t="s">
        <v>2466</v>
      </c>
    </row>
    <row r="897" spans="2:15">
      <c r="B897" s="174" t="s">
        <v>1839</v>
      </c>
      <c r="C897" s="175" t="s">
        <v>593</v>
      </c>
      <c r="D897" s="176" t="s">
        <v>1638</v>
      </c>
      <c r="E897" s="177" t="s">
        <v>1840</v>
      </c>
      <c r="F897" s="175">
        <f t="shared" si="27"/>
        <v>11</v>
      </c>
      <c r="G897" s="175" t="str">
        <f t="shared" si="28"/>
        <v>Wenatchee</v>
      </c>
      <c r="H897" s="175"/>
      <c r="I897" s="178" t="s">
        <v>1841</v>
      </c>
      <c r="J897" s="27" t="s">
        <v>1638</v>
      </c>
      <c r="K897" s="27">
        <v>458</v>
      </c>
      <c r="L897" s="179">
        <v>5967</v>
      </c>
      <c r="M897" s="180" t="s">
        <v>1637</v>
      </c>
      <c r="N897" s="181" t="s">
        <v>1638</v>
      </c>
      <c r="O897" s="182" t="s">
        <v>1639</v>
      </c>
    </row>
    <row r="898" spans="2:15">
      <c r="B898" s="174" t="s">
        <v>1863</v>
      </c>
      <c r="C898" s="175" t="s">
        <v>593</v>
      </c>
      <c r="D898" s="176" t="s">
        <v>1638</v>
      </c>
      <c r="E898" s="177" t="s">
        <v>1864</v>
      </c>
      <c r="F898" s="175">
        <f t="shared" si="27"/>
        <v>8</v>
      </c>
      <c r="G898" s="175" t="str">
        <f t="shared" si="28"/>
        <v>Yakima</v>
      </c>
      <c r="H898" s="175"/>
      <c r="I898" s="178" t="s">
        <v>1841</v>
      </c>
      <c r="J898" s="27" t="s">
        <v>1638</v>
      </c>
      <c r="K898" s="27">
        <v>458</v>
      </c>
      <c r="L898" s="179">
        <v>5967</v>
      </c>
      <c r="M898" s="180" t="s">
        <v>1637</v>
      </c>
      <c r="N898" s="181" t="s">
        <v>1638</v>
      </c>
      <c r="O898" s="182" t="s">
        <v>1639</v>
      </c>
    </row>
    <row r="899" spans="2:15">
      <c r="B899" s="174" t="s">
        <v>1234</v>
      </c>
      <c r="C899" s="175" t="s">
        <v>593</v>
      </c>
      <c r="D899" s="176" t="s">
        <v>1638</v>
      </c>
      <c r="E899" s="177" t="s">
        <v>1235</v>
      </c>
      <c r="F899" s="175">
        <f t="shared" si="27"/>
        <v>9</v>
      </c>
      <c r="G899" s="175" t="str">
        <f t="shared" si="28"/>
        <v>Spokane</v>
      </c>
      <c r="H899" s="175"/>
      <c r="I899" s="178" t="s">
        <v>1502</v>
      </c>
      <c r="J899" s="27" t="s">
        <v>1638</v>
      </c>
      <c r="K899" s="27">
        <v>398</v>
      </c>
      <c r="L899" s="179">
        <v>6842</v>
      </c>
      <c r="M899" s="180" t="s">
        <v>1503</v>
      </c>
      <c r="N899" s="181" t="s">
        <v>1638</v>
      </c>
      <c r="O899" s="182" t="s">
        <v>1504</v>
      </c>
    </row>
    <row r="900" spans="2:15">
      <c r="B900" s="174" t="s">
        <v>1236</v>
      </c>
      <c r="C900" s="175" t="s">
        <v>593</v>
      </c>
      <c r="D900" s="176" t="s">
        <v>1638</v>
      </c>
      <c r="E900" s="177" t="s">
        <v>1235</v>
      </c>
      <c r="F900" s="175">
        <f t="shared" si="27"/>
        <v>9</v>
      </c>
      <c r="G900" s="175" t="str">
        <f t="shared" si="28"/>
        <v>Spokane</v>
      </c>
      <c r="H900" s="175"/>
      <c r="I900" s="178" t="s">
        <v>1502</v>
      </c>
      <c r="J900" s="27" t="s">
        <v>1638</v>
      </c>
      <c r="K900" s="27">
        <v>398</v>
      </c>
      <c r="L900" s="179">
        <v>6842</v>
      </c>
      <c r="M900" s="180" t="s">
        <v>1503</v>
      </c>
      <c r="N900" s="181" t="s">
        <v>1638</v>
      </c>
      <c r="O900" s="182" t="s">
        <v>1504</v>
      </c>
    </row>
    <row r="901" spans="2:15">
      <c r="B901" s="174" t="s">
        <v>1237</v>
      </c>
      <c r="C901" s="175" t="s">
        <v>593</v>
      </c>
      <c r="D901" s="176" t="s">
        <v>1638</v>
      </c>
      <c r="E901" s="177" t="s">
        <v>1235</v>
      </c>
      <c r="F901" s="175">
        <f t="shared" si="27"/>
        <v>9</v>
      </c>
      <c r="G901" s="175" t="str">
        <f t="shared" si="28"/>
        <v>Spokane</v>
      </c>
      <c r="H901" s="175"/>
      <c r="I901" s="178" t="s">
        <v>1502</v>
      </c>
      <c r="J901" s="27" t="s">
        <v>1638</v>
      </c>
      <c r="K901" s="27">
        <v>398</v>
      </c>
      <c r="L901" s="179">
        <v>6842</v>
      </c>
      <c r="M901" s="180" t="s">
        <v>1503</v>
      </c>
      <c r="N901" s="181" t="s">
        <v>1638</v>
      </c>
      <c r="O901" s="182" t="s">
        <v>1504</v>
      </c>
    </row>
    <row r="902" spans="2:15">
      <c r="B902" s="174" t="s">
        <v>41</v>
      </c>
      <c r="C902" s="175" t="s">
        <v>593</v>
      </c>
      <c r="D902" s="176" t="s">
        <v>1638</v>
      </c>
      <c r="E902" s="177" t="s">
        <v>42</v>
      </c>
      <c r="F902" s="175">
        <f t="shared" si="27"/>
        <v>10</v>
      </c>
      <c r="G902" s="175" t="str">
        <f t="shared" si="28"/>
        <v>Richland</v>
      </c>
      <c r="H902" s="175"/>
      <c r="I902" s="178" t="s">
        <v>595</v>
      </c>
      <c r="J902" s="27" t="s">
        <v>1634</v>
      </c>
      <c r="K902" s="27">
        <v>701</v>
      </c>
      <c r="L902" s="179">
        <v>5294</v>
      </c>
      <c r="M902" s="180" t="s">
        <v>1637</v>
      </c>
      <c r="N902" s="181" t="s">
        <v>1638</v>
      </c>
      <c r="O902" s="182" t="s">
        <v>1639</v>
      </c>
    </row>
    <row r="903" spans="2:15">
      <c r="B903" s="174" t="s">
        <v>592</v>
      </c>
      <c r="C903" s="175" t="s">
        <v>593</v>
      </c>
      <c r="D903" s="176" t="s">
        <v>1638</v>
      </c>
      <c r="E903" s="177" t="s">
        <v>594</v>
      </c>
      <c r="F903" s="175">
        <f t="shared" si="27"/>
        <v>11</v>
      </c>
      <c r="G903" s="175" t="str">
        <f t="shared" si="28"/>
        <v>Clarkston</v>
      </c>
      <c r="H903" s="175"/>
      <c r="I903" s="178" t="s">
        <v>595</v>
      </c>
      <c r="J903" s="27" t="s">
        <v>1634</v>
      </c>
      <c r="K903" s="27">
        <v>701</v>
      </c>
      <c r="L903" s="179">
        <v>5294</v>
      </c>
      <c r="M903" s="180" t="s">
        <v>1637</v>
      </c>
      <c r="N903" s="181" t="s">
        <v>1638</v>
      </c>
      <c r="O903" s="182" t="s">
        <v>1639</v>
      </c>
    </row>
    <row r="904" spans="2:15">
      <c r="B904" s="174" t="s">
        <v>472</v>
      </c>
      <c r="C904" s="175" t="s">
        <v>473</v>
      </c>
      <c r="D904" s="176" t="s">
        <v>474</v>
      </c>
      <c r="E904" s="177" t="s">
        <v>475</v>
      </c>
      <c r="F904" s="175">
        <f t="shared" si="27"/>
        <v>11</v>
      </c>
      <c r="G904" s="175" t="str">
        <f t="shared" si="28"/>
        <v>Anchorage</v>
      </c>
      <c r="H904" s="175"/>
      <c r="I904" s="178" t="s">
        <v>476</v>
      </c>
      <c r="J904" s="27" t="s">
        <v>474</v>
      </c>
      <c r="K904" s="27">
        <v>0</v>
      </c>
      <c r="L904" s="179">
        <v>10570</v>
      </c>
      <c r="M904" s="178" t="s">
        <v>477</v>
      </c>
      <c r="N904" s="27" t="s">
        <v>474</v>
      </c>
      <c r="O904" s="187" t="s">
        <v>478</v>
      </c>
    </row>
    <row r="905" spans="2:15">
      <c r="B905" s="174" t="s">
        <v>479</v>
      </c>
      <c r="C905" s="175" t="s">
        <v>473</v>
      </c>
      <c r="D905" s="176" t="s">
        <v>474</v>
      </c>
      <c r="E905" s="177" t="s">
        <v>475</v>
      </c>
      <c r="F905" s="175">
        <f t="shared" si="27"/>
        <v>11</v>
      </c>
      <c r="G905" s="175" t="str">
        <f t="shared" si="28"/>
        <v>Anchorage</v>
      </c>
      <c r="H905" s="175"/>
      <c r="I905" s="178" t="s">
        <v>476</v>
      </c>
      <c r="J905" s="27" t="s">
        <v>474</v>
      </c>
      <c r="K905" s="27">
        <v>0</v>
      </c>
      <c r="L905" s="179">
        <v>10570</v>
      </c>
      <c r="M905" s="178" t="s">
        <v>477</v>
      </c>
      <c r="N905" s="27" t="s">
        <v>474</v>
      </c>
      <c r="O905" s="187" t="s">
        <v>478</v>
      </c>
    </row>
    <row r="906" spans="2:15">
      <c r="B906" s="174" t="s">
        <v>2407</v>
      </c>
      <c r="C906" s="175" t="s">
        <v>473</v>
      </c>
      <c r="D906" s="176" t="s">
        <v>474</v>
      </c>
      <c r="E906" s="177" t="s">
        <v>2408</v>
      </c>
      <c r="F906" s="175">
        <f>LEN(E906)</f>
        <v>11</v>
      </c>
      <c r="G906" s="175" t="str">
        <f>MID(E906,2,F906-2)</f>
        <v>Fairbanks</v>
      </c>
      <c r="H906" s="175"/>
      <c r="I906" s="178" t="s">
        <v>2409</v>
      </c>
      <c r="J906" s="27" t="s">
        <v>474</v>
      </c>
      <c r="K906" s="27">
        <v>84</v>
      </c>
      <c r="L906" s="179">
        <v>13940</v>
      </c>
      <c r="M906" s="178" t="s">
        <v>2410</v>
      </c>
      <c r="N906" s="27" t="s">
        <v>474</v>
      </c>
      <c r="O906" s="187" t="s">
        <v>2411</v>
      </c>
    </row>
    <row r="907" spans="2:15">
      <c r="B907" s="174" t="s">
        <v>138</v>
      </c>
      <c r="C907" s="175" t="s">
        <v>473</v>
      </c>
      <c r="D907" s="176" t="s">
        <v>474</v>
      </c>
      <c r="E907" s="177" t="s">
        <v>139</v>
      </c>
      <c r="F907" s="175">
        <f>LEN(E907)</f>
        <v>8</v>
      </c>
      <c r="G907" s="175" t="str">
        <f>MID(E907,2,F907-2)</f>
        <v>Juneau</v>
      </c>
      <c r="H907" s="175"/>
      <c r="I907" s="178" t="s">
        <v>140</v>
      </c>
      <c r="J907" s="27" t="s">
        <v>474</v>
      </c>
      <c r="K907" s="27">
        <v>0</v>
      </c>
      <c r="L907" s="179">
        <v>8897</v>
      </c>
      <c r="M907" s="178" t="s">
        <v>141</v>
      </c>
      <c r="N907" s="27" t="s">
        <v>474</v>
      </c>
      <c r="O907" s="182" t="s">
        <v>142</v>
      </c>
    </row>
    <row r="908" spans="2:15">
      <c r="B908" s="174" t="s">
        <v>913</v>
      </c>
      <c r="C908" s="175" t="s">
        <v>473</v>
      </c>
      <c r="D908" s="176" t="s">
        <v>474</v>
      </c>
      <c r="E908" s="177" t="s">
        <v>914</v>
      </c>
      <c r="F908" s="175">
        <f>LEN(E908)</f>
        <v>11</v>
      </c>
      <c r="G908" s="175" t="str">
        <f>MID(E908,2,F908-2)</f>
        <v>Ketchikan</v>
      </c>
      <c r="H908" s="175"/>
      <c r="I908" s="178" t="s">
        <v>915</v>
      </c>
      <c r="J908" s="27" t="s">
        <v>474</v>
      </c>
      <c r="K908" s="27">
        <v>0</v>
      </c>
      <c r="L908" s="179">
        <v>11456</v>
      </c>
      <c r="M908" s="178" t="s">
        <v>141</v>
      </c>
      <c r="N908" s="27" t="s">
        <v>474</v>
      </c>
      <c r="O908" s="182" t="s">
        <v>142</v>
      </c>
    </row>
    <row r="909" spans="2:15">
      <c r="B909" s="189"/>
      <c r="C909" s="190"/>
      <c r="D909" s="181"/>
      <c r="E909" s="191"/>
      <c r="F909" s="190"/>
      <c r="G909" s="190"/>
      <c r="H909" s="190"/>
      <c r="I909" s="192"/>
      <c r="J909" s="190"/>
      <c r="K909" s="190"/>
      <c r="L909" s="191"/>
      <c r="M909" s="192"/>
      <c r="N909" s="190"/>
      <c r="O909" s="191"/>
    </row>
    <row r="910" spans="2:15">
      <c r="B910" s="189"/>
      <c r="C910" s="190"/>
      <c r="D910" s="181"/>
      <c r="E910" s="191"/>
      <c r="F910" s="190"/>
      <c r="G910" s="190"/>
      <c r="H910" s="190"/>
      <c r="I910" s="192"/>
      <c r="J910" s="190"/>
      <c r="K910" s="190"/>
      <c r="L910" s="191"/>
      <c r="M910" s="192"/>
      <c r="N910" s="190"/>
      <c r="O910" s="191"/>
    </row>
    <row r="911" spans="2:15" ht="12.75" thickBot="1">
      <c r="B911" s="193"/>
      <c r="C911" s="194"/>
      <c r="D911" s="195"/>
      <c r="E911" s="196"/>
      <c r="F911" s="194"/>
      <c r="G911" s="194"/>
      <c r="H911" s="194"/>
      <c r="I911" s="197"/>
      <c r="J911" s="194"/>
      <c r="K911" s="194"/>
      <c r="L911" s="196"/>
      <c r="M911" s="197"/>
      <c r="N911" s="194"/>
      <c r="O911" s="196"/>
    </row>
    <row r="912" spans="2:15" ht="21" thickBot="1">
      <c r="B912" s="2685" t="s">
        <v>1878</v>
      </c>
      <c r="C912" s="2686"/>
      <c r="D912" s="2686"/>
      <c r="E912" s="2687"/>
      <c r="F912" s="198"/>
      <c r="G912" s="198"/>
      <c r="H912" s="198"/>
      <c r="I912" s="2685" t="s">
        <v>1879</v>
      </c>
      <c r="J912" s="2686"/>
      <c r="K912" s="2686"/>
      <c r="L912" s="2687"/>
      <c r="M912" s="2685" t="s">
        <v>1880</v>
      </c>
      <c r="N912" s="2686"/>
      <c r="O912" s="2687"/>
    </row>
  </sheetData>
  <mergeCells count="6">
    <mergeCell ref="I1:L1"/>
    <mergeCell ref="P1:R1"/>
    <mergeCell ref="M1:O1"/>
    <mergeCell ref="B912:E912"/>
    <mergeCell ref="I912:L912"/>
    <mergeCell ref="M912:O912"/>
  </mergeCells>
  <phoneticPr fontId="0" type="noConversion"/>
  <pageMargins left="0.75" right="0.75" top="1" bottom="1" header="0.5" footer="0.5"/>
  <pageSetup scale="37" fitToHeight="16"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sheetPr codeName="Sheet21">
    <pageSetUpPr fitToPage="1"/>
  </sheetPr>
  <dimension ref="A1:AC320"/>
  <sheetViews>
    <sheetView topLeftCell="A3" zoomScale="75" workbookViewId="0">
      <selection activeCell="U45" sqref="U45"/>
    </sheetView>
  </sheetViews>
  <sheetFormatPr defaultRowHeight="12.75"/>
  <cols>
    <col min="1" max="1" width="21.28515625" customWidth="1"/>
    <col min="2" max="2" width="18.28515625" bestFit="1" customWidth="1"/>
    <col min="3" max="3" width="15.42578125" customWidth="1"/>
    <col min="4" max="4" width="18.28515625" customWidth="1"/>
    <col min="5" max="5" width="12.7109375" bestFit="1" customWidth="1"/>
    <col min="6" max="6" width="13.7109375" customWidth="1"/>
    <col min="7" max="7" width="11.28515625" bestFit="1" customWidth="1"/>
    <col min="9" max="9" width="11.85546875" customWidth="1"/>
    <col min="11" max="11" width="7.5703125" customWidth="1"/>
    <col min="13" max="13" width="20" customWidth="1"/>
    <col min="14" max="14" width="7.85546875" customWidth="1"/>
    <col min="15" max="15" width="5.42578125" customWidth="1"/>
    <col min="16" max="16" width="6" customWidth="1"/>
    <col min="17" max="17" width="6.42578125" customWidth="1"/>
    <col min="18" max="18" width="6.28515625" customWidth="1"/>
    <col min="19" max="19" width="10" customWidth="1"/>
    <col min="20" max="20" width="7.7109375" customWidth="1"/>
  </cols>
  <sheetData>
    <row r="1" spans="1:25" ht="18">
      <c r="A1" s="29" t="s">
        <v>1904</v>
      </c>
      <c r="B1" s="3"/>
      <c r="C1" s="3"/>
    </row>
    <row r="2" spans="1:25" ht="18">
      <c r="A2" s="2" t="s">
        <v>1905</v>
      </c>
    </row>
    <row r="4" spans="1:25" ht="13.5" thickBot="1"/>
    <row r="5" spans="1:25" ht="18">
      <c r="A5" s="30" t="s">
        <v>1905</v>
      </c>
      <c r="B5" s="31"/>
      <c r="C5" s="31"/>
      <c r="D5" s="31"/>
      <c r="E5" s="31"/>
      <c r="F5" s="31"/>
      <c r="G5" s="31"/>
      <c r="H5" s="31"/>
      <c r="I5" s="31"/>
      <c r="J5" s="31"/>
      <c r="K5" s="32"/>
    </row>
    <row r="6" spans="1:25" ht="13.5" thickBot="1">
      <c r="A6" s="33"/>
      <c r="B6" s="34"/>
      <c r="C6" s="34"/>
      <c r="D6" s="34"/>
      <c r="E6" s="34"/>
      <c r="F6" s="34"/>
      <c r="G6" s="34"/>
      <c r="H6" s="34"/>
      <c r="I6" s="34"/>
      <c r="J6" s="34"/>
      <c r="K6" s="35"/>
    </row>
    <row r="7" spans="1:25" ht="15.75" thickBot="1">
      <c r="A7" s="259"/>
      <c r="B7" s="260" t="s">
        <v>1906</v>
      </c>
      <c r="C7" s="261" t="s">
        <v>1907</v>
      </c>
      <c r="D7" s="2691" t="s">
        <v>1908</v>
      </c>
      <c r="E7" s="2692"/>
      <c r="F7" s="2692"/>
      <c r="G7" s="2693"/>
      <c r="H7" s="2691" t="s">
        <v>1909</v>
      </c>
      <c r="I7" s="2692"/>
      <c r="J7" s="2692"/>
      <c r="K7" s="2693"/>
      <c r="M7" s="10" t="s">
        <v>48</v>
      </c>
    </row>
    <row r="8" spans="1:25" ht="20.25" customHeight="1">
      <c r="A8" s="36" t="s">
        <v>1910</v>
      </c>
      <c r="B8" s="37" t="e">
        <f>C8/N10</f>
        <v>#DIV/0!</v>
      </c>
      <c r="C8" s="37">
        <f>N14</f>
        <v>0</v>
      </c>
      <c r="D8" s="38"/>
      <c r="E8" s="39" t="s">
        <v>1911</v>
      </c>
      <c r="F8" s="384" t="e">
        <f ca="1">+(F9*'Side Calcs - Baseline'!J16/(10.3/3.412))+(F9*'Side Calcs - Baseline'!K16/1.024)+(F9*'Side Calcs - Baseline'!L16)+(F9*'Side Calcs - Baseline'!M16/1.38)+(F9*'Side Calcs - Baseline'!N16)</f>
        <v>#DIV/0!</v>
      </c>
      <c r="G8" s="385" t="s">
        <v>242</v>
      </c>
      <c r="H8" s="40"/>
      <c r="I8" s="41" t="s">
        <v>1066</v>
      </c>
      <c r="J8" s="42">
        <f>+G39</f>
        <v>11.246855500000001</v>
      </c>
      <c r="K8" s="43" t="s">
        <v>1067</v>
      </c>
      <c r="P8" t="s">
        <v>1068</v>
      </c>
    </row>
    <row r="9" spans="1:25" ht="15.75">
      <c r="A9" s="36" t="s">
        <v>1069</v>
      </c>
      <c r="B9" s="44" t="e">
        <f>B12*B16</f>
        <v>#N/A</v>
      </c>
      <c r="C9" s="45"/>
      <c r="D9" s="40"/>
      <c r="E9" s="39" t="s">
        <v>1070</v>
      </c>
      <c r="F9" s="386" t="e">
        <f>+EXP('Worksheet - Design - Baseline'!C76)</f>
        <v>#DIV/0!</v>
      </c>
      <c r="G9" s="385" t="s">
        <v>242</v>
      </c>
      <c r="H9" s="46"/>
      <c r="I9" s="47"/>
      <c r="J9" s="7"/>
      <c r="K9" s="43"/>
      <c r="N9" t="s">
        <v>528</v>
      </c>
      <c r="O9" t="s">
        <v>1068</v>
      </c>
      <c r="P9" s="10" t="s">
        <v>1071</v>
      </c>
    </row>
    <row r="10" spans="1:25" ht="15.75">
      <c r="A10" s="36" t="s">
        <v>1072</v>
      </c>
      <c r="B10" s="48" t="e">
        <f>B17*B18</f>
        <v>#N/A</v>
      </c>
      <c r="C10" s="45"/>
      <c r="D10" s="46"/>
      <c r="E10" s="49"/>
      <c r="F10" s="50"/>
      <c r="G10" s="43"/>
      <c r="H10" s="46"/>
      <c r="I10" s="47"/>
      <c r="J10" s="51"/>
      <c r="K10" s="43"/>
      <c r="M10" s="83"/>
      <c r="N10" s="387">
        <f>'RECS - Baseline'!F19</f>
        <v>0</v>
      </c>
      <c r="O10" s="387">
        <f>'RECS - Baseline'!G19</f>
        <v>0</v>
      </c>
      <c r="P10" t="e">
        <f>O10/N10</f>
        <v>#DIV/0!</v>
      </c>
    </row>
    <row r="11" spans="1:25" ht="15.75">
      <c r="A11" s="36" t="s">
        <v>1073</v>
      </c>
      <c r="B11" s="48" t="e">
        <f>O10/N10</f>
        <v>#DIV/0!</v>
      </c>
      <c r="C11" s="45"/>
      <c r="D11" s="46"/>
      <c r="E11" s="49"/>
      <c r="F11" s="50"/>
      <c r="G11" s="43"/>
      <c r="H11" s="46"/>
      <c r="I11" s="47"/>
      <c r="J11" s="51"/>
      <c r="K11" s="43"/>
      <c r="M11" s="83"/>
      <c r="N11" s="387"/>
    </row>
    <row r="12" spans="1:25" ht="16.5" thickBot="1">
      <c r="A12" s="52" t="s">
        <v>49</v>
      </c>
      <c r="B12" s="53" t="e">
        <f>'ZipCode Map'!K5</f>
        <v>#N/A</v>
      </c>
      <c r="C12" s="45"/>
      <c r="D12" s="46"/>
      <c r="E12" s="54" t="s">
        <v>1074</v>
      </c>
      <c r="F12" s="55" t="e">
        <f ca="1">IF(B25&lt;'Worksheet - Design - Baseline'!C51,100,LOOKUP(B25,'Worksheet - Design - Baseline'!C51:C149,'Worksheet - Design - Baseline'!A51:A149)-1)</f>
        <v>#DIV/0!</v>
      </c>
      <c r="G12" s="43"/>
      <c r="H12" s="46"/>
      <c r="I12" s="56"/>
      <c r="J12" s="7"/>
      <c r="K12" s="43"/>
    </row>
    <row r="13" spans="1:25" ht="51.75">
      <c r="A13" s="52"/>
      <c r="B13" s="53"/>
      <c r="C13" s="45"/>
      <c r="D13" s="46"/>
      <c r="E13" s="7"/>
      <c r="F13" s="7"/>
      <c r="G13" s="43"/>
      <c r="H13" s="40"/>
      <c r="I13" s="41" t="s">
        <v>1075</v>
      </c>
      <c r="J13" s="57" t="e">
        <f>$D$40+$D$41*LN(B8)+$D$42*B9+$D$43*B10+D44*B11</f>
        <v>#DIV/0!</v>
      </c>
      <c r="K13" s="43" t="s">
        <v>1067</v>
      </c>
      <c r="M13" s="58" t="s">
        <v>1076</v>
      </c>
      <c r="N13" s="58" t="s">
        <v>1077</v>
      </c>
      <c r="O13" s="58" t="s">
        <v>1078</v>
      </c>
      <c r="P13" s="58" t="s">
        <v>1079</v>
      </c>
      <c r="Q13" s="58" t="s">
        <v>1205</v>
      </c>
      <c r="R13" s="58" t="s">
        <v>1206</v>
      </c>
      <c r="S13" s="58" t="s">
        <v>206</v>
      </c>
      <c r="T13" s="58" t="s">
        <v>207</v>
      </c>
      <c r="U13" s="58" t="s">
        <v>208</v>
      </c>
    </row>
    <row r="14" spans="1:25" ht="15.75">
      <c r="A14" s="52"/>
      <c r="B14" s="37"/>
      <c r="C14" s="45"/>
      <c r="D14" s="38"/>
      <c r="E14" s="39" t="s">
        <v>209</v>
      </c>
      <c r="F14" s="384" t="e">
        <f ca="1">+(F15*'Side Calcs - Baseline'!J16/(10.3/3.412))+(F15*'Side Calcs - Baseline'!K16/1.024)+(F15*'Side Calcs - Baseline'!L16)+(F15*'Side Calcs - Baseline'!M16/1.38)+(F15*'Side Calcs - Baseline'!N16)</f>
        <v>#DIV/0!</v>
      </c>
      <c r="G14" s="385" t="s">
        <v>242</v>
      </c>
      <c r="H14" s="46"/>
      <c r="I14" s="47"/>
      <c r="J14" s="59"/>
      <c r="K14" s="43"/>
      <c r="M14" s="60" t="str">
        <f>'RECS - Baseline'!B22</f>
        <v>Under Ground Garage</v>
      </c>
      <c r="N14" s="61">
        <f>'RECS - Baseline'!C19</f>
        <v>0</v>
      </c>
      <c r="O14" s="61"/>
      <c r="P14" s="61"/>
      <c r="Q14" s="61">
        <f>'RECS - Baseline'!E19</f>
        <v>0</v>
      </c>
      <c r="R14" s="61"/>
      <c r="S14" s="388" t="e">
        <f ca="1">S21-S15</f>
        <v>#DIV/0!</v>
      </c>
      <c r="T14" s="388" t="e">
        <f ca="1">S14/N10</f>
        <v>#DIV/0!</v>
      </c>
      <c r="U14" s="61"/>
    </row>
    <row r="15" spans="1:25" ht="15.75">
      <c r="A15" s="52"/>
      <c r="B15" s="37"/>
      <c r="C15" s="45"/>
      <c r="D15" s="40"/>
      <c r="E15" s="39" t="s">
        <v>210</v>
      </c>
      <c r="F15" s="386" t="e">
        <f ca="1">F9*N10+SUM(S15:S19)</f>
        <v>#DIV/0!</v>
      </c>
      <c r="G15" s="385" t="s">
        <v>242</v>
      </c>
      <c r="H15" s="46"/>
      <c r="I15" s="47"/>
      <c r="J15" s="59"/>
      <c r="K15" s="43"/>
      <c r="M15" s="60" t="str">
        <f>'RECS - Baseline'!B23</f>
        <v>Above Ground Garage</v>
      </c>
      <c r="N15" s="61">
        <f>'RECS - Baseline'!C20</f>
        <v>0</v>
      </c>
      <c r="O15" s="61"/>
      <c r="P15" s="61"/>
      <c r="Q15" s="61">
        <f>'RECS - Baseline'!F20</f>
        <v>0</v>
      </c>
      <c r="R15" s="61"/>
      <c r="S15" s="388" t="e">
        <f ca="1">0.75*S$21*N15/N$22</f>
        <v>#DIV/0!</v>
      </c>
      <c r="T15" s="388"/>
      <c r="U15" s="62" t="s">
        <v>211</v>
      </c>
      <c r="V15" s="63"/>
      <c r="W15" s="63"/>
      <c r="X15" s="63"/>
      <c r="Y15" s="63"/>
    </row>
    <row r="16" spans="1:25" ht="15.75">
      <c r="A16" s="36" t="s">
        <v>212</v>
      </c>
      <c r="B16" s="64" t="e">
        <f>('RECS - Baseline'!E19)/'RECS - Baseline'!C19</f>
        <v>#DIV/0!</v>
      </c>
      <c r="C16" s="45"/>
      <c r="D16" s="46"/>
      <c r="E16" s="56"/>
      <c r="F16" s="65"/>
      <c r="G16" s="66"/>
      <c r="H16" s="46"/>
      <c r="I16" s="47"/>
      <c r="J16" s="59"/>
      <c r="K16" s="43"/>
      <c r="M16" s="60" t="str">
        <f>'RECS - Baseline'!B24</f>
        <v>Parking Lot</v>
      </c>
      <c r="N16" s="61">
        <f>'RECS - Baseline'!C21</f>
        <v>0</v>
      </c>
      <c r="O16" s="61"/>
      <c r="P16" s="61"/>
      <c r="Q16" s="61">
        <f>'RECS - Baseline'!F21</f>
        <v>0</v>
      </c>
      <c r="R16" s="61"/>
      <c r="S16" s="388">
        <f>200*N16</f>
        <v>0</v>
      </c>
      <c r="T16" s="388"/>
      <c r="U16" s="62" t="s">
        <v>213</v>
      </c>
      <c r="V16" s="63"/>
      <c r="W16" s="63"/>
      <c r="X16" s="63"/>
      <c r="Y16" s="63"/>
    </row>
    <row r="17" spans="1:25" ht="15.75">
      <c r="A17" s="36" t="s">
        <v>50</v>
      </c>
      <c r="B17" s="48" t="e">
        <f>+'ZipCode Map'!L5</f>
        <v>#N/A</v>
      </c>
      <c r="C17" s="45"/>
      <c r="D17" s="46"/>
      <c r="E17" s="5"/>
      <c r="F17" s="67"/>
      <c r="G17" s="66"/>
      <c r="H17" s="46"/>
      <c r="I17" s="47" t="s">
        <v>214</v>
      </c>
      <c r="J17" s="68" t="e">
        <f>+J13/J8</f>
        <v>#DIV/0!</v>
      </c>
      <c r="K17" s="43"/>
      <c r="M17" s="60" t="str">
        <f>'RECS - Baseline'!B25</f>
        <v>Building Total</v>
      </c>
      <c r="N17" s="61">
        <f>'RECS - Baseline'!C22</f>
        <v>0</v>
      </c>
      <c r="O17" s="61">
        <v>168</v>
      </c>
      <c r="P17" s="61" t="s">
        <v>215</v>
      </c>
      <c r="Q17" s="61" t="s">
        <v>215</v>
      </c>
      <c r="R17" s="69">
        <v>1.46</v>
      </c>
      <c r="S17" s="388">
        <f>N17*O17*R17*10.3/1000</f>
        <v>0</v>
      </c>
      <c r="T17" s="388"/>
      <c r="U17" s="69"/>
    </row>
    <row r="18" spans="1:25" ht="15.75">
      <c r="A18" s="36" t="s">
        <v>216</v>
      </c>
      <c r="B18" s="64" t="e">
        <f>('RECS - Baseline'!D19)/'RECS - Baseline'!C19</f>
        <v>#DIV/0!</v>
      </c>
      <c r="C18" s="45"/>
      <c r="D18" s="46"/>
      <c r="E18" s="56"/>
      <c r="F18" s="65"/>
      <c r="G18" s="66"/>
      <c r="H18" s="46"/>
      <c r="I18" s="7"/>
      <c r="J18" s="7"/>
      <c r="K18" s="43"/>
      <c r="M18" s="60">
        <f>'RECS - Baseline'!B26</f>
        <v>0</v>
      </c>
      <c r="N18" s="61">
        <f>'RECS - Baseline'!C23</f>
        <v>0</v>
      </c>
      <c r="O18" s="61">
        <v>168</v>
      </c>
      <c r="P18" s="61" t="s">
        <v>215</v>
      </c>
      <c r="Q18" s="61" t="s">
        <v>215</v>
      </c>
      <c r="R18" s="69">
        <v>0.26</v>
      </c>
      <c r="S18" s="388">
        <f>N18*O18*R18*10.3/1000</f>
        <v>0</v>
      </c>
      <c r="T18" s="388"/>
      <c r="U18" s="69"/>
    </row>
    <row r="19" spans="1:25" ht="15" thickBot="1">
      <c r="B19" s="70"/>
      <c r="C19" s="45"/>
      <c r="D19" s="46"/>
      <c r="E19" s="56"/>
      <c r="F19" s="65"/>
      <c r="G19" s="66"/>
      <c r="H19" s="46"/>
      <c r="I19" s="7"/>
      <c r="J19" s="7"/>
      <c r="K19" s="43"/>
      <c r="M19" s="71">
        <f>'RECS - Baseline'!B27</f>
        <v>0</v>
      </c>
      <c r="N19" s="72">
        <f>'RECS - Baseline'!C24</f>
        <v>0</v>
      </c>
      <c r="O19" s="72">
        <v>84</v>
      </c>
      <c r="P19" s="72" t="s">
        <v>215</v>
      </c>
      <c r="Q19" s="72" t="s">
        <v>215</v>
      </c>
      <c r="R19" s="73">
        <v>0.12</v>
      </c>
      <c r="S19" s="389">
        <f>N19*O19*R19*10.3/1000</f>
        <v>0</v>
      </c>
      <c r="T19" s="389"/>
      <c r="U19" s="62" t="s">
        <v>217</v>
      </c>
      <c r="V19" s="63"/>
      <c r="W19" s="63"/>
      <c r="X19" s="63"/>
      <c r="Y19" s="63"/>
    </row>
    <row r="20" spans="1:25" ht="15.75">
      <c r="A20" s="52" t="s">
        <v>218</v>
      </c>
      <c r="B20" s="390" t="e">
        <f ca="1">+'RECS - Baseline'!C32*'Side Calcs - Baseline'!K4+'RECS - Baseline'!D32*'Side Calcs - Baseline'!O4+'RECS - Baseline'!E32*'Side Calcs - Baseline'!S4+'RECS - Baseline'!F32*'Side Calcs - Baseline'!W4+'RECS - Baseline'!G32*'Side Calcs - Baseline'!AA4</f>
        <v>#DIV/0!</v>
      </c>
      <c r="C20" s="45" t="s">
        <v>2202</v>
      </c>
      <c r="D20" s="46"/>
      <c r="E20" s="56"/>
      <c r="F20" s="7"/>
      <c r="G20" s="43"/>
      <c r="H20" s="46"/>
      <c r="I20" s="47"/>
      <c r="J20" s="391"/>
      <c r="K20" s="392"/>
      <c r="M20" s="74" t="s">
        <v>2203</v>
      </c>
      <c r="N20" s="49"/>
      <c r="S20" s="393" t="e">
        <f ca="1">B22</f>
        <v>#DIV/0!</v>
      </c>
      <c r="T20" s="393"/>
    </row>
    <row r="21" spans="1:25" ht="15.75">
      <c r="A21" s="52" t="s">
        <v>2204</v>
      </c>
      <c r="B21" s="390"/>
      <c r="C21" s="45"/>
      <c r="D21" s="46"/>
      <c r="E21" s="56"/>
      <c r="F21" s="7"/>
      <c r="G21" s="43"/>
      <c r="H21" s="46"/>
      <c r="I21" s="47"/>
      <c r="J21" s="391"/>
      <c r="K21" s="392"/>
      <c r="M21" t="s">
        <v>2205</v>
      </c>
      <c r="S21" s="393" t="e">
        <f ca="1">S20-S16-S17-S18-S19</f>
        <v>#DIV/0!</v>
      </c>
      <c r="T21" s="393"/>
    </row>
    <row r="22" spans="1:25" ht="15.75">
      <c r="A22" s="52" t="s">
        <v>2206</v>
      </c>
      <c r="B22" s="390" t="e">
        <f ca="1">+'RECS - Baseline'!C32*'Side Calcs - Baseline'!J4+'RECS - Baseline'!D32*'Side Calcs - Baseline'!N4+'RECS - Baseline'!E32*'Side Calcs - Baseline'!R4+'RECS - Baseline'!F32*'Side Calcs - Baseline'!V4+'RECS - Baseline'!G32*'Side Calcs - Baseline'!Z4</f>
        <v>#DIV/0!</v>
      </c>
      <c r="C22" s="45" t="s">
        <v>2202</v>
      </c>
      <c r="D22" s="46"/>
      <c r="E22" s="7"/>
      <c r="F22" s="59"/>
      <c r="G22" s="43"/>
      <c r="H22" s="46"/>
      <c r="I22" s="47"/>
      <c r="J22" s="7"/>
      <c r="K22" s="75"/>
      <c r="M22" t="s">
        <v>2207</v>
      </c>
      <c r="N22" s="76">
        <f>SUM(N14:N15)</f>
        <v>0</v>
      </c>
      <c r="S22" s="393" t="e">
        <f ca="1">SUM(S14:S15)</f>
        <v>#DIV/0!</v>
      </c>
      <c r="T22" s="393"/>
    </row>
    <row r="23" spans="1:25" ht="15.75">
      <c r="A23" s="52" t="s">
        <v>2208</v>
      </c>
      <c r="B23" s="77"/>
      <c r="C23" s="45"/>
      <c r="D23" s="40"/>
      <c r="E23" s="41" t="s">
        <v>2209</v>
      </c>
      <c r="F23" s="394" t="e">
        <f ca="1">+(F24*'Side Calcs - Baseline'!J16/(10.3/3.412))+(F24*'Side Calcs - Baseline'!K16/1.024)+(F24*'Side Calcs - Baseline'!L16)+(F24*'Side Calcs - Baseline'!M16/1.38)+(F24*'Side Calcs - Baseline'!N16)</f>
        <v>#DIV/0!</v>
      </c>
      <c r="G23" s="385" t="s">
        <v>242</v>
      </c>
      <c r="H23" s="46"/>
      <c r="I23" s="7"/>
      <c r="J23" s="7"/>
      <c r="K23" s="43"/>
      <c r="M23" t="s">
        <v>2210</v>
      </c>
      <c r="S23" s="78">
        <f>SUM(S16:S19)</f>
        <v>0</v>
      </c>
    </row>
    <row r="24" spans="1:25" ht="15.75">
      <c r="A24" s="52" t="s">
        <v>2211</v>
      </c>
      <c r="B24" s="77"/>
      <c r="C24" s="45"/>
      <c r="D24" s="40"/>
      <c r="E24" s="41" t="s">
        <v>2212</v>
      </c>
      <c r="F24" s="395" t="e">
        <f>EXP(C101)</f>
        <v>#DIV/0!</v>
      </c>
      <c r="G24" s="385" t="s">
        <v>242</v>
      </c>
      <c r="H24" s="46"/>
      <c r="I24" s="7"/>
      <c r="J24" s="7"/>
      <c r="K24" s="43"/>
    </row>
    <row r="25" spans="1:25" ht="16.5" thickBot="1">
      <c r="A25" s="36" t="s">
        <v>2213</v>
      </c>
      <c r="B25" s="79" t="e">
        <f ca="1">LN(T14)</f>
        <v>#DIV/0!</v>
      </c>
      <c r="C25" s="80"/>
      <c r="D25" s="40"/>
      <c r="E25" s="41" t="s">
        <v>2214</v>
      </c>
      <c r="F25" s="394" t="e">
        <f ca="1">+(F26*'Side Calcs - Baseline'!J18/(10.3/3.412))+(F26*'Side Calcs - Baseline'!K18/1.024)+(F26*'Side Calcs - Baseline'!L18)+(F26*'Side Calcs - Baseline'!M18/1.38)+(F26*'Side Calcs - Baseline'!N18)</f>
        <v>#DIV/0!</v>
      </c>
      <c r="G25" s="385" t="s">
        <v>242</v>
      </c>
      <c r="H25" s="11"/>
      <c r="I25" s="81"/>
      <c r="J25" s="81"/>
      <c r="K25" s="13"/>
      <c r="N25" t="s">
        <v>2215</v>
      </c>
    </row>
    <row r="26" spans="1:25" ht="14.25">
      <c r="D26" s="40"/>
      <c r="E26" s="41" t="s">
        <v>2216</v>
      </c>
      <c r="F26" s="395" t="e">
        <f ca="1">F24*N10+SUM(S15:S19)</f>
        <v>#DIV/0!</v>
      </c>
      <c r="G26" s="385" t="s">
        <v>242</v>
      </c>
      <c r="N26" t="s">
        <v>2217</v>
      </c>
    </row>
    <row r="27" spans="1:25" ht="14.25">
      <c r="I27" s="47"/>
      <c r="J27" s="82"/>
      <c r="M27" s="83"/>
      <c r="N27" s="83"/>
      <c r="P27" s="83"/>
      <c r="Q27" s="83"/>
    </row>
    <row r="28" spans="1:25" ht="14.25">
      <c r="A28" s="1" t="s">
        <v>2218</v>
      </c>
      <c r="I28" s="47"/>
      <c r="J28" s="82"/>
      <c r="M28" s="83"/>
      <c r="N28" s="83" t="s">
        <v>2219</v>
      </c>
      <c r="O28" s="83"/>
      <c r="P28" s="83"/>
      <c r="Q28" s="83"/>
    </row>
    <row r="29" spans="1:25" ht="12.75" hidden="1" customHeight="1"/>
    <row r="30" spans="1:25">
      <c r="A30" s="84" t="s">
        <v>2220</v>
      </c>
      <c r="B30" s="3"/>
      <c r="C30" s="3"/>
      <c r="D30" s="3"/>
    </row>
    <row r="31" spans="1:25">
      <c r="A31" s="9"/>
      <c r="N31" t="s">
        <v>2221</v>
      </c>
    </row>
    <row r="32" spans="1:25" ht="12.75" hidden="1" customHeight="1">
      <c r="A32" s="9"/>
    </row>
    <row r="33" spans="1:21" ht="12.75" hidden="1" customHeight="1"/>
    <row r="34" spans="1:21" ht="12.75" hidden="1" customHeight="1">
      <c r="A34" s="9"/>
    </row>
    <row r="35" spans="1:21" ht="12.75" hidden="1" customHeight="1"/>
    <row r="36" spans="1:21" ht="13.5" thickBot="1"/>
    <row r="37" spans="1:21" ht="18.75" thickBot="1">
      <c r="A37" s="85" t="s">
        <v>2222</v>
      </c>
      <c r="B37" s="86"/>
      <c r="C37" s="86"/>
      <c r="D37" s="12"/>
      <c r="K37" s="87"/>
      <c r="N37" t="s">
        <v>2223</v>
      </c>
    </row>
    <row r="38" spans="1:21" ht="14.25">
      <c r="A38" s="88"/>
      <c r="B38" s="89"/>
      <c r="C38" s="89"/>
      <c r="D38" s="90" t="s">
        <v>2224</v>
      </c>
      <c r="E38" s="7"/>
      <c r="F38" s="91" t="s">
        <v>2225</v>
      </c>
      <c r="G38" s="92" t="s">
        <v>2226</v>
      </c>
      <c r="H38" s="92" t="s">
        <v>2227</v>
      </c>
      <c r="I38" s="93" t="s">
        <v>2228</v>
      </c>
      <c r="K38" s="94"/>
      <c r="N38" t="s">
        <v>2229</v>
      </c>
    </row>
    <row r="39" spans="1:21" s="1" customFormat="1" ht="14.25">
      <c r="A39" s="95" t="s">
        <v>2225</v>
      </c>
      <c r="B39" s="96" t="s">
        <v>2230</v>
      </c>
      <c r="C39" s="97" t="s">
        <v>2224</v>
      </c>
      <c r="D39" s="98" t="s">
        <v>2231</v>
      </c>
      <c r="E39" s="97"/>
      <c r="F39" s="99" t="s">
        <v>2232</v>
      </c>
      <c r="G39" s="100">
        <v>11.246855500000001</v>
      </c>
      <c r="H39" s="101">
        <v>9.7327645</v>
      </c>
      <c r="I39" s="102">
        <v>12.207849100000001</v>
      </c>
      <c r="J39" s="103" t="s">
        <v>2233</v>
      </c>
      <c r="K39" s="104"/>
      <c r="L39"/>
      <c r="M39"/>
      <c r="N39"/>
      <c r="O39"/>
      <c r="P39"/>
      <c r="Q39"/>
      <c r="R39"/>
      <c r="S39"/>
      <c r="T39"/>
      <c r="U39"/>
    </row>
    <row r="40" spans="1:21" s="1" customFormat="1" ht="14.25">
      <c r="A40" s="105" t="s">
        <v>2234</v>
      </c>
      <c r="B40" s="106">
        <v>1</v>
      </c>
      <c r="C40" s="106" t="s">
        <v>221</v>
      </c>
      <c r="D40" s="107">
        <v>6.4144199999999998</v>
      </c>
      <c r="E40" s="97"/>
      <c r="F40" s="108"/>
      <c r="G40" s="109"/>
      <c r="H40" s="106"/>
      <c r="I40" s="110"/>
      <c r="K40" s="104"/>
      <c r="L40" s="111"/>
    </row>
    <row r="41" spans="1:21" ht="14.25">
      <c r="A41" s="112" t="s">
        <v>222</v>
      </c>
      <c r="B41" s="106">
        <v>1</v>
      </c>
      <c r="C41" s="106" t="s">
        <v>223</v>
      </c>
      <c r="D41" s="113">
        <v>0.69635999999999998</v>
      </c>
      <c r="E41" s="59"/>
      <c r="F41" s="99" t="s">
        <v>224</v>
      </c>
      <c r="G41" s="114">
        <v>6.5994793999999999</v>
      </c>
      <c r="H41" s="101">
        <v>5.7990927000000001</v>
      </c>
      <c r="I41" s="102">
        <v>7.4024514999999997</v>
      </c>
      <c r="J41" t="s">
        <v>225</v>
      </c>
      <c r="L41" s="115">
        <f>EXP(G41)</f>
        <v>734.71259828352083</v>
      </c>
    </row>
    <row r="42" spans="1:21" ht="14.25">
      <c r="A42" s="112" t="s">
        <v>226</v>
      </c>
      <c r="B42" s="106">
        <v>1</v>
      </c>
      <c r="C42" s="106" t="s">
        <v>227</v>
      </c>
      <c r="D42" s="116">
        <v>5.3000000000000001E-5</v>
      </c>
      <c r="E42" s="7"/>
      <c r="F42" s="99" t="s">
        <v>1069</v>
      </c>
      <c r="G42" s="117">
        <v>569.07824230000006</v>
      </c>
      <c r="H42" s="101">
        <v>0</v>
      </c>
      <c r="I42" s="102">
        <v>5736</v>
      </c>
      <c r="K42" s="104"/>
      <c r="L42" s="4"/>
      <c r="S42" s="118"/>
    </row>
    <row r="43" spans="1:21" ht="14.25">
      <c r="A43" s="112" t="s">
        <v>228</v>
      </c>
      <c r="B43" s="106">
        <v>1</v>
      </c>
      <c r="C43" s="106" t="s">
        <v>229</v>
      </c>
      <c r="D43" s="116">
        <v>2.779E-5</v>
      </c>
      <c r="E43" s="7"/>
      <c r="F43" s="99" t="s">
        <v>1072</v>
      </c>
      <c r="G43" s="117">
        <v>4484.58</v>
      </c>
      <c r="H43" s="101">
        <v>0</v>
      </c>
      <c r="I43" s="102">
        <v>8200</v>
      </c>
      <c r="K43" s="104"/>
      <c r="L43" s="4"/>
    </row>
    <row r="44" spans="1:21" ht="14.25">
      <c r="A44" s="112" t="s">
        <v>230</v>
      </c>
      <c r="B44" s="106">
        <v>1</v>
      </c>
      <c r="C44" s="106" t="s">
        <v>231</v>
      </c>
      <c r="D44" s="113">
        <v>6.2050000000000001E-2</v>
      </c>
      <c r="E44" s="7"/>
      <c r="F44" s="99" t="s">
        <v>232</v>
      </c>
      <c r="G44" s="119">
        <v>1.3225806</v>
      </c>
      <c r="H44" s="101">
        <v>0</v>
      </c>
      <c r="I44" s="102">
        <v>4</v>
      </c>
    </row>
    <row r="45" spans="1:21" ht="15" thickBot="1">
      <c r="A45" s="120"/>
      <c r="B45" s="121"/>
      <c r="C45" s="121"/>
      <c r="D45" s="122"/>
      <c r="E45" s="7"/>
      <c r="F45" s="99"/>
      <c r="G45" s="119"/>
      <c r="H45" s="101"/>
      <c r="I45" s="102"/>
    </row>
    <row r="46" spans="1:21" ht="13.5" thickBot="1">
      <c r="A46" s="108"/>
      <c r="B46" s="106"/>
      <c r="C46" s="106"/>
      <c r="D46" s="110"/>
      <c r="E46" s="123"/>
      <c r="F46" s="124"/>
      <c r="G46" s="125"/>
      <c r="H46" s="121"/>
      <c r="I46" s="126"/>
    </row>
    <row r="47" spans="1:21" ht="13.5" thickBot="1">
      <c r="A47" s="124"/>
      <c r="B47" s="121"/>
      <c r="C47" s="121"/>
      <c r="D47" s="126"/>
      <c r="E47" s="123"/>
      <c r="F47" s="7"/>
      <c r="G47" s="7"/>
      <c r="H47" s="7"/>
    </row>
    <row r="49" spans="1:13" ht="13.5" thickBot="1">
      <c r="F49" s="2694"/>
      <c r="G49" s="2694"/>
      <c r="H49" s="2694"/>
      <c r="I49" s="2694"/>
      <c r="K49" s="2694"/>
      <c r="L49" s="2694"/>
    </row>
    <row r="50" spans="1:13" s="1" customFormat="1" ht="26.25" thickBot="1">
      <c r="A50" s="6" t="s">
        <v>233</v>
      </c>
      <c r="B50" s="127" t="s">
        <v>234</v>
      </c>
      <c r="C50" s="128" t="s">
        <v>235</v>
      </c>
      <c r="D50" s="128" t="s">
        <v>236</v>
      </c>
      <c r="E50" s="128"/>
      <c r="F50" s="128"/>
      <c r="G50" s="20"/>
      <c r="H50" s="20"/>
      <c r="I50" s="20"/>
      <c r="K50" s="262"/>
      <c r="L50" s="20"/>
    </row>
    <row r="51" spans="1:13" s="1" customFormat="1">
      <c r="A51" s="258">
        <v>100</v>
      </c>
      <c r="B51" s="129">
        <v>10.294499999999999</v>
      </c>
      <c r="C51" s="19" t="e">
        <f>+(B51*$J$17)</f>
        <v>#DIV/0!</v>
      </c>
      <c r="E51" s="97"/>
      <c r="F51" s="262"/>
      <c r="G51"/>
      <c r="H51" s="20"/>
      <c r="I51" s="20"/>
      <c r="K51" s="130"/>
      <c r="L51" s="20"/>
      <c r="M51" s="131"/>
    </row>
    <row r="52" spans="1:13" ht="15">
      <c r="A52" s="258">
        <v>99</v>
      </c>
      <c r="B52" s="132">
        <v>10.511799999999999</v>
      </c>
      <c r="C52" s="19" t="e">
        <f>+(B52*$J$17)</f>
        <v>#DIV/0!</v>
      </c>
      <c r="E52" s="7"/>
      <c r="F52" s="17"/>
      <c r="H52" s="21"/>
      <c r="I52" s="21"/>
      <c r="K52" s="17"/>
      <c r="L52" s="18"/>
    </row>
    <row r="53" spans="1:13" ht="15">
      <c r="A53" s="258">
        <v>98</v>
      </c>
      <c r="B53" s="132">
        <v>10.541</v>
      </c>
      <c r="C53" s="19" t="e">
        <f>+(B53*$J$17)</f>
        <v>#DIV/0!</v>
      </c>
      <c r="E53" s="7"/>
      <c r="F53" s="22"/>
      <c r="H53" s="133" t="s">
        <v>237</v>
      </c>
      <c r="I53" s="134"/>
      <c r="J53" s="9" t="s">
        <v>2201</v>
      </c>
      <c r="K53" s="135" t="s">
        <v>238</v>
      </c>
      <c r="L53" s="136"/>
      <c r="M53" s="9" t="s">
        <v>239</v>
      </c>
    </row>
    <row r="54" spans="1:13">
      <c r="A54" s="258">
        <v>97</v>
      </c>
      <c r="B54" s="132">
        <v>10.557</v>
      </c>
      <c r="C54" s="19" t="e">
        <f t="shared" ref="C54:C117" si="0">+(B54*$J$17)</f>
        <v>#DIV/0!</v>
      </c>
      <c r="E54" s="137"/>
      <c r="F54" s="138"/>
      <c r="G54" s="139" t="s">
        <v>240</v>
      </c>
      <c r="H54" s="2670" t="e">
        <f ca="1">F15</f>
        <v>#DIV/0!</v>
      </c>
      <c r="I54" s="2671"/>
      <c r="J54" s="15" t="e">
        <f ca="1">F26</f>
        <v>#DIV/0!</v>
      </c>
      <c r="K54" s="2670" t="e">
        <f ca="1">(+'RECS - Baseline'!C32*'Side Calcs - Baseline'!J4+'RECS - Baseline'!D32*'Side Calcs - Baseline'!N4+'RECS - Baseline'!E32*'Side Calcs - Baseline'!R4+'RECS - Baseline'!F32*'Side Calcs - Baseline'!V4+'RECS - Baseline'!G32*'Side Calcs - Baseline'!Z4)</f>
        <v>#DIV/0!</v>
      </c>
      <c r="L54" s="2671"/>
      <c r="M54" s="16" t="e">
        <f ca="1">K54-H54</f>
        <v>#DIV/0!</v>
      </c>
    </row>
    <row r="55" spans="1:13">
      <c r="A55" s="258">
        <v>96</v>
      </c>
      <c r="B55" s="132">
        <v>10.5913</v>
      </c>
      <c r="C55" s="19" t="e">
        <f t="shared" si="0"/>
        <v>#DIV/0!</v>
      </c>
      <c r="E55" s="7"/>
      <c r="F55" s="25"/>
      <c r="H55" s="27"/>
      <c r="I55" s="27"/>
      <c r="K55" s="25"/>
      <c r="L55" s="26"/>
    </row>
    <row r="56" spans="1:13">
      <c r="A56" s="258">
        <v>95</v>
      </c>
      <c r="B56" s="132">
        <v>10.615600000000001</v>
      </c>
      <c r="C56" s="19" t="e">
        <f t="shared" si="0"/>
        <v>#DIV/0!</v>
      </c>
      <c r="E56" s="137"/>
      <c r="F56" s="138"/>
      <c r="G56" s="139" t="s">
        <v>241</v>
      </c>
      <c r="H56" s="2670" t="e">
        <f ca="1">H54/'RECS - Baseline'!C25</f>
        <v>#DIV/0!</v>
      </c>
      <c r="I56" s="2671"/>
      <c r="J56" s="15" t="e">
        <f ca="1">J54/'RECS - Baseline'!C25</f>
        <v>#DIV/0!</v>
      </c>
      <c r="K56" s="2670" t="e">
        <f ca="1">K54/'RECS - Baseline'!C25</f>
        <v>#DIV/0!</v>
      </c>
      <c r="L56" s="2671"/>
    </row>
    <row r="57" spans="1:13">
      <c r="A57" s="258">
        <v>94</v>
      </c>
      <c r="B57" s="132">
        <v>10.6668</v>
      </c>
      <c r="C57" s="19" t="e">
        <f t="shared" si="0"/>
        <v>#DIV/0!</v>
      </c>
      <c r="E57" s="7"/>
      <c r="F57" s="25"/>
      <c r="H57" s="27"/>
      <c r="I57" s="27"/>
      <c r="K57" s="25"/>
      <c r="L57" s="26"/>
    </row>
    <row r="58" spans="1:13">
      <c r="A58" s="258">
        <v>93</v>
      </c>
      <c r="B58" s="132">
        <v>10.696400000000001</v>
      </c>
      <c r="C58" s="19" t="e">
        <f t="shared" si="0"/>
        <v>#DIV/0!</v>
      </c>
      <c r="E58" s="7"/>
      <c r="F58" s="25"/>
      <c r="H58" s="27"/>
      <c r="I58" s="27"/>
      <c r="K58" s="25"/>
      <c r="L58" s="26"/>
    </row>
    <row r="59" spans="1:13">
      <c r="A59" s="258">
        <v>92</v>
      </c>
      <c r="B59" s="132">
        <v>10.710900000000001</v>
      </c>
      <c r="C59" s="19" t="e">
        <f t="shared" si="0"/>
        <v>#DIV/0!</v>
      </c>
      <c r="E59" s="7"/>
      <c r="F59" s="25"/>
      <c r="I59" s="27"/>
      <c r="K59" s="25"/>
      <c r="L59" s="26"/>
    </row>
    <row r="60" spans="1:13">
      <c r="A60" s="258">
        <v>91</v>
      </c>
      <c r="B60" s="132">
        <v>10.766500000000001</v>
      </c>
      <c r="C60" s="19" t="e">
        <f t="shared" si="0"/>
        <v>#DIV/0!</v>
      </c>
      <c r="F60" s="25"/>
      <c r="H60" s="27"/>
      <c r="I60" s="27"/>
      <c r="K60" s="25"/>
      <c r="L60" s="26"/>
    </row>
    <row r="61" spans="1:13">
      <c r="A61" s="258">
        <v>90</v>
      </c>
      <c r="B61" s="132">
        <v>10.7783</v>
      </c>
      <c r="C61" s="19" t="e">
        <f t="shared" si="0"/>
        <v>#DIV/0!</v>
      </c>
      <c r="F61" s="25"/>
      <c r="H61" s="27"/>
      <c r="I61" s="27"/>
      <c r="K61" s="25"/>
      <c r="L61" s="26"/>
    </row>
    <row r="62" spans="1:13">
      <c r="A62" s="258">
        <v>89</v>
      </c>
      <c r="B62" s="132">
        <v>10.807</v>
      </c>
      <c r="C62" s="19" t="e">
        <f t="shared" si="0"/>
        <v>#DIV/0!</v>
      </c>
      <c r="F62" s="25"/>
      <c r="H62" s="27"/>
      <c r="I62" s="27"/>
      <c r="K62" s="25"/>
      <c r="L62" s="26"/>
    </row>
    <row r="63" spans="1:13">
      <c r="A63" s="258">
        <v>88</v>
      </c>
      <c r="B63" s="132">
        <v>10.8187</v>
      </c>
      <c r="C63" s="19" t="e">
        <f t="shared" si="0"/>
        <v>#DIV/0!</v>
      </c>
      <c r="F63" s="25"/>
      <c r="H63" s="27"/>
      <c r="I63" s="27"/>
      <c r="K63" s="25"/>
      <c r="L63" s="26"/>
    </row>
    <row r="64" spans="1:13">
      <c r="A64" s="258">
        <v>87</v>
      </c>
      <c r="B64" s="132">
        <v>10.8301</v>
      </c>
      <c r="C64" s="19" t="e">
        <f t="shared" si="0"/>
        <v>#DIV/0!</v>
      </c>
      <c r="F64" s="25"/>
      <c r="H64" s="27"/>
      <c r="I64" s="27"/>
      <c r="K64" s="25"/>
      <c r="L64" s="26"/>
    </row>
    <row r="65" spans="1:12">
      <c r="A65" s="258">
        <v>86</v>
      </c>
      <c r="B65" s="132">
        <v>10.848599999999999</v>
      </c>
      <c r="C65" s="19" t="e">
        <f t="shared" si="0"/>
        <v>#DIV/0!</v>
      </c>
      <c r="F65" s="25"/>
      <c r="H65" s="27"/>
      <c r="I65" s="27"/>
      <c r="K65" s="25"/>
      <c r="L65" s="26"/>
    </row>
    <row r="66" spans="1:12">
      <c r="A66" s="258">
        <v>85</v>
      </c>
      <c r="B66" s="132">
        <v>10.8575</v>
      </c>
      <c r="C66" s="19" t="e">
        <f t="shared" si="0"/>
        <v>#DIV/0!</v>
      </c>
      <c r="F66" s="25"/>
      <c r="H66" s="27"/>
      <c r="I66" s="27"/>
      <c r="K66" s="25"/>
      <c r="L66" s="26"/>
    </row>
    <row r="67" spans="1:12">
      <c r="A67" s="258">
        <v>84</v>
      </c>
      <c r="B67" s="132">
        <v>10.861800000000001</v>
      </c>
      <c r="C67" s="19" t="e">
        <f t="shared" si="0"/>
        <v>#DIV/0!</v>
      </c>
      <c r="F67" s="25"/>
      <c r="H67" s="27"/>
      <c r="I67" s="27"/>
      <c r="K67" s="25"/>
      <c r="L67" s="26"/>
    </row>
    <row r="68" spans="1:12">
      <c r="A68" s="258">
        <v>83</v>
      </c>
      <c r="B68" s="132">
        <v>10.8934</v>
      </c>
      <c r="C68" s="19" t="e">
        <f t="shared" si="0"/>
        <v>#DIV/0!</v>
      </c>
      <c r="F68" s="25"/>
      <c r="H68" s="27"/>
      <c r="I68" s="27"/>
      <c r="K68" s="25"/>
      <c r="L68" s="26"/>
    </row>
    <row r="69" spans="1:12">
      <c r="A69" s="258">
        <v>82</v>
      </c>
      <c r="B69" s="132">
        <v>10.904400000000001</v>
      </c>
      <c r="C69" s="19" t="e">
        <f t="shared" si="0"/>
        <v>#DIV/0!</v>
      </c>
      <c r="F69" s="25"/>
      <c r="H69" s="27"/>
      <c r="I69" s="27"/>
      <c r="K69" s="25"/>
      <c r="L69" s="26"/>
    </row>
    <row r="70" spans="1:12">
      <c r="A70" s="258">
        <v>81</v>
      </c>
      <c r="B70" s="132">
        <v>10.9231</v>
      </c>
      <c r="C70" s="19" t="e">
        <f t="shared" si="0"/>
        <v>#DIV/0!</v>
      </c>
      <c r="F70" s="25"/>
      <c r="H70" s="27"/>
      <c r="I70" s="27"/>
      <c r="K70" s="25"/>
      <c r="L70" s="26"/>
    </row>
    <row r="71" spans="1:12">
      <c r="A71" s="258">
        <v>80</v>
      </c>
      <c r="B71" s="132">
        <v>10.943899999999999</v>
      </c>
      <c r="C71" s="19" t="e">
        <f t="shared" si="0"/>
        <v>#DIV/0!</v>
      </c>
      <c r="F71" s="25"/>
      <c r="H71" s="27"/>
      <c r="I71" s="27"/>
      <c r="K71" s="25"/>
      <c r="L71" s="26"/>
    </row>
    <row r="72" spans="1:12">
      <c r="A72" s="258">
        <v>79</v>
      </c>
      <c r="B72" s="132">
        <v>10.962400000000001</v>
      </c>
      <c r="C72" s="19" t="e">
        <f t="shared" si="0"/>
        <v>#DIV/0!</v>
      </c>
      <c r="F72" s="25"/>
      <c r="H72" s="27"/>
      <c r="I72" s="27"/>
      <c r="K72" s="25"/>
      <c r="L72" s="26"/>
    </row>
    <row r="73" spans="1:12">
      <c r="A73" s="258">
        <v>78</v>
      </c>
      <c r="B73" s="132">
        <v>10.972300000000001</v>
      </c>
      <c r="C73" s="19" t="e">
        <f t="shared" si="0"/>
        <v>#DIV/0!</v>
      </c>
      <c r="F73" s="25"/>
      <c r="H73" s="27"/>
      <c r="I73" s="27"/>
      <c r="K73" s="25"/>
      <c r="L73" s="26"/>
    </row>
    <row r="74" spans="1:12">
      <c r="A74" s="258">
        <v>77</v>
      </c>
      <c r="B74" s="132">
        <v>11.0154</v>
      </c>
      <c r="C74" s="19" t="e">
        <f t="shared" si="0"/>
        <v>#DIV/0!</v>
      </c>
      <c r="F74" s="25"/>
      <c r="H74" s="27"/>
      <c r="I74" s="27"/>
      <c r="K74" s="25"/>
      <c r="L74" s="26"/>
    </row>
    <row r="75" spans="1:12" ht="13.5" thickBot="1">
      <c r="A75" s="258">
        <v>76</v>
      </c>
      <c r="B75" s="132">
        <v>11.021599999999999</v>
      </c>
      <c r="C75" s="19" t="e">
        <f t="shared" si="0"/>
        <v>#DIV/0!</v>
      </c>
      <c r="F75" s="25"/>
      <c r="H75" s="27"/>
      <c r="I75" s="27"/>
      <c r="K75" s="25"/>
      <c r="L75" s="26"/>
    </row>
    <row r="76" spans="1:12" ht="13.5" thickBot="1">
      <c r="A76" s="28">
        <v>75</v>
      </c>
      <c r="B76" s="140">
        <v>11.0238</v>
      </c>
      <c r="C76" s="19" t="e">
        <f t="shared" si="0"/>
        <v>#DIV/0!</v>
      </c>
      <c r="F76" s="25"/>
      <c r="H76" s="27"/>
      <c r="I76" s="27"/>
      <c r="K76" s="25"/>
      <c r="L76" s="26"/>
    </row>
    <row r="77" spans="1:12">
      <c r="A77" s="258">
        <v>74</v>
      </c>
      <c r="B77" s="132">
        <v>11.043699999999999</v>
      </c>
      <c r="C77" s="19" t="e">
        <f t="shared" si="0"/>
        <v>#DIV/0!</v>
      </c>
      <c r="F77" s="25"/>
      <c r="H77" s="27"/>
      <c r="I77" s="27"/>
      <c r="K77" s="25"/>
      <c r="L77" s="26"/>
    </row>
    <row r="78" spans="1:12">
      <c r="A78" s="258">
        <v>73</v>
      </c>
      <c r="B78" s="132">
        <v>11.0555</v>
      </c>
      <c r="C78" s="19" t="e">
        <f t="shared" si="0"/>
        <v>#DIV/0!</v>
      </c>
      <c r="F78" s="25"/>
      <c r="H78" s="27"/>
      <c r="I78" s="27"/>
      <c r="K78" s="25"/>
      <c r="L78" s="26"/>
    </row>
    <row r="79" spans="1:12">
      <c r="A79" s="258">
        <v>72</v>
      </c>
      <c r="B79" s="132">
        <v>11.059200000000001</v>
      </c>
      <c r="C79" s="19" t="e">
        <f t="shared" si="0"/>
        <v>#DIV/0!</v>
      </c>
      <c r="F79" s="25"/>
      <c r="H79" s="27"/>
      <c r="I79" s="27"/>
      <c r="K79" s="25"/>
      <c r="L79" s="26"/>
    </row>
    <row r="80" spans="1:12">
      <c r="A80" s="258">
        <v>71</v>
      </c>
      <c r="B80" s="132">
        <v>11.068199999999999</v>
      </c>
      <c r="C80" s="19" t="e">
        <f t="shared" si="0"/>
        <v>#DIV/0!</v>
      </c>
      <c r="F80" s="25"/>
      <c r="H80" s="27"/>
      <c r="I80" s="27"/>
      <c r="K80" s="25"/>
      <c r="L80" s="26"/>
    </row>
    <row r="81" spans="1:12">
      <c r="A81" s="258">
        <v>70</v>
      </c>
      <c r="B81" s="132">
        <v>11.0939</v>
      </c>
      <c r="C81" s="19" t="e">
        <f t="shared" si="0"/>
        <v>#DIV/0!</v>
      </c>
      <c r="F81" s="25"/>
      <c r="H81" s="27"/>
      <c r="I81" s="27"/>
      <c r="K81" s="25"/>
      <c r="L81" s="26"/>
    </row>
    <row r="82" spans="1:12">
      <c r="A82" s="258">
        <v>69</v>
      </c>
      <c r="B82" s="132">
        <v>11.1029</v>
      </c>
      <c r="C82" s="19" t="e">
        <f t="shared" si="0"/>
        <v>#DIV/0!</v>
      </c>
      <c r="F82" s="25"/>
      <c r="H82" s="27"/>
      <c r="I82" s="27"/>
      <c r="K82" s="25"/>
      <c r="L82" s="26"/>
    </row>
    <row r="83" spans="1:12">
      <c r="A83" s="258">
        <v>68</v>
      </c>
      <c r="B83" s="132">
        <v>11.1143</v>
      </c>
      <c r="C83" s="19" t="e">
        <f t="shared" si="0"/>
        <v>#DIV/0!</v>
      </c>
      <c r="F83" s="25"/>
      <c r="H83" s="27"/>
      <c r="I83" s="27"/>
      <c r="K83" s="25"/>
      <c r="L83" s="26"/>
    </row>
    <row r="84" spans="1:12">
      <c r="A84" s="258">
        <v>67</v>
      </c>
      <c r="B84" s="132">
        <v>11.117100000000001</v>
      </c>
      <c r="C84" s="19" t="e">
        <f t="shared" si="0"/>
        <v>#DIV/0!</v>
      </c>
      <c r="F84" s="25"/>
      <c r="H84" s="27"/>
      <c r="I84" s="27"/>
      <c r="K84" s="25"/>
      <c r="L84" s="26"/>
    </row>
    <row r="85" spans="1:12">
      <c r="A85" s="258">
        <v>66</v>
      </c>
      <c r="B85" s="132">
        <v>11.1279</v>
      </c>
      <c r="C85" s="19" t="e">
        <f t="shared" si="0"/>
        <v>#DIV/0!</v>
      </c>
      <c r="F85" s="25"/>
      <c r="H85" s="27"/>
      <c r="I85" s="27"/>
      <c r="K85" s="25"/>
      <c r="L85" s="26"/>
    </row>
    <row r="86" spans="1:12">
      <c r="A86" s="258">
        <v>65</v>
      </c>
      <c r="B86" s="132">
        <v>11.139099999999999</v>
      </c>
      <c r="C86" s="19" t="e">
        <f t="shared" si="0"/>
        <v>#DIV/0!</v>
      </c>
      <c r="F86" s="25"/>
      <c r="H86" s="27"/>
      <c r="I86" s="27"/>
      <c r="K86" s="25"/>
      <c r="L86" s="26"/>
    </row>
    <row r="87" spans="1:12">
      <c r="A87" s="258">
        <v>64</v>
      </c>
      <c r="B87" s="132">
        <v>11.148</v>
      </c>
      <c r="C87" s="19" t="e">
        <f t="shared" si="0"/>
        <v>#DIV/0!</v>
      </c>
      <c r="F87" s="25"/>
      <c r="H87" s="27"/>
      <c r="I87" s="27"/>
      <c r="K87" s="25"/>
      <c r="L87" s="26"/>
    </row>
    <row r="88" spans="1:12">
      <c r="A88" s="258">
        <v>63</v>
      </c>
      <c r="B88" s="132">
        <v>11.1523</v>
      </c>
      <c r="C88" s="19" t="e">
        <f t="shared" si="0"/>
        <v>#DIV/0!</v>
      </c>
      <c r="F88" s="25"/>
      <c r="H88" s="27"/>
      <c r="I88" s="27"/>
      <c r="K88" s="25"/>
      <c r="L88" s="26"/>
    </row>
    <row r="89" spans="1:12">
      <c r="A89" s="258">
        <v>62</v>
      </c>
      <c r="B89" s="132">
        <v>11.155200000000001</v>
      </c>
      <c r="C89" s="19" t="e">
        <f t="shared" si="0"/>
        <v>#DIV/0!</v>
      </c>
      <c r="F89" s="25"/>
      <c r="H89" s="27"/>
      <c r="I89" s="27"/>
      <c r="K89" s="25"/>
      <c r="L89" s="26"/>
    </row>
    <row r="90" spans="1:12">
      <c r="A90" s="258">
        <v>61</v>
      </c>
      <c r="B90" s="132">
        <v>11.16</v>
      </c>
      <c r="C90" s="19" t="e">
        <f t="shared" si="0"/>
        <v>#DIV/0!</v>
      </c>
      <c r="F90" s="25"/>
      <c r="H90" s="27"/>
      <c r="I90" s="27"/>
      <c r="K90" s="25"/>
      <c r="L90" s="26"/>
    </row>
    <row r="91" spans="1:12">
      <c r="A91" s="258">
        <v>60</v>
      </c>
      <c r="B91" s="132">
        <v>11.1669</v>
      </c>
      <c r="C91" s="19" t="e">
        <f t="shared" si="0"/>
        <v>#DIV/0!</v>
      </c>
      <c r="F91" s="25"/>
      <c r="H91" s="27"/>
      <c r="I91" s="27"/>
      <c r="K91" s="25"/>
      <c r="L91" s="26"/>
    </row>
    <row r="92" spans="1:12">
      <c r="A92" s="258">
        <v>59</v>
      </c>
      <c r="B92" s="132">
        <v>11.175599999999999</v>
      </c>
      <c r="C92" s="19" t="e">
        <f t="shared" si="0"/>
        <v>#DIV/0!</v>
      </c>
      <c r="F92" s="25"/>
      <c r="H92" s="27"/>
      <c r="I92" s="27"/>
      <c r="K92" s="25"/>
      <c r="L92" s="26"/>
    </row>
    <row r="93" spans="1:12">
      <c r="A93" s="258">
        <v>58</v>
      </c>
      <c r="B93" s="132">
        <v>11.181800000000001</v>
      </c>
      <c r="C93" s="19" t="e">
        <f t="shared" si="0"/>
        <v>#DIV/0!</v>
      </c>
      <c r="F93" s="25"/>
      <c r="H93" s="27"/>
      <c r="I93" s="27"/>
      <c r="K93" s="25"/>
      <c r="L93" s="26"/>
    </row>
    <row r="94" spans="1:12">
      <c r="A94" s="258">
        <v>57</v>
      </c>
      <c r="B94" s="132">
        <v>11.195</v>
      </c>
      <c r="C94" s="19" t="e">
        <f t="shared" si="0"/>
        <v>#DIV/0!</v>
      </c>
      <c r="F94" s="25"/>
      <c r="H94" s="27"/>
      <c r="I94" s="27"/>
      <c r="K94" s="25"/>
      <c r="L94" s="26"/>
    </row>
    <row r="95" spans="1:12">
      <c r="A95" s="258">
        <v>56</v>
      </c>
      <c r="B95" s="132">
        <v>11.1976</v>
      </c>
      <c r="C95" s="19" t="e">
        <f t="shared" si="0"/>
        <v>#DIV/0!</v>
      </c>
      <c r="F95" s="25"/>
      <c r="H95" s="27"/>
      <c r="I95" s="27"/>
      <c r="K95" s="25"/>
      <c r="L95" s="26"/>
    </row>
    <row r="96" spans="1:12">
      <c r="A96" s="258">
        <v>55</v>
      </c>
      <c r="B96" s="132">
        <v>11.2301</v>
      </c>
      <c r="C96" s="19" t="e">
        <f t="shared" si="0"/>
        <v>#DIV/0!</v>
      </c>
      <c r="F96" s="25"/>
      <c r="H96" s="27"/>
      <c r="I96" s="27"/>
      <c r="K96" s="25"/>
      <c r="L96" s="26"/>
    </row>
    <row r="97" spans="1:12">
      <c r="A97" s="258">
        <v>54</v>
      </c>
      <c r="B97" s="132">
        <v>11.238099999999999</v>
      </c>
      <c r="C97" s="19" t="e">
        <f t="shared" si="0"/>
        <v>#DIV/0!</v>
      </c>
      <c r="F97" s="25"/>
      <c r="H97" s="27"/>
      <c r="I97" s="27"/>
      <c r="K97" s="25"/>
      <c r="L97" s="26"/>
    </row>
    <row r="98" spans="1:12">
      <c r="A98" s="258">
        <v>53</v>
      </c>
      <c r="B98" s="132">
        <v>11.261900000000001</v>
      </c>
      <c r="C98" s="19" t="e">
        <f t="shared" si="0"/>
        <v>#DIV/0!</v>
      </c>
      <c r="F98" s="25"/>
      <c r="H98" s="27"/>
      <c r="I98" s="27"/>
      <c r="K98" s="25"/>
      <c r="L98" s="26"/>
    </row>
    <row r="99" spans="1:12">
      <c r="A99" s="258">
        <v>52</v>
      </c>
      <c r="B99" s="132">
        <v>11.272399999999999</v>
      </c>
      <c r="C99" s="19" t="e">
        <f t="shared" si="0"/>
        <v>#DIV/0!</v>
      </c>
      <c r="F99" s="25"/>
      <c r="H99" s="27"/>
      <c r="I99" s="27"/>
      <c r="K99" s="25"/>
      <c r="L99" s="26"/>
    </row>
    <row r="100" spans="1:12">
      <c r="A100" s="258">
        <v>51</v>
      </c>
      <c r="B100" s="132">
        <v>11.297599999999999</v>
      </c>
      <c r="C100" s="19" t="e">
        <f t="shared" si="0"/>
        <v>#DIV/0!</v>
      </c>
      <c r="F100" s="25"/>
      <c r="H100" s="27"/>
      <c r="I100" s="27"/>
      <c r="K100" s="25"/>
      <c r="L100" s="26"/>
    </row>
    <row r="101" spans="1:12">
      <c r="A101" s="258">
        <v>50</v>
      </c>
      <c r="B101" s="132">
        <v>11.302</v>
      </c>
      <c r="C101" s="19" t="e">
        <f t="shared" si="0"/>
        <v>#DIV/0!</v>
      </c>
      <c r="F101" s="25"/>
      <c r="H101" s="27"/>
      <c r="I101" s="27"/>
      <c r="K101" s="25"/>
      <c r="L101" s="26"/>
    </row>
    <row r="102" spans="1:12">
      <c r="A102" s="258">
        <v>49</v>
      </c>
      <c r="B102" s="132">
        <v>11.3027</v>
      </c>
      <c r="C102" s="19" t="e">
        <f t="shared" si="0"/>
        <v>#DIV/0!</v>
      </c>
      <c r="F102" s="25"/>
      <c r="H102" s="27"/>
      <c r="I102" s="27"/>
      <c r="K102" s="25"/>
      <c r="L102" s="26"/>
    </row>
    <row r="103" spans="1:12">
      <c r="A103" s="258">
        <v>48</v>
      </c>
      <c r="B103" s="132">
        <v>11.3279</v>
      </c>
      <c r="C103" s="19" t="e">
        <f t="shared" si="0"/>
        <v>#DIV/0!</v>
      </c>
      <c r="F103" s="25"/>
      <c r="H103" s="27"/>
      <c r="I103" s="27"/>
      <c r="K103" s="25"/>
      <c r="L103" s="26"/>
    </row>
    <row r="104" spans="1:12">
      <c r="A104" s="258">
        <v>47</v>
      </c>
      <c r="B104" s="132">
        <v>11.332800000000001</v>
      </c>
      <c r="C104" s="19" t="e">
        <f t="shared" si="0"/>
        <v>#DIV/0!</v>
      </c>
      <c r="F104" s="25"/>
      <c r="H104" s="27"/>
      <c r="I104" s="27"/>
      <c r="K104" s="25"/>
      <c r="L104" s="26"/>
    </row>
    <row r="105" spans="1:12">
      <c r="A105" s="258">
        <v>46</v>
      </c>
      <c r="B105" s="132">
        <v>11.337</v>
      </c>
      <c r="C105" s="19" t="e">
        <f t="shared" si="0"/>
        <v>#DIV/0!</v>
      </c>
      <c r="F105" s="25"/>
      <c r="H105" s="14"/>
      <c r="I105" s="14"/>
      <c r="K105" s="25"/>
      <c r="L105" s="8"/>
    </row>
    <row r="106" spans="1:12">
      <c r="A106" s="258">
        <v>45</v>
      </c>
      <c r="B106" s="132">
        <v>11.343999999999999</v>
      </c>
      <c r="C106" s="19" t="e">
        <f t="shared" si="0"/>
        <v>#DIV/0!</v>
      </c>
    </row>
    <row r="107" spans="1:12">
      <c r="A107" s="258">
        <v>44</v>
      </c>
      <c r="B107" s="132">
        <v>11.349600000000001</v>
      </c>
      <c r="C107" s="19" t="e">
        <f t="shared" si="0"/>
        <v>#DIV/0!</v>
      </c>
    </row>
    <row r="108" spans="1:12">
      <c r="A108" s="258">
        <v>43</v>
      </c>
      <c r="B108" s="132">
        <v>11.3588</v>
      </c>
      <c r="C108" s="19" t="e">
        <f t="shared" si="0"/>
        <v>#DIV/0!</v>
      </c>
    </row>
    <row r="109" spans="1:12">
      <c r="A109" s="258">
        <v>42</v>
      </c>
      <c r="B109" s="132">
        <v>11.3714</v>
      </c>
      <c r="C109" s="19" t="e">
        <f t="shared" si="0"/>
        <v>#DIV/0!</v>
      </c>
    </row>
    <row r="110" spans="1:12">
      <c r="A110" s="258">
        <v>41</v>
      </c>
      <c r="B110" s="132">
        <v>11.379300000000001</v>
      </c>
      <c r="C110" s="19" t="e">
        <f t="shared" si="0"/>
        <v>#DIV/0!</v>
      </c>
    </row>
    <row r="111" spans="1:12">
      <c r="A111" s="258">
        <v>40</v>
      </c>
      <c r="B111" s="132">
        <v>11.386100000000001</v>
      </c>
      <c r="C111" s="19" t="e">
        <f t="shared" si="0"/>
        <v>#DIV/0!</v>
      </c>
    </row>
    <row r="112" spans="1:12">
      <c r="A112" s="258">
        <v>39</v>
      </c>
      <c r="B112" s="132">
        <v>11.391299999999999</v>
      </c>
      <c r="C112" s="19" t="e">
        <f t="shared" si="0"/>
        <v>#DIV/0!</v>
      </c>
    </row>
    <row r="113" spans="1:3">
      <c r="A113" s="258">
        <v>38</v>
      </c>
      <c r="B113" s="132">
        <v>11.3954</v>
      </c>
      <c r="C113" s="19" t="e">
        <f t="shared" si="0"/>
        <v>#DIV/0!</v>
      </c>
    </row>
    <row r="114" spans="1:3">
      <c r="A114" s="258">
        <v>37</v>
      </c>
      <c r="B114" s="132">
        <v>11.414199999999999</v>
      </c>
      <c r="C114" s="19" t="e">
        <f t="shared" si="0"/>
        <v>#DIV/0!</v>
      </c>
    </row>
    <row r="115" spans="1:3">
      <c r="A115" s="258">
        <v>36</v>
      </c>
      <c r="B115" s="132">
        <v>11.428000000000001</v>
      </c>
      <c r="C115" s="19" t="e">
        <f t="shared" si="0"/>
        <v>#DIV/0!</v>
      </c>
    </row>
    <row r="116" spans="1:3">
      <c r="A116" s="258">
        <v>35</v>
      </c>
      <c r="B116" s="132">
        <v>11.4427</v>
      </c>
      <c r="C116" s="19" t="e">
        <f t="shared" si="0"/>
        <v>#DIV/0!</v>
      </c>
    </row>
    <row r="117" spans="1:3">
      <c r="A117" s="258">
        <v>34</v>
      </c>
      <c r="B117" s="132">
        <v>11.4482</v>
      </c>
      <c r="C117" s="19" t="e">
        <f t="shared" si="0"/>
        <v>#DIV/0!</v>
      </c>
    </row>
    <row r="118" spans="1:3">
      <c r="A118" s="258">
        <v>33</v>
      </c>
      <c r="B118" s="132">
        <v>11.4499</v>
      </c>
      <c r="C118" s="19" t="e">
        <f t="shared" ref="C118:C150" si="1">+(B118*$J$17)</f>
        <v>#DIV/0!</v>
      </c>
    </row>
    <row r="119" spans="1:3">
      <c r="A119" s="258">
        <v>32</v>
      </c>
      <c r="B119" s="132">
        <v>11.454800000000001</v>
      </c>
      <c r="C119" s="19" t="e">
        <f t="shared" si="1"/>
        <v>#DIV/0!</v>
      </c>
    </row>
    <row r="120" spans="1:3">
      <c r="A120" s="258">
        <v>31</v>
      </c>
      <c r="B120" s="132">
        <v>11.469900000000001</v>
      </c>
      <c r="C120" s="19" t="e">
        <f t="shared" si="1"/>
        <v>#DIV/0!</v>
      </c>
    </row>
    <row r="121" spans="1:3">
      <c r="A121" s="258">
        <v>30</v>
      </c>
      <c r="B121" s="132">
        <v>11.4771</v>
      </c>
      <c r="C121" s="19" t="e">
        <f t="shared" si="1"/>
        <v>#DIV/0!</v>
      </c>
    </row>
    <row r="122" spans="1:3">
      <c r="A122" s="258">
        <v>29</v>
      </c>
      <c r="B122" s="132">
        <v>11.482100000000001</v>
      </c>
      <c r="C122" s="19" t="e">
        <f t="shared" si="1"/>
        <v>#DIV/0!</v>
      </c>
    </row>
    <row r="123" spans="1:3">
      <c r="A123" s="258">
        <v>28</v>
      </c>
      <c r="B123" s="132">
        <v>11.484</v>
      </c>
      <c r="C123" s="19" t="e">
        <f t="shared" si="1"/>
        <v>#DIV/0!</v>
      </c>
    </row>
    <row r="124" spans="1:3">
      <c r="A124" s="258">
        <v>27</v>
      </c>
      <c r="B124" s="132">
        <v>11.503399999999999</v>
      </c>
      <c r="C124" s="19" t="e">
        <f t="shared" si="1"/>
        <v>#DIV/0!</v>
      </c>
    </row>
    <row r="125" spans="1:3">
      <c r="A125" s="258">
        <v>26</v>
      </c>
      <c r="B125" s="132">
        <v>11.504899999999999</v>
      </c>
      <c r="C125" s="19" t="e">
        <f t="shared" si="1"/>
        <v>#DIV/0!</v>
      </c>
    </row>
    <row r="126" spans="1:3">
      <c r="A126" s="258">
        <v>25</v>
      </c>
      <c r="B126" s="132">
        <v>11.526300000000001</v>
      </c>
      <c r="C126" s="19" t="e">
        <f t="shared" si="1"/>
        <v>#DIV/0!</v>
      </c>
    </row>
    <row r="127" spans="1:3">
      <c r="A127" s="258">
        <v>24</v>
      </c>
      <c r="B127" s="132">
        <v>11.554399999999999</v>
      </c>
      <c r="C127" s="19" t="e">
        <f t="shared" si="1"/>
        <v>#DIV/0!</v>
      </c>
    </row>
    <row r="128" spans="1:3">
      <c r="A128" s="258">
        <v>23</v>
      </c>
      <c r="B128" s="132">
        <v>11.563599999999999</v>
      </c>
      <c r="C128" s="19" t="e">
        <f t="shared" si="1"/>
        <v>#DIV/0!</v>
      </c>
    </row>
    <row r="129" spans="1:3">
      <c r="A129" s="258">
        <v>22</v>
      </c>
      <c r="B129" s="132">
        <v>11.565200000000001</v>
      </c>
      <c r="C129" s="19" t="e">
        <f t="shared" si="1"/>
        <v>#DIV/0!</v>
      </c>
    </row>
    <row r="130" spans="1:3">
      <c r="A130" s="258">
        <v>21</v>
      </c>
      <c r="B130" s="132">
        <v>11.5938</v>
      </c>
      <c r="C130" s="19" t="e">
        <f t="shared" si="1"/>
        <v>#DIV/0!</v>
      </c>
    </row>
    <row r="131" spans="1:3">
      <c r="A131" s="258">
        <v>20</v>
      </c>
      <c r="B131" s="132">
        <v>11.599399999999999</v>
      </c>
      <c r="C131" s="19" t="e">
        <f t="shared" si="1"/>
        <v>#DIV/0!</v>
      </c>
    </row>
    <row r="132" spans="1:3">
      <c r="A132" s="258">
        <v>19</v>
      </c>
      <c r="B132" s="132">
        <v>11.609299999999999</v>
      </c>
      <c r="C132" s="19" t="e">
        <f t="shared" si="1"/>
        <v>#DIV/0!</v>
      </c>
    </row>
    <row r="133" spans="1:3">
      <c r="A133" s="258">
        <v>18</v>
      </c>
      <c r="B133" s="132">
        <v>11.6181</v>
      </c>
      <c r="C133" s="19" t="e">
        <f t="shared" si="1"/>
        <v>#DIV/0!</v>
      </c>
    </row>
    <row r="134" spans="1:3">
      <c r="A134" s="258">
        <v>17</v>
      </c>
      <c r="B134" s="132">
        <v>11.628500000000001</v>
      </c>
      <c r="C134" s="19" t="e">
        <f t="shared" si="1"/>
        <v>#DIV/0!</v>
      </c>
    </row>
    <row r="135" spans="1:3">
      <c r="A135" s="258">
        <v>16</v>
      </c>
      <c r="B135" s="132">
        <v>11.629799999999999</v>
      </c>
      <c r="C135" s="19" t="e">
        <f t="shared" si="1"/>
        <v>#DIV/0!</v>
      </c>
    </row>
    <row r="136" spans="1:3">
      <c r="A136" s="258">
        <v>15</v>
      </c>
      <c r="B136" s="132">
        <v>11.6335</v>
      </c>
      <c r="C136" s="19" t="e">
        <f t="shared" si="1"/>
        <v>#DIV/0!</v>
      </c>
    </row>
    <row r="137" spans="1:3">
      <c r="A137" s="258">
        <v>14</v>
      </c>
      <c r="B137" s="132">
        <v>11.6473</v>
      </c>
      <c r="C137" s="19" t="e">
        <f t="shared" si="1"/>
        <v>#DIV/0!</v>
      </c>
    </row>
    <row r="138" spans="1:3">
      <c r="A138" s="258">
        <v>13</v>
      </c>
      <c r="B138" s="132">
        <v>11.6615</v>
      </c>
      <c r="C138" s="19" t="e">
        <f t="shared" si="1"/>
        <v>#DIV/0!</v>
      </c>
    </row>
    <row r="139" spans="1:3">
      <c r="A139" s="258">
        <v>12</v>
      </c>
      <c r="B139" s="132">
        <v>11.685700000000001</v>
      </c>
      <c r="C139" s="19" t="e">
        <f t="shared" si="1"/>
        <v>#DIV/0!</v>
      </c>
    </row>
    <row r="140" spans="1:3">
      <c r="A140" s="258">
        <v>11</v>
      </c>
      <c r="B140" s="132">
        <v>11.6906</v>
      </c>
      <c r="C140" s="19" t="e">
        <f t="shared" si="1"/>
        <v>#DIV/0!</v>
      </c>
    </row>
    <row r="141" spans="1:3">
      <c r="A141" s="258">
        <v>10</v>
      </c>
      <c r="B141" s="132">
        <v>11.7051</v>
      </c>
      <c r="C141" s="19" t="e">
        <f t="shared" si="1"/>
        <v>#DIV/0!</v>
      </c>
    </row>
    <row r="142" spans="1:3">
      <c r="A142" s="258">
        <v>9</v>
      </c>
      <c r="B142" s="132">
        <v>11.721299999999999</v>
      </c>
      <c r="C142" s="19" t="e">
        <f t="shared" si="1"/>
        <v>#DIV/0!</v>
      </c>
    </row>
    <row r="143" spans="1:3">
      <c r="A143" s="258">
        <v>8</v>
      </c>
      <c r="B143" s="132">
        <v>11.747299999999999</v>
      </c>
      <c r="C143" s="19" t="e">
        <f t="shared" si="1"/>
        <v>#DIV/0!</v>
      </c>
    </row>
    <row r="144" spans="1:3">
      <c r="A144" s="258">
        <v>7</v>
      </c>
      <c r="B144" s="132">
        <v>11.766400000000001</v>
      </c>
      <c r="C144" s="19" t="e">
        <f t="shared" si="1"/>
        <v>#DIV/0!</v>
      </c>
    </row>
    <row r="145" spans="1:3">
      <c r="A145" s="258">
        <v>6</v>
      </c>
      <c r="B145" s="132">
        <v>11.794700000000001</v>
      </c>
      <c r="C145" s="19" t="e">
        <f t="shared" si="1"/>
        <v>#DIV/0!</v>
      </c>
    </row>
    <row r="146" spans="1:3">
      <c r="A146" s="258">
        <v>5</v>
      </c>
      <c r="B146" s="132">
        <v>11.801399999999999</v>
      </c>
      <c r="C146" s="19" t="e">
        <f t="shared" si="1"/>
        <v>#DIV/0!</v>
      </c>
    </row>
    <row r="147" spans="1:3">
      <c r="A147" s="258">
        <v>4</v>
      </c>
      <c r="B147" s="132">
        <v>11.809200000000001</v>
      </c>
      <c r="C147" s="19" t="e">
        <f t="shared" si="1"/>
        <v>#DIV/0!</v>
      </c>
    </row>
    <row r="148" spans="1:3">
      <c r="A148" s="258">
        <v>3</v>
      </c>
      <c r="B148" s="132">
        <v>11.8416</v>
      </c>
      <c r="C148" s="19" t="e">
        <f t="shared" si="1"/>
        <v>#DIV/0!</v>
      </c>
    </row>
    <row r="149" spans="1:3">
      <c r="A149" s="258">
        <v>2</v>
      </c>
      <c r="B149" s="132">
        <v>11.857200000000001</v>
      </c>
      <c r="C149" s="19" t="e">
        <f t="shared" si="1"/>
        <v>#DIV/0!</v>
      </c>
    </row>
    <row r="150" spans="1:3" ht="13.5" thickBot="1">
      <c r="A150" s="258">
        <v>1</v>
      </c>
      <c r="B150" s="141">
        <v>11.9504</v>
      </c>
      <c r="C150" s="19" t="e">
        <f t="shared" si="1"/>
        <v>#DIV/0!</v>
      </c>
    </row>
    <row r="214" spans="3:29">
      <c r="D214">
        <v>10.1785</v>
      </c>
      <c r="E214">
        <v>10.294499999999999</v>
      </c>
      <c r="F214">
        <v>10.511799999999999</v>
      </c>
      <c r="G214">
        <v>10.541</v>
      </c>
      <c r="H214">
        <v>10.557</v>
      </c>
      <c r="I214">
        <v>10.5913</v>
      </c>
      <c r="J214">
        <v>10.615600000000001</v>
      </c>
      <c r="K214">
        <v>10.6668</v>
      </c>
      <c r="L214">
        <v>10.696400000000001</v>
      </c>
      <c r="M214">
        <v>10.766500000000001</v>
      </c>
      <c r="N214">
        <v>10.7783</v>
      </c>
      <c r="O214">
        <v>10.807</v>
      </c>
      <c r="P214">
        <v>10.8187</v>
      </c>
      <c r="Q214">
        <v>10.8301</v>
      </c>
      <c r="R214">
        <v>10.848599999999999</v>
      </c>
      <c r="S214">
        <v>10.8575</v>
      </c>
      <c r="U214">
        <v>10.861800000000001</v>
      </c>
      <c r="V214">
        <v>10.8934</v>
      </c>
      <c r="W214">
        <v>10.904400000000001</v>
      </c>
      <c r="X214">
        <v>10.9231</v>
      </c>
      <c r="Y214">
        <v>10.943899999999999</v>
      </c>
      <c r="Z214">
        <v>10.962400000000001</v>
      </c>
      <c r="AA214">
        <v>10.972300000000001</v>
      </c>
      <c r="AB214">
        <v>11.0154</v>
      </c>
      <c r="AC214">
        <v>11.021599999999999</v>
      </c>
    </row>
    <row r="215" spans="3:29">
      <c r="D215">
        <v>11.0238</v>
      </c>
      <c r="E215">
        <v>11.043699999999999</v>
      </c>
      <c r="F215">
        <v>11.0555</v>
      </c>
      <c r="G215">
        <v>11.059200000000001</v>
      </c>
      <c r="H215">
        <v>11.068199999999999</v>
      </c>
      <c r="I215">
        <v>11.0939</v>
      </c>
      <c r="J215">
        <v>11.1029</v>
      </c>
      <c r="K215">
        <v>11.1143</v>
      </c>
      <c r="L215">
        <v>11.117100000000001</v>
      </c>
      <c r="M215">
        <v>11.139099999999999</v>
      </c>
      <c r="N215">
        <v>11.148</v>
      </c>
      <c r="O215">
        <v>11.1523</v>
      </c>
      <c r="P215">
        <v>11.155200000000001</v>
      </c>
      <c r="Q215">
        <v>11.16</v>
      </c>
      <c r="R215">
        <v>11.1669</v>
      </c>
      <c r="S215">
        <v>11.175599999999999</v>
      </c>
      <c r="U215">
        <v>11.181800000000001</v>
      </c>
      <c r="V215">
        <v>11.195</v>
      </c>
      <c r="W215">
        <v>11.1976</v>
      </c>
      <c r="X215">
        <v>11.2301</v>
      </c>
      <c r="Y215">
        <v>11.238099999999999</v>
      </c>
      <c r="Z215">
        <v>11.261900000000001</v>
      </c>
      <c r="AA215">
        <v>11.272399999999999</v>
      </c>
      <c r="AB215">
        <v>11.297599999999999</v>
      </c>
      <c r="AC215">
        <v>11.302</v>
      </c>
    </row>
    <row r="216" spans="3:29">
      <c r="D216">
        <v>11.3027</v>
      </c>
      <c r="E216">
        <v>11.3279</v>
      </c>
      <c r="F216">
        <v>11.332800000000001</v>
      </c>
      <c r="G216">
        <v>11.337</v>
      </c>
      <c r="H216">
        <v>11.343999999999999</v>
      </c>
      <c r="I216">
        <v>11.349600000000001</v>
      </c>
      <c r="J216">
        <v>11.3588</v>
      </c>
      <c r="K216">
        <v>11.3714</v>
      </c>
      <c r="L216">
        <v>11.379300000000001</v>
      </c>
      <c r="M216">
        <v>11.391299999999999</v>
      </c>
      <c r="N216">
        <v>11.3954</v>
      </c>
      <c r="O216">
        <v>11.414199999999999</v>
      </c>
      <c r="P216">
        <v>11.428000000000001</v>
      </c>
      <c r="Q216">
        <v>11.4427</v>
      </c>
      <c r="R216">
        <v>11.4482</v>
      </c>
      <c r="S216">
        <v>11.4499</v>
      </c>
      <c r="U216">
        <v>11.454800000000001</v>
      </c>
      <c r="V216">
        <v>11.469900000000001</v>
      </c>
      <c r="W216">
        <v>11.4771</v>
      </c>
      <c r="X216">
        <v>11.482100000000001</v>
      </c>
      <c r="Y216">
        <v>11.484</v>
      </c>
      <c r="Z216">
        <v>11.503399999999999</v>
      </c>
      <c r="AA216">
        <v>11.504899999999999</v>
      </c>
      <c r="AB216">
        <v>11.526300000000001</v>
      </c>
      <c r="AC216">
        <v>11.554399999999999</v>
      </c>
    </row>
    <row r="217" spans="3:29">
      <c r="D217">
        <v>11.563599999999999</v>
      </c>
      <c r="E217">
        <v>11.565200000000001</v>
      </c>
      <c r="F217">
        <v>11.5938</v>
      </c>
      <c r="G217">
        <v>11.599399999999999</v>
      </c>
      <c r="H217">
        <v>11.609299999999999</v>
      </c>
      <c r="I217">
        <v>11.6181</v>
      </c>
      <c r="J217">
        <v>11.628500000000001</v>
      </c>
      <c r="K217">
        <v>11.629799999999999</v>
      </c>
      <c r="L217">
        <v>11.6335</v>
      </c>
      <c r="M217">
        <v>11.6615</v>
      </c>
      <c r="N217">
        <v>11.685700000000001</v>
      </c>
      <c r="O217">
        <v>11.6906</v>
      </c>
      <c r="P217">
        <v>11.7051</v>
      </c>
      <c r="Q217">
        <v>11.721299999999999</v>
      </c>
      <c r="R217">
        <v>11.747299999999999</v>
      </c>
      <c r="S217">
        <v>11.766400000000001</v>
      </c>
      <c r="U217">
        <v>11.794700000000001</v>
      </c>
      <c r="V217">
        <v>11.801399999999999</v>
      </c>
      <c r="W217">
        <v>11.809200000000001</v>
      </c>
      <c r="X217">
        <v>11.8416</v>
      </c>
      <c r="Y217">
        <v>11.857200000000001</v>
      </c>
      <c r="Z217">
        <v>11.9504</v>
      </c>
    </row>
    <row r="221" spans="3:29">
      <c r="C221">
        <v>100</v>
      </c>
      <c r="D221">
        <v>10.294499999999999</v>
      </c>
    </row>
    <row r="222" spans="3:29">
      <c r="C222">
        <v>99</v>
      </c>
      <c r="D222">
        <v>10.511799999999999</v>
      </c>
    </row>
    <row r="223" spans="3:29">
      <c r="C223">
        <v>98</v>
      </c>
      <c r="D223">
        <v>10.541</v>
      </c>
    </row>
    <row r="224" spans="3:29">
      <c r="C224">
        <v>97</v>
      </c>
      <c r="D224">
        <v>10.557</v>
      </c>
    </row>
    <row r="225" spans="3:4">
      <c r="C225">
        <v>96</v>
      </c>
      <c r="D225">
        <v>10.5913</v>
      </c>
    </row>
    <row r="226" spans="3:4">
      <c r="C226">
        <v>95</v>
      </c>
      <c r="D226">
        <v>10.615600000000001</v>
      </c>
    </row>
    <row r="227" spans="3:4">
      <c r="C227">
        <v>94</v>
      </c>
      <c r="D227">
        <v>10.6668</v>
      </c>
    </row>
    <row r="228" spans="3:4">
      <c r="C228">
        <v>93</v>
      </c>
      <c r="D228">
        <v>10.696400000000001</v>
      </c>
    </row>
    <row r="229" spans="3:4">
      <c r="C229">
        <v>92</v>
      </c>
      <c r="D229">
        <v>10.710900000000001</v>
      </c>
    </row>
    <row r="230" spans="3:4">
      <c r="C230">
        <v>91</v>
      </c>
      <c r="D230">
        <v>10.766500000000001</v>
      </c>
    </row>
    <row r="231" spans="3:4">
      <c r="C231">
        <v>90</v>
      </c>
      <c r="D231">
        <v>10.7783</v>
      </c>
    </row>
    <row r="232" spans="3:4">
      <c r="C232">
        <v>89</v>
      </c>
      <c r="D232">
        <v>10.807</v>
      </c>
    </row>
    <row r="233" spans="3:4">
      <c r="C233">
        <v>88</v>
      </c>
      <c r="D233">
        <v>10.8187</v>
      </c>
    </row>
    <row r="234" spans="3:4">
      <c r="C234">
        <v>87</v>
      </c>
      <c r="D234">
        <v>10.8301</v>
      </c>
    </row>
    <row r="235" spans="3:4">
      <c r="C235">
        <v>86</v>
      </c>
      <c r="D235">
        <v>10.848599999999999</v>
      </c>
    </row>
    <row r="236" spans="3:4">
      <c r="C236">
        <v>85</v>
      </c>
      <c r="D236">
        <v>10.8575</v>
      </c>
    </row>
    <row r="237" spans="3:4">
      <c r="C237">
        <v>84</v>
      </c>
      <c r="D237">
        <v>10.861800000000001</v>
      </c>
    </row>
    <row r="238" spans="3:4">
      <c r="C238">
        <v>83</v>
      </c>
      <c r="D238">
        <v>10.8934</v>
      </c>
    </row>
    <row r="239" spans="3:4">
      <c r="C239">
        <v>82</v>
      </c>
      <c r="D239">
        <v>10.904400000000001</v>
      </c>
    </row>
    <row r="240" spans="3:4">
      <c r="C240">
        <v>81</v>
      </c>
      <c r="D240">
        <v>10.9231</v>
      </c>
    </row>
    <row r="241" spans="3:4">
      <c r="C241">
        <v>80</v>
      </c>
      <c r="D241">
        <v>10.943899999999999</v>
      </c>
    </row>
    <row r="242" spans="3:4">
      <c r="C242">
        <v>79</v>
      </c>
      <c r="D242">
        <v>10.962400000000001</v>
      </c>
    </row>
    <row r="243" spans="3:4">
      <c r="C243">
        <v>78</v>
      </c>
      <c r="D243">
        <v>10.972300000000001</v>
      </c>
    </row>
    <row r="244" spans="3:4">
      <c r="C244">
        <v>77</v>
      </c>
      <c r="D244">
        <v>11.0154</v>
      </c>
    </row>
    <row r="245" spans="3:4">
      <c r="C245">
        <v>76</v>
      </c>
      <c r="D245">
        <v>11.021599999999999</v>
      </c>
    </row>
    <row r="246" spans="3:4">
      <c r="C246">
        <v>75</v>
      </c>
      <c r="D246">
        <v>11.0238</v>
      </c>
    </row>
    <row r="247" spans="3:4">
      <c r="C247">
        <v>74</v>
      </c>
      <c r="D247">
        <v>11.043699999999999</v>
      </c>
    </row>
    <row r="248" spans="3:4">
      <c r="C248">
        <v>73</v>
      </c>
      <c r="D248">
        <v>11.0555</v>
      </c>
    </row>
    <row r="249" spans="3:4">
      <c r="C249">
        <v>72</v>
      </c>
      <c r="D249">
        <v>11.059200000000001</v>
      </c>
    </row>
    <row r="250" spans="3:4">
      <c r="C250">
        <v>71</v>
      </c>
      <c r="D250">
        <v>11.068199999999999</v>
      </c>
    </row>
    <row r="251" spans="3:4">
      <c r="C251">
        <v>70</v>
      </c>
      <c r="D251">
        <v>11.0939</v>
      </c>
    </row>
    <row r="252" spans="3:4">
      <c r="C252">
        <v>69</v>
      </c>
      <c r="D252">
        <v>11.1029</v>
      </c>
    </row>
    <row r="253" spans="3:4">
      <c r="C253">
        <v>68</v>
      </c>
      <c r="D253">
        <v>11.1143</v>
      </c>
    </row>
    <row r="254" spans="3:4">
      <c r="C254">
        <v>67</v>
      </c>
      <c r="D254">
        <v>11.117100000000001</v>
      </c>
    </row>
    <row r="255" spans="3:4">
      <c r="C255">
        <v>66</v>
      </c>
      <c r="D255">
        <v>11.1279</v>
      </c>
    </row>
    <row r="256" spans="3:4">
      <c r="C256">
        <v>65</v>
      </c>
      <c r="D256">
        <v>11.139099999999999</v>
      </c>
    </row>
    <row r="257" spans="3:4">
      <c r="C257">
        <v>64</v>
      </c>
      <c r="D257">
        <v>11.148</v>
      </c>
    </row>
    <row r="258" spans="3:4">
      <c r="C258">
        <v>63</v>
      </c>
      <c r="D258">
        <v>11.1523</v>
      </c>
    </row>
    <row r="259" spans="3:4">
      <c r="C259">
        <v>62</v>
      </c>
      <c r="D259">
        <v>11.155200000000001</v>
      </c>
    </row>
    <row r="260" spans="3:4">
      <c r="C260">
        <v>61</v>
      </c>
      <c r="D260">
        <v>11.16</v>
      </c>
    </row>
    <row r="261" spans="3:4">
      <c r="C261">
        <v>60</v>
      </c>
      <c r="D261">
        <v>11.1669</v>
      </c>
    </row>
    <row r="262" spans="3:4">
      <c r="C262">
        <v>59</v>
      </c>
      <c r="D262">
        <v>11.175599999999999</v>
      </c>
    </row>
    <row r="263" spans="3:4">
      <c r="C263">
        <v>58</v>
      </c>
      <c r="D263">
        <v>11.181800000000001</v>
      </c>
    </row>
    <row r="264" spans="3:4">
      <c r="C264">
        <v>57</v>
      </c>
      <c r="D264">
        <v>11.195</v>
      </c>
    </row>
    <row r="265" spans="3:4">
      <c r="C265">
        <v>56</v>
      </c>
      <c r="D265">
        <v>11.1976</v>
      </c>
    </row>
    <row r="266" spans="3:4">
      <c r="C266">
        <v>55</v>
      </c>
      <c r="D266">
        <v>11.2301</v>
      </c>
    </row>
    <row r="267" spans="3:4">
      <c r="C267">
        <v>54</v>
      </c>
      <c r="D267">
        <v>11.238099999999999</v>
      </c>
    </row>
    <row r="268" spans="3:4">
      <c r="C268">
        <v>53</v>
      </c>
      <c r="D268">
        <v>11.261900000000001</v>
      </c>
    </row>
    <row r="269" spans="3:4">
      <c r="C269">
        <v>52</v>
      </c>
      <c r="D269">
        <v>11.272399999999999</v>
      </c>
    </row>
    <row r="270" spans="3:4">
      <c r="C270">
        <v>51</v>
      </c>
      <c r="D270">
        <v>11.297599999999999</v>
      </c>
    </row>
    <row r="271" spans="3:4">
      <c r="C271">
        <v>50</v>
      </c>
      <c r="D271">
        <v>11.302</v>
      </c>
    </row>
    <row r="272" spans="3:4">
      <c r="C272">
        <v>49</v>
      </c>
      <c r="D272">
        <v>11.3027</v>
      </c>
    </row>
    <row r="273" spans="3:4">
      <c r="C273">
        <v>48</v>
      </c>
      <c r="D273">
        <v>11.3279</v>
      </c>
    </row>
    <row r="274" spans="3:4">
      <c r="C274">
        <v>47</v>
      </c>
      <c r="D274">
        <v>11.332800000000001</v>
      </c>
    </row>
    <row r="275" spans="3:4">
      <c r="C275">
        <v>46</v>
      </c>
      <c r="D275">
        <v>11.337</v>
      </c>
    </row>
    <row r="276" spans="3:4">
      <c r="C276">
        <v>45</v>
      </c>
      <c r="D276">
        <v>11.343999999999999</v>
      </c>
    </row>
    <row r="277" spans="3:4">
      <c r="C277">
        <v>44</v>
      </c>
      <c r="D277">
        <v>11.349600000000001</v>
      </c>
    </row>
    <row r="278" spans="3:4">
      <c r="C278">
        <v>43</v>
      </c>
      <c r="D278">
        <v>11.3588</v>
      </c>
    </row>
    <row r="279" spans="3:4">
      <c r="C279">
        <v>42</v>
      </c>
      <c r="D279">
        <v>11.3714</v>
      </c>
    </row>
    <row r="280" spans="3:4">
      <c r="C280">
        <v>41</v>
      </c>
      <c r="D280">
        <v>11.379300000000001</v>
      </c>
    </row>
    <row r="281" spans="3:4">
      <c r="C281">
        <v>40</v>
      </c>
      <c r="D281">
        <v>11.386100000000001</v>
      </c>
    </row>
    <row r="282" spans="3:4">
      <c r="C282">
        <v>39</v>
      </c>
      <c r="D282">
        <v>11.391299999999999</v>
      </c>
    </row>
    <row r="283" spans="3:4">
      <c r="C283">
        <v>38</v>
      </c>
      <c r="D283">
        <v>11.3954</v>
      </c>
    </row>
    <row r="284" spans="3:4">
      <c r="C284">
        <v>37</v>
      </c>
      <c r="D284">
        <v>11.414199999999999</v>
      </c>
    </row>
    <row r="285" spans="3:4">
      <c r="C285">
        <v>36</v>
      </c>
      <c r="D285">
        <v>11.428000000000001</v>
      </c>
    </row>
    <row r="286" spans="3:4">
      <c r="C286">
        <v>35</v>
      </c>
      <c r="D286">
        <v>11.4427</v>
      </c>
    </row>
    <row r="287" spans="3:4">
      <c r="C287">
        <v>34</v>
      </c>
      <c r="D287">
        <v>11.4482</v>
      </c>
    </row>
    <row r="288" spans="3:4">
      <c r="C288">
        <v>33</v>
      </c>
      <c r="D288">
        <v>11.4499</v>
      </c>
    </row>
    <row r="289" spans="3:4">
      <c r="C289">
        <v>32</v>
      </c>
      <c r="D289">
        <v>11.454800000000001</v>
      </c>
    </row>
    <row r="290" spans="3:4">
      <c r="C290">
        <v>31</v>
      </c>
      <c r="D290">
        <v>11.469900000000001</v>
      </c>
    </row>
    <row r="291" spans="3:4">
      <c r="C291">
        <v>30</v>
      </c>
      <c r="D291">
        <v>11.4771</v>
      </c>
    </row>
    <row r="292" spans="3:4">
      <c r="C292">
        <v>29</v>
      </c>
      <c r="D292">
        <v>11.482100000000001</v>
      </c>
    </row>
    <row r="293" spans="3:4">
      <c r="C293">
        <v>28</v>
      </c>
      <c r="D293">
        <v>11.484</v>
      </c>
    </row>
    <row r="294" spans="3:4">
      <c r="C294">
        <v>27</v>
      </c>
      <c r="D294">
        <v>11.503399999999999</v>
      </c>
    </row>
    <row r="295" spans="3:4">
      <c r="C295">
        <v>26</v>
      </c>
      <c r="D295">
        <v>11.504899999999999</v>
      </c>
    </row>
    <row r="296" spans="3:4">
      <c r="C296">
        <v>25</v>
      </c>
      <c r="D296">
        <v>11.526300000000001</v>
      </c>
    </row>
    <row r="297" spans="3:4">
      <c r="C297">
        <v>24</v>
      </c>
      <c r="D297">
        <v>11.554399999999999</v>
      </c>
    </row>
    <row r="298" spans="3:4">
      <c r="C298">
        <v>23</v>
      </c>
      <c r="D298">
        <v>11.563599999999999</v>
      </c>
    </row>
    <row r="299" spans="3:4">
      <c r="C299">
        <v>22</v>
      </c>
      <c r="D299">
        <v>11.565200000000001</v>
      </c>
    </row>
    <row r="300" spans="3:4">
      <c r="C300">
        <v>21</v>
      </c>
      <c r="D300">
        <v>11.5938</v>
      </c>
    </row>
    <row r="301" spans="3:4">
      <c r="C301">
        <v>20</v>
      </c>
      <c r="D301">
        <v>11.599399999999999</v>
      </c>
    </row>
    <row r="302" spans="3:4">
      <c r="C302">
        <v>19</v>
      </c>
      <c r="D302">
        <v>11.609299999999999</v>
      </c>
    </row>
    <row r="303" spans="3:4">
      <c r="C303">
        <v>18</v>
      </c>
      <c r="D303">
        <v>11.6181</v>
      </c>
    </row>
    <row r="304" spans="3:4">
      <c r="C304">
        <v>17</v>
      </c>
      <c r="D304">
        <v>11.628500000000001</v>
      </c>
    </row>
    <row r="305" spans="3:4">
      <c r="C305">
        <v>16</v>
      </c>
      <c r="D305">
        <v>11.629799999999999</v>
      </c>
    </row>
    <row r="306" spans="3:4">
      <c r="C306">
        <v>15</v>
      </c>
      <c r="D306">
        <v>11.6335</v>
      </c>
    </row>
    <row r="307" spans="3:4">
      <c r="C307">
        <v>14</v>
      </c>
      <c r="D307">
        <v>11.6473</v>
      </c>
    </row>
    <row r="308" spans="3:4">
      <c r="C308">
        <v>13</v>
      </c>
      <c r="D308">
        <v>11.6615</v>
      </c>
    </row>
    <row r="309" spans="3:4">
      <c r="C309">
        <v>12</v>
      </c>
      <c r="D309">
        <v>11.685700000000001</v>
      </c>
    </row>
    <row r="310" spans="3:4">
      <c r="C310">
        <v>11</v>
      </c>
      <c r="D310">
        <v>11.6906</v>
      </c>
    </row>
    <row r="311" spans="3:4">
      <c r="C311">
        <v>10</v>
      </c>
      <c r="D311">
        <v>11.7051</v>
      </c>
    </row>
    <row r="312" spans="3:4">
      <c r="C312">
        <v>9</v>
      </c>
      <c r="D312">
        <v>11.721299999999999</v>
      </c>
    </row>
    <row r="313" spans="3:4">
      <c r="C313">
        <v>8</v>
      </c>
      <c r="D313">
        <v>11.747299999999999</v>
      </c>
    </row>
    <row r="314" spans="3:4">
      <c r="C314">
        <v>7</v>
      </c>
      <c r="D314">
        <v>11.766400000000001</v>
      </c>
    </row>
    <row r="315" spans="3:4">
      <c r="C315">
        <v>6</v>
      </c>
      <c r="D315">
        <v>11.794700000000001</v>
      </c>
    </row>
    <row r="316" spans="3:4">
      <c r="C316">
        <v>5</v>
      </c>
      <c r="D316">
        <v>11.801399999999999</v>
      </c>
    </row>
    <row r="317" spans="3:4">
      <c r="C317">
        <v>4</v>
      </c>
      <c r="D317">
        <v>11.809200000000001</v>
      </c>
    </row>
    <row r="318" spans="3:4">
      <c r="C318">
        <v>3</v>
      </c>
      <c r="D318">
        <v>11.8416</v>
      </c>
    </row>
    <row r="319" spans="3:4">
      <c r="C319">
        <v>2</v>
      </c>
      <c r="D319">
        <v>11.857200000000001</v>
      </c>
    </row>
    <row r="320" spans="3:4">
      <c r="C320">
        <v>1</v>
      </c>
      <c r="D320">
        <v>11.9504</v>
      </c>
    </row>
  </sheetData>
  <mergeCells count="8">
    <mergeCell ref="H56:I56"/>
    <mergeCell ref="K56:L56"/>
    <mergeCell ref="D7:G7"/>
    <mergeCell ref="H7:K7"/>
    <mergeCell ref="H54:I54"/>
    <mergeCell ref="K54:L54"/>
    <mergeCell ref="F49:I49"/>
    <mergeCell ref="K49:L49"/>
  </mergeCells>
  <phoneticPr fontId="0" type="noConversion"/>
  <pageMargins left="0.75" right="0.75" top="1" bottom="1" header="0.5" footer="0.5"/>
  <pageSetup scale="10"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sheetPr codeName="Sheet23">
    <pageSetUpPr fitToPage="1"/>
  </sheetPr>
  <dimension ref="A1:AC320"/>
  <sheetViews>
    <sheetView topLeftCell="A7" zoomScale="75" workbookViewId="0">
      <selection activeCell="K55" sqref="K55"/>
    </sheetView>
  </sheetViews>
  <sheetFormatPr defaultRowHeight="12.75"/>
  <cols>
    <col min="1" max="1" width="21.28515625" customWidth="1"/>
    <col min="2" max="2" width="18.28515625" bestFit="1" customWidth="1"/>
    <col min="3" max="3" width="15.42578125" customWidth="1"/>
    <col min="4" max="4" width="18.28515625" customWidth="1"/>
    <col min="5" max="5" width="12.7109375" bestFit="1" customWidth="1"/>
    <col min="6" max="6" width="13.7109375" customWidth="1"/>
    <col min="7" max="7" width="11.28515625" bestFit="1" customWidth="1"/>
    <col min="9" max="9" width="11.85546875" customWidth="1"/>
    <col min="11" max="11" width="7.5703125" customWidth="1"/>
    <col min="13" max="13" width="20" customWidth="1"/>
    <col min="14" max="14" width="7.85546875" customWidth="1"/>
    <col min="15" max="15" width="5.42578125" customWidth="1"/>
    <col min="16" max="16" width="6" customWidth="1"/>
    <col min="17" max="17" width="6.42578125" customWidth="1"/>
    <col min="18" max="18" width="6.28515625" customWidth="1"/>
    <col min="19" max="19" width="10" customWidth="1"/>
    <col min="20" max="20" width="7.7109375" customWidth="1"/>
  </cols>
  <sheetData>
    <row r="1" spans="1:25" ht="18">
      <c r="A1" s="29" t="s">
        <v>1904</v>
      </c>
      <c r="B1" s="3"/>
      <c r="C1" s="3"/>
    </row>
    <row r="2" spans="1:25" ht="18">
      <c r="A2" s="2" t="s">
        <v>1905</v>
      </c>
    </row>
    <row r="4" spans="1:25" ht="13.5" thickBot="1"/>
    <row r="5" spans="1:25" ht="18">
      <c r="A5" s="30" t="s">
        <v>1905</v>
      </c>
      <c r="B5" s="31"/>
      <c r="C5" s="31"/>
      <c r="D5" s="31"/>
      <c r="E5" s="31"/>
      <c r="F5" s="31"/>
      <c r="G5" s="31"/>
      <c r="H5" s="31"/>
      <c r="I5" s="31"/>
      <c r="J5" s="31"/>
      <c r="K5" s="32"/>
    </row>
    <row r="6" spans="1:25" ht="13.5" thickBot="1">
      <c r="A6" s="33"/>
      <c r="B6" s="34"/>
      <c r="C6" s="34"/>
      <c r="D6" s="34"/>
      <c r="E6" s="34"/>
      <c r="F6" s="34"/>
      <c r="G6" s="34"/>
      <c r="H6" s="34"/>
      <c r="I6" s="34"/>
      <c r="J6" s="34"/>
      <c r="K6" s="35"/>
    </row>
    <row r="7" spans="1:25" ht="15.75" thickBot="1">
      <c r="A7" s="259"/>
      <c r="B7" s="260" t="s">
        <v>1906</v>
      </c>
      <c r="C7" s="261" t="s">
        <v>1907</v>
      </c>
      <c r="D7" s="2691" t="s">
        <v>1908</v>
      </c>
      <c r="E7" s="2692"/>
      <c r="F7" s="2692"/>
      <c r="G7" s="2693"/>
      <c r="H7" s="2691" t="s">
        <v>1909</v>
      </c>
      <c r="I7" s="2692"/>
      <c r="J7" s="2692"/>
      <c r="K7" s="2693"/>
    </row>
    <row r="8" spans="1:25" ht="20.25" customHeight="1">
      <c r="A8" s="36" t="s">
        <v>1910</v>
      </c>
      <c r="B8" s="37" t="e">
        <f>C8/N10</f>
        <v>#DIV/0!</v>
      </c>
      <c r="C8" s="37">
        <f>N14</f>
        <v>0</v>
      </c>
      <c r="D8" s="38"/>
      <c r="E8" s="39" t="s">
        <v>1911</v>
      </c>
      <c r="F8" s="384" t="e">
        <f ca="1">+(F9*'Side Calcs - Proposed'!J16/(10.3/3.412))+(F9*'Side Calcs - Proposed'!K16/1.024)+(F9*'Side Calcs - Proposed'!L16)+(F9*'Side Calcs - Proposed'!M16/1.38)+(F9*'Side Calcs - Proposed'!N16)</f>
        <v>#DIV/0!</v>
      </c>
      <c r="G8" s="385" t="s">
        <v>242</v>
      </c>
      <c r="H8" s="40"/>
      <c r="I8" s="41" t="s">
        <v>1066</v>
      </c>
      <c r="J8" s="42">
        <f>+G39</f>
        <v>11.246855500000001</v>
      </c>
      <c r="K8" s="43" t="s">
        <v>1067</v>
      </c>
      <c r="P8" t="s">
        <v>1068</v>
      </c>
    </row>
    <row r="9" spans="1:25" ht="15.75">
      <c r="A9" s="36" t="s">
        <v>1069</v>
      </c>
      <c r="B9" s="44" t="e">
        <f>B12*B16</f>
        <v>#N/A</v>
      </c>
      <c r="C9" s="45"/>
      <c r="D9" s="40"/>
      <c r="E9" s="39" t="s">
        <v>1070</v>
      </c>
      <c r="F9" s="386" t="e">
        <f>+EXP('Worksheet - Design - Proposed'!C76)</f>
        <v>#DIV/0!</v>
      </c>
      <c r="G9" s="385" t="s">
        <v>242</v>
      </c>
      <c r="H9" s="46"/>
      <c r="I9" s="47"/>
      <c r="J9" s="7"/>
      <c r="K9" s="43"/>
      <c r="N9" t="s">
        <v>528</v>
      </c>
      <c r="O9" t="s">
        <v>1068</v>
      </c>
      <c r="P9" s="10" t="s">
        <v>1071</v>
      </c>
    </row>
    <row r="10" spans="1:25" ht="15.75">
      <c r="A10" s="36" t="s">
        <v>1072</v>
      </c>
      <c r="B10" s="48" t="e">
        <f>B17*B18</f>
        <v>#N/A</v>
      </c>
      <c r="C10" s="45"/>
      <c r="D10" s="46"/>
      <c r="E10" s="49"/>
      <c r="F10" s="50"/>
      <c r="G10" s="43"/>
      <c r="H10" s="46"/>
      <c r="I10" s="47"/>
      <c r="J10" s="51"/>
      <c r="K10" s="43"/>
      <c r="M10" s="83"/>
      <c r="N10" s="387">
        <f>'RECS - Proposed'!F19</f>
        <v>0</v>
      </c>
      <c r="O10" s="387">
        <f>'RECS - Proposed'!G19</f>
        <v>0</v>
      </c>
      <c r="P10" t="e">
        <f>O10/N10</f>
        <v>#DIV/0!</v>
      </c>
    </row>
    <row r="11" spans="1:25" ht="15.75">
      <c r="A11" s="36" t="s">
        <v>1073</v>
      </c>
      <c r="B11" s="48" t="e">
        <f>O10/N10</f>
        <v>#DIV/0!</v>
      </c>
      <c r="C11" s="45"/>
      <c r="D11" s="46"/>
      <c r="E11" s="49"/>
      <c r="F11" s="50"/>
      <c r="G11" s="43"/>
      <c r="H11" s="46"/>
      <c r="I11" s="47"/>
      <c r="J11" s="51"/>
      <c r="K11" s="43"/>
      <c r="M11" s="83"/>
      <c r="N11" s="387"/>
    </row>
    <row r="12" spans="1:25" ht="16.5" thickBot="1">
      <c r="A12" s="52" t="s">
        <v>49</v>
      </c>
      <c r="B12" s="53" t="e">
        <f>'ZipCode Map'!K5</f>
        <v>#N/A</v>
      </c>
      <c r="C12" s="45"/>
      <c r="D12" s="46"/>
      <c r="E12" s="54" t="s">
        <v>1074</v>
      </c>
      <c r="F12" s="55" t="e">
        <f ca="1">IF(B25&lt;'Worksheet - Design - Proposed'!C51,100,LOOKUP(B25,'Worksheet - Design - Proposed'!C51:C149,'Worksheet - Design - Proposed'!A51:A149)-1)</f>
        <v>#DIV/0!</v>
      </c>
      <c r="G12" s="43"/>
      <c r="H12" s="46"/>
      <c r="I12" s="56"/>
      <c r="J12" s="7"/>
      <c r="K12" s="43"/>
    </row>
    <row r="13" spans="1:25" ht="51.75">
      <c r="A13" s="52"/>
      <c r="B13" s="53"/>
      <c r="C13" s="45"/>
      <c r="D13" s="46"/>
      <c r="E13" s="7"/>
      <c r="F13" s="7"/>
      <c r="G13" s="43"/>
      <c r="H13" s="40"/>
      <c r="I13" s="41" t="s">
        <v>1075</v>
      </c>
      <c r="J13" s="57" t="e">
        <f>$D$40+$D$41*LN(B8)+$D$42*B9+$D$43*B10+D44*B11</f>
        <v>#DIV/0!</v>
      </c>
      <c r="K13" s="43" t="s">
        <v>1067</v>
      </c>
      <c r="M13" s="58" t="s">
        <v>1076</v>
      </c>
      <c r="N13" s="58" t="s">
        <v>1077</v>
      </c>
      <c r="O13" s="58" t="s">
        <v>1078</v>
      </c>
      <c r="P13" s="58" t="s">
        <v>1079</v>
      </c>
      <c r="Q13" s="58" t="s">
        <v>1205</v>
      </c>
      <c r="R13" s="58" t="s">
        <v>1206</v>
      </c>
      <c r="S13" s="58" t="s">
        <v>206</v>
      </c>
      <c r="T13" s="58" t="s">
        <v>207</v>
      </c>
      <c r="U13" s="58" t="s">
        <v>208</v>
      </c>
    </row>
    <row r="14" spans="1:25" ht="15.75">
      <c r="A14" s="52"/>
      <c r="B14" s="37"/>
      <c r="C14" s="45"/>
      <c r="D14" s="38"/>
      <c r="E14" s="39" t="s">
        <v>209</v>
      </c>
      <c r="F14" s="384" t="e">
        <f ca="1">+(F15*'Side Calcs - Proposed'!J16/(10.3/3.412))+(F15*'Side Calcs - Proposed'!K16/1.024)+(F15*'Side Calcs - Proposed'!L16)+(F15*'Side Calcs - Proposed'!M16/1.38)+(F15*'Side Calcs - Proposed'!N16)</f>
        <v>#DIV/0!</v>
      </c>
      <c r="G14" s="385" t="s">
        <v>242</v>
      </c>
      <c r="H14" s="46"/>
      <c r="I14" s="47"/>
      <c r="J14" s="59"/>
      <c r="K14" s="43"/>
      <c r="M14" s="60" t="str">
        <f>'RECS - Proposed'!B21</f>
        <v>Commercial Space</v>
      </c>
      <c r="N14" s="61">
        <f>'RECS - Proposed'!C19</f>
        <v>0</v>
      </c>
      <c r="O14" s="61"/>
      <c r="P14" s="61"/>
      <c r="Q14" s="61">
        <f>'RECS - Proposed'!E19</f>
        <v>0</v>
      </c>
      <c r="R14" s="61"/>
      <c r="S14" s="388" t="e">
        <f ca="1">S21-S15</f>
        <v>#DIV/0!</v>
      </c>
      <c r="T14" s="388" t="e">
        <f ca="1">S14/N10</f>
        <v>#DIV/0!</v>
      </c>
      <c r="U14" s="61"/>
    </row>
    <row r="15" spans="1:25" ht="15.75">
      <c r="A15" s="52"/>
      <c r="B15" s="37"/>
      <c r="C15" s="45"/>
      <c r="D15" s="40"/>
      <c r="E15" s="39" t="s">
        <v>210</v>
      </c>
      <c r="F15" s="386" t="e">
        <f ca="1">F9*N10+SUM(S15:S19)</f>
        <v>#DIV/0!</v>
      </c>
      <c r="G15" s="385" t="s">
        <v>242</v>
      </c>
      <c r="H15" s="46"/>
      <c r="I15" s="47"/>
      <c r="J15" s="59"/>
      <c r="K15" s="43"/>
      <c r="M15" s="60" t="str">
        <f>'RECS - Proposed'!B22</f>
        <v>Under Ground Garage</v>
      </c>
      <c r="N15" s="61">
        <f>'RECS - Proposed'!C20</f>
        <v>0</v>
      </c>
      <c r="O15" s="61"/>
      <c r="P15" s="61"/>
      <c r="Q15" s="61">
        <f>'RECS - Proposed'!F20</f>
        <v>0</v>
      </c>
      <c r="R15" s="61"/>
      <c r="S15" s="388" t="e">
        <f ca="1">0.75*S$21*N15/N$22</f>
        <v>#DIV/0!</v>
      </c>
      <c r="T15" s="388"/>
      <c r="U15" s="62" t="s">
        <v>211</v>
      </c>
      <c r="V15" s="63"/>
      <c r="W15" s="63"/>
      <c r="X15" s="63"/>
      <c r="Y15" s="63"/>
    </row>
    <row r="16" spans="1:25" ht="15.75">
      <c r="A16" s="36" t="s">
        <v>212</v>
      </c>
      <c r="B16" s="64" t="e">
        <f>('RECS - Proposed'!E19)/'RECS - Proposed'!C19</f>
        <v>#DIV/0!</v>
      </c>
      <c r="C16" s="45"/>
      <c r="D16" s="46"/>
      <c r="E16" s="56"/>
      <c r="F16" s="65"/>
      <c r="G16" s="66"/>
      <c r="H16" s="46"/>
      <c r="I16" s="47"/>
      <c r="J16" s="59"/>
      <c r="K16" s="43"/>
      <c r="M16" s="60" t="str">
        <f>'RECS - Proposed'!B23</f>
        <v>Above Ground Garage</v>
      </c>
      <c r="N16" s="61">
        <f>'RECS - Proposed'!C21</f>
        <v>0</v>
      </c>
      <c r="O16" s="61"/>
      <c r="P16" s="61"/>
      <c r="Q16" s="61">
        <f>'RECS - Proposed'!F21</f>
        <v>0</v>
      </c>
      <c r="R16" s="61"/>
      <c r="S16" s="388">
        <f>200*N16</f>
        <v>0</v>
      </c>
      <c r="T16" s="388"/>
      <c r="U16" s="62" t="s">
        <v>213</v>
      </c>
      <c r="V16" s="63"/>
      <c r="W16" s="63"/>
      <c r="X16" s="63"/>
      <c r="Y16" s="63"/>
    </row>
    <row r="17" spans="1:25" ht="15.75">
      <c r="A17" s="36" t="s">
        <v>50</v>
      </c>
      <c r="B17" s="48" t="e">
        <f>'ZipCode Map'!L5</f>
        <v>#N/A</v>
      </c>
      <c r="C17" s="45"/>
      <c r="D17" s="46"/>
      <c r="E17" s="5"/>
      <c r="F17" s="67"/>
      <c r="G17" s="66"/>
      <c r="H17" s="46"/>
      <c r="I17" s="47" t="s">
        <v>214</v>
      </c>
      <c r="J17" s="68" t="e">
        <f>+J13/J8</f>
        <v>#DIV/0!</v>
      </c>
      <c r="K17" s="43"/>
      <c r="M17" s="60" t="str">
        <f>'RECS - Proposed'!B24</f>
        <v>Parking Lot</v>
      </c>
      <c r="N17" s="61">
        <f>'RECS - Proposed'!C22</f>
        <v>0</v>
      </c>
      <c r="O17" s="61">
        <v>168</v>
      </c>
      <c r="P17" s="61" t="s">
        <v>215</v>
      </c>
      <c r="Q17" s="61" t="s">
        <v>215</v>
      </c>
      <c r="R17" s="69">
        <v>1.46</v>
      </c>
      <c r="S17" s="388">
        <f>N17*O17*R17*10.3/1000</f>
        <v>0</v>
      </c>
      <c r="T17" s="388"/>
      <c r="U17" s="69"/>
    </row>
    <row r="18" spans="1:25" ht="15.75">
      <c r="A18" s="36" t="s">
        <v>216</v>
      </c>
      <c r="B18" s="64" t="e">
        <f>('RECS - Proposed'!D19)/'RECS - Proposed'!C19</f>
        <v>#DIV/0!</v>
      </c>
      <c r="C18" s="45"/>
      <c r="D18" s="46"/>
      <c r="E18" s="56"/>
      <c r="F18" s="65"/>
      <c r="G18" s="66"/>
      <c r="H18" s="46"/>
      <c r="I18" s="7"/>
      <c r="J18" s="7"/>
      <c r="K18" s="43"/>
      <c r="M18" s="60" t="str">
        <f>'RECS - Proposed'!B25</f>
        <v>Building Total</v>
      </c>
      <c r="N18" s="61">
        <f>'RECS - Proposed'!C23</f>
        <v>0</v>
      </c>
      <c r="O18" s="61">
        <v>168</v>
      </c>
      <c r="P18" s="61" t="s">
        <v>215</v>
      </c>
      <c r="Q18" s="61" t="s">
        <v>215</v>
      </c>
      <c r="R18" s="69">
        <v>0.26</v>
      </c>
      <c r="S18" s="388">
        <f>N18*O18*R18*10.3/1000</f>
        <v>0</v>
      </c>
      <c r="T18" s="388"/>
      <c r="U18" s="69"/>
    </row>
    <row r="19" spans="1:25" ht="15" thickBot="1">
      <c r="B19" s="70"/>
      <c r="C19" s="45"/>
      <c r="D19" s="46"/>
      <c r="E19" s="56"/>
      <c r="F19" s="65"/>
      <c r="G19" s="66"/>
      <c r="H19" s="46"/>
      <c r="I19" s="7"/>
      <c r="J19" s="7"/>
      <c r="K19" s="43"/>
      <c r="M19" s="71">
        <f>'RECS - Proposed'!B26</f>
        <v>0</v>
      </c>
      <c r="N19" s="72">
        <f>'RECS - Proposed'!C24</f>
        <v>0</v>
      </c>
      <c r="O19" s="72">
        <v>84</v>
      </c>
      <c r="P19" s="72" t="s">
        <v>215</v>
      </c>
      <c r="Q19" s="72" t="s">
        <v>215</v>
      </c>
      <c r="R19" s="73">
        <v>0.12</v>
      </c>
      <c r="S19" s="389">
        <f>N19*O19*R19*10.3/1000</f>
        <v>0</v>
      </c>
      <c r="T19" s="389"/>
      <c r="U19" s="62" t="s">
        <v>217</v>
      </c>
      <c r="V19" s="63"/>
      <c r="W19" s="63"/>
      <c r="X19" s="63"/>
      <c r="Y19" s="63"/>
    </row>
    <row r="20" spans="1:25" ht="15.75">
      <c r="A20" s="52" t="s">
        <v>218</v>
      </c>
      <c r="B20" s="390">
        <f ca="1">+'RECS - Proposed'!C32*'Side Calcs - Proposed'!K4+'RECS - Proposed'!D32*'Side Calcs - Proposed'!O4+'RECS - Proposed'!E32*'Side Calcs - Proposed'!S4+'RECS - Proposed'!F32*'Side Calcs - Proposed'!W4+'RECS - Proposed'!G32*'Side Calcs - Proposed'!AA4</f>
        <v>0</v>
      </c>
      <c r="C20" s="45" t="s">
        <v>2202</v>
      </c>
      <c r="D20" s="46"/>
      <c r="E20" s="56"/>
      <c r="F20" s="7"/>
      <c r="G20" s="43"/>
      <c r="H20" s="46"/>
      <c r="I20" s="47"/>
      <c r="J20" s="391"/>
      <c r="K20" s="392"/>
      <c r="M20" s="74" t="s">
        <v>2203</v>
      </c>
      <c r="N20" s="49"/>
      <c r="S20" s="393">
        <f ca="1">B22</f>
        <v>0</v>
      </c>
      <c r="T20" s="393"/>
    </row>
    <row r="21" spans="1:25" ht="15.75">
      <c r="A21" s="52" t="s">
        <v>2204</v>
      </c>
      <c r="B21" s="390"/>
      <c r="C21" s="45"/>
      <c r="D21" s="46"/>
      <c r="E21" s="56"/>
      <c r="F21" s="7"/>
      <c r="G21" s="43"/>
      <c r="H21" s="46"/>
      <c r="I21" s="47"/>
      <c r="J21" s="391"/>
      <c r="K21" s="392"/>
      <c r="M21" t="s">
        <v>2205</v>
      </c>
      <c r="S21" s="393">
        <f ca="1">S20-S16-S17-S18-S19</f>
        <v>0</v>
      </c>
      <c r="T21" s="393"/>
    </row>
    <row r="22" spans="1:25" ht="15.75">
      <c r="A22" s="52" t="s">
        <v>2206</v>
      </c>
      <c r="B22" s="390">
        <f ca="1">+'RECS - Proposed'!C32*'Side Calcs - Proposed'!J4+'RECS - Proposed'!D32*'Side Calcs - Proposed'!N4+'RECS - Proposed'!E32*'Side Calcs - Proposed'!R4+'RECS - Proposed'!F32*'Side Calcs - Proposed'!V4+'RECS - Proposed'!G32*'Side Calcs - Proposed'!Z4</f>
        <v>0</v>
      </c>
      <c r="C22" s="45" t="s">
        <v>2202</v>
      </c>
      <c r="D22" s="46"/>
      <c r="E22" s="7"/>
      <c r="F22" s="59"/>
      <c r="G22" s="43"/>
      <c r="H22" s="46"/>
      <c r="I22" s="47"/>
      <c r="J22" s="7"/>
      <c r="K22" s="75"/>
      <c r="M22" t="s">
        <v>2207</v>
      </c>
      <c r="N22" s="76">
        <f>SUM(N14:N15)</f>
        <v>0</v>
      </c>
      <c r="S22" s="393" t="e">
        <f ca="1">SUM(S14:S15)</f>
        <v>#DIV/0!</v>
      </c>
      <c r="T22" s="393"/>
    </row>
    <row r="23" spans="1:25" ht="15.75">
      <c r="A23" s="52" t="s">
        <v>2208</v>
      </c>
      <c r="B23" s="77"/>
      <c r="C23" s="45"/>
      <c r="D23" s="40"/>
      <c r="E23" s="41" t="s">
        <v>2209</v>
      </c>
      <c r="F23" s="394" t="e">
        <f ca="1">+(F24*'Side Calcs - Proposed'!J16/(10.3/3.412))+(F24*'Side Calcs - Proposed'!K16/1.024)+(F24*'Side Calcs - Proposed'!L16)+(F24*'Side Calcs - Proposed'!M16/1.38)+(F24*'Side Calcs - Proposed'!N16)</f>
        <v>#DIV/0!</v>
      </c>
      <c r="G23" s="385" t="s">
        <v>242</v>
      </c>
      <c r="H23" s="46"/>
      <c r="I23" s="7"/>
      <c r="J23" s="7"/>
      <c r="K23" s="43"/>
      <c r="M23" t="s">
        <v>2210</v>
      </c>
      <c r="S23" s="78">
        <f>SUM(S16:S19)</f>
        <v>0</v>
      </c>
    </row>
    <row r="24" spans="1:25" ht="15.75">
      <c r="A24" s="52" t="s">
        <v>2211</v>
      </c>
      <c r="B24" s="77"/>
      <c r="C24" s="45"/>
      <c r="D24" s="40"/>
      <c r="E24" s="41" t="s">
        <v>2212</v>
      </c>
      <c r="F24" s="395" t="e">
        <f>EXP(C101)</f>
        <v>#DIV/0!</v>
      </c>
      <c r="G24" s="385" t="s">
        <v>242</v>
      </c>
      <c r="H24" s="46"/>
      <c r="I24" s="7"/>
      <c r="J24" s="7"/>
      <c r="K24" s="43"/>
    </row>
    <row r="25" spans="1:25" ht="16.5" thickBot="1">
      <c r="A25" s="36" t="s">
        <v>2213</v>
      </c>
      <c r="B25" s="79" t="e">
        <f ca="1">LN(T14)</f>
        <v>#DIV/0!</v>
      </c>
      <c r="C25" s="80"/>
      <c r="D25" s="40"/>
      <c r="E25" s="41" t="s">
        <v>2214</v>
      </c>
      <c r="F25" s="394" t="e">
        <f ca="1">+(F26*'Side Calcs - Proposed'!J18/(10.3/3.412))+(F26*'Side Calcs - Proposed'!K18/1.024)+(F26*'Side Calcs - Proposed'!L18)+(F26*'Side Calcs - Proposed'!M18/1.38)+(F26*'Side Calcs - Proposed'!N18)</f>
        <v>#DIV/0!</v>
      </c>
      <c r="G25" s="385" t="s">
        <v>242</v>
      </c>
      <c r="H25" s="11"/>
      <c r="I25" s="81"/>
      <c r="J25" s="81"/>
      <c r="K25" s="13"/>
      <c r="N25" t="s">
        <v>2215</v>
      </c>
    </row>
    <row r="26" spans="1:25" ht="14.25">
      <c r="D26" s="40"/>
      <c r="E26" s="41" t="s">
        <v>2216</v>
      </c>
      <c r="F26" s="395" t="e">
        <f ca="1">F24*N10+SUM(S15:S19)</f>
        <v>#DIV/0!</v>
      </c>
      <c r="G26" s="385" t="s">
        <v>242</v>
      </c>
      <c r="N26" t="s">
        <v>2217</v>
      </c>
    </row>
    <row r="27" spans="1:25" ht="14.25">
      <c r="I27" s="47"/>
      <c r="J27" s="82"/>
      <c r="M27" s="83"/>
      <c r="N27" s="83"/>
      <c r="P27" s="83"/>
      <c r="Q27" s="83"/>
    </row>
    <row r="28" spans="1:25" ht="14.25">
      <c r="A28" s="1" t="s">
        <v>2218</v>
      </c>
      <c r="I28" s="47"/>
      <c r="J28" s="82"/>
      <c r="M28" s="83"/>
      <c r="N28" s="83" t="s">
        <v>2219</v>
      </c>
      <c r="O28" s="83"/>
      <c r="P28" s="83"/>
      <c r="Q28" s="83"/>
    </row>
    <row r="29" spans="1:25" ht="12.75" hidden="1" customHeight="1"/>
    <row r="30" spans="1:25">
      <c r="A30" s="84" t="s">
        <v>2220</v>
      </c>
      <c r="B30" s="3"/>
      <c r="C30" s="3"/>
      <c r="D30" s="3"/>
    </row>
    <row r="31" spans="1:25">
      <c r="A31" s="9"/>
      <c r="N31" t="s">
        <v>2221</v>
      </c>
    </row>
    <row r="32" spans="1:25" ht="12.75" hidden="1" customHeight="1">
      <c r="A32" s="9"/>
    </row>
    <row r="33" spans="1:21" ht="12.75" hidden="1" customHeight="1"/>
    <row r="34" spans="1:21" ht="12.75" hidden="1" customHeight="1">
      <c r="A34" s="9"/>
    </row>
    <row r="35" spans="1:21" ht="12.75" hidden="1" customHeight="1"/>
    <row r="36" spans="1:21" ht="13.5" thickBot="1"/>
    <row r="37" spans="1:21" ht="18.75" thickBot="1">
      <c r="A37" s="85" t="s">
        <v>2222</v>
      </c>
      <c r="B37" s="86"/>
      <c r="C37" s="86"/>
      <c r="D37" s="12"/>
      <c r="K37" s="87"/>
      <c r="N37" t="s">
        <v>2223</v>
      </c>
    </row>
    <row r="38" spans="1:21" ht="14.25">
      <c r="A38" s="88"/>
      <c r="B38" s="89"/>
      <c r="C38" s="89"/>
      <c r="D38" s="90" t="s">
        <v>2224</v>
      </c>
      <c r="E38" s="7"/>
      <c r="F38" s="91" t="s">
        <v>2225</v>
      </c>
      <c r="G38" s="92" t="s">
        <v>2226</v>
      </c>
      <c r="H38" s="92" t="s">
        <v>2227</v>
      </c>
      <c r="I38" s="93" t="s">
        <v>2228</v>
      </c>
      <c r="K38" s="94"/>
      <c r="N38" t="s">
        <v>2229</v>
      </c>
    </row>
    <row r="39" spans="1:21" s="1" customFormat="1" ht="14.25">
      <c r="A39" s="95" t="s">
        <v>2225</v>
      </c>
      <c r="B39" s="96" t="s">
        <v>2230</v>
      </c>
      <c r="C39" s="97" t="s">
        <v>2224</v>
      </c>
      <c r="D39" s="98" t="s">
        <v>2231</v>
      </c>
      <c r="E39" s="97"/>
      <c r="F39" s="99" t="s">
        <v>2232</v>
      </c>
      <c r="G39" s="100">
        <v>11.246855500000001</v>
      </c>
      <c r="H39" s="101">
        <v>9.7327645</v>
      </c>
      <c r="I39" s="102">
        <v>12.207849100000001</v>
      </c>
      <c r="J39" s="103" t="s">
        <v>2233</v>
      </c>
      <c r="K39" s="104"/>
      <c r="L39"/>
      <c r="M39"/>
      <c r="N39"/>
      <c r="O39"/>
      <c r="P39"/>
      <c r="Q39"/>
      <c r="R39"/>
      <c r="S39"/>
      <c r="T39"/>
      <c r="U39"/>
    </row>
    <row r="40" spans="1:21" s="1" customFormat="1" ht="14.25">
      <c r="A40" s="105" t="s">
        <v>2234</v>
      </c>
      <c r="B40" s="106">
        <v>1</v>
      </c>
      <c r="C40" s="106" t="s">
        <v>221</v>
      </c>
      <c r="D40" s="107">
        <v>6.4144199999999998</v>
      </c>
      <c r="E40" s="97"/>
      <c r="F40" s="108"/>
      <c r="G40" s="109"/>
      <c r="H40" s="106"/>
      <c r="I40" s="110"/>
      <c r="K40" s="104"/>
      <c r="L40" s="111"/>
    </row>
    <row r="41" spans="1:21" ht="14.25">
      <c r="A41" s="112" t="s">
        <v>222</v>
      </c>
      <c r="B41" s="106">
        <v>1</v>
      </c>
      <c r="C41" s="106" t="s">
        <v>223</v>
      </c>
      <c r="D41" s="113">
        <v>0.69635999999999998</v>
      </c>
      <c r="E41" s="59"/>
      <c r="F41" s="99" t="s">
        <v>224</v>
      </c>
      <c r="G41" s="114">
        <v>6.5994793999999999</v>
      </c>
      <c r="H41" s="101">
        <v>5.7990927000000001</v>
      </c>
      <c r="I41" s="102">
        <v>7.4024514999999997</v>
      </c>
      <c r="J41" t="s">
        <v>225</v>
      </c>
      <c r="L41" s="115">
        <f>EXP(G41)</f>
        <v>734.71259828352083</v>
      </c>
    </row>
    <row r="42" spans="1:21" ht="14.25">
      <c r="A42" s="112" t="s">
        <v>226</v>
      </c>
      <c r="B42" s="106">
        <v>1</v>
      </c>
      <c r="C42" s="106" t="s">
        <v>227</v>
      </c>
      <c r="D42" s="116">
        <v>5.3000000000000001E-5</v>
      </c>
      <c r="E42" s="7"/>
      <c r="F42" s="99" t="s">
        <v>1069</v>
      </c>
      <c r="G42" s="117">
        <v>569.07824230000006</v>
      </c>
      <c r="H42" s="101">
        <v>0</v>
      </c>
      <c r="I42" s="102">
        <v>5736</v>
      </c>
      <c r="K42" s="104"/>
      <c r="L42" s="4"/>
      <c r="S42" s="118"/>
    </row>
    <row r="43" spans="1:21" ht="14.25">
      <c r="A43" s="112" t="s">
        <v>228</v>
      </c>
      <c r="B43" s="106">
        <v>1</v>
      </c>
      <c r="C43" s="106" t="s">
        <v>229</v>
      </c>
      <c r="D43" s="116">
        <v>2.779E-5</v>
      </c>
      <c r="E43" s="7"/>
      <c r="F43" s="99" t="s">
        <v>1072</v>
      </c>
      <c r="G43" s="117">
        <v>4484.58</v>
      </c>
      <c r="H43" s="101">
        <v>0</v>
      </c>
      <c r="I43" s="102">
        <v>8200</v>
      </c>
      <c r="K43" s="104"/>
      <c r="L43" s="4"/>
    </row>
    <row r="44" spans="1:21" ht="14.25">
      <c r="A44" s="112" t="s">
        <v>230</v>
      </c>
      <c r="B44" s="106">
        <v>1</v>
      </c>
      <c r="C44" s="106" t="s">
        <v>231</v>
      </c>
      <c r="D44" s="113">
        <v>6.2050000000000001E-2</v>
      </c>
      <c r="E44" s="7"/>
      <c r="F44" s="99" t="s">
        <v>232</v>
      </c>
      <c r="G44" s="119">
        <v>1.3225806</v>
      </c>
      <c r="H44" s="101">
        <v>0</v>
      </c>
      <c r="I44" s="102">
        <v>4</v>
      </c>
    </row>
    <row r="45" spans="1:21" ht="15" thickBot="1">
      <c r="A45" s="120"/>
      <c r="B45" s="121"/>
      <c r="C45" s="121"/>
      <c r="D45" s="122"/>
      <c r="E45" s="7"/>
      <c r="F45" s="99"/>
      <c r="G45" s="119"/>
      <c r="H45" s="101"/>
      <c r="I45" s="102"/>
    </row>
    <row r="46" spans="1:21" ht="13.5" thickBot="1">
      <c r="A46" s="108"/>
      <c r="B46" s="106"/>
      <c r="C46" s="106"/>
      <c r="D46" s="110"/>
      <c r="E46" s="123"/>
      <c r="F46" s="124"/>
      <c r="G46" s="125"/>
      <c r="H46" s="121"/>
      <c r="I46" s="126"/>
    </row>
    <row r="47" spans="1:21" ht="13.5" thickBot="1">
      <c r="A47" s="124"/>
      <c r="B47" s="121"/>
      <c r="C47" s="121"/>
      <c r="D47" s="126"/>
      <c r="E47" s="123"/>
      <c r="F47" s="7"/>
      <c r="G47" s="7"/>
      <c r="H47" s="7"/>
    </row>
    <row r="49" spans="1:13" ht="13.5" thickBot="1">
      <c r="F49" s="2694"/>
      <c r="G49" s="2694"/>
      <c r="H49" s="2694"/>
      <c r="I49" s="2694"/>
      <c r="K49" s="2694"/>
      <c r="L49" s="2694"/>
    </row>
    <row r="50" spans="1:13" s="1" customFormat="1" ht="26.25" thickBot="1">
      <c r="A50" s="6" t="s">
        <v>233</v>
      </c>
      <c r="B50" s="127" t="s">
        <v>234</v>
      </c>
      <c r="C50" s="128" t="s">
        <v>235</v>
      </c>
      <c r="D50" s="128" t="s">
        <v>236</v>
      </c>
      <c r="E50" s="128"/>
      <c r="F50" s="128"/>
      <c r="G50" s="20"/>
      <c r="H50" s="20"/>
      <c r="I50" s="20"/>
      <c r="K50" s="262"/>
      <c r="L50" s="20"/>
    </row>
    <row r="51" spans="1:13" s="1" customFormat="1">
      <c r="A51" s="258">
        <v>100</v>
      </c>
      <c r="B51" s="129">
        <v>10.294499999999999</v>
      </c>
      <c r="C51" s="19" t="e">
        <f>+(B51*$J$17)</f>
        <v>#DIV/0!</v>
      </c>
      <c r="E51" s="97"/>
      <c r="F51" s="262"/>
      <c r="G51"/>
      <c r="H51" s="20"/>
      <c r="I51" s="20"/>
      <c r="K51" s="130"/>
      <c r="L51" s="20"/>
      <c r="M51" s="131"/>
    </row>
    <row r="52" spans="1:13" ht="15">
      <c r="A52" s="258">
        <v>99</v>
      </c>
      <c r="B52" s="132">
        <v>10.511799999999999</v>
      </c>
      <c r="C52" s="19" t="e">
        <f>+(B52*$J$17)</f>
        <v>#DIV/0!</v>
      </c>
      <c r="E52" s="7"/>
      <c r="F52" s="17"/>
      <c r="H52" s="21"/>
      <c r="I52" s="21"/>
      <c r="K52" s="17"/>
      <c r="L52" s="18"/>
    </row>
    <row r="53" spans="1:13" ht="15">
      <c r="A53" s="258">
        <v>98</v>
      </c>
      <c r="B53" s="132">
        <v>10.541</v>
      </c>
      <c r="C53" s="19" t="e">
        <f>+(B53*$J$17)</f>
        <v>#DIV/0!</v>
      </c>
      <c r="E53" s="7"/>
      <c r="F53" s="22"/>
      <c r="H53" s="133" t="s">
        <v>237</v>
      </c>
      <c r="I53" s="134"/>
      <c r="J53" s="9" t="s">
        <v>2201</v>
      </c>
      <c r="K53" s="135" t="s">
        <v>238</v>
      </c>
      <c r="L53" s="136"/>
      <c r="M53" s="9" t="s">
        <v>239</v>
      </c>
    </row>
    <row r="54" spans="1:13">
      <c r="A54" s="258">
        <v>97</v>
      </c>
      <c r="B54" s="132">
        <v>10.557</v>
      </c>
      <c r="C54" s="19" t="e">
        <f t="shared" ref="C54:C117" si="0">+(B54*$J$17)</f>
        <v>#DIV/0!</v>
      </c>
      <c r="E54" s="137"/>
      <c r="F54" s="138"/>
      <c r="G54" s="139" t="s">
        <v>240</v>
      </c>
      <c r="H54" s="2670" t="e">
        <f ca="1">F15</f>
        <v>#DIV/0!</v>
      </c>
      <c r="I54" s="2671"/>
      <c r="J54" s="15" t="e">
        <f ca="1">F26</f>
        <v>#DIV/0!</v>
      </c>
      <c r="K54" s="2670">
        <f ca="1">(+'RECS - Proposed'!C32*'Side Calcs - Proposed'!J4+'RECS - Proposed'!D32*'Side Calcs - Proposed'!N4+'RECS - Proposed'!E32*'Side Calcs - Proposed'!R4+'RECS - Proposed'!F32*'Side Calcs - Proposed'!V4+'RECS - Proposed'!G32*'Side Calcs - Proposed'!Z4)</f>
        <v>0</v>
      </c>
      <c r="L54" s="2671"/>
      <c r="M54" s="16" t="e">
        <f ca="1">K54-H54</f>
        <v>#DIV/0!</v>
      </c>
    </row>
    <row r="55" spans="1:13">
      <c r="A55" s="258">
        <v>96</v>
      </c>
      <c r="B55" s="132">
        <v>10.5913</v>
      </c>
      <c r="C55" s="19" t="e">
        <f t="shared" si="0"/>
        <v>#DIV/0!</v>
      </c>
      <c r="E55" s="7"/>
      <c r="F55" s="25"/>
      <c r="H55" s="27"/>
      <c r="I55" s="27"/>
      <c r="K55" s="25"/>
      <c r="L55" s="26"/>
    </row>
    <row r="56" spans="1:13">
      <c r="A56" s="258">
        <v>95</v>
      </c>
      <c r="B56" s="132">
        <v>10.615600000000001</v>
      </c>
      <c r="C56" s="19" t="e">
        <f t="shared" si="0"/>
        <v>#DIV/0!</v>
      </c>
      <c r="E56" s="137"/>
      <c r="F56" s="138"/>
      <c r="G56" s="139" t="s">
        <v>241</v>
      </c>
      <c r="H56" s="2670" t="e">
        <f ca="1">H54/'RECS - Proposed'!C25</f>
        <v>#DIV/0!</v>
      </c>
      <c r="I56" s="2671"/>
      <c r="J56" s="15" t="e">
        <f ca="1">J54/'RECS - Proposed'!C25</f>
        <v>#DIV/0!</v>
      </c>
      <c r="K56" s="2670" t="e">
        <f ca="1">K54/'RECS - Proposed'!C25</f>
        <v>#DIV/0!</v>
      </c>
      <c r="L56" s="2671"/>
    </row>
    <row r="57" spans="1:13">
      <c r="A57" s="258">
        <v>94</v>
      </c>
      <c r="B57" s="132">
        <v>10.6668</v>
      </c>
      <c r="C57" s="19" t="e">
        <f t="shared" si="0"/>
        <v>#DIV/0!</v>
      </c>
      <c r="E57" s="7"/>
      <c r="F57" s="25"/>
      <c r="H57" s="27"/>
      <c r="I57" s="27"/>
      <c r="K57" s="25"/>
      <c r="L57" s="26"/>
    </row>
    <row r="58" spans="1:13">
      <c r="A58" s="258">
        <v>93</v>
      </c>
      <c r="B58" s="132">
        <v>10.696400000000001</v>
      </c>
      <c r="C58" s="19" t="e">
        <f t="shared" si="0"/>
        <v>#DIV/0!</v>
      </c>
      <c r="E58" s="7"/>
      <c r="F58" s="25"/>
      <c r="H58" s="27"/>
      <c r="I58" s="27"/>
      <c r="K58" s="25"/>
      <c r="L58" s="26"/>
    </row>
    <row r="59" spans="1:13">
      <c r="A59" s="258">
        <v>92</v>
      </c>
      <c r="B59" s="132">
        <v>10.710900000000001</v>
      </c>
      <c r="C59" s="19" t="e">
        <f t="shared" si="0"/>
        <v>#DIV/0!</v>
      </c>
      <c r="E59" s="7"/>
      <c r="F59" s="25"/>
      <c r="I59" s="27"/>
      <c r="K59" s="25"/>
      <c r="L59" s="26"/>
    </row>
    <row r="60" spans="1:13">
      <c r="A60" s="258">
        <v>91</v>
      </c>
      <c r="B60" s="132">
        <v>10.766500000000001</v>
      </c>
      <c r="C60" s="19" t="e">
        <f t="shared" si="0"/>
        <v>#DIV/0!</v>
      </c>
      <c r="F60" s="25"/>
      <c r="H60" s="27"/>
      <c r="I60" s="27"/>
      <c r="K60" s="25"/>
      <c r="L60" s="26"/>
    </row>
    <row r="61" spans="1:13">
      <c r="A61" s="258">
        <v>90</v>
      </c>
      <c r="B61" s="132">
        <v>10.7783</v>
      </c>
      <c r="C61" s="19" t="e">
        <f t="shared" si="0"/>
        <v>#DIV/0!</v>
      </c>
      <c r="F61" s="25"/>
      <c r="H61" s="27"/>
      <c r="I61" s="27"/>
      <c r="K61" s="25"/>
      <c r="L61" s="26"/>
    </row>
    <row r="62" spans="1:13">
      <c r="A62" s="258">
        <v>89</v>
      </c>
      <c r="B62" s="132">
        <v>10.807</v>
      </c>
      <c r="C62" s="19" t="e">
        <f t="shared" si="0"/>
        <v>#DIV/0!</v>
      </c>
      <c r="F62" s="25"/>
      <c r="H62" s="27"/>
      <c r="I62" s="27"/>
      <c r="K62" s="25"/>
      <c r="L62" s="26"/>
    </row>
    <row r="63" spans="1:13">
      <c r="A63" s="258">
        <v>88</v>
      </c>
      <c r="B63" s="132">
        <v>10.8187</v>
      </c>
      <c r="C63" s="19" t="e">
        <f t="shared" si="0"/>
        <v>#DIV/0!</v>
      </c>
      <c r="F63" s="25"/>
      <c r="H63" s="27"/>
      <c r="I63" s="27"/>
      <c r="K63" s="25"/>
      <c r="L63" s="26"/>
    </row>
    <row r="64" spans="1:13">
      <c r="A64" s="258">
        <v>87</v>
      </c>
      <c r="B64" s="132">
        <v>10.8301</v>
      </c>
      <c r="C64" s="19" t="e">
        <f t="shared" si="0"/>
        <v>#DIV/0!</v>
      </c>
      <c r="F64" s="25"/>
      <c r="H64" s="27"/>
      <c r="I64" s="27"/>
      <c r="K64" s="25"/>
      <c r="L64" s="26"/>
    </row>
    <row r="65" spans="1:12">
      <c r="A65" s="258">
        <v>86</v>
      </c>
      <c r="B65" s="132">
        <v>10.848599999999999</v>
      </c>
      <c r="C65" s="19" t="e">
        <f t="shared" si="0"/>
        <v>#DIV/0!</v>
      </c>
      <c r="F65" s="25"/>
      <c r="H65" s="27"/>
      <c r="I65" s="27"/>
      <c r="K65" s="25"/>
      <c r="L65" s="26"/>
    </row>
    <row r="66" spans="1:12">
      <c r="A66" s="258">
        <v>85</v>
      </c>
      <c r="B66" s="132">
        <v>10.8575</v>
      </c>
      <c r="C66" s="19" t="e">
        <f t="shared" si="0"/>
        <v>#DIV/0!</v>
      </c>
      <c r="F66" s="25"/>
      <c r="H66" s="27"/>
      <c r="I66" s="27"/>
      <c r="K66" s="25"/>
      <c r="L66" s="26"/>
    </row>
    <row r="67" spans="1:12">
      <c r="A67" s="258">
        <v>84</v>
      </c>
      <c r="B67" s="132">
        <v>10.861800000000001</v>
      </c>
      <c r="C67" s="19" t="e">
        <f t="shared" si="0"/>
        <v>#DIV/0!</v>
      </c>
      <c r="F67" s="25"/>
      <c r="H67" s="27"/>
      <c r="I67" s="27"/>
      <c r="K67" s="25"/>
      <c r="L67" s="26"/>
    </row>
    <row r="68" spans="1:12">
      <c r="A68" s="258">
        <v>83</v>
      </c>
      <c r="B68" s="132">
        <v>10.8934</v>
      </c>
      <c r="C68" s="19" t="e">
        <f t="shared" si="0"/>
        <v>#DIV/0!</v>
      </c>
      <c r="F68" s="25"/>
      <c r="H68" s="27"/>
      <c r="I68" s="27"/>
      <c r="K68" s="25"/>
      <c r="L68" s="26"/>
    </row>
    <row r="69" spans="1:12">
      <c r="A69" s="258">
        <v>82</v>
      </c>
      <c r="B69" s="132">
        <v>10.904400000000001</v>
      </c>
      <c r="C69" s="19" t="e">
        <f t="shared" si="0"/>
        <v>#DIV/0!</v>
      </c>
      <c r="F69" s="25"/>
      <c r="H69" s="27"/>
      <c r="I69" s="27"/>
      <c r="K69" s="25"/>
      <c r="L69" s="26"/>
    </row>
    <row r="70" spans="1:12">
      <c r="A70" s="258">
        <v>81</v>
      </c>
      <c r="B70" s="132">
        <v>10.9231</v>
      </c>
      <c r="C70" s="19" t="e">
        <f t="shared" si="0"/>
        <v>#DIV/0!</v>
      </c>
      <c r="F70" s="25"/>
      <c r="H70" s="27"/>
      <c r="I70" s="27"/>
      <c r="K70" s="25"/>
      <c r="L70" s="26"/>
    </row>
    <row r="71" spans="1:12">
      <c r="A71" s="258">
        <v>80</v>
      </c>
      <c r="B71" s="132">
        <v>10.943899999999999</v>
      </c>
      <c r="C71" s="19" t="e">
        <f t="shared" si="0"/>
        <v>#DIV/0!</v>
      </c>
      <c r="F71" s="25"/>
      <c r="H71" s="27"/>
      <c r="I71" s="27"/>
      <c r="K71" s="25"/>
      <c r="L71" s="26"/>
    </row>
    <row r="72" spans="1:12">
      <c r="A72" s="258">
        <v>79</v>
      </c>
      <c r="B72" s="132">
        <v>10.962400000000001</v>
      </c>
      <c r="C72" s="19" t="e">
        <f t="shared" si="0"/>
        <v>#DIV/0!</v>
      </c>
      <c r="F72" s="25"/>
      <c r="H72" s="27"/>
      <c r="I72" s="27"/>
      <c r="K72" s="25"/>
      <c r="L72" s="26"/>
    </row>
    <row r="73" spans="1:12">
      <c r="A73" s="258">
        <v>78</v>
      </c>
      <c r="B73" s="132">
        <v>10.972300000000001</v>
      </c>
      <c r="C73" s="19" t="e">
        <f t="shared" si="0"/>
        <v>#DIV/0!</v>
      </c>
      <c r="F73" s="25"/>
      <c r="H73" s="27"/>
      <c r="I73" s="27"/>
      <c r="K73" s="25"/>
      <c r="L73" s="26"/>
    </row>
    <row r="74" spans="1:12">
      <c r="A74" s="258">
        <v>77</v>
      </c>
      <c r="B74" s="132">
        <v>11.0154</v>
      </c>
      <c r="C74" s="19" t="e">
        <f t="shared" si="0"/>
        <v>#DIV/0!</v>
      </c>
      <c r="F74" s="25"/>
      <c r="H74" s="27"/>
      <c r="I74" s="27"/>
      <c r="K74" s="25"/>
      <c r="L74" s="26"/>
    </row>
    <row r="75" spans="1:12" ht="13.5" thickBot="1">
      <c r="A75" s="258">
        <v>76</v>
      </c>
      <c r="B75" s="132">
        <v>11.021599999999999</v>
      </c>
      <c r="C75" s="19" t="e">
        <f t="shared" si="0"/>
        <v>#DIV/0!</v>
      </c>
      <c r="F75" s="25"/>
      <c r="H75" s="27"/>
      <c r="I75" s="27"/>
      <c r="K75" s="25"/>
      <c r="L75" s="26"/>
    </row>
    <row r="76" spans="1:12" ht="13.5" thickBot="1">
      <c r="A76" s="28">
        <v>75</v>
      </c>
      <c r="B76" s="140">
        <v>11.0238</v>
      </c>
      <c r="C76" s="19" t="e">
        <f t="shared" si="0"/>
        <v>#DIV/0!</v>
      </c>
      <c r="F76" s="25"/>
      <c r="H76" s="27"/>
      <c r="I76" s="27"/>
      <c r="K76" s="25"/>
      <c r="L76" s="26"/>
    </row>
    <row r="77" spans="1:12">
      <c r="A77" s="258">
        <v>74</v>
      </c>
      <c r="B77" s="132">
        <v>11.043699999999999</v>
      </c>
      <c r="C77" s="19" t="e">
        <f t="shared" si="0"/>
        <v>#DIV/0!</v>
      </c>
      <c r="F77" s="25"/>
      <c r="H77" s="27"/>
      <c r="I77" s="27"/>
      <c r="K77" s="25"/>
      <c r="L77" s="26"/>
    </row>
    <row r="78" spans="1:12">
      <c r="A78" s="258">
        <v>73</v>
      </c>
      <c r="B78" s="132">
        <v>11.0555</v>
      </c>
      <c r="C78" s="19" t="e">
        <f t="shared" si="0"/>
        <v>#DIV/0!</v>
      </c>
      <c r="F78" s="25"/>
      <c r="H78" s="27"/>
      <c r="I78" s="27"/>
      <c r="K78" s="25"/>
      <c r="L78" s="26"/>
    </row>
    <row r="79" spans="1:12">
      <c r="A79" s="258">
        <v>72</v>
      </c>
      <c r="B79" s="132">
        <v>11.059200000000001</v>
      </c>
      <c r="C79" s="19" t="e">
        <f t="shared" si="0"/>
        <v>#DIV/0!</v>
      </c>
      <c r="F79" s="25"/>
      <c r="H79" s="27"/>
      <c r="I79" s="27"/>
      <c r="K79" s="25"/>
      <c r="L79" s="26"/>
    </row>
    <row r="80" spans="1:12">
      <c r="A80" s="258">
        <v>71</v>
      </c>
      <c r="B80" s="132">
        <v>11.068199999999999</v>
      </c>
      <c r="C80" s="19" t="e">
        <f t="shared" si="0"/>
        <v>#DIV/0!</v>
      </c>
      <c r="F80" s="25"/>
      <c r="H80" s="27"/>
      <c r="I80" s="27"/>
      <c r="K80" s="25"/>
      <c r="L80" s="26"/>
    </row>
    <row r="81" spans="1:12">
      <c r="A81" s="258">
        <v>70</v>
      </c>
      <c r="B81" s="132">
        <v>11.0939</v>
      </c>
      <c r="C81" s="19" t="e">
        <f t="shared" si="0"/>
        <v>#DIV/0!</v>
      </c>
      <c r="F81" s="25"/>
      <c r="H81" s="27"/>
      <c r="I81" s="27"/>
      <c r="K81" s="25"/>
      <c r="L81" s="26"/>
    </row>
    <row r="82" spans="1:12">
      <c r="A82" s="258">
        <v>69</v>
      </c>
      <c r="B82" s="132">
        <v>11.1029</v>
      </c>
      <c r="C82" s="19" t="e">
        <f t="shared" si="0"/>
        <v>#DIV/0!</v>
      </c>
      <c r="F82" s="25"/>
      <c r="H82" s="27"/>
      <c r="I82" s="27"/>
      <c r="K82" s="25"/>
      <c r="L82" s="26"/>
    </row>
    <row r="83" spans="1:12">
      <c r="A83" s="258">
        <v>68</v>
      </c>
      <c r="B83" s="132">
        <v>11.1143</v>
      </c>
      <c r="C83" s="19" t="e">
        <f t="shared" si="0"/>
        <v>#DIV/0!</v>
      </c>
      <c r="F83" s="25"/>
      <c r="H83" s="27"/>
      <c r="I83" s="27"/>
      <c r="K83" s="25"/>
      <c r="L83" s="26"/>
    </row>
    <row r="84" spans="1:12">
      <c r="A84" s="258">
        <v>67</v>
      </c>
      <c r="B84" s="132">
        <v>11.117100000000001</v>
      </c>
      <c r="C84" s="19" t="e">
        <f t="shared" si="0"/>
        <v>#DIV/0!</v>
      </c>
      <c r="F84" s="25"/>
      <c r="H84" s="27"/>
      <c r="I84" s="27"/>
      <c r="K84" s="25"/>
      <c r="L84" s="26"/>
    </row>
    <row r="85" spans="1:12">
      <c r="A85" s="258">
        <v>66</v>
      </c>
      <c r="B85" s="132">
        <v>11.1279</v>
      </c>
      <c r="C85" s="19" t="e">
        <f t="shared" si="0"/>
        <v>#DIV/0!</v>
      </c>
      <c r="F85" s="25"/>
      <c r="H85" s="27"/>
      <c r="I85" s="27"/>
      <c r="K85" s="25"/>
      <c r="L85" s="26"/>
    </row>
    <row r="86" spans="1:12">
      <c r="A86" s="258">
        <v>65</v>
      </c>
      <c r="B86" s="132">
        <v>11.139099999999999</v>
      </c>
      <c r="C86" s="19" t="e">
        <f t="shared" si="0"/>
        <v>#DIV/0!</v>
      </c>
      <c r="F86" s="25"/>
      <c r="H86" s="27"/>
      <c r="I86" s="27"/>
      <c r="K86" s="25"/>
      <c r="L86" s="26"/>
    </row>
    <row r="87" spans="1:12">
      <c r="A87" s="258">
        <v>64</v>
      </c>
      <c r="B87" s="132">
        <v>11.148</v>
      </c>
      <c r="C87" s="19" t="e">
        <f t="shared" si="0"/>
        <v>#DIV/0!</v>
      </c>
      <c r="F87" s="25"/>
      <c r="H87" s="27"/>
      <c r="I87" s="27"/>
      <c r="K87" s="25"/>
      <c r="L87" s="26"/>
    </row>
    <row r="88" spans="1:12">
      <c r="A88" s="258">
        <v>63</v>
      </c>
      <c r="B88" s="132">
        <v>11.1523</v>
      </c>
      <c r="C88" s="19" t="e">
        <f t="shared" si="0"/>
        <v>#DIV/0!</v>
      </c>
      <c r="F88" s="25"/>
      <c r="H88" s="27"/>
      <c r="I88" s="27"/>
      <c r="K88" s="25"/>
      <c r="L88" s="26"/>
    </row>
    <row r="89" spans="1:12">
      <c r="A89" s="258">
        <v>62</v>
      </c>
      <c r="B89" s="132">
        <v>11.155200000000001</v>
      </c>
      <c r="C89" s="19" t="e">
        <f t="shared" si="0"/>
        <v>#DIV/0!</v>
      </c>
      <c r="F89" s="25"/>
      <c r="H89" s="27"/>
      <c r="I89" s="27"/>
      <c r="K89" s="25"/>
      <c r="L89" s="26"/>
    </row>
    <row r="90" spans="1:12">
      <c r="A90" s="258">
        <v>61</v>
      </c>
      <c r="B90" s="132">
        <v>11.16</v>
      </c>
      <c r="C90" s="19" t="e">
        <f t="shared" si="0"/>
        <v>#DIV/0!</v>
      </c>
      <c r="F90" s="25"/>
      <c r="H90" s="27"/>
      <c r="I90" s="27"/>
      <c r="K90" s="25"/>
      <c r="L90" s="26"/>
    </row>
    <row r="91" spans="1:12">
      <c r="A91" s="258">
        <v>60</v>
      </c>
      <c r="B91" s="132">
        <v>11.1669</v>
      </c>
      <c r="C91" s="19" t="e">
        <f t="shared" si="0"/>
        <v>#DIV/0!</v>
      </c>
      <c r="F91" s="25"/>
      <c r="H91" s="27"/>
      <c r="I91" s="27"/>
      <c r="K91" s="25"/>
      <c r="L91" s="26"/>
    </row>
    <row r="92" spans="1:12">
      <c r="A92" s="258">
        <v>59</v>
      </c>
      <c r="B92" s="132">
        <v>11.175599999999999</v>
      </c>
      <c r="C92" s="19" t="e">
        <f t="shared" si="0"/>
        <v>#DIV/0!</v>
      </c>
      <c r="F92" s="25"/>
      <c r="H92" s="27"/>
      <c r="I92" s="27"/>
      <c r="K92" s="25"/>
      <c r="L92" s="26"/>
    </row>
    <row r="93" spans="1:12">
      <c r="A93" s="258">
        <v>58</v>
      </c>
      <c r="B93" s="132">
        <v>11.181800000000001</v>
      </c>
      <c r="C93" s="19" t="e">
        <f t="shared" si="0"/>
        <v>#DIV/0!</v>
      </c>
      <c r="F93" s="25"/>
      <c r="H93" s="27"/>
      <c r="I93" s="27"/>
      <c r="K93" s="25"/>
      <c r="L93" s="26"/>
    </row>
    <row r="94" spans="1:12">
      <c r="A94" s="258">
        <v>57</v>
      </c>
      <c r="B94" s="132">
        <v>11.195</v>
      </c>
      <c r="C94" s="19" t="e">
        <f t="shared" si="0"/>
        <v>#DIV/0!</v>
      </c>
      <c r="F94" s="25"/>
      <c r="H94" s="27"/>
      <c r="I94" s="27"/>
      <c r="K94" s="25"/>
      <c r="L94" s="26"/>
    </row>
    <row r="95" spans="1:12">
      <c r="A95" s="258">
        <v>56</v>
      </c>
      <c r="B95" s="132">
        <v>11.1976</v>
      </c>
      <c r="C95" s="19" t="e">
        <f t="shared" si="0"/>
        <v>#DIV/0!</v>
      </c>
      <c r="F95" s="25"/>
      <c r="H95" s="27"/>
      <c r="I95" s="27"/>
      <c r="K95" s="25"/>
      <c r="L95" s="26"/>
    </row>
    <row r="96" spans="1:12">
      <c r="A96" s="258">
        <v>55</v>
      </c>
      <c r="B96" s="132">
        <v>11.2301</v>
      </c>
      <c r="C96" s="19" t="e">
        <f t="shared" si="0"/>
        <v>#DIV/0!</v>
      </c>
      <c r="F96" s="25"/>
      <c r="H96" s="27"/>
      <c r="I96" s="27"/>
      <c r="K96" s="25"/>
      <c r="L96" s="26"/>
    </row>
    <row r="97" spans="1:12">
      <c r="A97" s="258">
        <v>54</v>
      </c>
      <c r="B97" s="132">
        <v>11.238099999999999</v>
      </c>
      <c r="C97" s="19" t="e">
        <f t="shared" si="0"/>
        <v>#DIV/0!</v>
      </c>
      <c r="F97" s="25"/>
      <c r="H97" s="27"/>
      <c r="I97" s="27"/>
      <c r="K97" s="25"/>
      <c r="L97" s="26"/>
    </row>
    <row r="98" spans="1:12">
      <c r="A98" s="258">
        <v>53</v>
      </c>
      <c r="B98" s="132">
        <v>11.261900000000001</v>
      </c>
      <c r="C98" s="19" t="e">
        <f t="shared" si="0"/>
        <v>#DIV/0!</v>
      </c>
      <c r="F98" s="25"/>
      <c r="H98" s="27"/>
      <c r="I98" s="27"/>
      <c r="K98" s="25"/>
      <c r="L98" s="26"/>
    </row>
    <row r="99" spans="1:12">
      <c r="A99" s="258">
        <v>52</v>
      </c>
      <c r="B99" s="132">
        <v>11.272399999999999</v>
      </c>
      <c r="C99" s="19" t="e">
        <f t="shared" si="0"/>
        <v>#DIV/0!</v>
      </c>
      <c r="F99" s="25"/>
      <c r="H99" s="27"/>
      <c r="I99" s="27"/>
      <c r="K99" s="25"/>
      <c r="L99" s="26"/>
    </row>
    <row r="100" spans="1:12">
      <c r="A100" s="258">
        <v>51</v>
      </c>
      <c r="B100" s="132">
        <v>11.297599999999999</v>
      </c>
      <c r="C100" s="19" t="e">
        <f t="shared" si="0"/>
        <v>#DIV/0!</v>
      </c>
      <c r="F100" s="25"/>
      <c r="H100" s="27"/>
      <c r="I100" s="27"/>
      <c r="K100" s="25"/>
      <c r="L100" s="26"/>
    </row>
    <row r="101" spans="1:12">
      <c r="A101" s="258">
        <v>50</v>
      </c>
      <c r="B101" s="132">
        <v>11.302</v>
      </c>
      <c r="C101" s="19" t="e">
        <f t="shared" si="0"/>
        <v>#DIV/0!</v>
      </c>
      <c r="F101" s="25"/>
      <c r="H101" s="27"/>
      <c r="I101" s="27"/>
      <c r="K101" s="25"/>
      <c r="L101" s="26"/>
    </row>
    <row r="102" spans="1:12">
      <c r="A102" s="258">
        <v>49</v>
      </c>
      <c r="B102" s="132">
        <v>11.3027</v>
      </c>
      <c r="C102" s="19" t="e">
        <f t="shared" si="0"/>
        <v>#DIV/0!</v>
      </c>
      <c r="F102" s="25"/>
      <c r="H102" s="27"/>
      <c r="I102" s="27"/>
      <c r="K102" s="25"/>
      <c r="L102" s="26"/>
    </row>
    <row r="103" spans="1:12">
      <c r="A103" s="258">
        <v>48</v>
      </c>
      <c r="B103" s="132">
        <v>11.3279</v>
      </c>
      <c r="C103" s="19" t="e">
        <f t="shared" si="0"/>
        <v>#DIV/0!</v>
      </c>
      <c r="F103" s="25"/>
      <c r="H103" s="27"/>
      <c r="I103" s="27"/>
      <c r="K103" s="25"/>
      <c r="L103" s="26"/>
    </row>
    <row r="104" spans="1:12">
      <c r="A104" s="258">
        <v>47</v>
      </c>
      <c r="B104" s="132">
        <v>11.332800000000001</v>
      </c>
      <c r="C104" s="19" t="e">
        <f t="shared" si="0"/>
        <v>#DIV/0!</v>
      </c>
      <c r="F104" s="25"/>
      <c r="H104" s="27"/>
      <c r="I104" s="27"/>
      <c r="K104" s="25"/>
      <c r="L104" s="26"/>
    </row>
    <row r="105" spans="1:12">
      <c r="A105" s="258">
        <v>46</v>
      </c>
      <c r="B105" s="132">
        <v>11.337</v>
      </c>
      <c r="C105" s="19" t="e">
        <f t="shared" si="0"/>
        <v>#DIV/0!</v>
      </c>
      <c r="F105" s="25"/>
      <c r="H105" s="14"/>
      <c r="I105" s="14"/>
      <c r="K105" s="25"/>
      <c r="L105" s="8"/>
    </row>
    <row r="106" spans="1:12">
      <c r="A106" s="258">
        <v>45</v>
      </c>
      <c r="B106" s="132">
        <v>11.343999999999999</v>
      </c>
      <c r="C106" s="19" t="e">
        <f t="shared" si="0"/>
        <v>#DIV/0!</v>
      </c>
    </row>
    <row r="107" spans="1:12">
      <c r="A107" s="258">
        <v>44</v>
      </c>
      <c r="B107" s="132">
        <v>11.349600000000001</v>
      </c>
      <c r="C107" s="19" t="e">
        <f t="shared" si="0"/>
        <v>#DIV/0!</v>
      </c>
    </row>
    <row r="108" spans="1:12">
      <c r="A108" s="258">
        <v>43</v>
      </c>
      <c r="B108" s="132">
        <v>11.3588</v>
      </c>
      <c r="C108" s="19" t="e">
        <f t="shared" si="0"/>
        <v>#DIV/0!</v>
      </c>
    </row>
    <row r="109" spans="1:12">
      <c r="A109" s="258">
        <v>42</v>
      </c>
      <c r="B109" s="132">
        <v>11.3714</v>
      </c>
      <c r="C109" s="19" t="e">
        <f t="shared" si="0"/>
        <v>#DIV/0!</v>
      </c>
    </row>
    <row r="110" spans="1:12">
      <c r="A110" s="258">
        <v>41</v>
      </c>
      <c r="B110" s="132">
        <v>11.379300000000001</v>
      </c>
      <c r="C110" s="19" t="e">
        <f t="shared" si="0"/>
        <v>#DIV/0!</v>
      </c>
    </row>
    <row r="111" spans="1:12">
      <c r="A111" s="258">
        <v>40</v>
      </c>
      <c r="B111" s="132">
        <v>11.386100000000001</v>
      </c>
      <c r="C111" s="19" t="e">
        <f t="shared" si="0"/>
        <v>#DIV/0!</v>
      </c>
    </row>
    <row r="112" spans="1:12">
      <c r="A112" s="258">
        <v>39</v>
      </c>
      <c r="B112" s="132">
        <v>11.391299999999999</v>
      </c>
      <c r="C112" s="19" t="e">
        <f t="shared" si="0"/>
        <v>#DIV/0!</v>
      </c>
    </row>
    <row r="113" spans="1:3">
      <c r="A113" s="258">
        <v>38</v>
      </c>
      <c r="B113" s="132">
        <v>11.3954</v>
      </c>
      <c r="C113" s="19" t="e">
        <f t="shared" si="0"/>
        <v>#DIV/0!</v>
      </c>
    </row>
    <row r="114" spans="1:3">
      <c r="A114" s="258">
        <v>37</v>
      </c>
      <c r="B114" s="132">
        <v>11.414199999999999</v>
      </c>
      <c r="C114" s="19" t="e">
        <f t="shared" si="0"/>
        <v>#DIV/0!</v>
      </c>
    </row>
    <row r="115" spans="1:3">
      <c r="A115" s="258">
        <v>36</v>
      </c>
      <c r="B115" s="132">
        <v>11.428000000000001</v>
      </c>
      <c r="C115" s="19" t="e">
        <f t="shared" si="0"/>
        <v>#DIV/0!</v>
      </c>
    </row>
    <row r="116" spans="1:3">
      <c r="A116" s="258">
        <v>35</v>
      </c>
      <c r="B116" s="132">
        <v>11.4427</v>
      </c>
      <c r="C116" s="19" t="e">
        <f t="shared" si="0"/>
        <v>#DIV/0!</v>
      </c>
    </row>
    <row r="117" spans="1:3">
      <c r="A117" s="258">
        <v>34</v>
      </c>
      <c r="B117" s="132">
        <v>11.4482</v>
      </c>
      <c r="C117" s="19" t="e">
        <f t="shared" si="0"/>
        <v>#DIV/0!</v>
      </c>
    </row>
    <row r="118" spans="1:3">
      <c r="A118" s="258">
        <v>33</v>
      </c>
      <c r="B118" s="132">
        <v>11.4499</v>
      </c>
      <c r="C118" s="19" t="e">
        <f t="shared" ref="C118:C150" si="1">+(B118*$J$17)</f>
        <v>#DIV/0!</v>
      </c>
    </row>
    <row r="119" spans="1:3">
      <c r="A119" s="258">
        <v>32</v>
      </c>
      <c r="B119" s="132">
        <v>11.454800000000001</v>
      </c>
      <c r="C119" s="19" t="e">
        <f t="shared" si="1"/>
        <v>#DIV/0!</v>
      </c>
    </row>
    <row r="120" spans="1:3">
      <c r="A120" s="258">
        <v>31</v>
      </c>
      <c r="B120" s="132">
        <v>11.469900000000001</v>
      </c>
      <c r="C120" s="19" t="e">
        <f t="shared" si="1"/>
        <v>#DIV/0!</v>
      </c>
    </row>
    <row r="121" spans="1:3">
      <c r="A121" s="258">
        <v>30</v>
      </c>
      <c r="B121" s="132">
        <v>11.4771</v>
      </c>
      <c r="C121" s="19" t="e">
        <f t="shared" si="1"/>
        <v>#DIV/0!</v>
      </c>
    </row>
    <row r="122" spans="1:3">
      <c r="A122" s="258">
        <v>29</v>
      </c>
      <c r="B122" s="132">
        <v>11.482100000000001</v>
      </c>
      <c r="C122" s="19" t="e">
        <f t="shared" si="1"/>
        <v>#DIV/0!</v>
      </c>
    </row>
    <row r="123" spans="1:3">
      <c r="A123" s="258">
        <v>28</v>
      </c>
      <c r="B123" s="132">
        <v>11.484</v>
      </c>
      <c r="C123" s="19" t="e">
        <f t="shared" si="1"/>
        <v>#DIV/0!</v>
      </c>
    </row>
    <row r="124" spans="1:3">
      <c r="A124" s="258">
        <v>27</v>
      </c>
      <c r="B124" s="132">
        <v>11.503399999999999</v>
      </c>
      <c r="C124" s="19" t="e">
        <f t="shared" si="1"/>
        <v>#DIV/0!</v>
      </c>
    </row>
    <row r="125" spans="1:3">
      <c r="A125" s="258">
        <v>26</v>
      </c>
      <c r="B125" s="132">
        <v>11.504899999999999</v>
      </c>
      <c r="C125" s="19" t="e">
        <f t="shared" si="1"/>
        <v>#DIV/0!</v>
      </c>
    </row>
    <row r="126" spans="1:3">
      <c r="A126" s="258">
        <v>25</v>
      </c>
      <c r="B126" s="132">
        <v>11.526300000000001</v>
      </c>
      <c r="C126" s="19" t="e">
        <f t="shared" si="1"/>
        <v>#DIV/0!</v>
      </c>
    </row>
    <row r="127" spans="1:3">
      <c r="A127" s="258">
        <v>24</v>
      </c>
      <c r="B127" s="132">
        <v>11.554399999999999</v>
      </c>
      <c r="C127" s="19" t="e">
        <f t="shared" si="1"/>
        <v>#DIV/0!</v>
      </c>
    </row>
    <row r="128" spans="1:3">
      <c r="A128" s="258">
        <v>23</v>
      </c>
      <c r="B128" s="132">
        <v>11.563599999999999</v>
      </c>
      <c r="C128" s="19" t="e">
        <f t="shared" si="1"/>
        <v>#DIV/0!</v>
      </c>
    </row>
    <row r="129" spans="1:3">
      <c r="A129" s="258">
        <v>22</v>
      </c>
      <c r="B129" s="132">
        <v>11.565200000000001</v>
      </c>
      <c r="C129" s="19" t="e">
        <f t="shared" si="1"/>
        <v>#DIV/0!</v>
      </c>
    </row>
    <row r="130" spans="1:3">
      <c r="A130" s="258">
        <v>21</v>
      </c>
      <c r="B130" s="132">
        <v>11.5938</v>
      </c>
      <c r="C130" s="19" t="e">
        <f t="shared" si="1"/>
        <v>#DIV/0!</v>
      </c>
    </row>
    <row r="131" spans="1:3">
      <c r="A131" s="258">
        <v>20</v>
      </c>
      <c r="B131" s="132">
        <v>11.599399999999999</v>
      </c>
      <c r="C131" s="19" t="e">
        <f t="shared" si="1"/>
        <v>#DIV/0!</v>
      </c>
    </row>
    <row r="132" spans="1:3">
      <c r="A132" s="258">
        <v>19</v>
      </c>
      <c r="B132" s="132">
        <v>11.609299999999999</v>
      </c>
      <c r="C132" s="19" t="e">
        <f t="shared" si="1"/>
        <v>#DIV/0!</v>
      </c>
    </row>
    <row r="133" spans="1:3">
      <c r="A133" s="258">
        <v>18</v>
      </c>
      <c r="B133" s="132">
        <v>11.6181</v>
      </c>
      <c r="C133" s="19" t="e">
        <f t="shared" si="1"/>
        <v>#DIV/0!</v>
      </c>
    </row>
    <row r="134" spans="1:3">
      <c r="A134" s="258">
        <v>17</v>
      </c>
      <c r="B134" s="132">
        <v>11.628500000000001</v>
      </c>
      <c r="C134" s="19" t="e">
        <f t="shared" si="1"/>
        <v>#DIV/0!</v>
      </c>
    </row>
    <row r="135" spans="1:3">
      <c r="A135" s="258">
        <v>16</v>
      </c>
      <c r="B135" s="132">
        <v>11.629799999999999</v>
      </c>
      <c r="C135" s="19" t="e">
        <f t="shared" si="1"/>
        <v>#DIV/0!</v>
      </c>
    </row>
    <row r="136" spans="1:3">
      <c r="A136" s="258">
        <v>15</v>
      </c>
      <c r="B136" s="132">
        <v>11.6335</v>
      </c>
      <c r="C136" s="19" t="e">
        <f t="shared" si="1"/>
        <v>#DIV/0!</v>
      </c>
    </row>
    <row r="137" spans="1:3">
      <c r="A137" s="258">
        <v>14</v>
      </c>
      <c r="B137" s="132">
        <v>11.6473</v>
      </c>
      <c r="C137" s="19" t="e">
        <f t="shared" si="1"/>
        <v>#DIV/0!</v>
      </c>
    </row>
    <row r="138" spans="1:3">
      <c r="A138" s="258">
        <v>13</v>
      </c>
      <c r="B138" s="132">
        <v>11.6615</v>
      </c>
      <c r="C138" s="19" t="e">
        <f t="shared" si="1"/>
        <v>#DIV/0!</v>
      </c>
    </row>
    <row r="139" spans="1:3">
      <c r="A139" s="258">
        <v>12</v>
      </c>
      <c r="B139" s="132">
        <v>11.685700000000001</v>
      </c>
      <c r="C139" s="19" t="e">
        <f t="shared" si="1"/>
        <v>#DIV/0!</v>
      </c>
    </row>
    <row r="140" spans="1:3">
      <c r="A140" s="258">
        <v>11</v>
      </c>
      <c r="B140" s="132">
        <v>11.6906</v>
      </c>
      <c r="C140" s="19" t="e">
        <f t="shared" si="1"/>
        <v>#DIV/0!</v>
      </c>
    </row>
    <row r="141" spans="1:3">
      <c r="A141" s="258">
        <v>10</v>
      </c>
      <c r="B141" s="132">
        <v>11.7051</v>
      </c>
      <c r="C141" s="19" t="e">
        <f t="shared" si="1"/>
        <v>#DIV/0!</v>
      </c>
    </row>
    <row r="142" spans="1:3">
      <c r="A142" s="258">
        <v>9</v>
      </c>
      <c r="B142" s="132">
        <v>11.721299999999999</v>
      </c>
      <c r="C142" s="19" t="e">
        <f t="shared" si="1"/>
        <v>#DIV/0!</v>
      </c>
    </row>
    <row r="143" spans="1:3">
      <c r="A143" s="258">
        <v>8</v>
      </c>
      <c r="B143" s="132">
        <v>11.747299999999999</v>
      </c>
      <c r="C143" s="19" t="e">
        <f t="shared" si="1"/>
        <v>#DIV/0!</v>
      </c>
    </row>
    <row r="144" spans="1:3">
      <c r="A144" s="258">
        <v>7</v>
      </c>
      <c r="B144" s="132">
        <v>11.766400000000001</v>
      </c>
      <c r="C144" s="19" t="e">
        <f t="shared" si="1"/>
        <v>#DIV/0!</v>
      </c>
    </row>
    <row r="145" spans="1:3">
      <c r="A145" s="258">
        <v>6</v>
      </c>
      <c r="B145" s="132">
        <v>11.794700000000001</v>
      </c>
      <c r="C145" s="19" t="e">
        <f t="shared" si="1"/>
        <v>#DIV/0!</v>
      </c>
    </row>
    <row r="146" spans="1:3">
      <c r="A146" s="258">
        <v>5</v>
      </c>
      <c r="B146" s="132">
        <v>11.801399999999999</v>
      </c>
      <c r="C146" s="19" t="e">
        <f t="shared" si="1"/>
        <v>#DIV/0!</v>
      </c>
    </row>
    <row r="147" spans="1:3">
      <c r="A147" s="258">
        <v>4</v>
      </c>
      <c r="B147" s="132">
        <v>11.809200000000001</v>
      </c>
      <c r="C147" s="19" t="e">
        <f t="shared" si="1"/>
        <v>#DIV/0!</v>
      </c>
    </row>
    <row r="148" spans="1:3">
      <c r="A148" s="258">
        <v>3</v>
      </c>
      <c r="B148" s="132">
        <v>11.8416</v>
      </c>
      <c r="C148" s="19" t="e">
        <f t="shared" si="1"/>
        <v>#DIV/0!</v>
      </c>
    </row>
    <row r="149" spans="1:3">
      <c r="A149" s="258">
        <v>2</v>
      </c>
      <c r="B149" s="132">
        <v>11.857200000000001</v>
      </c>
      <c r="C149" s="19" t="e">
        <f t="shared" si="1"/>
        <v>#DIV/0!</v>
      </c>
    </row>
    <row r="150" spans="1:3" ht="13.5" thickBot="1">
      <c r="A150" s="258">
        <v>1</v>
      </c>
      <c r="B150" s="141">
        <v>11.9504</v>
      </c>
      <c r="C150" s="19" t="e">
        <f t="shared" si="1"/>
        <v>#DIV/0!</v>
      </c>
    </row>
    <row r="214" spans="3:29">
      <c r="D214">
        <v>10.1785</v>
      </c>
      <c r="E214">
        <v>10.294499999999999</v>
      </c>
      <c r="F214">
        <v>10.511799999999999</v>
      </c>
      <c r="G214">
        <v>10.541</v>
      </c>
      <c r="H214">
        <v>10.557</v>
      </c>
      <c r="I214">
        <v>10.5913</v>
      </c>
      <c r="J214">
        <v>10.615600000000001</v>
      </c>
      <c r="K214">
        <v>10.6668</v>
      </c>
      <c r="L214">
        <v>10.696400000000001</v>
      </c>
      <c r="M214">
        <v>10.766500000000001</v>
      </c>
      <c r="N214">
        <v>10.7783</v>
      </c>
      <c r="O214">
        <v>10.807</v>
      </c>
      <c r="P214">
        <v>10.8187</v>
      </c>
      <c r="Q214">
        <v>10.8301</v>
      </c>
      <c r="R214">
        <v>10.848599999999999</v>
      </c>
      <c r="S214">
        <v>10.8575</v>
      </c>
      <c r="U214">
        <v>10.861800000000001</v>
      </c>
      <c r="V214">
        <v>10.8934</v>
      </c>
      <c r="W214">
        <v>10.904400000000001</v>
      </c>
      <c r="X214">
        <v>10.9231</v>
      </c>
      <c r="Y214">
        <v>10.943899999999999</v>
      </c>
      <c r="Z214">
        <v>10.962400000000001</v>
      </c>
      <c r="AA214">
        <v>10.972300000000001</v>
      </c>
      <c r="AB214">
        <v>11.0154</v>
      </c>
      <c r="AC214">
        <v>11.021599999999999</v>
      </c>
    </row>
    <row r="215" spans="3:29">
      <c r="D215">
        <v>11.0238</v>
      </c>
      <c r="E215">
        <v>11.043699999999999</v>
      </c>
      <c r="F215">
        <v>11.0555</v>
      </c>
      <c r="G215">
        <v>11.059200000000001</v>
      </c>
      <c r="H215">
        <v>11.068199999999999</v>
      </c>
      <c r="I215">
        <v>11.0939</v>
      </c>
      <c r="J215">
        <v>11.1029</v>
      </c>
      <c r="K215">
        <v>11.1143</v>
      </c>
      <c r="L215">
        <v>11.117100000000001</v>
      </c>
      <c r="M215">
        <v>11.139099999999999</v>
      </c>
      <c r="N215">
        <v>11.148</v>
      </c>
      <c r="O215">
        <v>11.1523</v>
      </c>
      <c r="P215">
        <v>11.155200000000001</v>
      </c>
      <c r="Q215">
        <v>11.16</v>
      </c>
      <c r="R215">
        <v>11.1669</v>
      </c>
      <c r="S215">
        <v>11.175599999999999</v>
      </c>
      <c r="U215">
        <v>11.181800000000001</v>
      </c>
      <c r="V215">
        <v>11.195</v>
      </c>
      <c r="W215">
        <v>11.1976</v>
      </c>
      <c r="X215">
        <v>11.2301</v>
      </c>
      <c r="Y215">
        <v>11.238099999999999</v>
      </c>
      <c r="Z215">
        <v>11.261900000000001</v>
      </c>
      <c r="AA215">
        <v>11.272399999999999</v>
      </c>
      <c r="AB215">
        <v>11.297599999999999</v>
      </c>
      <c r="AC215">
        <v>11.302</v>
      </c>
    </row>
    <row r="216" spans="3:29">
      <c r="D216">
        <v>11.3027</v>
      </c>
      <c r="E216">
        <v>11.3279</v>
      </c>
      <c r="F216">
        <v>11.332800000000001</v>
      </c>
      <c r="G216">
        <v>11.337</v>
      </c>
      <c r="H216">
        <v>11.343999999999999</v>
      </c>
      <c r="I216">
        <v>11.349600000000001</v>
      </c>
      <c r="J216">
        <v>11.3588</v>
      </c>
      <c r="K216">
        <v>11.3714</v>
      </c>
      <c r="L216">
        <v>11.379300000000001</v>
      </c>
      <c r="M216">
        <v>11.391299999999999</v>
      </c>
      <c r="N216">
        <v>11.3954</v>
      </c>
      <c r="O216">
        <v>11.414199999999999</v>
      </c>
      <c r="P216">
        <v>11.428000000000001</v>
      </c>
      <c r="Q216">
        <v>11.4427</v>
      </c>
      <c r="R216">
        <v>11.4482</v>
      </c>
      <c r="S216">
        <v>11.4499</v>
      </c>
      <c r="U216">
        <v>11.454800000000001</v>
      </c>
      <c r="V216">
        <v>11.469900000000001</v>
      </c>
      <c r="W216">
        <v>11.4771</v>
      </c>
      <c r="X216">
        <v>11.482100000000001</v>
      </c>
      <c r="Y216">
        <v>11.484</v>
      </c>
      <c r="Z216">
        <v>11.503399999999999</v>
      </c>
      <c r="AA216">
        <v>11.504899999999999</v>
      </c>
      <c r="AB216">
        <v>11.526300000000001</v>
      </c>
      <c r="AC216">
        <v>11.554399999999999</v>
      </c>
    </row>
    <row r="217" spans="3:29">
      <c r="D217">
        <v>11.563599999999999</v>
      </c>
      <c r="E217">
        <v>11.565200000000001</v>
      </c>
      <c r="F217">
        <v>11.5938</v>
      </c>
      <c r="G217">
        <v>11.599399999999999</v>
      </c>
      <c r="H217">
        <v>11.609299999999999</v>
      </c>
      <c r="I217">
        <v>11.6181</v>
      </c>
      <c r="J217">
        <v>11.628500000000001</v>
      </c>
      <c r="K217">
        <v>11.629799999999999</v>
      </c>
      <c r="L217">
        <v>11.6335</v>
      </c>
      <c r="M217">
        <v>11.6615</v>
      </c>
      <c r="N217">
        <v>11.685700000000001</v>
      </c>
      <c r="O217">
        <v>11.6906</v>
      </c>
      <c r="P217">
        <v>11.7051</v>
      </c>
      <c r="Q217">
        <v>11.721299999999999</v>
      </c>
      <c r="R217">
        <v>11.747299999999999</v>
      </c>
      <c r="S217">
        <v>11.766400000000001</v>
      </c>
      <c r="U217">
        <v>11.794700000000001</v>
      </c>
      <c r="V217">
        <v>11.801399999999999</v>
      </c>
      <c r="W217">
        <v>11.809200000000001</v>
      </c>
      <c r="X217">
        <v>11.8416</v>
      </c>
      <c r="Y217">
        <v>11.857200000000001</v>
      </c>
      <c r="Z217">
        <v>11.9504</v>
      </c>
    </row>
    <row r="221" spans="3:29">
      <c r="C221">
        <v>100</v>
      </c>
      <c r="D221">
        <v>10.294499999999999</v>
      </c>
    </row>
    <row r="222" spans="3:29">
      <c r="C222">
        <v>99</v>
      </c>
      <c r="D222">
        <v>10.511799999999999</v>
      </c>
    </row>
    <row r="223" spans="3:29">
      <c r="C223">
        <v>98</v>
      </c>
      <c r="D223">
        <v>10.541</v>
      </c>
    </row>
    <row r="224" spans="3:29">
      <c r="C224">
        <v>97</v>
      </c>
      <c r="D224">
        <v>10.557</v>
      </c>
    </row>
    <row r="225" spans="3:4">
      <c r="C225">
        <v>96</v>
      </c>
      <c r="D225">
        <v>10.5913</v>
      </c>
    </row>
    <row r="226" spans="3:4">
      <c r="C226">
        <v>95</v>
      </c>
      <c r="D226">
        <v>10.615600000000001</v>
      </c>
    </row>
    <row r="227" spans="3:4">
      <c r="C227">
        <v>94</v>
      </c>
      <c r="D227">
        <v>10.6668</v>
      </c>
    </row>
    <row r="228" spans="3:4">
      <c r="C228">
        <v>93</v>
      </c>
      <c r="D228">
        <v>10.696400000000001</v>
      </c>
    </row>
    <row r="229" spans="3:4">
      <c r="C229">
        <v>92</v>
      </c>
      <c r="D229">
        <v>10.710900000000001</v>
      </c>
    </row>
    <row r="230" spans="3:4">
      <c r="C230">
        <v>91</v>
      </c>
      <c r="D230">
        <v>10.766500000000001</v>
      </c>
    </row>
    <row r="231" spans="3:4">
      <c r="C231">
        <v>90</v>
      </c>
      <c r="D231">
        <v>10.7783</v>
      </c>
    </row>
    <row r="232" spans="3:4">
      <c r="C232">
        <v>89</v>
      </c>
      <c r="D232">
        <v>10.807</v>
      </c>
    </row>
    <row r="233" spans="3:4">
      <c r="C233">
        <v>88</v>
      </c>
      <c r="D233">
        <v>10.8187</v>
      </c>
    </row>
    <row r="234" spans="3:4">
      <c r="C234">
        <v>87</v>
      </c>
      <c r="D234">
        <v>10.8301</v>
      </c>
    </row>
    <row r="235" spans="3:4">
      <c r="C235">
        <v>86</v>
      </c>
      <c r="D235">
        <v>10.848599999999999</v>
      </c>
    </row>
    <row r="236" spans="3:4">
      <c r="C236">
        <v>85</v>
      </c>
      <c r="D236">
        <v>10.8575</v>
      </c>
    </row>
    <row r="237" spans="3:4">
      <c r="C237">
        <v>84</v>
      </c>
      <c r="D237">
        <v>10.861800000000001</v>
      </c>
    </row>
    <row r="238" spans="3:4">
      <c r="C238">
        <v>83</v>
      </c>
      <c r="D238">
        <v>10.8934</v>
      </c>
    </row>
    <row r="239" spans="3:4">
      <c r="C239">
        <v>82</v>
      </c>
      <c r="D239">
        <v>10.904400000000001</v>
      </c>
    </row>
    <row r="240" spans="3:4">
      <c r="C240">
        <v>81</v>
      </c>
      <c r="D240">
        <v>10.9231</v>
      </c>
    </row>
    <row r="241" spans="3:4">
      <c r="C241">
        <v>80</v>
      </c>
      <c r="D241">
        <v>10.943899999999999</v>
      </c>
    </row>
    <row r="242" spans="3:4">
      <c r="C242">
        <v>79</v>
      </c>
      <c r="D242">
        <v>10.962400000000001</v>
      </c>
    </row>
    <row r="243" spans="3:4">
      <c r="C243">
        <v>78</v>
      </c>
      <c r="D243">
        <v>10.972300000000001</v>
      </c>
    </row>
    <row r="244" spans="3:4">
      <c r="C244">
        <v>77</v>
      </c>
      <c r="D244">
        <v>11.0154</v>
      </c>
    </row>
    <row r="245" spans="3:4">
      <c r="C245">
        <v>76</v>
      </c>
      <c r="D245">
        <v>11.021599999999999</v>
      </c>
    </row>
    <row r="246" spans="3:4">
      <c r="C246">
        <v>75</v>
      </c>
      <c r="D246">
        <v>11.0238</v>
      </c>
    </row>
    <row r="247" spans="3:4">
      <c r="C247">
        <v>74</v>
      </c>
      <c r="D247">
        <v>11.043699999999999</v>
      </c>
    </row>
    <row r="248" spans="3:4">
      <c r="C248">
        <v>73</v>
      </c>
      <c r="D248">
        <v>11.0555</v>
      </c>
    </row>
    <row r="249" spans="3:4">
      <c r="C249">
        <v>72</v>
      </c>
      <c r="D249">
        <v>11.059200000000001</v>
      </c>
    </row>
    <row r="250" spans="3:4">
      <c r="C250">
        <v>71</v>
      </c>
      <c r="D250">
        <v>11.068199999999999</v>
      </c>
    </row>
    <row r="251" spans="3:4">
      <c r="C251">
        <v>70</v>
      </c>
      <c r="D251">
        <v>11.0939</v>
      </c>
    </row>
    <row r="252" spans="3:4">
      <c r="C252">
        <v>69</v>
      </c>
      <c r="D252">
        <v>11.1029</v>
      </c>
    </row>
    <row r="253" spans="3:4">
      <c r="C253">
        <v>68</v>
      </c>
      <c r="D253">
        <v>11.1143</v>
      </c>
    </row>
    <row r="254" spans="3:4">
      <c r="C254">
        <v>67</v>
      </c>
      <c r="D254">
        <v>11.117100000000001</v>
      </c>
    </row>
    <row r="255" spans="3:4">
      <c r="C255">
        <v>66</v>
      </c>
      <c r="D255">
        <v>11.1279</v>
      </c>
    </row>
    <row r="256" spans="3:4">
      <c r="C256">
        <v>65</v>
      </c>
      <c r="D256">
        <v>11.139099999999999</v>
      </c>
    </row>
    <row r="257" spans="3:4">
      <c r="C257">
        <v>64</v>
      </c>
      <c r="D257">
        <v>11.148</v>
      </c>
    </row>
    <row r="258" spans="3:4">
      <c r="C258">
        <v>63</v>
      </c>
      <c r="D258">
        <v>11.1523</v>
      </c>
    </row>
    <row r="259" spans="3:4">
      <c r="C259">
        <v>62</v>
      </c>
      <c r="D259">
        <v>11.155200000000001</v>
      </c>
    </row>
    <row r="260" spans="3:4">
      <c r="C260">
        <v>61</v>
      </c>
      <c r="D260">
        <v>11.16</v>
      </c>
    </row>
    <row r="261" spans="3:4">
      <c r="C261">
        <v>60</v>
      </c>
      <c r="D261">
        <v>11.1669</v>
      </c>
    </row>
    <row r="262" spans="3:4">
      <c r="C262">
        <v>59</v>
      </c>
      <c r="D262">
        <v>11.175599999999999</v>
      </c>
    </row>
    <row r="263" spans="3:4">
      <c r="C263">
        <v>58</v>
      </c>
      <c r="D263">
        <v>11.181800000000001</v>
      </c>
    </row>
    <row r="264" spans="3:4">
      <c r="C264">
        <v>57</v>
      </c>
      <c r="D264">
        <v>11.195</v>
      </c>
    </row>
    <row r="265" spans="3:4">
      <c r="C265">
        <v>56</v>
      </c>
      <c r="D265">
        <v>11.1976</v>
      </c>
    </row>
    <row r="266" spans="3:4">
      <c r="C266">
        <v>55</v>
      </c>
      <c r="D266">
        <v>11.2301</v>
      </c>
    </row>
    <row r="267" spans="3:4">
      <c r="C267">
        <v>54</v>
      </c>
      <c r="D267">
        <v>11.238099999999999</v>
      </c>
    </row>
    <row r="268" spans="3:4">
      <c r="C268">
        <v>53</v>
      </c>
      <c r="D268">
        <v>11.261900000000001</v>
      </c>
    </row>
    <row r="269" spans="3:4">
      <c r="C269">
        <v>52</v>
      </c>
      <c r="D269">
        <v>11.272399999999999</v>
      </c>
    </row>
    <row r="270" spans="3:4">
      <c r="C270">
        <v>51</v>
      </c>
      <c r="D270">
        <v>11.297599999999999</v>
      </c>
    </row>
    <row r="271" spans="3:4">
      <c r="C271">
        <v>50</v>
      </c>
      <c r="D271">
        <v>11.302</v>
      </c>
    </row>
    <row r="272" spans="3:4">
      <c r="C272">
        <v>49</v>
      </c>
      <c r="D272">
        <v>11.3027</v>
      </c>
    </row>
    <row r="273" spans="3:4">
      <c r="C273">
        <v>48</v>
      </c>
      <c r="D273">
        <v>11.3279</v>
      </c>
    </row>
    <row r="274" spans="3:4">
      <c r="C274">
        <v>47</v>
      </c>
      <c r="D274">
        <v>11.332800000000001</v>
      </c>
    </row>
    <row r="275" spans="3:4">
      <c r="C275">
        <v>46</v>
      </c>
      <c r="D275">
        <v>11.337</v>
      </c>
    </row>
    <row r="276" spans="3:4">
      <c r="C276">
        <v>45</v>
      </c>
      <c r="D276">
        <v>11.343999999999999</v>
      </c>
    </row>
    <row r="277" spans="3:4">
      <c r="C277">
        <v>44</v>
      </c>
      <c r="D277">
        <v>11.349600000000001</v>
      </c>
    </row>
    <row r="278" spans="3:4">
      <c r="C278">
        <v>43</v>
      </c>
      <c r="D278">
        <v>11.3588</v>
      </c>
    </row>
    <row r="279" spans="3:4">
      <c r="C279">
        <v>42</v>
      </c>
      <c r="D279">
        <v>11.3714</v>
      </c>
    </row>
    <row r="280" spans="3:4">
      <c r="C280">
        <v>41</v>
      </c>
      <c r="D280">
        <v>11.379300000000001</v>
      </c>
    </row>
    <row r="281" spans="3:4">
      <c r="C281">
        <v>40</v>
      </c>
      <c r="D281">
        <v>11.386100000000001</v>
      </c>
    </row>
    <row r="282" spans="3:4">
      <c r="C282">
        <v>39</v>
      </c>
      <c r="D282">
        <v>11.391299999999999</v>
      </c>
    </row>
    <row r="283" spans="3:4">
      <c r="C283">
        <v>38</v>
      </c>
      <c r="D283">
        <v>11.3954</v>
      </c>
    </row>
    <row r="284" spans="3:4">
      <c r="C284">
        <v>37</v>
      </c>
      <c r="D284">
        <v>11.414199999999999</v>
      </c>
    </row>
    <row r="285" spans="3:4">
      <c r="C285">
        <v>36</v>
      </c>
      <c r="D285">
        <v>11.428000000000001</v>
      </c>
    </row>
    <row r="286" spans="3:4">
      <c r="C286">
        <v>35</v>
      </c>
      <c r="D286">
        <v>11.4427</v>
      </c>
    </row>
    <row r="287" spans="3:4">
      <c r="C287">
        <v>34</v>
      </c>
      <c r="D287">
        <v>11.4482</v>
      </c>
    </row>
    <row r="288" spans="3:4">
      <c r="C288">
        <v>33</v>
      </c>
      <c r="D288">
        <v>11.4499</v>
      </c>
    </row>
    <row r="289" spans="3:4">
      <c r="C289">
        <v>32</v>
      </c>
      <c r="D289">
        <v>11.454800000000001</v>
      </c>
    </row>
    <row r="290" spans="3:4">
      <c r="C290">
        <v>31</v>
      </c>
      <c r="D290">
        <v>11.469900000000001</v>
      </c>
    </row>
    <row r="291" spans="3:4">
      <c r="C291">
        <v>30</v>
      </c>
      <c r="D291">
        <v>11.4771</v>
      </c>
    </row>
    <row r="292" spans="3:4">
      <c r="C292">
        <v>29</v>
      </c>
      <c r="D292">
        <v>11.482100000000001</v>
      </c>
    </row>
    <row r="293" spans="3:4">
      <c r="C293">
        <v>28</v>
      </c>
      <c r="D293">
        <v>11.484</v>
      </c>
    </row>
    <row r="294" spans="3:4">
      <c r="C294">
        <v>27</v>
      </c>
      <c r="D294">
        <v>11.503399999999999</v>
      </c>
    </row>
    <row r="295" spans="3:4">
      <c r="C295">
        <v>26</v>
      </c>
      <c r="D295">
        <v>11.504899999999999</v>
      </c>
    </row>
    <row r="296" spans="3:4">
      <c r="C296">
        <v>25</v>
      </c>
      <c r="D296">
        <v>11.526300000000001</v>
      </c>
    </row>
    <row r="297" spans="3:4">
      <c r="C297">
        <v>24</v>
      </c>
      <c r="D297">
        <v>11.554399999999999</v>
      </c>
    </row>
    <row r="298" spans="3:4">
      <c r="C298">
        <v>23</v>
      </c>
      <c r="D298">
        <v>11.563599999999999</v>
      </c>
    </row>
    <row r="299" spans="3:4">
      <c r="C299">
        <v>22</v>
      </c>
      <c r="D299">
        <v>11.565200000000001</v>
      </c>
    </row>
    <row r="300" spans="3:4">
      <c r="C300">
        <v>21</v>
      </c>
      <c r="D300">
        <v>11.5938</v>
      </c>
    </row>
    <row r="301" spans="3:4">
      <c r="C301">
        <v>20</v>
      </c>
      <c r="D301">
        <v>11.599399999999999</v>
      </c>
    </row>
    <row r="302" spans="3:4">
      <c r="C302">
        <v>19</v>
      </c>
      <c r="D302">
        <v>11.609299999999999</v>
      </c>
    </row>
    <row r="303" spans="3:4">
      <c r="C303">
        <v>18</v>
      </c>
      <c r="D303">
        <v>11.6181</v>
      </c>
    </row>
    <row r="304" spans="3:4">
      <c r="C304">
        <v>17</v>
      </c>
      <c r="D304">
        <v>11.628500000000001</v>
      </c>
    </row>
    <row r="305" spans="3:4">
      <c r="C305">
        <v>16</v>
      </c>
      <c r="D305">
        <v>11.629799999999999</v>
      </c>
    </row>
    <row r="306" spans="3:4">
      <c r="C306">
        <v>15</v>
      </c>
      <c r="D306">
        <v>11.6335</v>
      </c>
    </row>
    <row r="307" spans="3:4">
      <c r="C307">
        <v>14</v>
      </c>
      <c r="D307">
        <v>11.6473</v>
      </c>
    </row>
    <row r="308" spans="3:4">
      <c r="C308">
        <v>13</v>
      </c>
      <c r="D308">
        <v>11.6615</v>
      </c>
    </row>
    <row r="309" spans="3:4">
      <c r="C309">
        <v>12</v>
      </c>
      <c r="D309">
        <v>11.685700000000001</v>
      </c>
    </row>
    <row r="310" spans="3:4">
      <c r="C310">
        <v>11</v>
      </c>
      <c r="D310">
        <v>11.6906</v>
      </c>
    </row>
    <row r="311" spans="3:4">
      <c r="C311">
        <v>10</v>
      </c>
      <c r="D311">
        <v>11.7051</v>
      </c>
    </row>
    <row r="312" spans="3:4">
      <c r="C312">
        <v>9</v>
      </c>
      <c r="D312">
        <v>11.721299999999999</v>
      </c>
    </row>
    <row r="313" spans="3:4">
      <c r="C313">
        <v>8</v>
      </c>
      <c r="D313">
        <v>11.747299999999999</v>
      </c>
    </row>
    <row r="314" spans="3:4">
      <c r="C314">
        <v>7</v>
      </c>
      <c r="D314">
        <v>11.766400000000001</v>
      </c>
    </row>
    <row r="315" spans="3:4">
      <c r="C315">
        <v>6</v>
      </c>
      <c r="D315">
        <v>11.794700000000001</v>
      </c>
    </row>
    <row r="316" spans="3:4">
      <c r="C316">
        <v>5</v>
      </c>
      <c r="D316">
        <v>11.801399999999999</v>
      </c>
    </row>
    <row r="317" spans="3:4">
      <c r="C317">
        <v>4</v>
      </c>
      <c r="D317">
        <v>11.809200000000001</v>
      </c>
    </row>
    <row r="318" spans="3:4">
      <c r="C318">
        <v>3</v>
      </c>
      <c r="D318">
        <v>11.8416</v>
      </c>
    </row>
    <row r="319" spans="3:4">
      <c r="C319">
        <v>2</v>
      </c>
      <c r="D319">
        <v>11.857200000000001</v>
      </c>
    </row>
    <row r="320" spans="3:4">
      <c r="C320">
        <v>1</v>
      </c>
      <c r="D320">
        <v>11.9504</v>
      </c>
    </row>
  </sheetData>
  <mergeCells count="8">
    <mergeCell ref="H56:I56"/>
    <mergeCell ref="K56:L56"/>
    <mergeCell ref="D7:G7"/>
    <mergeCell ref="H7:K7"/>
    <mergeCell ref="H54:I54"/>
    <mergeCell ref="K54:L54"/>
    <mergeCell ref="F49:I49"/>
    <mergeCell ref="K49:L49"/>
  </mergeCells>
  <phoneticPr fontId="0" type="noConversion"/>
  <pageMargins left="0.75" right="0.75" top="1" bottom="1" header="0.5" footer="0.5"/>
  <pageSetup scale="10"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sheetPr codeName="Sheet24"/>
  <dimension ref="B2:AM31"/>
  <sheetViews>
    <sheetView topLeftCell="F1" zoomScale="75" workbookViewId="0">
      <selection activeCell="L16" sqref="L16"/>
    </sheetView>
  </sheetViews>
  <sheetFormatPr defaultRowHeight="12.75"/>
  <cols>
    <col min="1" max="9" width="9.140625" style="199"/>
    <col min="10" max="10" width="16.7109375" style="199" customWidth="1"/>
    <col min="11" max="11" width="11.28515625" style="199" customWidth="1"/>
    <col min="12" max="14" width="9.140625" style="199"/>
    <col min="15" max="15" width="11.28515625" style="199" customWidth="1"/>
    <col min="16" max="16384" width="9.140625" style="199"/>
  </cols>
  <sheetData>
    <row r="2" spans="2:39">
      <c r="B2" s="2688"/>
      <c r="C2" s="2689"/>
      <c r="D2" s="2690"/>
      <c r="E2" s="2688"/>
      <c r="F2" s="2689"/>
      <c r="G2" s="2690"/>
      <c r="H2" s="2688" t="s">
        <v>1881</v>
      </c>
      <c r="I2" s="2689"/>
      <c r="J2" s="2689"/>
      <c r="K2" s="2690"/>
      <c r="L2" s="2688" t="s">
        <v>1882</v>
      </c>
      <c r="M2" s="2689"/>
      <c r="N2" s="2689"/>
      <c r="O2" s="2690"/>
      <c r="P2" s="2688" t="s">
        <v>1883</v>
      </c>
      <c r="Q2" s="2689"/>
      <c r="R2" s="2689"/>
      <c r="S2" s="2690"/>
      <c r="T2" s="2688" t="s">
        <v>1884</v>
      </c>
      <c r="U2" s="2689"/>
      <c r="V2" s="2689"/>
      <c r="W2" s="2690"/>
      <c r="X2" s="2688" t="s">
        <v>1885</v>
      </c>
      <c r="Y2" s="2689"/>
      <c r="Z2" s="2689"/>
      <c r="AA2" s="2690"/>
      <c r="AB2" s="2688" t="s">
        <v>1886</v>
      </c>
      <c r="AC2" s="2689"/>
      <c r="AD2" s="2689"/>
      <c r="AE2" s="2690"/>
      <c r="AF2" s="2688" t="s">
        <v>1887</v>
      </c>
      <c r="AG2" s="2689"/>
      <c r="AH2" s="2689"/>
      <c r="AI2" s="2690"/>
      <c r="AJ2" s="2688" t="s">
        <v>1888</v>
      </c>
      <c r="AK2" s="2689"/>
      <c r="AL2" s="2689"/>
      <c r="AM2" s="2690"/>
    </row>
    <row r="3" spans="2:39">
      <c r="B3" s="200"/>
      <c r="C3" s="201"/>
      <c r="D3" s="202"/>
      <c r="E3" s="200"/>
      <c r="F3" s="201"/>
      <c r="G3" s="201"/>
      <c r="H3" s="200"/>
      <c r="I3" s="201"/>
      <c r="J3" s="201" t="s">
        <v>1889</v>
      </c>
      <c r="K3" s="203" t="s">
        <v>1890</v>
      </c>
      <c r="L3" s="200"/>
      <c r="M3" s="201"/>
      <c r="N3" s="201" t="s">
        <v>1889</v>
      </c>
      <c r="O3" s="203" t="s">
        <v>1890</v>
      </c>
      <c r="P3" s="200"/>
      <c r="Q3" s="201"/>
      <c r="R3" s="201" t="s">
        <v>1889</v>
      </c>
      <c r="S3" s="203" t="s">
        <v>1890</v>
      </c>
      <c r="T3" s="200"/>
      <c r="U3" s="201"/>
      <c r="V3" s="201" t="s">
        <v>1889</v>
      </c>
      <c r="W3" s="203" t="s">
        <v>1890</v>
      </c>
      <c r="X3" s="200"/>
      <c r="Y3" s="201"/>
      <c r="Z3" s="201" t="s">
        <v>1889</v>
      </c>
      <c r="AA3" s="203" t="s">
        <v>1890</v>
      </c>
      <c r="AB3" s="200"/>
      <c r="AC3" s="201"/>
      <c r="AD3" s="201" t="s">
        <v>1891</v>
      </c>
      <c r="AE3" s="203"/>
      <c r="AF3" s="200"/>
      <c r="AG3" s="201" t="s">
        <v>1891</v>
      </c>
      <c r="AH3" s="201"/>
      <c r="AI3" s="203"/>
      <c r="AJ3" s="200"/>
      <c r="AK3" s="201" t="s">
        <v>1891</v>
      </c>
      <c r="AL3" s="201"/>
      <c r="AM3" s="203"/>
    </row>
    <row r="4" spans="2:39" ht="15">
      <c r="B4" s="204"/>
      <c r="C4" s="205"/>
      <c r="D4" s="206"/>
      <c r="E4" s="204"/>
      <c r="F4" s="205"/>
      <c r="G4" s="21"/>
      <c r="H4" s="204">
        <v>2</v>
      </c>
      <c r="I4" s="205" t="str">
        <f ca="1">INDIRECT(ADDRESS($H$4+H5,COLUMN(I$2)))</f>
        <v>kBTU</v>
      </c>
      <c r="J4" s="207">
        <f ca="1">INDIRECT(ADDRESS($H$4+H5,COLUMN(J$2)))</f>
        <v>3.0187573270808912</v>
      </c>
      <c r="K4" s="208">
        <f ca="1">INDIRECT(ADDRESS($H$4+H5,COLUMN(K$2)))</f>
        <v>1</v>
      </c>
      <c r="L4" s="204">
        <v>2</v>
      </c>
      <c r="M4" s="205" t="str">
        <f ca="1">INDIRECT(ADDRESS($L$4+L5,COLUMN(M$2)))</f>
        <v>kBTU</v>
      </c>
      <c r="N4" s="209">
        <f ca="1">INDIRECT(ADDRESS($L$4+L5,COLUMN(N$2)))</f>
        <v>1.024</v>
      </c>
      <c r="O4" s="206">
        <f ca="1">INDIRECT(ADDRESS($L$4+L5,COLUMN(O$2)))</f>
        <v>1</v>
      </c>
      <c r="P4" s="204">
        <v>0</v>
      </c>
      <c r="Q4" s="205">
        <f ca="1">INDIRECT(ADDRESS($P$4+P5,COLUMN(Q$2)))</f>
        <v>0</v>
      </c>
      <c r="R4" s="209">
        <f ca="1">INDIRECT(ADDRESS($P$4+P5,COLUMN(R$2)))</f>
        <v>0</v>
      </c>
      <c r="S4" s="206">
        <f ca="1">INDIRECT(ADDRESS($P$4+P5,COLUMN(S$2)))</f>
        <v>0</v>
      </c>
      <c r="T4" s="204">
        <v>0</v>
      </c>
      <c r="U4" s="205">
        <f ca="1">INDIRECT(ADDRESS($T$4+T5,COLUMN(U$2)))</f>
        <v>0</v>
      </c>
      <c r="V4" s="209">
        <f ca="1">INDIRECT(ADDRESS($T$4+T5,COLUMN(V$2)))</f>
        <v>0</v>
      </c>
      <c r="W4" s="206">
        <f ca="1">INDIRECT(ADDRESS($T$4+T5,COLUMN(W$2)))</f>
        <v>0</v>
      </c>
      <c r="X4" s="204">
        <v>0</v>
      </c>
      <c r="Y4" s="205">
        <f ca="1">INDIRECT(ADDRESS($X$4+X5,COLUMN(Y$2)))</f>
        <v>0</v>
      </c>
      <c r="Z4" s="21">
        <f ca="1">INDIRECT(ADDRESS($X$4+X5,COLUMN(Z$2)))</f>
        <v>0</v>
      </c>
      <c r="AA4" s="206">
        <f ca="1">INDIRECT(ADDRESS($X$4+X5,COLUMN(AA$2)))</f>
        <v>0</v>
      </c>
      <c r="AB4" s="204">
        <v>1</v>
      </c>
      <c r="AC4" s="205" t="str">
        <f ca="1">INDIRECT(ADDRESS($AB$4+AB5,COLUMN(AC$2)))</f>
        <v>Yes</v>
      </c>
      <c r="AD4" s="21">
        <f ca="1">INDIRECT(ADDRESS($AB$4+AB5,COLUMN(AD$2)))</f>
        <v>1</v>
      </c>
      <c r="AE4" s="206"/>
      <c r="AF4" s="204">
        <v>1</v>
      </c>
      <c r="AG4" s="205">
        <f ca="1">INDIRECT(ADDRESS($AF$4+AF5,COLUMN(AG$2)))</f>
        <v>0</v>
      </c>
      <c r="AH4" s="21"/>
      <c r="AI4" s="206"/>
      <c r="AJ4" s="204">
        <v>2</v>
      </c>
      <c r="AK4" s="205">
        <f ca="1">INDIRECT(ADDRESS($AJ$4+AJ5,COLUMN(AK$2)))</f>
        <v>10</v>
      </c>
      <c r="AL4" s="21"/>
      <c r="AM4" s="206"/>
    </row>
    <row r="5" spans="2:39" ht="15">
      <c r="B5" s="210"/>
      <c r="C5" s="23"/>
      <c r="D5" s="211"/>
      <c r="E5" s="210"/>
      <c r="F5" s="23"/>
      <c r="G5" s="24"/>
      <c r="H5" s="210">
        <v>5</v>
      </c>
      <c r="I5" s="23"/>
      <c r="J5" s="24"/>
      <c r="K5" s="211"/>
      <c r="L5" s="210">
        <v>5</v>
      </c>
      <c r="M5" s="23"/>
      <c r="N5" s="24"/>
      <c r="O5" s="211"/>
      <c r="P5" s="210">
        <v>5</v>
      </c>
      <c r="Q5" s="23"/>
      <c r="R5" s="24"/>
      <c r="S5" s="211"/>
      <c r="T5" s="210">
        <v>5</v>
      </c>
      <c r="U5" s="23"/>
      <c r="V5" s="24"/>
      <c r="W5" s="211"/>
      <c r="X5" s="210">
        <v>5</v>
      </c>
      <c r="Y5" s="23"/>
      <c r="Z5" s="212"/>
      <c r="AA5" s="213"/>
      <c r="AB5" s="210">
        <v>5</v>
      </c>
      <c r="AC5" s="23"/>
      <c r="AD5" s="212"/>
      <c r="AE5" s="213"/>
      <c r="AF5" s="210">
        <v>5</v>
      </c>
      <c r="AG5" s="23"/>
      <c r="AH5" s="212"/>
      <c r="AI5" s="213"/>
      <c r="AJ5" s="210">
        <v>5</v>
      </c>
      <c r="AK5" s="23"/>
      <c r="AL5" s="212"/>
      <c r="AM5" s="213"/>
    </row>
    <row r="6" spans="2:39">
      <c r="B6" s="214"/>
      <c r="C6" s="215"/>
      <c r="D6" s="216"/>
      <c r="E6" s="214"/>
      <c r="F6" s="215"/>
      <c r="G6" s="215"/>
      <c r="H6" s="214"/>
      <c r="I6" s="215" t="s">
        <v>148</v>
      </c>
      <c r="J6" s="215">
        <v>10.3</v>
      </c>
      <c r="K6" s="216">
        <v>3.4119999999999999</v>
      </c>
      <c r="L6" s="214"/>
      <c r="M6" s="215" t="s">
        <v>1892</v>
      </c>
      <c r="N6" s="215">
        <f>100*1.024</f>
        <v>102.4</v>
      </c>
      <c r="O6" s="216">
        <v>100</v>
      </c>
      <c r="P6" s="214"/>
      <c r="Q6" s="215" t="s">
        <v>1893</v>
      </c>
      <c r="R6" s="215">
        <v>138.6</v>
      </c>
      <c r="S6" s="216">
        <v>138.6</v>
      </c>
      <c r="T6" s="214"/>
      <c r="U6" s="215" t="s">
        <v>1894</v>
      </c>
      <c r="V6" s="215">
        <f>10.78*1.38</f>
        <v>14.876399999999999</v>
      </c>
      <c r="W6" s="216">
        <v>10.78</v>
      </c>
      <c r="X6" s="214"/>
      <c r="Y6" s="215" t="s">
        <v>1895</v>
      </c>
      <c r="Z6" s="217">
        <v>12000</v>
      </c>
      <c r="AA6" s="218">
        <v>12000</v>
      </c>
      <c r="AB6" s="214"/>
      <c r="AC6" s="215" t="s">
        <v>1493</v>
      </c>
      <c r="AD6" s="217">
        <v>1</v>
      </c>
      <c r="AE6" s="218"/>
      <c r="AF6" s="214"/>
      <c r="AG6" s="215">
        <v>0</v>
      </c>
      <c r="AH6" s="217"/>
      <c r="AI6" s="218"/>
      <c r="AJ6" s="214"/>
      <c r="AK6" s="215">
        <v>9</v>
      </c>
      <c r="AL6" s="217"/>
      <c r="AM6" s="218"/>
    </row>
    <row r="7" spans="2:39">
      <c r="B7" s="219"/>
      <c r="C7" s="220"/>
      <c r="D7" s="221"/>
      <c r="E7" s="219"/>
      <c r="F7" s="220"/>
      <c r="G7" s="220"/>
      <c r="H7" s="219"/>
      <c r="I7" s="220" t="s">
        <v>1896</v>
      </c>
      <c r="J7" s="222">
        <f>+J6/K6</f>
        <v>3.0187573270808912</v>
      </c>
      <c r="K7" s="221">
        <v>1</v>
      </c>
      <c r="L7" s="219"/>
      <c r="M7" s="220" t="s">
        <v>1896</v>
      </c>
      <c r="N7" s="223">
        <v>1.024</v>
      </c>
      <c r="O7" s="221">
        <v>1</v>
      </c>
      <c r="P7" s="219"/>
      <c r="Q7" s="220" t="s">
        <v>1896</v>
      </c>
      <c r="R7" s="224">
        <v>1</v>
      </c>
      <c r="S7" s="221">
        <v>1</v>
      </c>
      <c r="T7" s="219"/>
      <c r="U7" s="220" t="s">
        <v>1896</v>
      </c>
      <c r="V7" s="222">
        <v>1.38</v>
      </c>
      <c r="W7" s="221">
        <v>1</v>
      </c>
      <c r="X7" s="219"/>
      <c r="Y7" s="220" t="s">
        <v>1896</v>
      </c>
      <c r="Z7" s="224">
        <v>1</v>
      </c>
      <c r="AA7" s="225">
        <v>1</v>
      </c>
      <c r="AB7" s="219"/>
      <c r="AC7" s="220" t="s">
        <v>1494</v>
      </c>
      <c r="AD7" s="224">
        <v>0</v>
      </c>
      <c r="AE7" s="225"/>
      <c r="AF7" s="219"/>
      <c r="AG7" s="220">
        <v>10</v>
      </c>
      <c r="AH7" s="224"/>
      <c r="AI7" s="225"/>
      <c r="AJ7" s="219"/>
      <c r="AK7" s="220">
        <v>10</v>
      </c>
      <c r="AL7" s="224"/>
      <c r="AM7" s="225"/>
    </row>
    <row r="8" spans="2:39">
      <c r="AG8" s="226">
        <v>20</v>
      </c>
      <c r="AK8" s="226">
        <v>11</v>
      </c>
    </row>
    <row r="9" spans="2:39">
      <c r="C9" s="227" t="s">
        <v>1897</v>
      </c>
      <c r="D9" s="199">
        <v>131.4</v>
      </c>
      <c r="E9" s="199" t="s">
        <v>1898</v>
      </c>
      <c r="AG9" s="226">
        <v>30</v>
      </c>
      <c r="AK9" s="226">
        <v>12</v>
      </c>
    </row>
    <row r="10" spans="2:39">
      <c r="C10" s="227" t="s">
        <v>1899</v>
      </c>
      <c r="D10" s="199">
        <v>76.3</v>
      </c>
      <c r="E10" s="199" t="s">
        <v>1898</v>
      </c>
      <c r="AG10" s="226">
        <v>40</v>
      </c>
    </row>
    <row r="11" spans="2:39">
      <c r="AG11" s="226">
        <v>50</v>
      </c>
    </row>
    <row r="12" spans="2:39">
      <c r="J12" s="226" t="s">
        <v>1485</v>
      </c>
      <c r="K12" s="226" t="s">
        <v>2197</v>
      </c>
      <c r="L12" s="226" t="s">
        <v>1488</v>
      </c>
      <c r="M12" s="226" t="s">
        <v>2198</v>
      </c>
      <c r="N12" s="226" t="s">
        <v>2199</v>
      </c>
      <c r="O12" s="226" t="s">
        <v>1266</v>
      </c>
      <c r="AG12" s="226">
        <v>60</v>
      </c>
    </row>
    <row r="13" spans="2:39">
      <c r="J13" s="226" t="s">
        <v>2202</v>
      </c>
      <c r="K13" s="226" t="s">
        <v>2202</v>
      </c>
      <c r="L13" s="226" t="s">
        <v>2202</v>
      </c>
      <c r="M13" s="226" t="s">
        <v>2202</v>
      </c>
      <c r="N13" s="226" t="s">
        <v>2202</v>
      </c>
      <c r="O13" s="226" t="s">
        <v>2202</v>
      </c>
      <c r="AG13" s="226">
        <v>70</v>
      </c>
    </row>
    <row r="14" spans="2:39">
      <c r="C14" s="227"/>
      <c r="D14" s="226"/>
      <c r="F14" s="227"/>
      <c r="G14" s="228"/>
      <c r="I14" s="227" t="s">
        <v>1889</v>
      </c>
      <c r="J14" s="229">
        <f ca="1">+'RECS - Proposed'!C32*'Side Calcs - Proposed'!J4</f>
        <v>0</v>
      </c>
      <c r="K14" s="229">
        <f ca="1">+'RECS - Proposed'!D32*'Side Calcs - Proposed'!N4</f>
        <v>0</v>
      </c>
      <c r="L14" s="229">
        <f ca="1">+'RECS - Proposed'!E32*'Side Calcs - Proposed'!R4</f>
        <v>0</v>
      </c>
      <c r="M14" s="229">
        <f ca="1">+'RECS - Proposed'!F32*'Side Calcs - Proposed'!V4</f>
        <v>0</v>
      </c>
      <c r="N14" s="229">
        <f ca="1">+'RECS - Proposed'!G32*'Side Calcs - Proposed'!Z4</f>
        <v>0</v>
      </c>
      <c r="O14" s="229">
        <f ca="1">SUM(J14:N14)</f>
        <v>0</v>
      </c>
      <c r="AG14" s="226">
        <v>80</v>
      </c>
    </row>
    <row r="15" spans="2:39">
      <c r="C15" s="227"/>
      <c r="D15" s="226"/>
      <c r="F15" s="227"/>
      <c r="G15" s="230"/>
      <c r="I15" s="227" t="s">
        <v>1890</v>
      </c>
      <c r="J15" s="229">
        <f ca="1">+'RECS - Proposed'!C32*'Side Calcs - Proposed'!K4</f>
        <v>0</v>
      </c>
      <c r="K15" s="229">
        <f ca="1">+'RECS - Proposed'!D32*'Side Calcs - Proposed'!O4</f>
        <v>0</v>
      </c>
      <c r="L15" s="229">
        <f ca="1">+'RECS - Proposed'!E32*'Side Calcs - Proposed'!S4</f>
        <v>0</v>
      </c>
      <c r="M15" s="229">
        <f ca="1">+'RECS - Proposed'!F32*'Side Calcs - Proposed'!W4</f>
        <v>0</v>
      </c>
      <c r="N15" s="229">
        <f ca="1">+'RECS - Proposed'!G32*'Side Calcs - Proposed'!AA4</f>
        <v>0</v>
      </c>
      <c r="O15" s="229">
        <f ca="1">SUM(J15:N15)</f>
        <v>0</v>
      </c>
      <c r="AG15" s="226">
        <v>90</v>
      </c>
    </row>
    <row r="16" spans="2:39">
      <c r="C16" s="227"/>
      <c r="D16" s="226"/>
      <c r="I16" s="227" t="s">
        <v>1900</v>
      </c>
      <c r="J16" s="231" t="e">
        <f ca="1">+J14/$O$14</f>
        <v>#DIV/0!</v>
      </c>
      <c r="K16" s="231" t="e">
        <f ca="1">+K14/$O$14</f>
        <v>#DIV/0!</v>
      </c>
      <c r="L16" s="230" t="e">
        <f ca="1">+L14/$O$14</f>
        <v>#DIV/0!</v>
      </c>
      <c r="M16" s="230" t="e">
        <f ca="1">+M14/$O$14</f>
        <v>#DIV/0!</v>
      </c>
      <c r="N16" s="230" t="e">
        <f ca="1">+N14/$O$14</f>
        <v>#DIV/0!</v>
      </c>
      <c r="AG16" s="226">
        <v>100</v>
      </c>
    </row>
    <row r="18" spans="3:11">
      <c r="C18" s="227"/>
      <c r="I18" s="232" t="s">
        <v>1901</v>
      </c>
      <c r="J18" s="231" t="e">
        <f ca="1">+J15/(J15+K15)</f>
        <v>#DIV/0!</v>
      </c>
      <c r="K18" s="231" t="e">
        <f ca="1">+K15/(J15+K15)</f>
        <v>#DIV/0!</v>
      </c>
    </row>
    <row r="19" spans="3:11">
      <c r="C19" s="227"/>
    </row>
    <row r="20" spans="3:11">
      <c r="C20" s="227"/>
      <c r="D20" s="233"/>
    </row>
    <row r="21" spans="3:11">
      <c r="C21" s="227"/>
      <c r="D21" s="234"/>
    </row>
    <row r="22" spans="3:11">
      <c r="C22" s="227"/>
      <c r="D22" s="234"/>
    </row>
    <row r="26" spans="3:11">
      <c r="C26" s="227"/>
      <c r="D26" s="230"/>
    </row>
    <row r="27" spans="3:11">
      <c r="C27" s="227"/>
      <c r="D27" s="230"/>
    </row>
    <row r="28" spans="3:11">
      <c r="C28" s="227"/>
      <c r="D28" s="226"/>
    </row>
    <row r="29" spans="3:11">
      <c r="C29" s="227"/>
      <c r="D29" s="235"/>
    </row>
    <row r="30" spans="3:11">
      <c r="C30" s="227"/>
      <c r="D30" s="235"/>
    </row>
    <row r="31" spans="3:11">
      <c r="C31" s="227"/>
      <c r="D31" s="235"/>
    </row>
  </sheetData>
  <mergeCells count="10">
    <mergeCell ref="B2:D2"/>
    <mergeCell ref="P2:S2"/>
    <mergeCell ref="H2:K2"/>
    <mergeCell ref="L2:O2"/>
    <mergeCell ref="E2:G2"/>
    <mergeCell ref="AF2:AI2"/>
    <mergeCell ref="AJ2:AM2"/>
    <mergeCell ref="T2:W2"/>
    <mergeCell ref="X2:AA2"/>
    <mergeCell ref="AB2:AE2"/>
  </mergeCells>
  <phoneticPr fontId="0"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sheetPr codeName="Sheet6"/>
  <dimension ref="A1:AF17"/>
  <sheetViews>
    <sheetView topLeftCell="U1" workbookViewId="0">
      <selection activeCell="AD8" sqref="AD8"/>
    </sheetView>
  </sheetViews>
  <sheetFormatPr defaultRowHeight="12.75"/>
  <cols>
    <col min="1" max="1" width="19.42578125" bestFit="1" customWidth="1"/>
    <col min="2" max="2" width="15.140625" bestFit="1" customWidth="1"/>
    <col min="4" max="4" width="20" bestFit="1" customWidth="1"/>
    <col min="6" max="6" width="43.42578125" bestFit="1" customWidth="1"/>
    <col min="7" max="7" width="12.5703125" bestFit="1" customWidth="1"/>
    <col min="8" max="8" width="15.7109375" bestFit="1" customWidth="1"/>
    <col min="9" max="9" width="12.5703125" bestFit="1" customWidth="1"/>
    <col min="10" max="10" width="17.42578125" bestFit="1" customWidth="1"/>
    <col min="11" max="11" width="8.42578125" bestFit="1" customWidth="1"/>
    <col min="12" max="12" width="14.85546875" bestFit="1" customWidth="1"/>
    <col min="13" max="13" width="13.7109375" bestFit="1" customWidth="1"/>
    <col min="14" max="14" width="13.42578125" bestFit="1" customWidth="1"/>
    <col min="15" max="15" width="16.42578125" bestFit="1" customWidth="1"/>
    <col min="16" max="16" width="13.85546875" bestFit="1" customWidth="1"/>
    <col min="17" max="17" width="18.7109375" bestFit="1" customWidth="1"/>
    <col min="19" max="19" width="14.140625" customWidth="1"/>
    <col min="20" max="20" width="12" customWidth="1"/>
    <col min="21" max="21" width="29.140625" bestFit="1" customWidth="1"/>
    <col min="23" max="23" width="27.42578125" bestFit="1" customWidth="1"/>
    <col min="24" max="24" width="8.42578125" bestFit="1" customWidth="1"/>
    <col min="25" max="25" width="11.140625" bestFit="1" customWidth="1"/>
    <col min="26" max="26" width="12.5703125" bestFit="1" customWidth="1"/>
    <col min="27" max="27" width="13.85546875" bestFit="1" customWidth="1"/>
    <col min="28" max="28" width="11.7109375" bestFit="1" customWidth="1"/>
    <col min="29" max="29" width="12.28515625" bestFit="1" customWidth="1"/>
    <col min="30" max="30" width="13.140625" bestFit="1" customWidth="1"/>
  </cols>
  <sheetData>
    <row r="1" spans="1:32">
      <c r="A1" t="s">
        <v>1272</v>
      </c>
      <c r="B1" t="s">
        <v>2675</v>
      </c>
      <c r="C1" t="s">
        <v>2676</v>
      </c>
      <c r="D1" s="9" t="s">
        <v>2686</v>
      </c>
      <c r="E1" s="14" t="s">
        <v>2688</v>
      </c>
      <c r="F1" s="9" t="s">
        <v>2694</v>
      </c>
      <c r="G1" s="9" t="s">
        <v>2711</v>
      </c>
      <c r="H1" s="9" t="s">
        <v>2716</v>
      </c>
      <c r="I1" s="9" t="s">
        <v>1057</v>
      </c>
      <c r="J1" s="9" t="s">
        <v>2721</v>
      </c>
      <c r="K1" s="9" t="s">
        <v>528</v>
      </c>
      <c r="L1" s="9" t="s">
        <v>2831</v>
      </c>
      <c r="M1" s="9" t="s">
        <v>2841</v>
      </c>
      <c r="N1" s="9" t="s">
        <v>2843</v>
      </c>
      <c r="O1" s="9" t="s">
        <v>2804</v>
      </c>
      <c r="P1" s="9" t="s">
        <v>2854</v>
      </c>
      <c r="Q1" s="9" t="s">
        <v>2897</v>
      </c>
      <c r="S1" s="419" t="s">
        <v>2807</v>
      </c>
      <c r="T1" s="4" t="s">
        <v>2563</v>
      </c>
      <c r="U1" s="4" t="s">
        <v>2906</v>
      </c>
      <c r="V1" s="4"/>
      <c r="W1" s="4" t="s">
        <v>2907</v>
      </c>
      <c r="X1" s="4" t="s">
        <v>2908</v>
      </c>
      <c r="Y1" s="4" t="s">
        <v>2909</v>
      </c>
      <c r="Z1" s="4" t="s">
        <v>2910</v>
      </c>
      <c r="AA1" s="459" t="s">
        <v>2952</v>
      </c>
      <c r="AB1" s="459" t="s">
        <v>2954</v>
      </c>
      <c r="AC1" s="257" t="s">
        <v>1057</v>
      </c>
      <c r="AD1" s="257" t="s">
        <v>2988</v>
      </c>
      <c r="AE1" s="475" t="s">
        <v>2990</v>
      </c>
    </row>
    <row r="2" spans="1:32" ht="15">
      <c r="A2" s="14" t="s">
        <v>2677</v>
      </c>
      <c r="B2" s="14" t="s">
        <v>2677</v>
      </c>
      <c r="C2" s="14" t="s">
        <v>2677</v>
      </c>
      <c r="D2" s="14" t="s">
        <v>2674</v>
      </c>
      <c r="E2" s="70">
        <v>0</v>
      </c>
      <c r="F2" s="383" t="s">
        <v>2695</v>
      </c>
      <c r="G2" s="383" t="s">
        <v>2674</v>
      </c>
      <c r="H2" s="383" t="s">
        <v>2674</v>
      </c>
      <c r="I2" s="383" t="s">
        <v>2674</v>
      </c>
      <c r="J2" s="383" t="s">
        <v>2674</v>
      </c>
      <c r="L2" s="383" t="s">
        <v>2674</v>
      </c>
      <c r="M2" s="383" t="s">
        <v>2674</v>
      </c>
      <c r="N2" s="383" t="s">
        <v>2674</v>
      </c>
      <c r="O2" s="405" t="s">
        <v>2674</v>
      </c>
      <c r="P2" s="383" t="s">
        <v>2674</v>
      </c>
      <c r="Q2" s="419" t="s">
        <v>2674</v>
      </c>
      <c r="S2">
        <v>1</v>
      </c>
      <c r="T2" s="4" t="s">
        <v>2905</v>
      </c>
      <c r="U2" s="257" t="s">
        <v>980</v>
      </c>
      <c r="V2" s="4"/>
      <c r="W2" s="257" t="s">
        <v>1271</v>
      </c>
      <c r="X2" s="257">
        <v>1.3</v>
      </c>
      <c r="Y2" s="4">
        <v>30</v>
      </c>
      <c r="Z2" s="4" t="s">
        <v>2674</v>
      </c>
      <c r="AA2" s="257" t="s">
        <v>2953</v>
      </c>
      <c r="AB2" s="257">
        <v>1</v>
      </c>
      <c r="AC2" s="419" t="s">
        <v>2677</v>
      </c>
      <c r="AD2" s="9" t="s">
        <v>2984</v>
      </c>
      <c r="AE2" s="419" t="s">
        <v>2947</v>
      </c>
      <c r="AF2" s="419">
        <v>2</v>
      </c>
    </row>
    <row r="3" spans="1:32" ht="15">
      <c r="A3" s="70" t="s">
        <v>2194</v>
      </c>
      <c r="B3" s="70" t="s">
        <v>32</v>
      </c>
      <c r="C3" s="70" t="s">
        <v>1493</v>
      </c>
      <c r="D3" s="70" t="s">
        <v>2311</v>
      </c>
      <c r="E3" s="70">
        <v>1</v>
      </c>
      <c r="F3" s="14" t="s">
        <v>2697</v>
      </c>
      <c r="G3" s="383" t="s">
        <v>2712</v>
      </c>
      <c r="H3" s="383" t="s">
        <v>2714</v>
      </c>
      <c r="I3" s="14" t="s">
        <v>2886</v>
      </c>
      <c r="J3" s="383" t="s">
        <v>2722</v>
      </c>
      <c r="K3" s="402" t="s">
        <v>2753</v>
      </c>
      <c r="L3" s="383" t="s">
        <v>2833</v>
      </c>
      <c r="M3" s="383" t="s">
        <v>2837</v>
      </c>
      <c r="N3" s="383" t="s">
        <v>2694</v>
      </c>
      <c r="O3" s="405" t="s">
        <v>2839</v>
      </c>
      <c r="P3" s="383" t="s">
        <v>2855</v>
      </c>
      <c r="Q3" s="9" t="s">
        <v>2614</v>
      </c>
      <c r="R3">
        <v>1.2</v>
      </c>
      <c r="S3">
        <v>2</v>
      </c>
      <c r="T3" s="4" t="s">
        <v>1273</v>
      </c>
      <c r="U3" s="257" t="s">
        <v>981</v>
      </c>
      <c r="V3" s="4"/>
      <c r="W3" s="257" t="s">
        <v>985</v>
      </c>
      <c r="X3" s="257">
        <v>0.5</v>
      </c>
      <c r="Y3" s="4">
        <v>10</v>
      </c>
      <c r="Z3" s="4" t="s">
        <v>1493</v>
      </c>
      <c r="AA3" s="257" t="s">
        <v>2947</v>
      </c>
      <c r="AB3" s="257">
        <v>2</v>
      </c>
      <c r="AC3" s="9" t="s">
        <v>2960</v>
      </c>
      <c r="AD3" s="9" t="s">
        <v>2985</v>
      </c>
      <c r="AE3" s="419" t="s">
        <v>2948</v>
      </c>
      <c r="AF3" s="419">
        <v>5</v>
      </c>
    </row>
    <row r="4" spans="1:32" ht="15">
      <c r="A4" s="70" t="s">
        <v>2195</v>
      </c>
      <c r="B4" s="70" t="s">
        <v>34</v>
      </c>
      <c r="C4" s="70" t="s">
        <v>1494</v>
      </c>
      <c r="D4" s="383" t="s">
        <v>2687</v>
      </c>
      <c r="E4" s="70">
        <v>2</v>
      </c>
      <c r="F4" s="14" t="s">
        <v>2696</v>
      </c>
      <c r="G4" s="14" t="s">
        <v>2713</v>
      </c>
      <c r="H4" s="14" t="s">
        <v>2715</v>
      </c>
      <c r="I4" s="14" t="s">
        <v>2887</v>
      </c>
      <c r="J4" s="14" t="s">
        <v>2723</v>
      </c>
      <c r="K4" s="402" t="s">
        <v>2746</v>
      </c>
      <c r="L4" s="383" t="s">
        <v>2605</v>
      </c>
      <c r="M4" s="383" t="s">
        <v>2838</v>
      </c>
      <c r="N4" s="383" t="s">
        <v>2844</v>
      </c>
      <c r="O4" s="405" t="s">
        <v>2847</v>
      </c>
      <c r="P4" s="383" t="s">
        <v>2856</v>
      </c>
      <c r="Q4" s="9" t="s">
        <v>2615</v>
      </c>
      <c r="R4">
        <v>2.2999999999999998</v>
      </c>
      <c r="S4">
        <v>3</v>
      </c>
      <c r="T4" s="4"/>
      <c r="U4" s="257" t="s">
        <v>982</v>
      </c>
      <c r="V4" s="4"/>
      <c r="W4" s="257" t="s">
        <v>983</v>
      </c>
      <c r="X4" s="257">
        <v>2.1</v>
      </c>
      <c r="Y4" s="4">
        <v>23</v>
      </c>
      <c r="Z4" s="4" t="s">
        <v>1494</v>
      </c>
      <c r="AA4" s="475" t="s">
        <v>4259</v>
      </c>
      <c r="AB4" s="257">
        <v>3</v>
      </c>
      <c r="AC4" s="9" t="s">
        <v>2961</v>
      </c>
      <c r="AD4" s="9" t="s">
        <v>2986</v>
      </c>
      <c r="AE4" s="419" t="s">
        <v>2989</v>
      </c>
      <c r="AF4" s="419">
        <v>7</v>
      </c>
    </row>
    <row r="5" spans="1:32" ht="15">
      <c r="A5" s="70" t="s">
        <v>2196</v>
      </c>
      <c r="B5" s="70" t="s">
        <v>35</v>
      </c>
      <c r="C5" s="70"/>
      <c r="E5" s="70">
        <v>3</v>
      </c>
      <c r="I5" s="14" t="s">
        <v>2888</v>
      </c>
      <c r="K5" s="402" t="s">
        <v>2747</v>
      </c>
      <c r="L5" s="383" t="s">
        <v>2832</v>
      </c>
      <c r="M5" s="383" t="s">
        <v>2839</v>
      </c>
      <c r="N5" s="383" t="s">
        <v>2845</v>
      </c>
      <c r="O5" s="405" t="s">
        <v>2848</v>
      </c>
      <c r="P5" s="383" t="s">
        <v>2857</v>
      </c>
      <c r="Q5" s="9" t="s">
        <v>2612</v>
      </c>
      <c r="R5">
        <v>2.2999999999999998</v>
      </c>
      <c r="S5">
        <v>4</v>
      </c>
      <c r="T5" s="4"/>
      <c r="U5" s="257" t="s">
        <v>983</v>
      </c>
      <c r="V5" s="4"/>
      <c r="W5" s="257" t="s">
        <v>988</v>
      </c>
      <c r="X5" s="257">
        <v>1.5</v>
      </c>
      <c r="Y5" s="4">
        <v>30</v>
      </c>
      <c r="Z5" s="4"/>
      <c r="AA5" s="257" t="s">
        <v>2951</v>
      </c>
      <c r="AB5" s="257">
        <v>4</v>
      </c>
      <c r="AC5" s="9" t="s">
        <v>2887</v>
      </c>
      <c r="AD5" s="1844" t="s">
        <v>2987</v>
      </c>
      <c r="AE5" s="419" t="s">
        <v>1273</v>
      </c>
      <c r="AF5" s="419">
        <v>6</v>
      </c>
    </row>
    <row r="6" spans="1:32" ht="15">
      <c r="B6" s="70" t="s">
        <v>33</v>
      </c>
      <c r="E6" s="70">
        <v>4</v>
      </c>
      <c r="I6" s="14" t="s">
        <v>2889</v>
      </c>
      <c r="K6" s="402" t="s">
        <v>2748</v>
      </c>
      <c r="L6" s="14" t="s">
        <v>2831</v>
      </c>
      <c r="M6" s="383" t="s">
        <v>2840</v>
      </c>
      <c r="O6" s="405" t="s">
        <v>2849</v>
      </c>
      <c r="P6" s="383" t="s">
        <v>2858</v>
      </c>
      <c r="Q6" s="9" t="s">
        <v>2613</v>
      </c>
      <c r="R6" s="9" t="s">
        <v>215</v>
      </c>
      <c r="S6">
        <v>5</v>
      </c>
      <c r="T6" s="4"/>
      <c r="U6" s="257" t="s">
        <v>984</v>
      </c>
      <c r="V6" s="4"/>
      <c r="W6" s="257" t="s">
        <v>2235</v>
      </c>
      <c r="X6" s="257" t="s">
        <v>2604</v>
      </c>
      <c r="Y6" s="257" t="s">
        <v>215</v>
      </c>
      <c r="Z6" s="4"/>
      <c r="AA6" s="459" t="s">
        <v>2948</v>
      </c>
      <c r="AB6" s="459">
        <v>5</v>
      </c>
      <c r="AC6" s="9" t="s">
        <v>2888</v>
      </c>
      <c r="AD6" s="1844" t="s">
        <v>4595</v>
      </c>
    </row>
    <row r="7" spans="1:32" ht="15">
      <c r="E7" s="70">
        <v>5</v>
      </c>
      <c r="I7" s="14" t="s">
        <v>2890</v>
      </c>
      <c r="K7" s="402" t="s">
        <v>2749</v>
      </c>
      <c r="O7" s="405" t="s">
        <v>2850</v>
      </c>
      <c r="P7" s="383" t="s">
        <v>2677</v>
      </c>
      <c r="S7">
        <v>6</v>
      </c>
      <c r="T7" s="4"/>
      <c r="U7" s="257" t="s">
        <v>985</v>
      </c>
      <c r="V7" s="4"/>
      <c r="W7" s="257"/>
      <c r="X7" s="257"/>
      <c r="Y7" s="4"/>
      <c r="Z7" s="4"/>
      <c r="AA7" s="459" t="s">
        <v>2950</v>
      </c>
      <c r="AB7" s="459">
        <v>6</v>
      </c>
      <c r="AC7" s="459" t="s">
        <v>2889</v>
      </c>
      <c r="AD7" s="1844" t="s">
        <v>4596</v>
      </c>
    </row>
    <row r="8" spans="1:32" ht="15">
      <c r="E8" s="70">
        <v>6</v>
      </c>
      <c r="I8" s="14"/>
      <c r="K8" s="402" t="s">
        <v>2750</v>
      </c>
      <c r="O8" s="405" t="s">
        <v>2851</v>
      </c>
      <c r="S8">
        <v>7</v>
      </c>
      <c r="T8" s="4"/>
      <c r="U8" s="257" t="s">
        <v>986</v>
      </c>
      <c r="V8" s="4"/>
      <c r="W8" s="257" t="s">
        <v>982</v>
      </c>
      <c r="X8" s="257">
        <v>1.2</v>
      </c>
      <c r="Y8" s="4">
        <v>40</v>
      </c>
      <c r="Z8" s="4"/>
      <c r="AA8" s="4"/>
    </row>
    <row r="9" spans="1:32" ht="25.5">
      <c r="K9" s="402" t="s">
        <v>2751</v>
      </c>
      <c r="S9">
        <v>8</v>
      </c>
      <c r="T9" s="4"/>
      <c r="U9" s="257" t="s">
        <v>987</v>
      </c>
      <c r="V9" s="4"/>
      <c r="W9" s="257" t="s">
        <v>984</v>
      </c>
      <c r="X9" s="257">
        <v>1.3</v>
      </c>
      <c r="Y9" s="4">
        <v>16</v>
      </c>
      <c r="Z9" s="4"/>
      <c r="AA9" s="4"/>
    </row>
    <row r="10" spans="1:32">
      <c r="K10" s="402" t="s">
        <v>2752</v>
      </c>
      <c r="T10" s="4"/>
      <c r="U10" s="257" t="s">
        <v>1207</v>
      </c>
      <c r="V10" s="4"/>
      <c r="W10" s="257" t="s">
        <v>1207</v>
      </c>
      <c r="X10" s="257">
        <v>1.1000000000000001</v>
      </c>
      <c r="Y10" s="4">
        <v>35</v>
      </c>
      <c r="Z10" s="4"/>
      <c r="AA10" s="4"/>
    </row>
    <row r="11" spans="1:32">
      <c r="T11" s="4"/>
      <c r="U11" s="257" t="s">
        <v>1271</v>
      </c>
      <c r="V11" s="4"/>
      <c r="W11" s="257" t="s">
        <v>990</v>
      </c>
      <c r="X11" s="257">
        <v>0.2</v>
      </c>
      <c r="Y11" s="4">
        <v>7</v>
      </c>
      <c r="Z11" s="4"/>
      <c r="AA11" s="4"/>
    </row>
    <row r="12" spans="1:32">
      <c r="T12" s="4"/>
      <c r="U12" s="257" t="s">
        <v>988</v>
      </c>
      <c r="V12" s="4"/>
      <c r="W12" s="257" t="s">
        <v>987</v>
      </c>
      <c r="X12" s="257">
        <v>0.9</v>
      </c>
      <c r="Y12" s="4">
        <v>12</v>
      </c>
      <c r="Z12" s="4"/>
      <c r="AA12" s="4"/>
    </row>
    <row r="13" spans="1:32">
      <c r="T13" s="4"/>
      <c r="U13" s="257" t="s">
        <v>989</v>
      </c>
      <c r="V13" s="4"/>
      <c r="W13" s="257" t="s">
        <v>986</v>
      </c>
      <c r="X13" s="257">
        <v>0.6</v>
      </c>
      <c r="Y13" s="4">
        <v>15</v>
      </c>
      <c r="Z13" s="4"/>
      <c r="AA13" s="4"/>
    </row>
    <row r="14" spans="1:32">
      <c r="K14" s="402"/>
      <c r="T14" s="4"/>
      <c r="U14" s="257" t="s">
        <v>1065</v>
      </c>
      <c r="V14" s="4"/>
      <c r="W14" s="257" t="s">
        <v>980</v>
      </c>
      <c r="X14" s="257">
        <v>0.8</v>
      </c>
      <c r="Y14" s="4">
        <v>20</v>
      </c>
      <c r="Z14" s="4"/>
      <c r="AA14" s="4"/>
    </row>
    <row r="15" spans="1:32">
      <c r="T15" s="4"/>
      <c r="U15" s="257" t="s">
        <v>2235</v>
      </c>
      <c r="V15" s="4"/>
      <c r="W15" s="257" t="s">
        <v>981</v>
      </c>
      <c r="X15" s="257">
        <v>0.3</v>
      </c>
      <c r="Y15" s="4">
        <v>8</v>
      </c>
      <c r="Z15" s="4"/>
      <c r="AA15" s="4"/>
    </row>
    <row r="16" spans="1:32">
      <c r="T16" s="4"/>
      <c r="U16" s="257"/>
      <c r="V16" s="4"/>
      <c r="W16" s="257" t="s">
        <v>989</v>
      </c>
      <c r="X16" s="257">
        <v>1.9</v>
      </c>
      <c r="Y16" s="4">
        <v>50</v>
      </c>
      <c r="Z16" s="4"/>
      <c r="AA16" s="4"/>
    </row>
    <row r="17" spans="20:27">
      <c r="T17" s="4"/>
      <c r="U17" s="4"/>
      <c r="V17" s="4"/>
      <c r="W17" s="4"/>
      <c r="X17" s="4"/>
      <c r="Y17" s="4"/>
      <c r="Z17" s="4"/>
      <c r="AA17" s="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Sheet7">
    <tabColor rgb="FFFFFFCC"/>
    <pageSetUpPr fitToPage="1"/>
  </sheetPr>
  <dimension ref="B1:C26"/>
  <sheetViews>
    <sheetView showGridLines="0" tabSelected="1" workbookViewId="0">
      <selection activeCell="B1" sqref="B1"/>
    </sheetView>
  </sheetViews>
  <sheetFormatPr defaultRowHeight="12"/>
  <cols>
    <col min="1" max="1" width="2.42578125" style="482" customWidth="1"/>
    <col min="2" max="2" width="9.140625" style="482"/>
    <col min="3" max="3" width="112.85546875" style="482" customWidth="1"/>
    <col min="4" max="258" width="9.140625" style="482"/>
    <col min="259" max="259" width="112.7109375" style="482" customWidth="1"/>
    <col min="260" max="514" width="9.140625" style="482"/>
    <col min="515" max="515" width="112.7109375" style="482" customWidth="1"/>
    <col min="516" max="770" width="9.140625" style="482"/>
    <col min="771" max="771" width="112.7109375" style="482" customWidth="1"/>
    <col min="772" max="1026" width="9.140625" style="482"/>
    <col min="1027" max="1027" width="112.7109375" style="482" customWidth="1"/>
    <col min="1028" max="1282" width="9.140625" style="482"/>
    <col min="1283" max="1283" width="112.7109375" style="482" customWidth="1"/>
    <col min="1284" max="1538" width="9.140625" style="482"/>
    <col min="1539" max="1539" width="112.7109375" style="482" customWidth="1"/>
    <col min="1540" max="1794" width="9.140625" style="482"/>
    <col min="1795" max="1795" width="112.7109375" style="482" customWidth="1"/>
    <col min="1796" max="2050" width="9.140625" style="482"/>
    <col min="2051" max="2051" width="112.7109375" style="482" customWidth="1"/>
    <col min="2052" max="2306" width="9.140625" style="482"/>
    <col min="2307" max="2307" width="112.7109375" style="482" customWidth="1"/>
    <col min="2308" max="2562" width="9.140625" style="482"/>
    <col min="2563" max="2563" width="112.7109375" style="482" customWidth="1"/>
    <col min="2564" max="2818" width="9.140625" style="482"/>
    <col min="2819" max="2819" width="112.7109375" style="482" customWidth="1"/>
    <col min="2820" max="3074" width="9.140625" style="482"/>
    <col min="3075" max="3075" width="112.7109375" style="482" customWidth="1"/>
    <col min="3076" max="3330" width="9.140625" style="482"/>
    <col min="3331" max="3331" width="112.7109375" style="482" customWidth="1"/>
    <col min="3332" max="3586" width="9.140625" style="482"/>
    <col min="3587" max="3587" width="112.7109375" style="482" customWidth="1"/>
    <col min="3588" max="3842" width="9.140625" style="482"/>
    <col min="3843" max="3843" width="112.7109375" style="482" customWidth="1"/>
    <col min="3844" max="4098" width="9.140625" style="482"/>
    <col min="4099" max="4099" width="112.7109375" style="482" customWidth="1"/>
    <col min="4100" max="4354" width="9.140625" style="482"/>
    <col min="4355" max="4355" width="112.7109375" style="482" customWidth="1"/>
    <col min="4356" max="4610" width="9.140625" style="482"/>
    <col min="4611" max="4611" width="112.7109375" style="482" customWidth="1"/>
    <col min="4612" max="4866" width="9.140625" style="482"/>
    <col min="4867" max="4867" width="112.7109375" style="482" customWidth="1"/>
    <col min="4868" max="5122" width="9.140625" style="482"/>
    <col min="5123" max="5123" width="112.7109375" style="482" customWidth="1"/>
    <col min="5124" max="5378" width="9.140625" style="482"/>
    <col min="5379" max="5379" width="112.7109375" style="482" customWidth="1"/>
    <col min="5380" max="5634" width="9.140625" style="482"/>
    <col min="5635" max="5635" width="112.7109375" style="482" customWidth="1"/>
    <col min="5636" max="5890" width="9.140625" style="482"/>
    <col min="5891" max="5891" width="112.7109375" style="482" customWidth="1"/>
    <col min="5892" max="6146" width="9.140625" style="482"/>
    <col min="6147" max="6147" width="112.7109375" style="482" customWidth="1"/>
    <col min="6148" max="6402" width="9.140625" style="482"/>
    <col min="6403" max="6403" width="112.7109375" style="482" customWidth="1"/>
    <col min="6404" max="6658" width="9.140625" style="482"/>
    <col min="6659" max="6659" width="112.7109375" style="482" customWidth="1"/>
    <col min="6660" max="6914" width="9.140625" style="482"/>
    <col min="6915" max="6915" width="112.7109375" style="482" customWidth="1"/>
    <col min="6916" max="7170" width="9.140625" style="482"/>
    <col min="7171" max="7171" width="112.7109375" style="482" customWidth="1"/>
    <col min="7172" max="7426" width="9.140625" style="482"/>
    <col min="7427" max="7427" width="112.7109375" style="482" customWidth="1"/>
    <col min="7428" max="7682" width="9.140625" style="482"/>
    <col min="7683" max="7683" width="112.7109375" style="482" customWidth="1"/>
    <col min="7684" max="7938" width="9.140625" style="482"/>
    <col min="7939" max="7939" width="112.7109375" style="482" customWidth="1"/>
    <col min="7940" max="8194" width="9.140625" style="482"/>
    <col min="8195" max="8195" width="112.7109375" style="482" customWidth="1"/>
    <col min="8196" max="8450" width="9.140625" style="482"/>
    <col min="8451" max="8451" width="112.7109375" style="482" customWidth="1"/>
    <col min="8452" max="8706" width="9.140625" style="482"/>
    <col min="8707" max="8707" width="112.7109375" style="482" customWidth="1"/>
    <col min="8708" max="8962" width="9.140625" style="482"/>
    <col min="8963" max="8963" width="112.7109375" style="482" customWidth="1"/>
    <col min="8964" max="9218" width="9.140625" style="482"/>
    <col min="9219" max="9219" width="112.7109375" style="482" customWidth="1"/>
    <col min="9220" max="9474" width="9.140625" style="482"/>
    <col min="9475" max="9475" width="112.7109375" style="482" customWidth="1"/>
    <col min="9476" max="9730" width="9.140625" style="482"/>
    <col min="9731" max="9731" width="112.7109375" style="482" customWidth="1"/>
    <col min="9732" max="9986" width="9.140625" style="482"/>
    <col min="9987" max="9987" width="112.7109375" style="482" customWidth="1"/>
    <col min="9988" max="10242" width="9.140625" style="482"/>
    <col min="10243" max="10243" width="112.7109375" style="482" customWidth="1"/>
    <col min="10244" max="10498" width="9.140625" style="482"/>
    <col min="10499" max="10499" width="112.7109375" style="482" customWidth="1"/>
    <col min="10500" max="10754" width="9.140625" style="482"/>
    <col min="10755" max="10755" width="112.7109375" style="482" customWidth="1"/>
    <col min="10756" max="11010" width="9.140625" style="482"/>
    <col min="11011" max="11011" width="112.7109375" style="482" customWidth="1"/>
    <col min="11012" max="11266" width="9.140625" style="482"/>
    <col min="11267" max="11267" width="112.7109375" style="482" customWidth="1"/>
    <col min="11268" max="11522" width="9.140625" style="482"/>
    <col min="11523" max="11523" width="112.7109375" style="482" customWidth="1"/>
    <col min="11524" max="11778" width="9.140625" style="482"/>
    <col min="11779" max="11779" width="112.7109375" style="482" customWidth="1"/>
    <col min="11780" max="12034" width="9.140625" style="482"/>
    <col min="12035" max="12035" width="112.7109375" style="482" customWidth="1"/>
    <col min="12036" max="12290" width="9.140625" style="482"/>
    <col min="12291" max="12291" width="112.7109375" style="482" customWidth="1"/>
    <col min="12292" max="12546" width="9.140625" style="482"/>
    <col min="12547" max="12547" width="112.7109375" style="482" customWidth="1"/>
    <col min="12548" max="12802" width="9.140625" style="482"/>
    <col min="12803" max="12803" width="112.7109375" style="482" customWidth="1"/>
    <col min="12804" max="13058" width="9.140625" style="482"/>
    <col min="13059" max="13059" width="112.7109375" style="482" customWidth="1"/>
    <col min="13060" max="13314" width="9.140625" style="482"/>
    <col min="13315" max="13315" width="112.7109375" style="482" customWidth="1"/>
    <col min="13316" max="13570" width="9.140625" style="482"/>
    <col min="13571" max="13571" width="112.7109375" style="482" customWidth="1"/>
    <col min="13572" max="13826" width="9.140625" style="482"/>
    <col min="13827" max="13827" width="112.7109375" style="482" customWidth="1"/>
    <col min="13828" max="14082" width="9.140625" style="482"/>
    <col min="14083" max="14083" width="112.7109375" style="482" customWidth="1"/>
    <col min="14084" max="14338" width="9.140625" style="482"/>
    <col min="14339" max="14339" width="112.7109375" style="482" customWidth="1"/>
    <col min="14340" max="14594" width="9.140625" style="482"/>
    <col min="14595" max="14595" width="112.7109375" style="482" customWidth="1"/>
    <col min="14596" max="14850" width="9.140625" style="482"/>
    <col min="14851" max="14851" width="112.7109375" style="482" customWidth="1"/>
    <col min="14852" max="15106" width="9.140625" style="482"/>
    <col min="15107" max="15107" width="112.7109375" style="482" customWidth="1"/>
    <col min="15108" max="15362" width="9.140625" style="482"/>
    <col min="15363" max="15363" width="112.7109375" style="482" customWidth="1"/>
    <col min="15364" max="15618" width="9.140625" style="482"/>
    <col min="15619" max="15619" width="112.7109375" style="482" customWidth="1"/>
    <col min="15620" max="15874" width="9.140625" style="482"/>
    <col min="15875" max="15875" width="112.7109375" style="482" customWidth="1"/>
    <col min="15876" max="16130" width="9.140625" style="482"/>
    <col min="16131" max="16131" width="112.7109375" style="482" customWidth="1"/>
    <col min="16132" max="16384" width="9.140625" style="482"/>
  </cols>
  <sheetData>
    <row r="1" spans="2:3" ht="18.75">
      <c r="B1" s="756" t="s">
        <v>2995</v>
      </c>
      <c r="C1" s="745"/>
    </row>
    <row r="2" spans="2:3" ht="18.75">
      <c r="B2" s="756" t="s">
        <v>4627</v>
      </c>
      <c r="C2" s="745"/>
    </row>
    <row r="3" spans="2:3" ht="7.5" customHeight="1" thickBot="1">
      <c r="B3" s="746"/>
      <c r="C3" s="747"/>
    </row>
    <row r="4" spans="2:3" ht="25.5" customHeight="1">
      <c r="B4" s="1886" t="s">
        <v>2899</v>
      </c>
      <c r="C4" s="1887"/>
    </row>
    <row r="5" spans="2:3" ht="6.75" customHeight="1">
      <c r="B5" s="748"/>
      <c r="C5" s="749"/>
    </row>
    <row r="6" spans="2:3" ht="36.75" customHeight="1">
      <c r="B6" s="1888" t="s">
        <v>4430</v>
      </c>
      <c r="C6" s="1889"/>
    </row>
    <row r="7" spans="2:3" ht="5.25" customHeight="1">
      <c r="B7" s="748"/>
      <c r="C7" s="749"/>
    </row>
    <row r="8" spans="2:3">
      <c r="B8" s="750" t="s">
        <v>2900</v>
      </c>
      <c r="C8" s="751"/>
    </row>
    <row r="9" spans="2:3">
      <c r="B9" s="750"/>
      <c r="C9" s="752" t="s">
        <v>3049</v>
      </c>
    </row>
    <row r="10" spans="2:3" ht="6" customHeight="1">
      <c r="B10" s="750"/>
      <c r="C10" s="751"/>
    </row>
    <row r="11" spans="2:3">
      <c r="B11" s="750" t="s">
        <v>3050</v>
      </c>
      <c r="C11" s="751"/>
    </row>
    <row r="12" spans="2:3" ht="24">
      <c r="B12" s="750"/>
      <c r="C12" s="752" t="s">
        <v>3051</v>
      </c>
    </row>
    <row r="13" spans="2:3" ht="5.25" customHeight="1">
      <c r="B13" s="750"/>
      <c r="C13" s="751"/>
    </row>
    <row r="14" spans="2:3">
      <c r="B14" s="753" t="s">
        <v>2901</v>
      </c>
      <c r="C14" s="754"/>
    </row>
    <row r="15" spans="2:3" ht="24">
      <c r="B15" s="757"/>
      <c r="C15" s="752" t="s">
        <v>4435</v>
      </c>
    </row>
    <row r="16" spans="2:3" ht="6" customHeight="1">
      <c r="B16" s="750"/>
      <c r="C16" s="755"/>
    </row>
    <row r="17" spans="2:3">
      <c r="B17" s="750" t="s">
        <v>4472</v>
      </c>
      <c r="C17" s="751"/>
    </row>
    <row r="18" spans="2:3" ht="36">
      <c r="B18" s="750"/>
      <c r="C18" s="752" t="s">
        <v>4436</v>
      </c>
    </row>
    <row r="19" spans="2:3" ht="2.25" customHeight="1">
      <c r="B19" s="750"/>
      <c r="C19" s="751"/>
    </row>
    <row r="20" spans="2:3">
      <c r="B20" s="750" t="s">
        <v>2902</v>
      </c>
      <c r="C20" s="751"/>
    </row>
    <row r="21" spans="2:3" ht="24">
      <c r="B21" s="750"/>
      <c r="C21" s="752" t="s">
        <v>3052</v>
      </c>
    </row>
    <row r="22" spans="2:3">
      <c r="B22" s="750"/>
      <c r="C22" s="751"/>
    </row>
    <row r="23" spans="2:3">
      <c r="B23" s="750" t="s">
        <v>4437</v>
      </c>
      <c r="C23" s="751"/>
    </row>
    <row r="24" spans="2:3" ht="24">
      <c r="B24" s="750"/>
      <c r="C24" s="752" t="s">
        <v>4438</v>
      </c>
    </row>
    <row r="25" spans="2:3" ht="6.75" customHeight="1">
      <c r="B25" s="750"/>
      <c r="C25" s="751"/>
    </row>
    <row r="26" spans="2:3" ht="24.75" customHeight="1" thickBot="1">
      <c r="B26" s="1890" t="s">
        <v>4439</v>
      </c>
      <c r="C26" s="1891"/>
    </row>
  </sheetData>
  <mergeCells count="3">
    <mergeCell ref="B4:C4"/>
    <mergeCell ref="B6:C6"/>
    <mergeCell ref="B26:C26"/>
  </mergeCells>
  <pageMargins left="0.7" right="0.7" top="0.75" bottom="0.75" header="0.3" footer="0.3"/>
  <pageSetup scale="89" orientation="portrait" r:id="rId1"/>
  <legacyDrawing r:id="rId2"/>
</worksheet>
</file>

<file path=xl/worksheets/sheet7.xml><?xml version="1.0" encoding="utf-8"?>
<worksheet xmlns="http://schemas.openxmlformats.org/spreadsheetml/2006/main" xmlns:r="http://schemas.openxmlformats.org/officeDocument/2006/relationships">
  <sheetPr codeName="Sheet11">
    <tabColor theme="7" tint="0.39997558519241921"/>
  </sheetPr>
  <dimension ref="B1:K59"/>
  <sheetViews>
    <sheetView showGridLines="0" workbookViewId="0">
      <selection sqref="A1:XFD1048576"/>
    </sheetView>
  </sheetViews>
  <sheetFormatPr defaultColWidth="50" defaultRowHeight="12"/>
  <cols>
    <col min="1" max="1" width="2.85546875" style="778" customWidth="1"/>
    <col min="2" max="2" width="50" style="778"/>
    <col min="3" max="7" width="18" style="778" customWidth="1"/>
    <col min="8" max="11" width="18.7109375" style="778" hidden="1" customWidth="1"/>
    <col min="12" max="16384" width="50" style="778"/>
  </cols>
  <sheetData>
    <row r="1" spans="2:5" ht="18.75">
      <c r="B1" s="796" t="s">
        <v>3061</v>
      </c>
    </row>
    <row r="2" spans="2:5" ht="12.75" thickBot="1">
      <c r="B2" s="779"/>
    </row>
    <row r="3" spans="2:5" s="782" customFormat="1">
      <c r="B3" s="780" t="s">
        <v>2732</v>
      </c>
      <c r="C3" s="781" t="e">
        <f>'NYSERDA Reporting'!E21</f>
        <v>#DIV/0!</v>
      </c>
    </row>
    <row r="4" spans="2:5" s="782" customFormat="1">
      <c r="B4" s="783" t="s">
        <v>2733</v>
      </c>
      <c r="C4" s="784" t="e">
        <f>'NYSERDA Reporting'!F21</f>
        <v>#DIV/0!</v>
      </c>
      <c r="E4" s="785"/>
    </row>
    <row r="5" spans="2:5" s="782" customFormat="1">
      <c r="B5" s="786" t="s">
        <v>2734</v>
      </c>
      <c r="C5" s="787">
        <v>0.15</v>
      </c>
    </row>
    <row r="6" spans="2:5" s="782" customFormat="1">
      <c r="B6" s="783" t="s">
        <v>2735</v>
      </c>
      <c r="C6" s="784" t="e">
        <f xml:space="preserve"> C4-C5</f>
        <v>#DIV/0!</v>
      </c>
    </row>
    <row r="7" spans="2:5" s="782" customFormat="1" ht="7.5" customHeight="1">
      <c r="B7" s="797"/>
      <c r="C7" s="798"/>
    </row>
    <row r="8" spans="2:5" s="782" customFormat="1">
      <c r="B8" s="783" t="s">
        <v>2736</v>
      </c>
      <c r="C8" s="788" t="e">
        <f ca="1">'RECS - Baseline'!G41</f>
        <v>#DIV/0!</v>
      </c>
    </row>
    <row r="9" spans="2:5" s="782" customFormat="1">
      <c r="B9" s="783" t="str">
        <f>'Basic Info'!C37&amp;" RECS Score"</f>
        <v xml:space="preserve"> RECS Score</v>
      </c>
      <c r="C9" s="788" t="e">
        <f ca="1">'RECS - Proposed'!G41</f>
        <v>#DIV/0!</v>
      </c>
    </row>
    <row r="10" spans="2:5" s="782" customFormat="1" ht="7.5" customHeight="1">
      <c r="B10" s="797"/>
      <c r="C10" s="798"/>
    </row>
    <row r="11" spans="2:5" s="782" customFormat="1">
      <c r="B11" s="783" t="s">
        <v>2737</v>
      </c>
      <c r="C11" s="789">
        <f>'Detailed Measures'!U35</f>
        <v>0</v>
      </c>
    </row>
    <row r="12" spans="2:5" s="782" customFormat="1">
      <c r="B12" s="783" t="s">
        <v>3097</v>
      </c>
      <c r="C12" s="866">
        <f>'Detailed Measures'!Y35</f>
        <v>0</v>
      </c>
    </row>
    <row r="13" spans="2:5" s="782" customFormat="1">
      <c r="B13" s="783" t="s">
        <v>2738</v>
      </c>
      <c r="C13" s="790" t="e">
        <f>C11/C3</f>
        <v>#DIV/0!</v>
      </c>
    </row>
    <row r="14" spans="2:5" s="782" customFormat="1">
      <c r="B14" s="783" t="s">
        <v>2739</v>
      </c>
      <c r="C14" s="791">
        <f>'Detailed Measures'!X35</f>
        <v>0</v>
      </c>
    </row>
    <row r="15" spans="2:5" ht="12.75" thickBot="1">
      <c r="B15" s="792" t="s">
        <v>2740</v>
      </c>
      <c r="C15" s="793" t="e">
        <f>'Detailed Measures'!AA35</f>
        <v>#DIV/0!</v>
      </c>
    </row>
    <row r="16" spans="2:5">
      <c r="B16" s="794"/>
      <c r="C16" s="795"/>
    </row>
    <row r="18" spans="2:11" ht="18.75">
      <c r="B18" s="796" t="s">
        <v>2903</v>
      </c>
      <c r="C18" s="482"/>
      <c r="D18" s="482"/>
      <c r="E18" s="482"/>
      <c r="F18" s="482"/>
    </row>
    <row r="19" spans="2:11">
      <c r="B19" s="799"/>
      <c r="C19" s="482"/>
      <c r="D19" s="482"/>
      <c r="E19" s="482"/>
      <c r="F19" s="482"/>
    </row>
    <row r="20" spans="2:11" ht="27" customHeight="1">
      <c r="B20" s="807"/>
      <c r="C20" s="644" t="s">
        <v>2727</v>
      </c>
      <c r="D20" s="644" t="str">
        <f>'Basic Info'!C37&amp;" Simulation"</f>
        <v xml:space="preserve"> Simulation</v>
      </c>
      <c r="E20" s="644" t="s">
        <v>2598</v>
      </c>
      <c r="F20" s="644" t="s">
        <v>2728</v>
      </c>
    </row>
    <row r="21" spans="2:11">
      <c r="B21" s="808" t="s">
        <v>3062</v>
      </c>
      <c r="C21" s="800" t="e">
        <f>'Reporting Summary'!E127</f>
        <v>#DIV/0!</v>
      </c>
      <c r="D21" s="800">
        <f>'Reporting Summary'!I127</f>
        <v>0</v>
      </c>
      <c r="E21" s="809" t="e">
        <f>C21-D21</f>
        <v>#DIV/0!</v>
      </c>
      <c r="F21" s="810" t="e">
        <f>E21/C21</f>
        <v>#DIV/0!</v>
      </c>
    </row>
    <row r="22" spans="2:11">
      <c r="B22" s="808" t="s">
        <v>2729</v>
      </c>
      <c r="C22" s="801" t="e">
        <f>'Reporting Summary'!D127/3412</f>
        <v>#DIV/0!</v>
      </c>
      <c r="D22" s="801">
        <f>'Reporting Summary'!H127/3412</f>
        <v>0</v>
      </c>
      <c r="E22" s="802" t="e">
        <f>C22-D22</f>
        <v>#DIV/0!</v>
      </c>
      <c r="F22" s="810" t="e">
        <f>E22/C22</f>
        <v>#DIV/0!</v>
      </c>
    </row>
    <row r="23" spans="2:11">
      <c r="B23" s="808" t="s">
        <v>2730</v>
      </c>
      <c r="C23" s="801" t="e">
        <f>'Reporting Summary'!C127/1000000</f>
        <v>#DIV/0!</v>
      </c>
      <c r="D23" s="801">
        <f>'Reporting Summary'!G127/1000000</f>
        <v>0</v>
      </c>
      <c r="E23" s="802" t="e">
        <f>C23-D23</f>
        <v>#DIV/0!</v>
      </c>
      <c r="F23" s="810" t="e">
        <f>E23/C23</f>
        <v>#DIV/0!</v>
      </c>
    </row>
    <row r="24" spans="2:11">
      <c r="B24" s="808" t="s">
        <v>2731</v>
      </c>
      <c r="C24" s="802" t="e">
        <f>((C22*3412)/1000000)+C23</f>
        <v>#DIV/0!</v>
      </c>
      <c r="D24" s="802">
        <f>((D22*3412)/1000000)+D23</f>
        <v>0</v>
      </c>
      <c r="E24" s="802" t="e">
        <f>C24-D24</f>
        <v>#DIV/0!</v>
      </c>
      <c r="F24" s="810" t="e">
        <f>E24/C24</f>
        <v>#DIV/0!</v>
      </c>
    </row>
    <row r="25" spans="2:11">
      <c r="B25" s="803"/>
      <c r="C25" s="804"/>
      <c r="D25" s="804"/>
      <c r="E25" s="805"/>
      <c r="F25" s="806"/>
    </row>
    <row r="27" spans="2:11" ht="18.75">
      <c r="B27" s="796" t="s">
        <v>3063</v>
      </c>
      <c r="C27" s="811"/>
      <c r="D27" s="811"/>
      <c r="E27" s="811"/>
      <c r="F27" s="811"/>
      <c r="G27" s="811"/>
    </row>
    <row r="28" spans="2:11">
      <c r="B28" s="811"/>
      <c r="C28" s="811"/>
      <c r="D28" s="811"/>
      <c r="E28" s="811"/>
      <c r="F28" s="811"/>
      <c r="G28" s="811"/>
    </row>
    <row r="29" spans="2:11" ht="24">
      <c r="B29" s="1877" t="s">
        <v>2788</v>
      </c>
      <c r="C29" s="1877" t="s">
        <v>4614</v>
      </c>
      <c r="D29" s="1877" t="s">
        <v>4613</v>
      </c>
      <c r="E29" s="1877" t="str">
        <f>'Basic Info'!C37&amp;" Energy (MMBtu)"</f>
        <v xml:space="preserve"> Energy (MMBtu)</v>
      </c>
      <c r="F29" s="1877" t="s">
        <v>2791</v>
      </c>
      <c r="G29" s="1873"/>
      <c r="H29" s="812" t="s">
        <v>2789</v>
      </c>
      <c r="I29" s="812" t="s">
        <v>2790</v>
      </c>
      <c r="J29" s="812" t="str">
        <f>'Basic Info'!C37&amp;" Electricity (kWh/yr)"</f>
        <v xml:space="preserve"> Electricity (kWh/yr)</v>
      </c>
      <c r="K29" s="812" t="str">
        <f>'Basic Info'!C37&amp;" Fuel (MMBtu/yr)"</f>
        <v xml:space="preserve"> Fuel (MMBtu/yr)</v>
      </c>
    </row>
    <row r="30" spans="2:11">
      <c r="B30" s="813" t="s">
        <v>2830</v>
      </c>
      <c r="C30" s="813" t="e">
        <f>IF(H30*3412/1000000&lt;I30,"Natural Gas","Electric")</f>
        <v>#DIV/0!</v>
      </c>
      <c r="D30" s="1876" t="e">
        <f t="shared" ref="D30:D38" si="0">I30+H30*3412/1000000</f>
        <v>#DIV/0!</v>
      </c>
      <c r="E30" s="1876">
        <f t="shared" ref="E30:E38" si="1">K30+J30*3412/1000000</f>
        <v>0</v>
      </c>
      <c r="F30" s="814" t="e">
        <f t="shared" ref="F30:F38" si="2">IF(AND(H30=0,I30=0,J30=0,K30=0)=TRUE,0%,(H30*3412/1000000+I30-J30*3412/1000000-K30)/(H30*3412/1000000+I30))</f>
        <v>#DIV/0!</v>
      </c>
      <c r="G30" s="1874"/>
      <c r="H30" s="612" t="e">
        <f>'Results from eQUEST'!M18+'Results from eQUEST'!N18+'Results from eQUEST'!X18</f>
        <v>#DIV/0!</v>
      </c>
      <c r="I30" s="612" t="e">
        <f>('Results from eQUEST'!AY18+'Results from eQUEST'!AZ18+'Results from eQUEST'!BJ18)/10</f>
        <v>#DIV/0!</v>
      </c>
      <c r="J30" s="612">
        <f>'Results from eQUEST'!M21+'Results from eQUEST'!N21+'Results from eQUEST'!X21</f>
        <v>0</v>
      </c>
      <c r="K30" s="612">
        <f>('Results from eQUEST'!AY21+'Results from eQUEST'!AZ21+'Results from eQUEST'!BJ21)/10</f>
        <v>0</v>
      </c>
    </row>
    <row r="31" spans="2:11">
      <c r="B31" s="813" t="s">
        <v>2792</v>
      </c>
      <c r="C31" s="813" t="e">
        <f t="shared" ref="C31:C37" si="3">IF(H31*3412/1000000&lt;I31,"Natural Gas","Electric")</f>
        <v>#DIV/0!</v>
      </c>
      <c r="D31" s="1876" t="e">
        <f t="shared" si="0"/>
        <v>#DIV/0!</v>
      </c>
      <c r="E31" s="1876">
        <f t="shared" si="1"/>
        <v>0</v>
      </c>
      <c r="F31" s="814" t="e">
        <f t="shared" si="2"/>
        <v>#DIV/0!</v>
      </c>
      <c r="G31" s="1874"/>
      <c r="H31" s="612" t="e">
        <f>'Results from eQUEST'!P18+'Results from eQUEST'!V18</f>
        <v>#DIV/0!</v>
      </c>
      <c r="I31" s="612" t="e">
        <f>('Results from eQUEST'!BB18+'Results from eQUEST'!BH18)/10</f>
        <v>#DIV/0!</v>
      </c>
      <c r="J31" s="612">
        <f>'Results from eQUEST'!P21+'Results from eQUEST'!V21</f>
        <v>0</v>
      </c>
      <c r="K31" s="612">
        <f>('Results from eQUEST'!BB21+'Results from eQUEST'!BH21)/10</f>
        <v>0</v>
      </c>
    </row>
    <row r="32" spans="2:11">
      <c r="B32" s="813" t="s">
        <v>2793</v>
      </c>
      <c r="C32" s="813" t="e">
        <f t="shared" si="3"/>
        <v>#DIV/0!</v>
      </c>
      <c r="D32" s="1876" t="e">
        <f t="shared" si="0"/>
        <v>#DIV/0!</v>
      </c>
      <c r="E32" s="1876">
        <f t="shared" si="1"/>
        <v>0</v>
      </c>
      <c r="F32" s="814" t="e">
        <f t="shared" si="2"/>
        <v>#DIV/0!</v>
      </c>
      <c r="G32" s="1874"/>
      <c r="H32" s="612" t="e">
        <f>'Results from eQUEST'!Q18</f>
        <v>#DIV/0!</v>
      </c>
      <c r="I32" s="612" t="e">
        <f>'Results from eQUEST'!BC18/10</f>
        <v>#DIV/0!</v>
      </c>
      <c r="J32" s="612">
        <f>'Results from eQUEST'!Q21</f>
        <v>0</v>
      </c>
      <c r="K32" s="612">
        <f>'Results from eQUEST'!BC21/10</f>
        <v>0</v>
      </c>
    </row>
    <row r="33" spans="2:11">
      <c r="B33" s="813" t="s">
        <v>1265</v>
      </c>
      <c r="C33" s="813" t="e">
        <f t="shared" si="3"/>
        <v>#DIV/0!</v>
      </c>
      <c r="D33" s="1876" t="e">
        <f t="shared" si="0"/>
        <v>#DIV/0!</v>
      </c>
      <c r="E33" s="1876">
        <f t="shared" si="1"/>
        <v>0</v>
      </c>
      <c r="F33" s="814" t="e">
        <f t="shared" si="2"/>
        <v>#DIV/0!</v>
      </c>
      <c r="G33" s="1874"/>
      <c r="H33" s="612" t="e">
        <f>'Results from eQUEST'!S18</f>
        <v>#DIV/0!</v>
      </c>
      <c r="I33" s="612" t="e">
        <f>'Results from eQUEST'!BE18/10</f>
        <v>#DIV/0!</v>
      </c>
      <c r="J33" s="612">
        <f>'Results from eQUEST'!S21</f>
        <v>0</v>
      </c>
      <c r="K33" s="612">
        <f>'Results from eQUEST'!BE21/10</f>
        <v>0</v>
      </c>
    </row>
    <row r="34" spans="2:11">
      <c r="B34" s="813" t="s">
        <v>2794</v>
      </c>
      <c r="C34" s="813" t="e">
        <f t="shared" si="3"/>
        <v>#DIV/0!</v>
      </c>
      <c r="D34" s="1876" t="e">
        <f t="shared" si="0"/>
        <v>#DIV/0!</v>
      </c>
      <c r="E34" s="1876">
        <f t="shared" si="1"/>
        <v>0</v>
      </c>
      <c r="F34" s="814" t="e">
        <f t="shared" si="2"/>
        <v>#DIV/0!</v>
      </c>
      <c r="G34" s="1874"/>
      <c r="H34" s="612" t="e">
        <f>'Results from eQUEST'!R18</f>
        <v>#DIV/0!</v>
      </c>
      <c r="I34" s="612" t="e">
        <f>'Results from eQUEST'!BD18/10</f>
        <v>#DIV/0!</v>
      </c>
      <c r="J34" s="612">
        <f>'Results from eQUEST'!R21</f>
        <v>0</v>
      </c>
      <c r="K34" s="612">
        <f>'Results from eQUEST'!BD21/10</f>
        <v>0</v>
      </c>
    </row>
    <row r="35" spans="2:11">
      <c r="B35" s="813" t="s">
        <v>2795</v>
      </c>
      <c r="C35" s="813" t="e">
        <f t="shared" si="3"/>
        <v>#DIV/0!</v>
      </c>
      <c r="D35" s="1876" t="e">
        <f t="shared" si="0"/>
        <v>#DIV/0!</v>
      </c>
      <c r="E35" s="1876">
        <f t="shared" si="1"/>
        <v>0</v>
      </c>
      <c r="F35" s="814" t="e">
        <f t="shared" si="2"/>
        <v>#DIV/0!</v>
      </c>
      <c r="G35" s="1874"/>
      <c r="H35" s="612" t="e">
        <f>'Results from eQUEST'!T18</f>
        <v>#DIV/0!</v>
      </c>
      <c r="I35" s="612" t="e">
        <f>'Results from eQUEST'!BF18/10</f>
        <v>#DIV/0!</v>
      </c>
      <c r="J35" s="612">
        <f>'Results from eQUEST'!T21</f>
        <v>0</v>
      </c>
      <c r="K35" s="612">
        <f>'Results from eQUEST'!BF21/10</f>
        <v>0</v>
      </c>
    </row>
    <row r="36" spans="2:11">
      <c r="B36" s="813" t="s">
        <v>2796</v>
      </c>
      <c r="C36" s="813" t="e">
        <f t="shared" si="3"/>
        <v>#DIV/0!</v>
      </c>
      <c r="D36" s="1876" t="e">
        <f t="shared" si="0"/>
        <v>#DIV/0!</v>
      </c>
      <c r="E36" s="1876">
        <f t="shared" si="1"/>
        <v>0</v>
      </c>
      <c r="F36" s="814" t="e">
        <f t="shared" si="2"/>
        <v>#DIV/0!</v>
      </c>
      <c r="G36" s="1874"/>
      <c r="H36" s="612" t="e">
        <f>'Results from eQUEST'!W18</f>
        <v>#DIV/0!</v>
      </c>
      <c r="I36" s="612" t="e">
        <f>'Results from eQUEST'!BI18/10</f>
        <v>#DIV/0!</v>
      </c>
      <c r="J36" s="612">
        <f>'Results from eQUEST'!W21</f>
        <v>0</v>
      </c>
      <c r="K36" s="612">
        <f>'Results from eQUEST'!BI21/10</f>
        <v>0</v>
      </c>
    </row>
    <row r="37" spans="2:11">
      <c r="B37" s="813" t="s">
        <v>4612</v>
      </c>
      <c r="C37" s="813" t="e">
        <f t="shared" si="3"/>
        <v>#DIV/0!</v>
      </c>
      <c r="D37" s="1876" t="e">
        <f t="shared" si="0"/>
        <v>#DIV/0!</v>
      </c>
      <c r="E37" s="1876">
        <f t="shared" si="1"/>
        <v>0</v>
      </c>
      <c r="F37" s="814" t="e">
        <f t="shared" si="2"/>
        <v>#DIV/0!</v>
      </c>
      <c r="G37" s="1874"/>
      <c r="H37" s="612" t="e">
        <f>H38-SUM(H30:H36)</f>
        <v>#DIV/0!</v>
      </c>
      <c r="I37" s="612" t="e">
        <f>I38-SUM(I30:I36)</f>
        <v>#DIV/0!</v>
      </c>
      <c r="J37" s="612">
        <f>J38-SUM(J30:J36)</f>
        <v>0</v>
      </c>
      <c r="K37" s="612">
        <f>K38-SUM(K30:K36)</f>
        <v>0</v>
      </c>
    </row>
    <row r="38" spans="2:11">
      <c r="B38" s="815" t="s">
        <v>1266</v>
      </c>
      <c r="C38" s="813"/>
      <c r="D38" s="1876" t="e">
        <f t="shared" si="0"/>
        <v>#DIV/0!</v>
      </c>
      <c r="E38" s="1876">
        <f t="shared" si="1"/>
        <v>0</v>
      </c>
      <c r="F38" s="814" t="e">
        <f t="shared" si="2"/>
        <v>#DIV/0!</v>
      </c>
      <c r="G38" s="1874"/>
      <c r="H38" s="816" t="e">
        <f>'Results from eQUEST'!Y18</f>
        <v>#DIV/0!</v>
      </c>
      <c r="I38" s="817" t="e">
        <f>'Results from eQUEST'!BK18/10</f>
        <v>#DIV/0!</v>
      </c>
      <c r="J38" s="816">
        <f>'Results from eQUEST'!Y21</f>
        <v>0</v>
      </c>
      <c r="K38" s="817">
        <f>'Results from eQUEST'!BK21/10</f>
        <v>0</v>
      </c>
    </row>
    <row r="42" spans="2:11" ht="18.75">
      <c r="B42" s="796" t="s">
        <v>4615</v>
      </c>
    </row>
    <row r="43" spans="2:11" s="1875" customFormat="1" ht="18.75">
      <c r="B43" s="796"/>
    </row>
    <row r="44" spans="2:11">
      <c r="B44" s="1877" t="s">
        <v>2767</v>
      </c>
      <c r="C44" s="1877">
        <f>'Basic Info'!C37</f>
        <v>0</v>
      </c>
      <c r="D44" s="1877" t="s">
        <v>821</v>
      </c>
    </row>
    <row r="45" spans="2:11" ht="48">
      <c r="B45" s="813" t="s">
        <v>4616</v>
      </c>
      <c r="C45" s="1878" t="str">
        <f>"AGW: "&amp;ERMs!C24&amp;"; BGW: "&amp;ERMs!C23</f>
        <v>AGW: , U-; BGW: , C-</v>
      </c>
      <c r="D45" s="1876" t="str">
        <f>ERMs!E24&amp;"; "&amp;ERMs!E23</f>
        <v>AGW: Per ASHRAE, U- (res) &amp; U- (non-res); BGW: Per ASHRAE, C- (res); C- (non-res)</v>
      </c>
    </row>
    <row r="46" spans="2:11">
      <c r="B46" s="813" t="s">
        <v>2814</v>
      </c>
      <c r="C46" s="1878" t="str">
        <f>ERMs!C33</f>
        <v>, U-</v>
      </c>
      <c r="D46" s="1876" t="str">
        <f>ERMs!E33</f>
        <v>Exterior doors: , U-</v>
      </c>
    </row>
    <row r="47" spans="2:11" ht="36">
      <c r="B47" s="813" t="s">
        <v>4617</v>
      </c>
      <c r="C47" s="1878" t="str">
        <f>ERMs!C31&amp;", "&amp;'Model Inputs'!G29&amp;" window to wall ratio"</f>
        <v>, , U-, SHGC-,  window to wall ratio</v>
      </c>
      <c r="D47" s="1876" t="str">
        <f>ERMs!E31&amp;", "&amp;'Model Inputs'!E29&amp;" window to wall ratio"</f>
        <v>Windows: Per ASHRAE, , U-, SHGC-,  window to wall ratio</v>
      </c>
    </row>
    <row r="48" spans="2:11" ht="132">
      <c r="B48" s="813" t="s">
        <v>4618</v>
      </c>
      <c r="C48" s="1878" t="str">
        <f>"Slab-below-grade: "&amp;ERMs!C28&amp;"; Slab-on-grade: "&amp;ERMs!C29&amp;"; Floor Perimeter: "&amp;ERMs!C25&amp;"; Floor above cond. Space: "&amp;ERMs!C27</f>
        <v>Slab-below-grade: , C-; Slab-on-grade: , F-; Floor Perimeter: , U-; Floor above cond. Space: , U-</v>
      </c>
      <c r="D48" s="1876" t="str">
        <f>ERMs!E28&amp;"; "&amp;ERMs!E29&amp;"; "&amp;ERMs!E25&amp;"; "&amp;ERMs!E27</f>
        <v>Slab-below-grade: Per ASHRAE, C-; Slab-on-grade: Per ASHRAE, F- (res) &amp; F- (non-res); Floor Perimeter: Per ASHRAE, U- (res) &amp; U- (non-res); Floor above cond. Space: Per ASHRAE, U- (res) &amp; U- (non-res)</v>
      </c>
    </row>
    <row r="49" spans="2:4" ht="24">
      <c r="B49" s="813" t="s">
        <v>4619</v>
      </c>
      <c r="C49" s="1878" t="str">
        <f>ERMs!C26</f>
        <v>, U-</v>
      </c>
      <c r="D49" s="1876" t="str">
        <f>ERMs!E26</f>
        <v>Roof Insulation: Per ASHRAE, U-</v>
      </c>
    </row>
    <row r="50" spans="2:4" ht="60">
      <c r="B50" s="813" t="s">
        <v>3405</v>
      </c>
      <c r="C50" s="1878" t="str">
        <f>"Common area: "&amp;ERMs!C55&amp;"; In-unit: "&amp;ERMs!C59&amp;"; Garage Lighting: "&amp;ERMs!C58&amp;"; Exit Signs: "&amp;ERMs!C56</f>
        <v>Common area: 0; In-unit:  W/SF; Garage Lighting:  W/SF; Exit Signs:  kW</v>
      </c>
      <c r="D50" s="1876" t="str">
        <f>"Common Area: "&amp;ERMs!E55&amp;"; "&amp;ERMs!E59&amp;"; "&amp;ERMs!E58&amp;"; "&amp;ERMs!E56</f>
        <v>Common Area: 0; In-unit Lighting: 0.7 W/SF W/SF; Garage Lighting:  W/SF; Exit Signs:  kW</v>
      </c>
    </row>
    <row r="51" spans="2:4">
      <c r="B51" s="813" t="s">
        <v>3176</v>
      </c>
      <c r="C51" s="1879">
        <f>ERMs!C54</f>
        <v>0</v>
      </c>
      <c r="D51" s="1876" t="str">
        <f>ERMs!E54</f>
        <v>Lighting Controls: N/A</v>
      </c>
    </row>
    <row r="52" spans="2:4">
      <c r="B52" s="813" t="s">
        <v>4620</v>
      </c>
      <c r="C52" s="1878" t="str">
        <f>ERMs!C57</f>
        <v xml:space="preserve"> kW</v>
      </c>
      <c r="D52" s="1876" t="str">
        <f>ERMs!E57</f>
        <v>Exterior Lighting:  kW</v>
      </c>
    </row>
    <row r="53" spans="2:4" ht="24">
      <c r="B53" s="813" t="s">
        <v>529</v>
      </c>
      <c r="C53" s="1878" t="str">
        <f>ERMs!C11&amp;"; "&amp;ERMs!C12&amp;"; "&amp;ERMs!C13&amp;"; "&amp;ERMs!C14&amp;" ;"&amp;ERMs!C15&amp;"; "&amp;ERMs!C16</f>
        <v>N/A; N/A; N/A; N/A ;N/A; N/A</v>
      </c>
      <c r="D53" s="1876" t="str">
        <f>ERMs!E11&amp;"; "&amp;ERMs!E12&amp;"; "&amp;ERMs!E13&amp;"; "&amp;ERMs!E15&amp;"; "&amp;ERMs!E15&amp;"; "&amp;ERMs!E16</f>
        <v>N/A; N/A; N/A; N/A; N/A; N/A</v>
      </c>
    </row>
    <row r="54" spans="2:4">
      <c r="B54" s="813" t="s">
        <v>4621</v>
      </c>
      <c r="C54" s="1878">
        <f>'Model Inputs'!F59</f>
        <v>0</v>
      </c>
      <c r="D54" s="1876">
        <f>'Model Inputs'!E59</f>
        <v>0</v>
      </c>
    </row>
    <row r="55" spans="2:4">
      <c r="B55" s="813" t="s">
        <v>4622</v>
      </c>
      <c r="C55" s="1878" t="str">
        <f>ERMs!C78</f>
        <v xml:space="preserve">, </v>
      </c>
      <c r="D55" s="1876" t="str">
        <f>ERMs!E78</f>
        <v>N/A</v>
      </c>
    </row>
    <row r="56" spans="2:4" ht="36">
      <c r="B56" s="813" t="s">
        <v>4623</v>
      </c>
      <c r="C56" s="1878" t="str">
        <f>ERMs!C35</f>
        <v>Primary system:   (0% AFUE); Tertiary System:   (0% Et)</v>
      </c>
      <c r="D56" s="1876" t="str">
        <f>ERMs!E35</f>
        <v xml:space="preserve">  (0% AFUE)</v>
      </c>
    </row>
    <row r="57" spans="2:4" ht="84">
      <c r="B57" s="813" t="s">
        <v>4624</v>
      </c>
      <c r="C57" s="1876" t="str">
        <f>ERMs!C66&amp;"; "&amp;ERMs!C67&amp;"; "&amp;ERMs!C68&amp;"; "&amp;ERMs!C69</f>
        <v>Kitchen:  CFM ()
Bathroom:  CFM ();  CFM;  CFM; 0</v>
      </c>
      <c r="D57" s="1876" t="str">
        <f>ERMs!E66&amp;"; "&amp;ERMs!E67&amp;"; "&amp;ERMs!E68&amp;"; "&amp;ERMs!E69</f>
        <v>Kitchen:  CFM ()
Bathroom:  CFM (); Non-corridor Exhaust:  CFM; Corridor Supply Ventilation:  CFM; Fresh air supplied to apts by: 0</v>
      </c>
    </row>
    <row r="58" spans="2:4" ht="108">
      <c r="B58" s="813" t="s">
        <v>4625</v>
      </c>
      <c r="C58" s="1876" t="str">
        <f>"Heating pump: "&amp;ERMs!C61&amp;"; DHW pump: "&amp;ERMs!C62&amp;"; "&amp;ERMs!C40</f>
        <v>Heating pump:  hp NEMA  Motor,  W/GPM,  ; DHW pump:     hp NEMA  efficient motor, 0.0%;  kW/CFM</v>
      </c>
      <c r="D58" s="1876" t="str">
        <f>"Heating pump: "&amp;ERMs!E61&amp;"; DHW pump: "&amp;ERMs!E62&amp;"; "&amp;ERMs!E40</f>
        <v>Heating pump:  hp NEMA Standard Motor, 19 W/GPM; DHW pump:   hp NEMA  efficiency motor, 0.0% efficient; Space heating fan power: 0.0003 kW/CFM</v>
      </c>
    </row>
    <row r="59" spans="2:4" ht="36">
      <c r="B59" s="813" t="s">
        <v>4626</v>
      </c>
      <c r="C59" s="1878" t="str">
        <f>ERMs!C19&amp;"; Hot Water Demand: "&amp;'Model Inputs'!F129</f>
        <v xml:space="preserve">  ( kBtu)
Et- 0%; Hot Water Demand: </v>
      </c>
      <c r="D59" s="1876" t="str">
        <f>ERMs!E19&amp;"; Hot Water Demand: "&amp;'Model Inputs'!E129</f>
        <v xml:space="preserve"> 
Et-0%; Hot Water Demand: </v>
      </c>
    </row>
  </sheetData>
  <dataValidations disablePrompts="1" count="1">
    <dataValidation allowBlank="1" showInputMessage="1" showErrorMessage="1" promptTitle="Annual Energy Cost Difference" prompt="The value in this cell must equal the sum of the cost savings in the Recommendation Summary table." sqref="E21"/>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sheetPr>
    <tabColor theme="7" tint="0.39997558519241921"/>
    <pageSetUpPr fitToPage="1"/>
  </sheetPr>
  <dimension ref="A2:AY190"/>
  <sheetViews>
    <sheetView showGridLines="0" topLeftCell="A57" zoomScaleNormal="100" workbookViewId="0">
      <selection activeCell="E64" sqref="E64"/>
    </sheetView>
  </sheetViews>
  <sheetFormatPr defaultColWidth="8.85546875" defaultRowHeight="12"/>
  <cols>
    <col min="1" max="2" width="29.28515625" style="893" customWidth="1"/>
    <col min="3" max="3" width="46.42578125" style="893" customWidth="1"/>
    <col min="4" max="4" width="37.7109375" style="893" customWidth="1"/>
    <col min="5" max="5" width="36.7109375" style="1511" bestFit="1" customWidth="1"/>
    <col min="6" max="6" width="31.85546875" style="893" customWidth="1"/>
    <col min="7" max="7" width="35.140625" style="893" customWidth="1"/>
    <col min="8" max="8" width="26.140625" style="1493" customWidth="1"/>
    <col min="9" max="254" width="8.85546875" style="893"/>
    <col min="255" max="255" width="29.28515625" style="893" customWidth="1"/>
    <col min="256" max="256" width="46.42578125" style="893" customWidth="1"/>
    <col min="257" max="258" width="29.28515625" style="893" customWidth="1"/>
    <col min="259" max="261" width="46.42578125" style="893" customWidth="1"/>
    <col min="262" max="510" width="8.85546875" style="893"/>
    <col min="511" max="511" width="29.28515625" style="893" customWidth="1"/>
    <col min="512" max="512" width="46.42578125" style="893" customWidth="1"/>
    <col min="513" max="514" width="29.28515625" style="893" customWidth="1"/>
    <col min="515" max="517" width="46.42578125" style="893" customWidth="1"/>
    <col min="518" max="766" width="8.85546875" style="893"/>
    <col min="767" max="767" width="29.28515625" style="893" customWidth="1"/>
    <col min="768" max="768" width="46.42578125" style="893" customWidth="1"/>
    <col min="769" max="770" width="29.28515625" style="893" customWidth="1"/>
    <col min="771" max="773" width="46.42578125" style="893" customWidth="1"/>
    <col min="774" max="1022" width="8.85546875" style="893"/>
    <col min="1023" max="1023" width="29.28515625" style="893" customWidth="1"/>
    <col min="1024" max="1024" width="46.42578125" style="893" customWidth="1"/>
    <col min="1025" max="1026" width="29.28515625" style="893" customWidth="1"/>
    <col min="1027" max="1029" width="46.42578125" style="893" customWidth="1"/>
    <col min="1030" max="1278" width="8.85546875" style="893"/>
    <col min="1279" max="1279" width="29.28515625" style="893" customWidth="1"/>
    <col min="1280" max="1280" width="46.42578125" style="893" customWidth="1"/>
    <col min="1281" max="1282" width="29.28515625" style="893" customWidth="1"/>
    <col min="1283" max="1285" width="46.42578125" style="893" customWidth="1"/>
    <col min="1286" max="1534" width="8.85546875" style="893"/>
    <col min="1535" max="1535" width="29.28515625" style="893" customWidth="1"/>
    <col min="1536" max="1536" width="46.42578125" style="893" customWidth="1"/>
    <col min="1537" max="1538" width="29.28515625" style="893" customWidth="1"/>
    <col min="1539" max="1541" width="46.42578125" style="893" customWidth="1"/>
    <col min="1542" max="1790" width="8.85546875" style="893"/>
    <col min="1791" max="1791" width="29.28515625" style="893" customWidth="1"/>
    <col min="1792" max="1792" width="46.42578125" style="893" customWidth="1"/>
    <col min="1793" max="1794" width="29.28515625" style="893" customWidth="1"/>
    <col min="1795" max="1797" width="46.42578125" style="893" customWidth="1"/>
    <col min="1798" max="2046" width="8.85546875" style="893"/>
    <col min="2047" max="2047" width="29.28515625" style="893" customWidth="1"/>
    <col min="2048" max="2048" width="46.42578125" style="893" customWidth="1"/>
    <col min="2049" max="2050" width="29.28515625" style="893" customWidth="1"/>
    <col min="2051" max="2053" width="46.42578125" style="893" customWidth="1"/>
    <col min="2054" max="2302" width="8.85546875" style="893"/>
    <col min="2303" max="2303" width="29.28515625" style="893" customWidth="1"/>
    <col min="2304" max="2304" width="46.42578125" style="893" customWidth="1"/>
    <col min="2305" max="2306" width="29.28515625" style="893" customWidth="1"/>
    <col min="2307" max="2309" width="46.42578125" style="893" customWidth="1"/>
    <col min="2310" max="2558" width="8.85546875" style="893"/>
    <col min="2559" max="2559" width="29.28515625" style="893" customWidth="1"/>
    <col min="2560" max="2560" width="46.42578125" style="893" customWidth="1"/>
    <col min="2561" max="2562" width="29.28515625" style="893" customWidth="1"/>
    <col min="2563" max="2565" width="46.42578125" style="893" customWidth="1"/>
    <col min="2566" max="2814" width="8.85546875" style="893"/>
    <col min="2815" max="2815" width="29.28515625" style="893" customWidth="1"/>
    <col min="2816" max="2816" width="46.42578125" style="893" customWidth="1"/>
    <col min="2817" max="2818" width="29.28515625" style="893" customWidth="1"/>
    <col min="2819" max="2821" width="46.42578125" style="893" customWidth="1"/>
    <col min="2822" max="3070" width="8.85546875" style="893"/>
    <col min="3071" max="3071" width="29.28515625" style="893" customWidth="1"/>
    <col min="3072" max="3072" width="46.42578125" style="893" customWidth="1"/>
    <col min="3073" max="3074" width="29.28515625" style="893" customWidth="1"/>
    <col min="3075" max="3077" width="46.42578125" style="893" customWidth="1"/>
    <col min="3078" max="3326" width="8.85546875" style="893"/>
    <col min="3327" max="3327" width="29.28515625" style="893" customWidth="1"/>
    <col min="3328" max="3328" width="46.42578125" style="893" customWidth="1"/>
    <col min="3329" max="3330" width="29.28515625" style="893" customWidth="1"/>
    <col min="3331" max="3333" width="46.42578125" style="893" customWidth="1"/>
    <col min="3334" max="3582" width="8.85546875" style="893"/>
    <col min="3583" max="3583" width="29.28515625" style="893" customWidth="1"/>
    <col min="3584" max="3584" width="46.42578125" style="893" customWidth="1"/>
    <col min="3585" max="3586" width="29.28515625" style="893" customWidth="1"/>
    <col min="3587" max="3589" width="46.42578125" style="893" customWidth="1"/>
    <col min="3590" max="3838" width="8.85546875" style="893"/>
    <col min="3839" max="3839" width="29.28515625" style="893" customWidth="1"/>
    <col min="3840" max="3840" width="46.42578125" style="893" customWidth="1"/>
    <col min="3841" max="3842" width="29.28515625" style="893" customWidth="1"/>
    <col min="3843" max="3845" width="46.42578125" style="893" customWidth="1"/>
    <col min="3846" max="4094" width="8.85546875" style="893"/>
    <col min="4095" max="4095" width="29.28515625" style="893" customWidth="1"/>
    <col min="4096" max="4096" width="46.42578125" style="893" customWidth="1"/>
    <col min="4097" max="4098" width="29.28515625" style="893" customWidth="1"/>
    <col min="4099" max="4101" width="46.42578125" style="893" customWidth="1"/>
    <col min="4102" max="4350" width="8.85546875" style="893"/>
    <col min="4351" max="4351" width="29.28515625" style="893" customWidth="1"/>
    <col min="4352" max="4352" width="46.42578125" style="893" customWidth="1"/>
    <col min="4353" max="4354" width="29.28515625" style="893" customWidth="1"/>
    <col min="4355" max="4357" width="46.42578125" style="893" customWidth="1"/>
    <col min="4358" max="4606" width="8.85546875" style="893"/>
    <col min="4607" max="4607" width="29.28515625" style="893" customWidth="1"/>
    <col min="4608" max="4608" width="46.42578125" style="893" customWidth="1"/>
    <col min="4609" max="4610" width="29.28515625" style="893" customWidth="1"/>
    <col min="4611" max="4613" width="46.42578125" style="893" customWidth="1"/>
    <col min="4614" max="4862" width="8.85546875" style="893"/>
    <col min="4863" max="4863" width="29.28515625" style="893" customWidth="1"/>
    <col min="4864" max="4864" width="46.42578125" style="893" customWidth="1"/>
    <col min="4865" max="4866" width="29.28515625" style="893" customWidth="1"/>
    <col min="4867" max="4869" width="46.42578125" style="893" customWidth="1"/>
    <col min="4870" max="5118" width="8.85546875" style="893"/>
    <col min="5119" max="5119" width="29.28515625" style="893" customWidth="1"/>
    <col min="5120" max="5120" width="46.42578125" style="893" customWidth="1"/>
    <col min="5121" max="5122" width="29.28515625" style="893" customWidth="1"/>
    <col min="5123" max="5125" width="46.42578125" style="893" customWidth="1"/>
    <col min="5126" max="5374" width="8.85546875" style="893"/>
    <col min="5375" max="5375" width="29.28515625" style="893" customWidth="1"/>
    <col min="5376" max="5376" width="46.42578125" style="893" customWidth="1"/>
    <col min="5377" max="5378" width="29.28515625" style="893" customWidth="1"/>
    <col min="5379" max="5381" width="46.42578125" style="893" customWidth="1"/>
    <col min="5382" max="5630" width="8.85546875" style="893"/>
    <col min="5631" max="5631" width="29.28515625" style="893" customWidth="1"/>
    <col min="5632" max="5632" width="46.42578125" style="893" customWidth="1"/>
    <col min="5633" max="5634" width="29.28515625" style="893" customWidth="1"/>
    <col min="5635" max="5637" width="46.42578125" style="893" customWidth="1"/>
    <col min="5638" max="5886" width="8.85546875" style="893"/>
    <col min="5887" max="5887" width="29.28515625" style="893" customWidth="1"/>
    <col min="5888" max="5888" width="46.42578125" style="893" customWidth="1"/>
    <col min="5889" max="5890" width="29.28515625" style="893" customWidth="1"/>
    <col min="5891" max="5893" width="46.42578125" style="893" customWidth="1"/>
    <col min="5894" max="6142" width="8.85546875" style="893"/>
    <col min="6143" max="6143" width="29.28515625" style="893" customWidth="1"/>
    <col min="6144" max="6144" width="46.42578125" style="893" customWidth="1"/>
    <col min="6145" max="6146" width="29.28515625" style="893" customWidth="1"/>
    <col min="6147" max="6149" width="46.42578125" style="893" customWidth="1"/>
    <col min="6150" max="6398" width="8.85546875" style="893"/>
    <col min="6399" max="6399" width="29.28515625" style="893" customWidth="1"/>
    <col min="6400" max="6400" width="46.42578125" style="893" customWidth="1"/>
    <col min="6401" max="6402" width="29.28515625" style="893" customWidth="1"/>
    <col min="6403" max="6405" width="46.42578125" style="893" customWidth="1"/>
    <col min="6406" max="6654" width="8.85546875" style="893"/>
    <col min="6655" max="6655" width="29.28515625" style="893" customWidth="1"/>
    <col min="6656" max="6656" width="46.42578125" style="893" customWidth="1"/>
    <col min="6657" max="6658" width="29.28515625" style="893" customWidth="1"/>
    <col min="6659" max="6661" width="46.42578125" style="893" customWidth="1"/>
    <col min="6662" max="6910" width="8.85546875" style="893"/>
    <col min="6911" max="6911" width="29.28515625" style="893" customWidth="1"/>
    <col min="6912" max="6912" width="46.42578125" style="893" customWidth="1"/>
    <col min="6913" max="6914" width="29.28515625" style="893" customWidth="1"/>
    <col min="6915" max="6917" width="46.42578125" style="893" customWidth="1"/>
    <col min="6918" max="7166" width="8.85546875" style="893"/>
    <col min="7167" max="7167" width="29.28515625" style="893" customWidth="1"/>
    <col min="7168" max="7168" width="46.42578125" style="893" customWidth="1"/>
    <col min="7169" max="7170" width="29.28515625" style="893" customWidth="1"/>
    <col min="7171" max="7173" width="46.42578125" style="893" customWidth="1"/>
    <col min="7174" max="7422" width="8.85546875" style="893"/>
    <col min="7423" max="7423" width="29.28515625" style="893" customWidth="1"/>
    <col min="7424" max="7424" width="46.42578125" style="893" customWidth="1"/>
    <col min="7425" max="7426" width="29.28515625" style="893" customWidth="1"/>
    <col min="7427" max="7429" width="46.42578125" style="893" customWidth="1"/>
    <col min="7430" max="7678" width="8.85546875" style="893"/>
    <col min="7679" max="7679" width="29.28515625" style="893" customWidth="1"/>
    <col min="7680" max="7680" width="46.42578125" style="893" customWidth="1"/>
    <col min="7681" max="7682" width="29.28515625" style="893" customWidth="1"/>
    <col min="7683" max="7685" width="46.42578125" style="893" customWidth="1"/>
    <col min="7686" max="7934" width="8.85546875" style="893"/>
    <col min="7935" max="7935" width="29.28515625" style="893" customWidth="1"/>
    <col min="7936" max="7936" width="46.42578125" style="893" customWidth="1"/>
    <col min="7937" max="7938" width="29.28515625" style="893" customWidth="1"/>
    <col min="7939" max="7941" width="46.42578125" style="893" customWidth="1"/>
    <col min="7942" max="8190" width="8.85546875" style="893"/>
    <col min="8191" max="8191" width="29.28515625" style="893" customWidth="1"/>
    <col min="8192" max="8192" width="46.42578125" style="893" customWidth="1"/>
    <col min="8193" max="8194" width="29.28515625" style="893" customWidth="1"/>
    <col min="8195" max="8197" width="46.42578125" style="893" customWidth="1"/>
    <col min="8198" max="8446" width="8.85546875" style="893"/>
    <col min="8447" max="8447" width="29.28515625" style="893" customWidth="1"/>
    <col min="8448" max="8448" width="46.42578125" style="893" customWidth="1"/>
    <col min="8449" max="8450" width="29.28515625" style="893" customWidth="1"/>
    <col min="8451" max="8453" width="46.42578125" style="893" customWidth="1"/>
    <col min="8454" max="8702" width="8.85546875" style="893"/>
    <col min="8703" max="8703" width="29.28515625" style="893" customWidth="1"/>
    <col min="8704" max="8704" width="46.42578125" style="893" customWidth="1"/>
    <col min="8705" max="8706" width="29.28515625" style="893" customWidth="1"/>
    <col min="8707" max="8709" width="46.42578125" style="893" customWidth="1"/>
    <col min="8710" max="8958" width="8.85546875" style="893"/>
    <col min="8959" max="8959" width="29.28515625" style="893" customWidth="1"/>
    <col min="8960" max="8960" width="46.42578125" style="893" customWidth="1"/>
    <col min="8961" max="8962" width="29.28515625" style="893" customWidth="1"/>
    <col min="8963" max="8965" width="46.42578125" style="893" customWidth="1"/>
    <col min="8966" max="9214" width="8.85546875" style="893"/>
    <col min="9215" max="9215" width="29.28515625" style="893" customWidth="1"/>
    <col min="9216" max="9216" width="46.42578125" style="893" customWidth="1"/>
    <col min="9217" max="9218" width="29.28515625" style="893" customWidth="1"/>
    <col min="9219" max="9221" width="46.42578125" style="893" customWidth="1"/>
    <col min="9222" max="9470" width="8.85546875" style="893"/>
    <col min="9471" max="9471" width="29.28515625" style="893" customWidth="1"/>
    <col min="9472" max="9472" width="46.42578125" style="893" customWidth="1"/>
    <col min="9473" max="9474" width="29.28515625" style="893" customWidth="1"/>
    <col min="9475" max="9477" width="46.42578125" style="893" customWidth="1"/>
    <col min="9478" max="9726" width="8.85546875" style="893"/>
    <col min="9727" max="9727" width="29.28515625" style="893" customWidth="1"/>
    <col min="9728" max="9728" width="46.42578125" style="893" customWidth="1"/>
    <col min="9729" max="9730" width="29.28515625" style="893" customWidth="1"/>
    <col min="9731" max="9733" width="46.42578125" style="893" customWidth="1"/>
    <col min="9734" max="9982" width="8.85546875" style="893"/>
    <col min="9983" max="9983" width="29.28515625" style="893" customWidth="1"/>
    <col min="9984" max="9984" width="46.42578125" style="893" customWidth="1"/>
    <col min="9985" max="9986" width="29.28515625" style="893" customWidth="1"/>
    <col min="9987" max="9989" width="46.42578125" style="893" customWidth="1"/>
    <col min="9990" max="10238" width="8.85546875" style="893"/>
    <col min="10239" max="10239" width="29.28515625" style="893" customWidth="1"/>
    <col min="10240" max="10240" width="46.42578125" style="893" customWidth="1"/>
    <col min="10241" max="10242" width="29.28515625" style="893" customWidth="1"/>
    <col min="10243" max="10245" width="46.42578125" style="893" customWidth="1"/>
    <col min="10246" max="10494" width="8.85546875" style="893"/>
    <col min="10495" max="10495" width="29.28515625" style="893" customWidth="1"/>
    <col min="10496" max="10496" width="46.42578125" style="893" customWidth="1"/>
    <col min="10497" max="10498" width="29.28515625" style="893" customWidth="1"/>
    <col min="10499" max="10501" width="46.42578125" style="893" customWidth="1"/>
    <col min="10502" max="10750" width="8.85546875" style="893"/>
    <col min="10751" max="10751" width="29.28515625" style="893" customWidth="1"/>
    <col min="10752" max="10752" width="46.42578125" style="893" customWidth="1"/>
    <col min="10753" max="10754" width="29.28515625" style="893" customWidth="1"/>
    <col min="10755" max="10757" width="46.42578125" style="893" customWidth="1"/>
    <col min="10758" max="11006" width="8.85546875" style="893"/>
    <col min="11007" max="11007" width="29.28515625" style="893" customWidth="1"/>
    <col min="11008" max="11008" width="46.42578125" style="893" customWidth="1"/>
    <col min="11009" max="11010" width="29.28515625" style="893" customWidth="1"/>
    <col min="11011" max="11013" width="46.42578125" style="893" customWidth="1"/>
    <col min="11014" max="11262" width="8.85546875" style="893"/>
    <col min="11263" max="11263" width="29.28515625" style="893" customWidth="1"/>
    <col min="11264" max="11264" width="46.42578125" style="893" customWidth="1"/>
    <col min="11265" max="11266" width="29.28515625" style="893" customWidth="1"/>
    <col min="11267" max="11269" width="46.42578125" style="893" customWidth="1"/>
    <col min="11270" max="11518" width="8.85546875" style="893"/>
    <col min="11519" max="11519" width="29.28515625" style="893" customWidth="1"/>
    <col min="11520" max="11520" width="46.42578125" style="893" customWidth="1"/>
    <col min="11521" max="11522" width="29.28515625" style="893" customWidth="1"/>
    <col min="11523" max="11525" width="46.42578125" style="893" customWidth="1"/>
    <col min="11526" max="11774" width="8.85546875" style="893"/>
    <col min="11775" max="11775" width="29.28515625" style="893" customWidth="1"/>
    <col min="11776" max="11776" width="46.42578125" style="893" customWidth="1"/>
    <col min="11777" max="11778" width="29.28515625" style="893" customWidth="1"/>
    <col min="11779" max="11781" width="46.42578125" style="893" customWidth="1"/>
    <col min="11782" max="12030" width="8.85546875" style="893"/>
    <col min="12031" max="12031" width="29.28515625" style="893" customWidth="1"/>
    <col min="12032" max="12032" width="46.42578125" style="893" customWidth="1"/>
    <col min="12033" max="12034" width="29.28515625" style="893" customWidth="1"/>
    <col min="12035" max="12037" width="46.42578125" style="893" customWidth="1"/>
    <col min="12038" max="12286" width="8.85546875" style="893"/>
    <col min="12287" max="12287" width="29.28515625" style="893" customWidth="1"/>
    <col min="12288" max="12288" width="46.42578125" style="893" customWidth="1"/>
    <col min="12289" max="12290" width="29.28515625" style="893" customWidth="1"/>
    <col min="12291" max="12293" width="46.42578125" style="893" customWidth="1"/>
    <col min="12294" max="12542" width="8.85546875" style="893"/>
    <col min="12543" max="12543" width="29.28515625" style="893" customWidth="1"/>
    <col min="12544" max="12544" width="46.42578125" style="893" customWidth="1"/>
    <col min="12545" max="12546" width="29.28515625" style="893" customWidth="1"/>
    <col min="12547" max="12549" width="46.42578125" style="893" customWidth="1"/>
    <col min="12550" max="12798" width="8.85546875" style="893"/>
    <col min="12799" max="12799" width="29.28515625" style="893" customWidth="1"/>
    <col min="12800" max="12800" width="46.42578125" style="893" customWidth="1"/>
    <col min="12801" max="12802" width="29.28515625" style="893" customWidth="1"/>
    <col min="12803" max="12805" width="46.42578125" style="893" customWidth="1"/>
    <col min="12806" max="13054" width="8.85546875" style="893"/>
    <col min="13055" max="13055" width="29.28515625" style="893" customWidth="1"/>
    <col min="13056" max="13056" width="46.42578125" style="893" customWidth="1"/>
    <col min="13057" max="13058" width="29.28515625" style="893" customWidth="1"/>
    <col min="13059" max="13061" width="46.42578125" style="893" customWidth="1"/>
    <col min="13062" max="13310" width="8.85546875" style="893"/>
    <col min="13311" max="13311" width="29.28515625" style="893" customWidth="1"/>
    <col min="13312" max="13312" width="46.42578125" style="893" customWidth="1"/>
    <col min="13313" max="13314" width="29.28515625" style="893" customWidth="1"/>
    <col min="13315" max="13317" width="46.42578125" style="893" customWidth="1"/>
    <col min="13318" max="13566" width="8.85546875" style="893"/>
    <col min="13567" max="13567" width="29.28515625" style="893" customWidth="1"/>
    <col min="13568" max="13568" width="46.42578125" style="893" customWidth="1"/>
    <col min="13569" max="13570" width="29.28515625" style="893" customWidth="1"/>
    <col min="13571" max="13573" width="46.42578125" style="893" customWidth="1"/>
    <col min="13574" max="13822" width="8.85546875" style="893"/>
    <col min="13823" max="13823" width="29.28515625" style="893" customWidth="1"/>
    <col min="13824" max="13824" width="46.42578125" style="893" customWidth="1"/>
    <col min="13825" max="13826" width="29.28515625" style="893" customWidth="1"/>
    <col min="13827" max="13829" width="46.42578125" style="893" customWidth="1"/>
    <col min="13830" max="14078" width="8.85546875" style="893"/>
    <col min="14079" max="14079" width="29.28515625" style="893" customWidth="1"/>
    <col min="14080" max="14080" width="46.42578125" style="893" customWidth="1"/>
    <col min="14081" max="14082" width="29.28515625" style="893" customWidth="1"/>
    <col min="14083" max="14085" width="46.42578125" style="893" customWidth="1"/>
    <col min="14086" max="14334" width="8.85546875" style="893"/>
    <col min="14335" max="14335" width="29.28515625" style="893" customWidth="1"/>
    <col min="14336" max="14336" width="46.42578125" style="893" customWidth="1"/>
    <col min="14337" max="14338" width="29.28515625" style="893" customWidth="1"/>
    <col min="14339" max="14341" width="46.42578125" style="893" customWidth="1"/>
    <col min="14342" max="14590" width="8.85546875" style="893"/>
    <col min="14591" max="14591" width="29.28515625" style="893" customWidth="1"/>
    <col min="14592" max="14592" width="46.42578125" style="893" customWidth="1"/>
    <col min="14593" max="14594" width="29.28515625" style="893" customWidth="1"/>
    <col min="14595" max="14597" width="46.42578125" style="893" customWidth="1"/>
    <col min="14598" max="14846" width="8.85546875" style="893"/>
    <col min="14847" max="14847" width="29.28515625" style="893" customWidth="1"/>
    <col min="14848" max="14848" width="46.42578125" style="893" customWidth="1"/>
    <col min="14849" max="14850" width="29.28515625" style="893" customWidth="1"/>
    <col min="14851" max="14853" width="46.42578125" style="893" customWidth="1"/>
    <col min="14854" max="15102" width="8.85546875" style="893"/>
    <col min="15103" max="15103" width="29.28515625" style="893" customWidth="1"/>
    <col min="15104" max="15104" width="46.42578125" style="893" customWidth="1"/>
    <col min="15105" max="15106" width="29.28515625" style="893" customWidth="1"/>
    <col min="15107" max="15109" width="46.42578125" style="893" customWidth="1"/>
    <col min="15110" max="15358" width="8.85546875" style="893"/>
    <col min="15359" max="15359" width="29.28515625" style="893" customWidth="1"/>
    <col min="15360" max="15360" width="46.42578125" style="893" customWidth="1"/>
    <col min="15361" max="15362" width="29.28515625" style="893" customWidth="1"/>
    <col min="15363" max="15365" width="46.42578125" style="893" customWidth="1"/>
    <col min="15366" max="15614" width="8.85546875" style="893"/>
    <col min="15615" max="15615" width="29.28515625" style="893" customWidth="1"/>
    <col min="15616" max="15616" width="46.42578125" style="893" customWidth="1"/>
    <col min="15617" max="15618" width="29.28515625" style="893" customWidth="1"/>
    <col min="15619" max="15621" width="46.42578125" style="893" customWidth="1"/>
    <col min="15622" max="15870" width="8.85546875" style="893"/>
    <col min="15871" max="15871" width="29.28515625" style="893" customWidth="1"/>
    <col min="15872" max="15872" width="46.42578125" style="893" customWidth="1"/>
    <col min="15873" max="15874" width="29.28515625" style="893" customWidth="1"/>
    <col min="15875" max="15877" width="46.42578125" style="893" customWidth="1"/>
    <col min="15878" max="16126" width="8.85546875" style="893"/>
    <col min="16127" max="16127" width="29.28515625" style="893" customWidth="1"/>
    <col min="16128" max="16128" width="46.42578125" style="893" customWidth="1"/>
    <col min="16129" max="16130" width="29.28515625" style="893" customWidth="1"/>
    <col min="16131" max="16133" width="46.42578125" style="893" customWidth="1"/>
    <col min="16134" max="16384" width="8.85546875" style="893"/>
  </cols>
  <sheetData>
    <row r="2" spans="1:51">
      <c r="A2" s="893" t="s">
        <v>2996</v>
      </c>
      <c r="D2" s="1493"/>
      <c r="E2" s="1493"/>
    </row>
    <row r="3" spans="1:51" ht="26.25" customHeight="1">
      <c r="A3" s="1894" t="s">
        <v>4281</v>
      </c>
      <c r="B3" s="1894"/>
      <c r="C3" s="1894"/>
      <c r="D3" s="1894"/>
      <c r="E3" s="1894"/>
    </row>
    <row r="4" spans="1:51" ht="28.5" customHeight="1">
      <c r="A4" s="1894" t="s">
        <v>4282</v>
      </c>
      <c r="B4" s="1894"/>
      <c r="C4" s="1894"/>
      <c r="D4" s="1894"/>
      <c r="E4" s="1894"/>
    </row>
    <row r="5" spans="1:51" ht="30" customHeight="1">
      <c r="A5" s="1894" t="s">
        <v>4283</v>
      </c>
      <c r="B5" s="1894"/>
      <c r="C5" s="1894"/>
      <c r="D5" s="1894"/>
      <c r="E5" s="1894"/>
    </row>
    <row r="8" spans="1:51">
      <c r="A8" s="1494" t="str">
        <f>'Basic Info'!C29&amp;" Building Components"</f>
        <v xml:space="preserve"> Building Components</v>
      </c>
      <c r="B8" s="1494"/>
      <c r="C8" s="1495"/>
      <c r="D8" s="1495"/>
      <c r="E8" s="1495"/>
      <c r="F8" s="901"/>
      <c r="G8" s="901"/>
      <c r="H8" s="1616"/>
      <c r="I8" s="901"/>
      <c r="J8" s="901"/>
      <c r="K8" s="901"/>
      <c r="L8" s="901"/>
      <c r="M8" s="901"/>
      <c r="N8" s="901"/>
      <c r="O8" s="901"/>
      <c r="P8" s="901"/>
      <c r="Q8" s="901"/>
      <c r="R8" s="901"/>
      <c r="S8" s="901"/>
      <c r="T8" s="901"/>
      <c r="U8" s="901"/>
      <c r="V8" s="901"/>
      <c r="W8" s="901"/>
      <c r="X8" s="901"/>
      <c r="Y8" s="901"/>
      <c r="Z8" s="901"/>
      <c r="AA8" s="901"/>
      <c r="AB8" s="901"/>
      <c r="AC8" s="901"/>
      <c r="AD8" s="901"/>
      <c r="AE8" s="901"/>
      <c r="AF8" s="901"/>
      <c r="AG8" s="901"/>
      <c r="AH8" s="901"/>
      <c r="AI8" s="901"/>
      <c r="AJ8" s="901"/>
      <c r="AK8" s="901"/>
      <c r="AL8" s="901"/>
      <c r="AM8" s="901"/>
      <c r="AN8" s="901"/>
      <c r="AO8" s="901"/>
      <c r="AP8" s="901"/>
      <c r="AQ8" s="901"/>
      <c r="AR8" s="901"/>
      <c r="AS8" s="901"/>
      <c r="AT8" s="901"/>
      <c r="AU8" s="901"/>
      <c r="AV8" s="901"/>
      <c r="AW8" s="901"/>
      <c r="AX8" s="901"/>
      <c r="AY8" s="901"/>
    </row>
    <row r="9" spans="1:51" ht="24">
      <c r="A9" s="1496"/>
      <c r="B9" s="1550" t="s">
        <v>4297</v>
      </c>
      <c r="C9" s="1497" t="s">
        <v>3141</v>
      </c>
      <c r="D9" s="1498" t="s">
        <v>3142</v>
      </c>
      <c r="E9" s="1498" t="s">
        <v>991</v>
      </c>
    </row>
    <row r="10" spans="1:51" s="912" customFormat="1">
      <c r="A10" s="1591" t="s">
        <v>3144</v>
      </c>
      <c r="B10" s="1592"/>
      <c r="C10" s="1593"/>
      <c r="D10" s="1594"/>
      <c r="E10" s="1595"/>
      <c r="F10" s="911"/>
      <c r="G10" s="911"/>
      <c r="H10" s="967"/>
      <c r="I10" s="911"/>
      <c r="J10" s="911"/>
      <c r="K10" s="911"/>
    </row>
    <row r="11" spans="1:51">
      <c r="A11" s="1500" t="s">
        <v>2571</v>
      </c>
      <c r="B11" s="1471">
        <f>'Model Inputs'!C49</f>
        <v>0</v>
      </c>
      <c r="C11" s="1537" t="str">
        <f>IF('Model Inputs'!G49=0,"N/A",'Model Inputs'!$G$49&amp;"  "&amp; 'Model Inputs'!$J$49&amp; " Refrigerators, "&amp;'Model Inputs'!$H$49&amp;" "&amp;'Model Inputs'!$I$49)</f>
        <v>N/A</v>
      </c>
      <c r="D11" s="1538" t="str">
        <f>IF('Model Inputs'!G49=0,"N/A","Baseline: "&amp;'Model Inputs'!$E$49&amp;" kWh/yr
Proposed: "&amp;'Model Inputs'!$F$49&amp;" kWh/yr")</f>
        <v>N/A</v>
      </c>
      <c r="E11" s="1539" t="str">
        <f>IF(C11="N/A", "N/A",'Model Inputs'!G49&amp;" "&amp;'Model Inputs'!D49)</f>
        <v>N/A</v>
      </c>
      <c r="F11" s="1493"/>
      <c r="G11" s="1493"/>
    </row>
    <row r="12" spans="1:51">
      <c r="A12" s="1491" t="s">
        <v>2573</v>
      </c>
      <c r="B12" s="1552">
        <f>'Model Inputs'!C50</f>
        <v>0</v>
      </c>
      <c r="C12" s="1537" t="str">
        <f>IF('Model Inputs'!G50=0,"N/A",'Model Inputs'!$G$50&amp;"  "&amp; 'Model Inputs'!$J$50&amp; " Dishwashers, "&amp;'Model Inputs'!$H$50&amp;" "&amp;'Model Inputs'!$I$50)</f>
        <v>N/A</v>
      </c>
      <c r="D12" s="1539" t="str">
        <f>IF('Model Inputs'!G50=0,"N/A","Baseline: "&amp;'Model Inputs'!$E$50&amp;" kWh/yr" &amp; ", "&amp;'Model Inputs'!$E$51&amp;" gal/yr
Proposed: "&amp;'Model Inputs'!$F$50&amp;" kWh/yr" &amp; ", "&amp;'Model Inputs'!$F$51&amp;" gal/yr")</f>
        <v>N/A</v>
      </c>
      <c r="E12" s="1539" t="str">
        <f>IF(C12="N/A","N/A",'Model Inputs'!G50&amp;" "&amp;'Model Inputs'!D50)</f>
        <v>N/A</v>
      </c>
      <c r="F12" s="1493"/>
      <c r="G12" s="1493"/>
    </row>
    <row r="13" spans="1:51">
      <c r="A13" s="1491" t="s">
        <v>3145</v>
      </c>
      <c r="B13" s="1552">
        <f>'Model Inputs'!C52</f>
        <v>0</v>
      </c>
      <c r="C13" s="1537" t="str">
        <f>IF('Model Inputs'!G52=0,"N/A",'Model Inputs'!$G$52&amp;"  "&amp;'Model Inputs'!$K$52&amp;" "&amp; 'Model Inputs'!$J$52&amp; " Clothes Washers, "&amp;'Model Inputs'!$H$52&amp;" "&amp;'Model Inputs'!$I$52)</f>
        <v>N/A</v>
      </c>
      <c r="D13" s="1539" t="str">
        <f>IF('Model Inputs'!G52=0,"N/A","Baseline: "&amp;'Model Inputs'!$E$52&amp;" kWh/yr" &amp; ", "&amp;'Model Inputs'!$E$53&amp;" gal/yr
Proposed: "&amp;'Model Inputs'!$F$52&amp;" kWh/yr" &amp; ", "&amp;'Model Inputs'!$F$53&amp;" gal/yr")</f>
        <v>N/A</v>
      </c>
      <c r="E13" s="1539" t="str">
        <f>IF(C13="N/A","N/A",'Model Inputs'!G52&amp;" "&amp;'Model Inputs'!D52)</f>
        <v>N/A</v>
      </c>
      <c r="F13" s="1493"/>
      <c r="G13" s="1493"/>
    </row>
    <row r="14" spans="1:51">
      <c r="A14" s="1491" t="s">
        <v>3146</v>
      </c>
      <c r="B14" s="1552">
        <f>'Model Inputs'!C57</f>
        <v>0</v>
      </c>
      <c r="C14" s="1537" t="str">
        <f>IF('Model Inputs'!G57=0,"N/A",IF('Model Inputs'!$B$57="Electric Stove (kWh/yr)",'Model Inputs'!$G$57&amp;" "&amp;" Electric Stoves",'Model Inputs'!$G$57&amp;" Gas Stoves"))</f>
        <v>N/A</v>
      </c>
      <c r="D14" s="1539" t="str">
        <f>IF(C14="N/A","N/A",IF('Model Inputs'!$B$57="Electric Stoves (kWh/yr)","Baseline: "&amp;'Model Inputs'!$E$57&amp;" kWh/yr
Proposed: "&amp;'Model Inputs'!$F$57&amp;" kWh/yr","Baseline: "&amp;'Model Inputs'!$E$57&amp;" therm/yr
Proposed: "&amp;'Model Inputs'!$F$57&amp;" therm/yr"))</f>
        <v>N/A</v>
      </c>
      <c r="E14" s="1539" t="str">
        <f>IF(C14="N/A","N/A",IF('Model Inputs'!$B$57="Electric Stove (kWh/yr)",'Model Inputs'!$G$57&amp;" "&amp;" Electric Stoves",'Model Inputs'!$G$57&amp;" Gas Stoves"))</f>
        <v>N/A</v>
      </c>
      <c r="F14" s="1493"/>
      <c r="G14" s="1493"/>
    </row>
    <row r="15" spans="1:51">
      <c r="A15" s="1491" t="s">
        <v>3147</v>
      </c>
      <c r="B15" s="1552">
        <f>'Model Inputs'!C55</f>
        <v>0</v>
      </c>
      <c r="C15" s="1537" t="str">
        <f>IF('Model Inputs'!G55=0,"N/A",IF('Model Inputs'!$B$55="Electric Clothes Dryer (kWh/yr)",'Model Inputs'!$G$55&amp;" "&amp;" Electric Clothes Dryers",'Model Inputs'!$G$55&amp;" Gas Clothes Dryers"))</f>
        <v>N/A</v>
      </c>
      <c r="D15" s="1539" t="str">
        <f>IF(C15="N/A","N/A",IF('Model Inputs'!E56="N/A","Baseline: "&amp;'Model Inputs'!$E$55&amp;" kWh/yr
Proposed: "&amp;'Model Inputs'!$F$55&amp;" kWh/yr","Baseline: "&amp;'Model Inputs'!E55&amp;" kWh/yr, "&amp;'Model Inputs'!E56&amp;" therm/yr
Proposed: "&amp;'Model Inputs'!F55&amp;" kWh/yr, "&amp;'Model Inputs'!F56&amp;" therm/yr"))</f>
        <v>N/A</v>
      </c>
      <c r="E15" s="1539" t="str">
        <f>IF(C15="N/A","N/A",IF('Model Inputs'!$B$55="Electric Clothes Dryer (kWh/yr)",'Model Inputs'!$G$55&amp;" "&amp;" Electric Clothes Dryers",'Model Inputs'!$G$55&amp;" Gas Clothes Dryers"))</f>
        <v>N/A</v>
      </c>
      <c r="F15" s="1493"/>
      <c r="G15" s="1493"/>
    </row>
    <row r="16" spans="1:51">
      <c r="A16" s="1552" t="s">
        <v>4406</v>
      </c>
      <c r="B16" s="1491">
        <f>'Model Inputs'!C54</f>
        <v>0</v>
      </c>
      <c r="C16" s="1539" t="str">
        <f>IF('Model Inputs'!G54=0,"N/A",'Model Inputs'!G54&amp;" elevators, "&amp;'Model Inputs'!F54&amp;" kWh/yr")</f>
        <v>N/A</v>
      </c>
      <c r="D16" s="1539" t="str">
        <f>IF(C16="N/A","N/A","Baseline: "&amp;'Model Inputs'!E54&amp;" kWh/yr
Proposed: "&amp;'Model Inputs'!F54&amp;" kWh/yr")</f>
        <v>N/A</v>
      </c>
      <c r="E16" s="1539" t="str">
        <f>IF(C16="N/A","N/A",'Model Inputs'!G54&amp;" elevators, "&amp;'Model Inputs'!E54&amp;" kWh/yr")</f>
        <v>N/A</v>
      </c>
      <c r="F16" s="1493"/>
      <c r="G16" s="1493"/>
    </row>
    <row r="17" spans="1:11">
      <c r="A17" s="1491" t="str">
        <f>'Model Inputs'!B58</f>
        <v>&lt;Other Appliance&gt; (kWh/yr)</v>
      </c>
      <c r="B17" s="1491">
        <f>'Model Inputs'!C58</f>
        <v>0</v>
      </c>
      <c r="C17" s="1539" t="str">
        <f>IF('Model Inputs'!G58=0,"N/A",'Model Inputs'!G58&amp;" "&amp;'Model Inputs'!H58&amp;" "&amp;'Model Inputs'!I58&amp;", "&amp;'Model Inputs'!F58&amp;" kWh/yr")</f>
        <v>N/A</v>
      </c>
      <c r="D17" s="1539" t="str">
        <f>IF(C17="N/A","N/A","Baseline: "&amp;'Model Inputs'!E58&amp;" kWh/yr
Proposed: "&amp;'Model Inputs'!F58&amp;" kWh/yr")</f>
        <v>N/A</v>
      </c>
      <c r="E17" s="1539" t="str">
        <f>IF(C17="N/A","N/A",'Model Inputs'!E58&amp; " kWh/yr")</f>
        <v>N/A</v>
      </c>
      <c r="F17" s="1493"/>
      <c r="G17" s="1493"/>
    </row>
    <row r="18" spans="1:11" s="912" customFormat="1">
      <c r="A18" s="1591" t="s">
        <v>3148</v>
      </c>
      <c r="B18" s="1592"/>
      <c r="C18" s="1593"/>
      <c r="D18" s="1594"/>
      <c r="E18" s="1599"/>
      <c r="G18" s="1493"/>
      <c r="H18" s="1493"/>
      <c r="I18" s="911"/>
      <c r="J18" s="911"/>
      <c r="K18" s="911"/>
    </row>
    <row r="19" spans="1:11" ht="24">
      <c r="A19" s="1500" t="s">
        <v>3149</v>
      </c>
      <c r="B19" s="1596">
        <f>'Model Inputs'!C113</f>
        <v>0</v>
      </c>
      <c r="C19" s="1597" t="str">
        <f>'Model Inputs'!$F$117&amp;" "&amp;'Model Inputs'!$F$113&amp;" ("&amp;'Model Inputs'!$F$115&amp;" kBtu)
Et- "&amp;'Model Inputs'!$F$114*100&amp;"%"</f>
        <v xml:space="preserve">  ( kBtu)
Et- 0%</v>
      </c>
      <c r="D19" s="1598" t="str">
        <f>"Baseline: Et-"&amp;'Model Inputs'!$E$114*100&amp;"%"&amp;", "&amp;'Model Inputs'!$E$115&amp;" kBtu
Proposed: Et-"&amp;'Model Inputs'!$F$114*100&amp;"%"&amp;", "&amp;'Model Inputs'!$F$115&amp;" kBtu"</f>
        <v>Baseline: Et-0%,  kBtu
Proposed: Et-0%,  kBtu</v>
      </c>
      <c r="E19" s="1598" t="str">
        <f>'Model Inputs'!E117&amp;" "&amp;'Model Inputs'!E113&amp;"
Et-"&amp;'Model Inputs'!E114*100&amp;"%"</f>
        <v xml:space="preserve"> 
Et-0%</v>
      </c>
    </row>
    <row r="20" spans="1:11" ht="24">
      <c r="A20" s="1491" t="s">
        <v>3150</v>
      </c>
      <c r="B20" s="1552">
        <f>'Model Inputs'!C118</f>
        <v>0</v>
      </c>
      <c r="C20" s="1542" t="str">
        <f>'Model Inputs'!$F$116&amp;" gal Storage Tank, R-"&amp;'Model Inputs'!$F$118</f>
        <v xml:space="preserve"> gal Storage Tank, R-</v>
      </c>
      <c r="D20" s="1541" t="str">
        <f>"Baseline: R-"&amp;'Model Inputs'!$E$118&amp;", "&amp;'Model Inputs'!$E$116&amp;" gal
Proposed: R-"&amp;'Model Inputs'!$F$118&amp;", "&amp;'Model Inputs'!$F$116&amp;" gal"</f>
        <v>Baseline: R-12.5,  gal
Proposed: R-,  gal</v>
      </c>
      <c r="E20" s="1541" t="str">
        <f>'Model Inputs'!E116&amp;" gal storage tank, R-"&amp;'Model Inputs'!E118</f>
        <v xml:space="preserve"> gal storage tank, R-12.5</v>
      </c>
    </row>
    <row r="21" spans="1:11" ht="48">
      <c r="A21" s="1491" t="s">
        <v>3151</v>
      </c>
      <c r="B21" s="1552">
        <f>'Model Inputs'!C125</f>
        <v>0</v>
      </c>
      <c r="C21" s="1540" t="str">
        <f>"Showerheads: "&amp;'Model Inputs'!$F$125&amp;" gpm
Kitchen Faucets: "&amp;'Model Inputs'!$F$126&amp;" gpm
Lavatory Faucets: "&amp;'Model Inputs'!$F$127&amp;" gpm
Toilets: "&amp;'Model Inputs'!$F$128&amp;" gpf"</f>
        <v>Showerheads:  gpm
Kitchen Faucets:  gpm
Lavatory Faucets:  gpm
Toilets:  gpf</v>
      </c>
      <c r="D21" s="1541" t="str">
        <f>"Baseline: "&amp;TRUNC('Model Inputs'!$E$129,1)&amp; " gpm
Proposed: "&amp;TRUNC('Model Inputs'!$F$129,1)&amp;" gpm"</f>
        <v>Baseline: 0 gpm
Proposed: 0 gpm</v>
      </c>
      <c r="E21" s="1541" t="str">
        <f>"Showerheads: "&amp;'Model Inputs'!E125&amp;" gpm
Kitchen Faucets: "&amp;'Model Inputs'!E126&amp;" gpm
Lavatory Faucets: "&amp;'Model Inputs'!E127&amp;" gpm
Toilets: "&amp;'Model Inputs'!E128&amp;" gpf"</f>
        <v>Showerheads: 2.5 gpm
Kitchen Faucets: 2.5 gpm
Lavatory Faucets: 2.5 gpm
Toilets: 1.6 gpf</v>
      </c>
    </row>
    <row r="22" spans="1:11" s="912" customFormat="1" ht="36">
      <c r="A22" s="1499" t="s">
        <v>3152</v>
      </c>
      <c r="B22" s="1551"/>
      <c r="C22" s="1501" t="s">
        <v>3153</v>
      </c>
      <c r="D22" s="1502"/>
      <c r="E22" s="1503"/>
      <c r="F22" s="911"/>
      <c r="G22" s="911"/>
      <c r="H22" s="967"/>
      <c r="I22" s="911"/>
    </row>
    <row r="23" spans="1:11" ht="24">
      <c r="A23" s="1491" t="s">
        <v>3154</v>
      </c>
      <c r="B23" s="1552">
        <f>'Model Inputs'!C17</f>
        <v>0</v>
      </c>
      <c r="C23" s="1536" t="str">
        <f>IF('Model Inputs'!G17="N/A","N/A",'Model Inputs'!G17&amp;", C-"&amp;'Model Inputs'!G18)</f>
        <v>, C-</v>
      </c>
      <c r="D23" s="1536" t="str">
        <f>IF(C23="N/A","N/A","Baseline: C-"&amp;'Model Inputs'!E18&amp;" (res) &amp; C-"&amp;'Model Inputs'!F18&amp;" (non-res)
Proposed: C-"&amp;'Model Inputs'!G18)</f>
        <v>Baseline: C- (res) &amp; C- (non-res)
Proposed: C-</v>
      </c>
      <c r="E23" s="1600" t="str">
        <f>IF(D23="N/A","N/A","BGW: "&amp;'Model Inputs'!E17&amp;", C-"&amp;'Model Inputs'!E18&amp;" (res); C-"&amp;'Model Inputs'!F18&amp;" (non-res)")</f>
        <v>BGW: Per ASHRAE, C- (res); C- (non-res)</v>
      </c>
    </row>
    <row r="24" spans="1:11" ht="24">
      <c r="A24" s="1491" t="s">
        <v>3155</v>
      </c>
      <c r="B24" s="1552">
        <f>'Model Inputs'!C13</f>
        <v>0</v>
      </c>
      <c r="C24" s="1536" t="str">
        <f>'Model Inputs'!G13&amp;", U-"&amp;'Model Inputs'!G14</f>
        <v>, U-</v>
      </c>
      <c r="D24" s="1536" t="str">
        <f>"Baseline: U-"&amp;'Model Inputs'!E14&amp;" (res) &amp; U-"&amp;'Model Inputs'!F14&amp;" (non-res)
Proposed: U-"&amp;'Model Inputs'!G14</f>
        <v>Baseline: U- (res) &amp; U- (non-res)
Proposed: U-</v>
      </c>
      <c r="E24" s="1600" t="str">
        <f>"AGW: "&amp;'Model Inputs'!E13&amp;", U-"&amp;'Model Inputs'!E14&amp;" (res) &amp; U-"&amp;'Model Inputs'!F14&amp;" (non-res)"</f>
        <v>AGW: Per ASHRAE, U- (res) &amp; U- (non-res)</v>
      </c>
    </row>
    <row r="25" spans="1:11" ht="24">
      <c r="A25" s="1491" t="s">
        <v>3156</v>
      </c>
      <c r="B25" s="1552">
        <f>'Model Inputs'!C15</f>
        <v>0</v>
      </c>
      <c r="C25" s="1536" t="str">
        <f>IF('Model Inputs'!G15="N/A","N/A",'Model Inputs'!G15&amp;", U-"&amp;'Model Inputs'!G16)</f>
        <v>, U-</v>
      </c>
      <c r="D25" s="1536" t="str">
        <f>IF(C25="N/A","N/A","Baseline: U-"&amp;'Model Inputs'!E16&amp;" (res) &amp; U-"&amp;'Model Inputs'!F16&amp;" (non-res)
Proposed: U-"&amp;'Model Inputs'!G16)</f>
        <v>Baseline: U- (res) &amp; U- (non-res)
Proposed: U-</v>
      </c>
      <c r="E25" s="1600" t="str">
        <f>IF(D25="N/A","N/A","Floor Perimeter: "&amp;'Model Inputs'!E15&amp;", U-"&amp;'Model Inputs'!E16&amp;" (res) &amp; U-"&amp;'Model Inputs'!F16&amp;" (non-res)")</f>
        <v>Floor Perimeter: Per ASHRAE, U- (res) &amp; U- (non-res)</v>
      </c>
    </row>
    <row r="26" spans="1:11" ht="24">
      <c r="A26" s="1491" t="s">
        <v>3157</v>
      </c>
      <c r="B26" s="1552">
        <f>'Model Inputs'!C27</f>
        <v>0</v>
      </c>
      <c r="C26" s="1536" t="str">
        <f>'Model Inputs'!G27&amp;", U-"&amp;'Model Inputs'!G28</f>
        <v>, U-</v>
      </c>
      <c r="D26" s="1536" t="str">
        <f>"Baseline: U-"&amp;'Model Inputs'!E28&amp;"
Proposed: U-"&amp;'Model Inputs'!G28</f>
        <v>Baseline: U-
Proposed: U-</v>
      </c>
      <c r="E26" s="1600" t="str">
        <f>"Roof Insulation: "&amp;'Model Inputs'!E27&amp;", U-"&amp;'Model Inputs'!E28</f>
        <v>Roof Insulation: Per ASHRAE, U-</v>
      </c>
    </row>
    <row r="27" spans="1:11" ht="24">
      <c r="A27" s="1491" t="s">
        <v>3158</v>
      </c>
      <c r="B27" s="1552">
        <f>'Model Inputs'!C19</f>
        <v>0</v>
      </c>
      <c r="C27" s="1536" t="str">
        <f>IF('Model Inputs'!G19="N/A","N/A",'Model Inputs'!G19&amp;", U-"&amp;'Model Inputs'!G20)</f>
        <v>, U-</v>
      </c>
      <c r="D27" s="1536" t="str">
        <f>IF(C27="N/A","N/A","Baseline: U-"&amp;'Model Inputs'!E20&amp;" (res) &amp; U-"&amp;'Model Inputs'!F20&amp;" (non-res)
Proposed: U-"&amp;'Model Inputs'!G20)</f>
        <v>Baseline: U- (res) &amp; U- (non-res)
Proposed: U-</v>
      </c>
      <c r="E27" s="1600" t="str">
        <f>IF(D27="N/A","N/A","Floor above cond. Space: "&amp;'Model Inputs'!E19&amp;", U-"&amp;'Model Inputs'!E20&amp;" (res) &amp; U-"&amp;'Model Inputs'!F20&amp;" (non-res)")</f>
        <v>Floor above cond. Space: Per ASHRAE, U- (res) &amp; U- (non-res)</v>
      </c>
    </row>
    <row r="28" spans="1:11" ht="24">
      <c r="A28" s="1491" t="s">
        <v>3159</v>
      </c>
      <c r="B28" s="1552">
        <f>'Model Inputs'!C25</f>
        <v>0</v>
      </c>
      <c r="C28" s="1536" t="str">
        <f>IF('Model Inputs'!G25="N/A","N/A",'Model Inputs'!G25&amp;", C-"&amp;'Model Inputs'!G26)</f>
        <v>, C-</v>
      </c>
      <c r="D28" s="1536" t="str">
        <f>IF(C28="N/A","N/A","Baseline: C-"&amp;'Model Inputs'!E26&amp;"
Proposed: C-"&amp;'Model Inputs'!G26)</f>
        <v>Baseline: C-
Proposed: C-</v>
      </c>
      <c r="E28" s="1600" t="str">
        <f>IF(D28="N/A","N/A","Slab-below-grade: "&amp;'Model Inputs'!E25&amp;", C-"&amp;'Model Inputs'!E26)</f>
        <v>Slab-below-grade: Per ASHRAE, C-</v>
      </c>
    </row>
    <row r="29" spans="1:11" ht="24">
      <c r="A29" s="1491" t="s">
        <v>4315</v>
      </c>
      <c r="B29" s="1552">
        <f>'Model Inputs'!C21</f>
        <v>0</v>
      </c>
      <c r="C29" s="1536" t="str">
        <f>IF('Model Inputs'!G21="N/A","N/A",'Model Inputs'!G21&amp;", F-"&amp;'Model Inputs'!G22)</f>
        <v>, F-</v>
      </c>
      <c r="D29" s="1536" t="str">
        <f>IF(C29="N/A","N/A","Baseline: F-"&amp;'Model Inputs'!E22&amp;" (res) &amp; F-"&amp;'Model Inputs'!F22&amp;" (non-res)
Proposed: F-"&amp;'Model Inputs'!G22)</f>
        <v>Baseline: F- (res) &amp; F- (non-res)
Proposed: F-</v>
      </c>
      <c r="E29" s="1600" t="str">
        <f>IF(D29="N/A","N/A","Slab-on-grade: "&amp;'Model Inputs'!E21&amp;", F-"&amp;'Model Inputs'!E22&amp;" (res) &amp; F-"&amp;'Model Inputs'!F22&amp;" (non-res)")</f>
        <v>Slab-on-grade: Per ASHRAE, F- (res) &amp; F- (non-res)</v>
      </c>
    </row>
    <row r="30" spans="1:11" ht="24">
      <c r="A30" s="1622" t="s">
        <v>4316</v>
      </c>
      <c r="B30" s="1623">
        <f>'Model Inputs'!C23</f>
        <v>0</v>
      </c>
      <c r="C30" s="1536" t="str">
        <f>IF('Model Inputs'!G23="N/A","N/A",'Model Inputs'!G23&amp;", F-"&amp;'Model Inputs'!G24)</f>
        <v>, F-</v>
      </c>
      <c r="D30" s="1536" t="str">
        <f>IF(C30="N/A","N/A","Baseline: F-"&amp;'Model Inputs'!E24&amp;" (res) &amp; F-"&amp;'Model Inputs'!F24&amp;" (non-res)
Proposed: F-"&amp;'Model Inputs'!G24)</f>
        <v>Baseline: F- (res) &amp; F- (non-res)
Proposed: F-</v>
      </c>
      <c r="E30" s="1600" t="str">
        <f>IF(D30="N/A","N/A","Slab-on-grade: "&amp;'Model Inputs'!E23&amp;", F-"&amp;'Model Inputs'!E24&amp;" (res) &amp; F-"&amp;'Model Inputs'!F24&amp;" (non-res)")</f>
        <v>Slab-on-grade: Per ASHRAE, F- (res) &amp; F- (non-res)</v>
      </c>
    </row>
    <row r="31" spans="1:11" ht="24">
      <c r="A31" s="1491" t="s">
        <v>2563</v>
      </c>
      <c r="B31" s="1552">
        <f>'Model Inputs'!C30</f>
        <v>0</v>
      </c>
      <c r="C31" s="1536" t="str">
        <f>'Model Inputs'!G31&amp;", "&amp;'Model Inputs'!G30&amp;", U-"&amp;'Model Inputs'!G32&amp;", SHGC-"&amp;'Model Inputs'!G33</f>
        <v>, , U-, SHGC-</v>
      </c>
      <c r="D31" s="1536" t="str">
        <f>"Baseline: U-"&amp;'Model Inputs'!E32&amp;", SHGC-"&amp;'Model Inputs'!E33&amp;"
Proposed: U-"&amp;'Model Inputs'!G32&amp;", SHGC-"&amp;'Model Inputs'!G33</f>
        <v>Baseline: U-, SHGC-
Proposed: U-, SHGC-</v>
      </c>
      <c r="E31" s="1600" t="str">
        <f>"Windows: "&amp;'Model Inputs'!E31&amp;", "&amp;'Model Inputs'!E30&amp;", U-"&amp;'Model Inputs'!E32&amp;", SHGC-"&amp;'Model Inputs'!E33</f>
        <v>Windows: Per ASHRAE, , U-, SHGC-</v>
      </c>
    </row>
    <row r="32" spans="1:11" ht="24">
      <c r="A32" s="1491" t="s">
        <v>2778</v>
      </c>
      <c r="B32" s="1552">
        <f>'Model Inputs'!C34</f>
        <v>0</v>
      </c>
      <c r="C32" s="1739">
        <f>'Model Inputs'!G34</f>
        <v>0</v>
      </c>
      <c r="D32" s="1536" t="str">
        <f>"Baseline: "&amp;'Model Inputs'!E34&amp;"
Proposed: "&amp;'Model Inputs'!G34</f>
        <v xml:space="preserve">Baseline: 
Proposed: </v>
      </c>
      <c r="E32" s="1740">
        <f>'Model Inputs'!E34</f>
        <v>0</v>
      </c>
    </row>
    <row r="33" spans="1:9" ht="24">
      <c r="A33" s="1491" t="s">
        <v>3161</v>
      </c>
      <c r="B33" s="1552">
        <f>'Model Inputs'!C35</f>
        <v>0</v>
      </c>
      <c r="C33" s="1536" t="str">
        <f>'Model Inputs'!G35&amp;", U-"&amp;'Model Inputs'!G36</f>
        <v>, U-</v>
      </c>
      <c r="D33" s="1536" t="str">
        <f>"Baseline: U-"&amp;'Model Inputs'!E36&amp;"
Proposed: U-"&amp;'Model Inputs'!G36</f>
        <v>Baseline: U-
Proposed: U-</v>
      </c>
      <c r="E33" s="1600" t="str">
        <f>"Exterior doors: "&amp;'Model Inputs'!E35&amp;", U-"&amp;'Model Inputs'!E36</f>
        <v>Exterior doors: , U-</v>
      </c>
    </row>
    <row r="34" spans="1:9" s="912" customFormat="1" ht="36">
      <c r="A34" s="1499" t="s">
        <v>3162</v>
      </c>
      <c r="B34" s="1551"/>
      <c r="C34" s="1501" t="s">
        <v>3163</v>
      </c>
      <c r="D34" s="1502"/>
      <c r="E34" s="1503"/>
      <c r="F34" s="911"/>
      <c r="G34" s="911"/>
      <c r="H34" s="967"/>
      <c r="I34" s="911"/>
    </row>
    <row r="35" spans="1:9" ht="51.75" customHeight="1">
      <c r="A35" s="1491" t="s">
        <v>3164</v>
      </c>
      <c r="B35" s="1552" t="s">
        <v>215</v>
      </c>
      <c r="C35" s="1541" t="str">
        <f>"Primary system: "&amp;'Model Inputs'!F65&amp;" "&amp;'Model Inputs'!F64&amp;" ("&amp;'Model Inputs'!AB66&amp;")"&amp;IF(AND('Model Inputs'!F68&lt;&gt;"N/A",'Model Inputs'!K68="No"),"; Secondary system: "&amp;'Model Inputs'!F69&amp;" "&amp;'Model Inputs'!F68&amp;" ("&amp;'Model Inputs'!AB70&amp;")","")&amp;IF(AND('Model Inputs'!F72&lt;&gt;"N/A",'Model Inputs'!K72="No"),"; Tertiary System: "&amp;'Model Inputs'!F73&amp;" "&amp;'Model Inputs'!F72&amp;" ("&amp;'Model Inputs'!AB74&amp;")","")</f>
        <v>Primary system:   (0% AFUE); Tertiary System:   (0% Et)</v>
      </c>
      <c r="D35" s="1691" t="str">
        <f>"Baseline: "&amp;'Model Inputs'!AA66&amp;"
Proposed (Primary): "&amp;'Model Inputs'!AB66&amp;IF(AND('Model Inputs'!F68&lt;&gt;"N/A",'Model Inputs'!K68="No"),"
Proposed (Secondary): "&amp;'Model Inputs'!AB70,"")&amp;IF(AND('Model Inputs'!K72="No",'Model Inputs'!F72&lt;&gt;"N/A"),"
Proposed (Tertiary): "&amp;'Model Inputs'!AB74,"")</f>
        <v>Baseline: 0% AFUE
Proposed (Primary): 0% AFUE
Proposed (Tertiary): 0% Et</v>
      </c>
      <c r="E35" s="1541" t="str">
        <f>'Model Inputs'!E65&amp;" "&amp;'Model Inputs'!E64&amp;" ("&amp;'Model Inputs'!AA66&amp;")"</f>
        <v xml:space="preserve">  (0% AFUE)</v>
      </c>
    </row>
    <row r="36" spans="1:9" ht="24">
      <c r="A36" s="1702" t="s">
        <v>4363</v>
      </c>
      <c r="B36" s="1552">
        <f>'Model Inputs'!C64</f>
        <v>0</v>
      </c>
      <c r="C36" s="1703" t="str">
        <f>'Model Inputs'!F65&amp;" "&amp;'Model Inputs'!F64&amp;", "&amp;'Model Inputs'!AB66&amp;" serving "&amp;'Model Inputs'!J64</f>
        <v xml:space="preserve"> , 0% AFUE serving </v>
      </c>
      <c r="D36" s="1691" t="str">
        <f>"Baseline: "&amp;'Model Inputs'!AA66&amp;"
Proposed: "&amp;'Model Inputs'!AB66</f>
        <v>Baseline: 0% AFUE
Proposed: 0% AFUE</v>
      </c>
      <c r="E36" s="1703" t="str">
        <f>'Model Inputs'!E65&amp;" "&amp;'Model Inputs'!E64&amp;", "&amp;'Model Inputs'!AA66</f>
        <v xml:space="preserve"> , 0% AFUE</v>
      </c>
    </row>
    <row r="37" spans="1:9" ht="24">
      <c r="A37" s="1702" t="s">
        <v>4364</v>
      </c>
      <c r="B37" s="1552">
        <f>'Model Inputs'!C68</f>
        <v>0</v>
      </c>
      <c r="C37" s="1703" t="str">
        <f>IF('Model Inputs'!F68="N/A","N/A",'Model Inputs'!F69&amp;" "&amp;'Model Inputs'!F68&amp;", "&amp;'Model Inputs'!AB70&amp;" serving "&amp;'Model Inputs'!J68)</f>
        <v xml:space="preserve"> , 0% Et serving </v>
      </c>
      <c r="D37" s="1691" t="str">
        <f>IF(C37="N/A","N/A","Baseline: "&amp;'Model Inputs'!AA66&amp;"
Proposed: "&amp;'Model Inputs'!AB70)</f>
        <v>Baseline: 0% AFUE
Proposed: 0% Et</v>
      </c>
      <c r="E37" s="1703" t="str">
        <f>IF(C36="N/A","N/A",E36)</f>
        <v xml:space="preserve"> , 0% AFUE</v>
      </c>
    </row>
    <row r="38" spans="1:9" ht="24">
      <c r="A38" s="1702" t="s">
        <v>4365</v>
      </c>
      <c r="B38" s="1552">
        <f>'Model Inputs'!C72</f>
        <v>0</v>
      </c>
      <c r="C38" s="1703" t="str">
        <f>IF('Model Inputs'!F72="N/A","N/A",'Model Inputs'!F73&amp;" "&amp;'Model Inputs'!F72&amp;", "&amp;'Model Inputs'!AB74&amp;" serving "&amp;'Model Inputs'!J72)</f>
        <v xml:space="preserve"> , 0% Et serving </v>
      </c>
      <c r="D38" s="1691" t="str">
        <f>IF(C38="N/A","N/A","Baseline: "&amp;'Model Inputs'!AA66&amp;"
Proposed: "&amp;'Model Inputs'!AB74)</f>
        <v>Baseline: 0% AFUE
Proposed: 0% Et</v>
      </c>
      <c r="E38" s="1703" t="str">
        <f>IF(D38="N/A","N/A",E37)</f>
        <v xml:space="preserve"> , 0% AFUE</v>
      </c>
    </row>
    <row r="39" spans="1:9" ht="24">
      <c r="A39" s="1491" t="s">
        <v>3165</v>
      </c>
      <c r="B39" s="1552" t="s">
        <v>215</v>
      </c>
      <c r="C39" s="1541" t="str">
        <f>IF('Model Inputs'!K64="Yes","Primary System: "&amp;'Model Inputs'!F65&amp;" "&amp;'Model Inputs'!F64&amp;" ("&amp;'Model Inputs'!AB66&amp;")",IF('Model Inputs'!K68="Yes","Secondary System: "&amp;'Model Inputs'!F69&amp;" "&amp;'Model Inputs'!F68&amp;" ("&amp;'Model Inputs'!AB70&amp;")",IF('Model Inputs'!K72="Yes","Tertiary System: "&amp;'Model Inputs'!F73&amp;" "&amp;'Model Inputs'!F72&amp;" ("&amp;'Model Inputs'!AB74&amp;")","N/A")))</f>
        <v>N/A</v>
      </c>
      <c r="D39" s="1541" t="str">
        <f>IF(AND(OR('Model Inputs'!K64="No",'Model Inputs'!K64=""),OR('Model Inputs'!K68="No",'Model Inputs'!K68=""),OR('Model Inputs'!K72="No",'Model Inputs'!K72="")),"N/A","Baseline: 0 kW
Proposed: "&amp;IF('Model Inputs'!K64="Yes",'Model Inputs'!AB66,IF('Model Inputs'!K68="Yes",'Model Inputs'!AB70,IF('Model Inputs'!K72="Yes",'Model Inputs'!AB74))))</f>
        <v>N/A</v>
      </c>
      <c r="E39" s="1541" t="s">
        <v>2677</v>
      </c>
    </row>
    <row r="40" spans="1:9" ht="24">
      <c r="A40" s="1491" t="s">
        <v>3166</v>
      </c>
      <c r="B40" s="1552">
        <f>'Model Inputs'!C108</f>
        <v>0</v>
      </c>
      <c r="C40" s="1742" t="str">
        <f>IF('Model Inputs'!F108="N/A","N/A",'Model Inputs'!F108&amp;" kW/CFM")</f>
        <v xml:space="preserve"> kW/CFM</v>
      </c>
      <c r="D40" s="1746" t="str">
        <f>IF(C40="N/A","N/A","Baseline: "&amp;'Model Inputs'!E108&amp;" kW/CFM
Proposed: "&amp;'Model Inputs'!F108&amp;" kW/CFM")</f>
        <v>Baseline: 0.0003 kW/CFM
Proposed:  kW/CFM</v>
      </c>
      <c r="E40" s="1745" t="str">
        <f>IF(D40="N/A","N/A","Space heating fan power: "&amp;'Model Inputs'!E108&amp;" kW/CFM")</f>
        <v>Space heating fan power: 0.0003 kW/CFM</v>
      </c>
    </row>
    <row r="41" spans="1:9" ht="24">
      <c r="A41" s="1491" t="s">
        <v>4407</v>
      </c>
      <c r="B41" s="1472">
        <f>'Model Inputs'!C107</f>
        <v>0</v>
      </c>
      <c r="C41" s="1743" t="str">
        <f>IF('Model Inputs'!F107="N/A","N/A","Space heating fan controls: "&amp;'Model Inputs'!F107)</f>
        <v xml:space="preserve">Space heating fan controls: </v>
      </c>
      <c r="D41" s="1747" t="str">
        <f>IF(C41="N/A","N/A","Baseline: "&amp;'Model Inputs'!E107&amp;"
Proposed: "&amp;'Model Inputs'!F107)</f>
        <v xml:space="preserve">Baseline: 
Proposed: </v>
      </c>
      <c r="E41" s="1745" t="str">
        <f>IF(D41="N/A","N/A","Space heating fan controls: "&amp;'Model Inputs'!E107)</f>
        <v xml:space="preserve">Space heating fan controls: </v>
      </c>
      <c r="F41" s="1741"/>
    </row>
    <row r="42" spans="1:9" ht="24">
      <c r="A42" s="1491" t="s">
        <v>4408</v>
      </c>
      <c r="B42" s="1472">
        <f>'Model Inputs'!C109</f>
        <v>0</v>
      </c>
      <c r="C42" s="1743" t="str">
        <f>IF('Model Inputs'!F109="N/A","N/A","Space cooling fan controls: "&amp;'Model Inputs'!F109)</f>
        <v xml:space="preserve">Space cooling fan controls: </v>
      </c>
      <c r="D42" s="1747" t="str">
        <f>IF(C42="N/A","N/A","Baseline: "&amp;'Model Inputs'!E109&amp;"
Proposed: "&amp;'Model Inputs'!F109)</f>
        <v xml:space="preserve">Baseline: Constant Volume
Proposed: </v>
      </c>
      <c r="E42" s="1745" t="str">
        <f>IF(D42="N/A","N/A","Space cooling fan controls: "&amp;'Model Inputs'!E109)</f>
        <v>Space cooling fan controls: Constant Volume</v>
      </c>
      <c r="F42" s="1741"/>
    </row>
    <row r="43" spans="1:9" ht="24">
      <c r="A43" s="1491" t="s">
        <v>4520</v>
      </c>
      <c r="B43" s="1472">
        <f>'Model Inputs'!C110</f>
        <v>0</v>
      </c>
      <c r="C43" s="1743" t="str">
        <f>IF('Model Inputs'!F110="N/A","N/A",'Model Inputs'!F110&amp;" kW/CFM")</f>
        <v xml:space="preserve"> kW/CFM</v>
      </c>
      <c r="D43" s="1744" t="str">
        <f>IF(C43="N/A","N/A","Baseline: "&amp;'Model Inputs'!E110&amp;" kW/CFM
Proposed: "&amp;'Model Inputs'!F110&amp;" kW/CFM")</f>
        <v>Baseline: 0.0003 kW/CFM
Proposed:  kW/CFM</v>
      </c>
      <c r="E43" s="1745" t="str">
        <f>IF(D43="N/A","N/A","Space cooling fan power: "&amp;'Model Inputs'!E110&amp;" kW/CFM")</f>
        <v>Space cooling fan power: 0.0003 kW/CFM</v>
      </c>
      <c r="F43" s="1741"/>
    </row>
    <row r="44" spans="1:9" ht="36">
      <c r="A44" s="1491" t="s">
        <v>3167</v>
      </c>
      <c r="B44" s="1552" t="s">
        <v>215</v>
      </c>
      <c r="C44" s="1541" t="str">
        <f>"Primary System: "&amp;'Model Inputs'!F67&amp;" kBtu"&amp;IF('Model Inputs'!F68&lt;&gt;"N/A","
Secondary System: "&amp;'Model Inputs'!F71&amp;" kBtu"&amp;IF('Model Inputs'!F72&lt;&gt;"N/A","
Tertiary System: "&amp;'Model Inputs'!F75&amp;" kBtu",""),"")</f>
        <v>Primary System:  kBtu
Secondary System:  kBtu
Tertiary System:  kBtu</v>
      </c>
      <c r="D44" s="1541" t="str">
        <f>"Baseline: "&amp;'Model Inputs'!E67&amp;" kBtu"&amp;"
Proposed: "&amp;('Model Inputs'!F67+IF('Model Inputs'!F71&lt;&gt;"N/A",'Model Inputs'!F71,0)+IF('Model Inputs'!F75&lt;&gt;"N/A",'Model Inputs'!F75,0)&amp;" kBtu")</f>
        <v>Baseline:  kBtu
Proposed: 0 kBtu</v>
      </c>
      <c r="E44" s="1541" t="str">
        <f>'Model Inputs'!E67&amp;" kBtu"</f>
        <v xml:space="preserve"> kBtu</v>
      </c>
      <c r="F44" s="1493"/>
      <c r="G44" s="1493"/>
      <c r="H44" s="893"/>
    </row>
    <row r="45" spans="1:9" ht="48">
      <c r="A45" s="1491" t="s">
        <v>3168</v>
      </c>
      <c r="B45" s="1552">
        <f>'Model Inputs'!C91</f>
        <v>0</v>
      </c>
      <c r="C45" s="1541" t="str">
        <f>"Hot Water Design Supply Temperature: "&amp;'Model Inputs'!F91&amp;" °F
Hot Water Design Return Temperature:  "&amp;'Model Inputs'!F92&amp;" °F"</f>
        <v>Hot Water Design Supply Temperature:  °F
Hot Water Design Return Temperature:   °F</v>
      </c>
      <c r="D45" s="1541" t="str">
        <f>"Baseline: "&amp;'Model Inputs'!E91&amp;"°F, DELTA_T: "&amp;('Model Inputs'!E91-'Model Inputs'!E92)&amp;"°F
Proposed: "&amp;'Model Inputs'!F91&amp;"°F, DELTA_T: "&amp;('Model Inputs'!F91-'Model Inputs'!F92)&amp;"°F"</f>
        <v>Baseline: 180°F, DELTA_T: 50°F
Proposed: °F, DELTA_T: 0°F</v>
      </c>
      <c r="E45" s="1541" t="str">
        <f>"Hot Water Design Supply Temperature: "&amp;'Model Inputs'!E91&amp;" °F
Hot Water Design Return Temperature:  "&amp;'Model Inputs'!E92&amp;" °F"</f>
        <v>Hot Water Design Supply Temperature: 180 °F
Hot Water Design Return Temperature:  130 °F</v>
      </c>
    </row>
    <row r="46" spans="1:9" ht="36">
      <c r="A46" s="1491" t="s">
        <v>3169</v>
      </c>
      <c r="B46" s="1552">
        <f>'Model Inputs'!C93</f>
        <v>0</v>
      </c>
      <c r="C46" s="1692" t="str">
        <f>'Model Inputs'!F93&amp;", "&amp;'Model Inputs'!F94</f>
        <v xml:space="preserve">, </v>
      </c>
      <c r="D46" s="1690" t="str">
        <f>"Baseline :"&amp;'Model Inputs'!E93&amp;", "&amp;'Model Inputs'!E94&amp;"
Proposed: "&amp;'Model Inputs'!F93&amp;", "&amp;'Model Inputs'!F94</f>
        <v xml:space="preserve">Baseline :OA Reset, 180°F at 20°F and below, 
150°F at 50°F and above
Proposed: , </v>
      </c>
      <c r="E46" s="1690" t="str">
        <f>'Model Inputs'!E93&amp;", "&amp;'Model Inputs'!E94</f>
        <v>OA Reset, 180°F at 20°F and below, 
150°F at 50°F and above</v>
      </c>
      <c r="F46" s="1493"/>
      <c r="H46" s="893"/>
    </row>
    <row r="47" spans="1:9" ht="24">
      <c r="A47" s="1491" t="s">
        <v>3170</v>
      </c>
      <c r="B47" s="1552" t="s">
        <v>215</v>
      </c>
      <c r="C47" s="1472" t="str">
        <f>"Heating: "&amp;'Model Inputs'!F98&amp;"/"&amp;'Model Inputs'!F96&amp;"
Cooling: "&amp;'Model Inputs'!F99&amp;"/"&amp;'Model Inputs'!F101</f>
        <v>Heating: 70 °F/72 °F
Cooling: 78 °F/80 °F</v>
      </c>
      <c r="D47" s="1689" t="str">
        <f>"Heating: "&amp;'Model Inputs'!F98&amp;"/"&amp;'Model Inputs'!F96&amp;"
Cooling: "&amp;'Model Inputs'!F99&amp;"/"&amp;'Model Inputs'!F101</f>
        <v>Heating: 70 °F/72 °F
Cooling: 78 °F/80 °F</v>
      </c>
      <c r="E47" s="1689" t="str">
        <f>"Heating: "&amp;'Model Inputs'!E98&amp;"/"&amp;'Model Inputs'!E96&amp;"
Cooling: "&amp;'Model Inputs'!E99&amp;"/"&amp;'Model Inputs'!E101</f>
        <v>Heating: 70 °F/72 °F
Cooling: 78 °F/80 °F</v>
      </c>
      <c r="F47" s="1493"/>
      <c r="H47" s="893"/>
    </row>
    <row r="48" spans="1:9" ht="36">
      <c r="A48" s="1491" t="s">
        <v>3171</v>
      </c>
      <c r="B48" s="1552" t="s">
        <v>215</v>
      </c>
      <c r="C48" s="1704" t="str">
        <f>IF('Model Inputs'!F80="N/A","N/A","Primary System: "&amp;'Model Inputs'!F81&amp;" "&amp;'Model Inputs'!F80&amp;" serving "&amp;'Model Inputs'!J80&amp;", "&amp;'Model Inputs'!AB82&amp;" "&amp;IF('Model Inputs'!F84&lt;&gt;"N/A","
Secondary system: "&amp;'Model Inputs'!F85&amp;" "&amp;'Model Inputs'!F84&amp;" serving "&amp;'Model Inputs'!J84&amp;", "&amp;'Model Inputs'!AB86,""))</f>
        <v>Primary System:   serving ,  SEER 
Secondary system:   serving ,  SEER</v>
      </c>
      <c r="D48" s="1705" t="str">
        <f>"Baseline: "&amp;'Model Inputs'!AA82&amp;"
Proposed (Primary): "&amp;'Model Inputs'!AB82&amp;IF('Model Inputs'!F84&lt;&gt;"N/A","
Proposed (Secondary): "&amp;'Model Inputs'!AB86)</f>
        <v>Baseline:  SEER
Proposed (Primary):  SEER
Proposed (Secondary):  SEER</v>
      </c>
      <c r="E48" s="1705" t="str">
        <f>"Primary System: "&amp; 'Model Inputs'!E81&amp;" "&amp;'Model Inputs'!E80&amp;" serving whole building, "&amp;'Model Inputs'!AA82&amp;IF('Model Inputs'!E84&lt;&gt;"N/A","
Secondary system: "&amp;'Model Inputs'!E85&amp;", "&amp;'Model Inputs'!AA86&amp;" "&amp;'Model Inputs'!E84&amp;" serving "&amp;'Model Inputs'!I84,"")</f>
        <v>Primary System:   serving whole building,  SEER</v>
      </c>
      <c r="H48" s="893"/>
    </row>
    <row r="49" spans="1:11" ht="24">
      <c r="A49" s="1702" t="s">
        <v>4366</v>
      </c>
      <c r="B49" s="1552">
        <f>'Model Inputs'!C80</f>
        <v>0</v>
      </c>
      <c r="C49" s="1707" t="str">
        <f>'Model Inputs'!F81&amp;" "&amp;'Model Inputs'!F80&amp;", "&amp;'Model Inputs'!AB82&amp;" serving "&amp;'Model Inputs'!J80</f>
        <v xml:space="preserve"> ,  SEER serving </v>
      </c>
      <c r="D49" s="1707" t="str">
        <f>IF(C49="N/A","N/A","Baseline: "&amp;'Model Inputs'!AA82&amp;"
Proposed: "&amp;'Model Inputs'!AB82)</f>
        <v>Baseline:  SEER
Proposed:  SEER</v>
      </c>
      <c r="E49" s="1491" t="str">
        <f>IF(D49="N/A","N/A",'Model Inputs'!E81&amp;" "&amp;'Model Inputs'!E80&amp;", "&amp;'Model Inputs'!AA82)</f>
        <v xml:space="preserve"> ,  SEER</v>
      </c>
      <c r="H49" s="893"/>
    </row>
    <row r="50" spans="1:11" ht="24">
      <c r="A50" s="1491" t="s">
        <v>4367</v>
      </c>
      <c r="B50" s="1552">
        <f>'Model Inputs'!C84</f>
        <v>0</v>
      </c>
      <c r="C50" s="1707" t="str">
        <f>IF('Model Inputs'!F84="N/A","N/A",'Model Inputs'!F85&amp;" "&amp;'Model Inputs'!F84&amp;", "&amp;'Model Inputs'!AB86&amp;" serving "&amp;'Model Inputs'!J84)</f>
        <v xml:space="preserve"> ,  SEER serving </v>
      </c>
      <c r="D50" s="1707" t="str">
        <f>IF(C50="N/A","N/A","Baseline: "&amp;'Model Inputs'!AA82&amp;"
Proposed: "&amp;'Model Inputs'!AB86)</f>
        <v>Baseline:  SEER
Proposed:  SEER</v>
      </c>
      <c r="E50" s="1491" t="str">
        <f>IF(D50="N/A","N/A",'Model Inputs'!E81&amp;" "&amp;'Model Inputs'!E80&amp;", "&amp;'Model Inputs'!AA82)</f>
        <v xml:space="preserve"> ,  SEER</v>
      </c>
      <c r="H50" s="893"/>
    </row>
    <row r="51" spans="1:11" ht="36">
      <c r="A51" s="1491" t="s">
        <v>3173</v>
      </c>
      <c r="B51" s="1552" t="s">
        <v>215</v>
      </c>
      <c r="C51" s="1706" t="str">
        <f>IF('Model Inputs'!F87="N/A","N/A","Primary system: "&amp;'Model Inputs'!F83&amp;" tons"&amp;IF('Model Inputs'!F84&lt;&gt;"N/A","
Secondary system: "&amp;'Model Inputs'!F87&amp;" tons",""))</f>
        <v>Primary system:  tons
Secondary system:  tons</v>
      </c>
      <c r="D51" s="1706" t="str">
        <f>IF(C51="N/A","N/A","Baseline: "&amp;'Model Inputs'!E83&amp;" tons
Proposed (primary): "&amp;'Model Inputs'!F83&amp;" tons"&amp;IF('Model Inputs'!F84&lt;&gt;"N/A","
Proposed (secondary): "&amp;'Model Inputs'!F87&amp;" tons",""))</f>
        <v>Baseline:  tons
Proposed (primary):  tons
Proposed (secondary):  tons</v>
      </c>
      <c r="E51" s="1693" t="str">
        <f>IF(C51="N/A","N/A",'Model Inputs'!E83&amp;" tons")</f>
        <v xml:space="preserve"> tons</v>
      </c>
      <c r="F51" s="1734"/>
    </row>
    <row r="52" spans="1:11" ht="24">
      <c r="A52" s="1491" t="s">
        <v>3174</v>
      </c>
      <c r="B52" s="1552" t="s">
        <v>215</v>
      </c>
      <c r="C52" s="1694" t="str">
        <f>'Model Inputs'!E95</f>
        <v>None</v>
      </c>
      <c r="D52" s="1695" t="str">
        <f>"Baseline: "&amp;'Model Inputs'!E95&amp;"
Proposed: "&amp;'Model Inputs'!F95</f>
        <v xml:space="preserve">Baseline: None
Proposed: </v>
      </c>
      <c r="E52" s="1694">
        <f>'Model Inputs'!F95</f>
        <v>0</v>
      </c>
      <c r="G52" s="967"/>
    </row>
    <row r="53" spans="1:11" s="912" customFormat="1">
      <c r="A53" s="1505" t="s">
        <v>3175</v>
      </c>
      <c r="B53" s="1553"/>
      <c r="C53" s="1506"/>
      <c r="D53" s="1507"/>
      <c r="E53" s="1508"/>
      <c r="F53" s="1735"/>
      <c r="G53" s="1493"/>
      <c r="H53" s="911"/>
      <c r="I53" s="911"/>
      <c r="J53" s="911"/>
      <c r="K53" s="911"/>
    </row>
    <row r="54" spans="1:11" ht="24">
      <c r="A54" s="1491" t="s">
        <v>3176</v>
      </c>
      <c r="B54" s="1552">
        <f>'Model Inputs'!C42</f>
        <v>0</v>
      </c>
      <c r="C54" s="1612">
        <f>'Model Inputs'!$F$42</f>
        <v>0</v>
      </c>
      <c r="D54" s="1618" t="str">
        <f>"Baseline: "&amp;'Model Inputs'!$E$42&amp;"
Proposed: "&amp;'Model Inputs'!$F$42</f>
        <v xml:space="preserve">Baseline: N/A
Proposed: </v>
      </c>
      <c r="E54" s="1504" t="str">
        <f>"Lighting Controls: "&amp;'Model Inputs'!$E$42</f>
        <v>Lighting Controls: N/A</v>
      </c>
      <c r="F54" s="1736"/>
      <c r="G54" s="1493"/>
      <c r="H54" s="893"/>
    </row>
    <row r="55" spans="1:11" ht="24">
      <c r="A55" s="1491" t="s">
        <v>4309</v>
      </c>
      <c r="B55" s="1552">
        <f>'Model Inputs'!C41</f>
        <v>0</v>
      </c>
      <c r="C55" s="1615">
        <f>'Model Inputs'!$F$41</f>
        <v>0</v>
      </c>
      <c r="D55" s="1615" t="str">
        <f>IF(C55="N/A","N/A","Baseline: "&amp;'Model Inputs'!$E$41&amp;"
Proposed: "&amp;'Model Inputs'!$F$41)</f>
        <v xml:space="preserve">Baseline: 
Proposed: </v>
      </c>
      <c r="E55" s="1615">
        <f>'Model Inputs'!$E$41</f>
        <v>0</v>
      </c>
      <c r="F55" s="1734"/>
      <c r="G55" s="1493"/>
    </row>
    <row r="56" spans="1:11" ht="24">
      <c r="A56" s="1491" t="s">
        <v>2235</v>
      </c>
      <c r="B56" s="1552">
        <f>'Model Inputs'!C43</f>
        <v>0</v>
      </c>
      <c r="C56" s="1504" t="str">
        <f>IF('Model Inputs'!F43="N/A","N/A",'Model Inputs'!$F$43&amp;" kW")</f>
        <v xml:space="preserve"> kW</v>
      </c>
      <c r="D56" s="1618" t="str">
        <f>IF(C56="N/A","N/A","Baseline: "&amp;'Model Inputs'!$E$43&amp;" kW
Proposed: "&amp;'Model Inputs'!$F$43&amp;" kW")</f>
        <v>Baseline:  kW
Proposed:  kW</v>
      </c>
      <c r="E56" s="1504" t="str">
        <f>IF(C56="N/A","N/A","Exit Signs: "&amp;'Model Inputs'!$E$43&amp; " kW")</f>
        <v>Exit Signs:  kW</v>
      </c>
      <c r="F56" s="1734"/>
      <c r="G56" s="1493"/>
      <c r="H56" s="893"/>
    </row>
    <row r="57" spans="1:11" ht="24">
      <c r="A57" s="1491" t="s">
        <v>3177</v>
      </c>
      <c r="B57" s="1552">
        <f>'Model Inputs'!C45</f>
        <v>0</v>
      </c>
      <c r="C57" s="1504" t="str">
        <f>IF('Model Inputs'!F45="N/A","N/A",'Model Inputs'!$F$45&amp;" kW")</f>
        <v xml:space="preserve"> kW</v>
      </c>
      <c r="D57" s="1618" t="str">
        <f>IF(C57="N/A","N/A","Baseline: "&amp;'Model Inputs'!$E$45&amp;" kW, 12 hr/day
Proposed: "&amp;'Model Inputs'!$F$45&amp;" kW, 12 hr/day")</f>
        <v>Baseline:  kW, 12 hr/day
Proposed:  kW, 12 hr/day</v>
      </c>
      <c r="E57" s="1504" t="str">
        <f>IF(C57="N/A","N/A","Exterior Lighting: "&amp;'Model Inputs'!$E$45&amp;" kW")</f>
        <v>Exterior Lighting:  kW</v>
      </c>
      <c r="F57" s="1734"/>
      <c r="G57" s="1493"/>
      <c r="H57" s="893"/>
    </row>
    <row r="58" spans="1:11" ht="24">
      <c r="A58" s="1491" t="s">
        <v>3178</v>
      </c>
      <c r="B58" s="1552">
        <f>'Model Inputs'!C44</f>
        <v>0</v>
      </c>
      <c r="C58" s="1504" t="str">
        <f>IF('Model Inputs'!F44="N/A","N/A",'Model Inputs'!$F$44&amp;" W/SF")</f>
        <v xml:space="preserve"> W/SF</v>
      </c>
      <c r="D58" s="1618" t="str">
        <f>IF(C58="N/A","N/A","Baseline: "&amp;'Model Inputs'!$E$44&amp; " W/SF, 24 hr/day
Proposed: "&amp;'Model Inputs'!$F$44&amp;" W/SF, 24 hr/day")</f>
        <v>Baseline:  W/SF, 24 hr/day
Proposed:  W/SF, 24 hr/day</v>
      </c>
      <c r="E58" s="1504" t="str">
        <f>IF(D58="N/A","N/A","Garage Lighting: "&amp;'Model Inputs'!$E$44&amp;" W/SF")</f>
        <v>Garage Lighting:  W/SF</v>
      </c>
      <c r="F58" s="1734"/>
      <c r="G58" s="1493"/>
      <c r="H58" s="893"/>
    </row>
    <row r="59" spans="1:11" ht="24">
      <c r="A59" s="1491" t="s">
        <v>3179</v>
      </c>
      <c r="B59" s="1552">
        <f>'Model Inputs'!C40</f>
        <v>0</v>
      </c>
      <c r="C59" s="1504" t="str">
        <f>'Model Inputs'!$F$40&amp;" W/SF"</f>
        <v xml:space="preserve"> W/SF</v>
      </c>
      <c r="D59" s="1618" t="str">
        <f>"Baseline: "&amp;'Model Inputs'!$E$40&amp;" W/SF, 2.34 hr/day
Proposed: "&amp;'Model Inputs'!$F$40&amp;" W/SF, 2.34 hr/day"</f>
        <v>Baseline: 0.7 W/SF, 2.34 hr/day
Proposed:  W/SF, 2.34 hr/day</v>
      </c>
      <c r="E59" s="1504" t="str">
        <f>"In-unit Lighting: "&amp;'Model Inputs'!$D$40&amp;" W/SF"</f>
        <v>In-unit Lighting: 0.7 W/SF W/SF</v>
      </c>
      <c r="F59" s="1678"/>
      <c r="G59" s="911"/>
      <c r="H59" s="893"/>
    </row>
    <row r="60" spans="1:11" s="912" customFormat="1">
      <c r="A60" s="1499" t="s">
        <v>3180</v>
      </c>
      <c r="B60" s="1551"/>
      <c r="C60" s="1501"/>
      <c r="D60" s="1502"/>
      <c r="E60" s="1503"/>
      <c r="F60" s="1736"/>
      <c r="G60" s="1493"/>
      <c r="H60" s="967"/>
      <c r="I60" s="911"/>
      <c r="J60" s="911"/>
      <c r="K60" s="911"/>
    </row>
    <row r="61" spans="1:11" ht="24">
      <c r="A61" s="1472" t="s">
        <v>3181</v>
      </c>
      <c r="B61" s="1552">
        <f>'Model Inputs'!C102</f>
        <v>0</v>
      </c>
      <c r="C61" s="1472" t="str">
        <f>IF('Model Inputs'!F102="No","N/A",'Model Inputs'!F106&amp;" hp NEMA "&amp;'Model Inputs'!F104&amp;" Motor, "&amp;'Model Inputs'!F103&amp;" W/GPM, "&amp;'Model Inputs'!H102&amp;" "&amp;'Model Inputs'!I102)</f>
        <v xml:space="preserve"> hp NEMA  Motor,  W/GPM,  </v>
      </c>
      <c r="D61" s="1541" t="str">
        <f>IF(C61="N/A","N/A",IF('Model Inputs'!$F$102="No","Baseline: "&amp;'Model Inputs'!$E$103&amp;" W/CFM
Proposed: 0 W/GPM","Baseline: "&amp;'Model Inputs'!$E$103&amp;" W/GPM
Proposed: "&amp;'Model Inputs'!$F$103&amp;" W/GPM"))</f>
        <v>Baseline: 19 W/GPM
Proposed:  W/GPM</v>
      </c>
      <c r="E61" s="1536" t="str">
        <f>IF(C61="N/A","N/A",IF('Model Inputs'!$F$102="No","Not applicable",'Model Inputs'!E106&amp;" hp NEMA "&amp;'Model Inputs'!E104&amp;" Motor, "&amp;'Model Inputs'!E103&amp;" W/GPM"))</f>
        <v xml:space="preserve"> hp NEMA Standard Motor, 19 W/GPM</v>
      </c>
      <c r="F61" s="1737"/>
      <c r="G61" s="1738"/>
    </row>
    <row r="62" spans="1:11" ht="24">
      <c r="A62" s="1472" t="s">
        <v>3182</v>
      </c>
      <c r="B62" s="1552">
        <f>'Model Inputs'!C119</f>
        <v>0</v>
      </c>
      <c r="C62" s="1472" t="str">
        <f>IF('Model Inputs'!F119="No","N/A",IF('Model Inputs'!F119="No","Not applicable",'Model Inputs'!E120&amp;" "&amp;'Model Inputs'!G119&amp;" "&amp;'Model Inputs'!H119&amp;" "&amp;'Model Inputs'!E124&amp;" hp NEMA "&amp;'Model Inputs'!E122&amp;" efficient motor, "&amp;TEXT('Model Inputs'!E121,"0.0%")))</f>
        <v xml:space="preserve">    hp NEMA  efficient motor, 0.0%</v>
      </c>
      <c r="D62" s="1636" t="str">
        <f>IF(C62="N/A","N/A",IF('Model Inputs'!$F$119="No","Not applicable","Baseline: "&amp;TEXT('Model Inputs'!$E$121,"0.0%")&amp;"
Proposed: "&amp;TEXT('Model Inputs'!$F$121,"0.0%")))</f>
        <v>Baseline: 0.0%
Proposed: 0.0%</v>
      </c>
      <c r="E62" s="1636" t="str">
        <f>IF(C62="N/A","N/A",IF('Model Inputs'!$F$119="No","Not applicable",'Model Inputs'!$F$120&amp;" "&amp;'Model Inputs'!$F$124&amp;" hp NEMA "&amp;'Model Inputs'!$F$122&amp;" efficiency motor, "&amp;TEXT('Model Inputs'!$F$121,"0.0%")&amp;" efficient"))</f>
        <v xml:space="preserve">  hp NEMA  efficiency motor, 0.0% efficient</v>
      </c>
      <c r="F62" s="1737"/>
      <c r="G62" s="911"/>
    </row>
    <row r="63" spans="1:11" ht="24" customHeight="1">
      <c r="A63" s="1491" t="s">
        <v>4628</v>
      </c>
      <c r="B63" s="1491">
        <f>'Model Inputs'!C105</f>
        <v>0</v>
      </c>
      <c r="C63" s="1491" t="str">
        <f>IF('Model Inputs'!F102="No","N/A","Heating pump control: "&amp;'Model Inputs'!F106&amp;" hp "&amp;'Model Inputs'!F105)</f>
        <v xml:space="preserve">Heating pump control:  hp </v>
      </c>
      <c r="D63" s="1636" t="str">
        <f>IF(C63="N/A","N/A","Baseline: "&amp;'Model Inputs'!E106&amp;" hp "&amp;'Model Inputs'!E105&amp;" control
Proposed: "&amp;'Model Inputs'!F106&amp;" hp "&amp;'Model Inputs'!F105&amp;" control")</f>
        <v>Baseline:  hp One-Speed control
Proposed:  hp  control</v>
      </c>
      <c r="E63" s="1636" t="str">
        <f>IF(C63="N/A","N/A",IF('Model Inputs'!F102="No","Not applicable","Heating pump control: "&amp;'Model Inputs'!E106&amp;" hp "&amp;'Model Inputs'!E105))</f>
        <v>Heating pump control:  hp One-Speed</v>
      </c>
      <c r="F63" s="1882"/>
      <c r="G63" s="911"/>
    </row>
    <row r="64" spans="1:11" ht="24" customHeight="1">
      <c r="A64" s="1491" t="s">
        <v>4629</v>
      </c>
      <c r="B64" s="1491">
        <f>'Model Inputs'!C123</f>
        <v>0</v>
      </c>
      <c r="C64" s="1491" t="str">
        <f>IF('Model Inputs'!F119="No","N/A","DHW pump control: "&amp;'Model Inputs'!F124&amp;" hp "&amp;'Model Inputs'!F123)</f>
        <v xml:space="preserve">DHW pump control:  hp </v>
      </c>
      <c r="D64" s="1636" t="str">
        <f>IF(C64="N/A","N/A","Baseline: "&amp;'Model Inputs'!E124&amp;" hp "&amp;'Model Inputs'!E123&amp;" control
Proposed: "&amp;'Model Inputs'!F124&amp;" hp "&amp;'Model Inputs'!F123&amp;" control")</f>
        <v>Baseline:  hp  control
Proposed:  hp  control</v>
      </c>
      <c r="E64" s="1636" t="str">
        <f>IF(C64="N/A","N/A",IF('Model Inputs'!F119="No","Not applicable","DHW pump control: "&amp;'Model Inputs'!E124&amp;" hp "&amp;'Model Inputs'!E123))</f>
        <v xml:space="preserve">DHW pump control:  hp </v>
      </c>
      <c r="F64" s="1882"/>
      <c r="G64" s="911"/>
    </row>
    <row r="65" spans="1:11" s="912" customFormat="1">
      <c r="A65" s="1883" t="s">
        <v>3184</v>
      </c>
      <c r="B65" s="1884"/>
      <c r="C65" s="1885"/>
      <c r="D65" s="1502"/>
      <c r="E65" s="1503"/>
      <c r="F65" s="1734"/>
      <c r="G65" s="893"/>
      <c r="H65" s="967"/>
      <c r="I65" s="911"/>
      <c r="J65" s="911"/>
      <c r="K65" s="911"/>
    </row>
    <row r="66" spans="1:11" ht="24">
      <c r="A66" s="1491" t="s">
        <v>4410</v>
      </c>
      <c r="B66" s="1472">
        <f>'Model Inputs'!C132</f>
        <v>0</v>
      </c>
      <c r="C66" s="1724" t="str">
        <f>"Kitchen: "&amp;'Model Inputs'!F133&amp;" CFM ("&amp;'Model Inputs'!$K$133&amp;")
Bathroom: "&amp;'Model Inputs'!F132&amp;" CFM ("&amp;'Model Inputs'!$K$132&amp;")"</f>
        <v>Kitchen:  CFM ()
Bathroom:  CFM ()</v>
      </c>
      <c r="D66" s="1725" t="str">
        <f>"Baseline: "&amp;('Model Inputs'!E132*'Model Inputs'!G132+'Model Inputs'!E133*'Model Inputs'!G133)&amp;" CFM
Proposed: "&amp;('Model Inputs'!F132*'Model Inputs'!G132+'Model Inputs'!F133*'Model Inputs'!G133)&amp;" CFM"</f>
        <v>Baseline: 0 CFM
Proposed: 0 CFM</v>
      </c>
      <c r="E66" s="1726" t="str">
        <f>"Kitchen: "&amp;'Model Inputs'!E133&amp;" CFM ("&amp;'Model Inputs'!$K$133&amp;")
Bathroom: "&amp;'Model Inputs'!E132&amp;" CFM ("&amp;'Model Inputs'!$K$132&amp;")"</f>
        <v>Kitchen:  CFM ()
Bathroom:  CFM ()</v>
      </c>
    </row>
    <row r="67" spans="1:11" ht="24">
      <c r="A67" s="1491" t="s">
        <v>4409</v>
      </c>
      <c r="B67" s="1472">
        <f>'Model Inputs'!C141</f>
        <v>0</v>
      </c>
      <c r="C67" s="1724" t="str">
        <f>IF('Model Inputs'!F141="N/A","N/A",('Model Inputs'!E141&amp;" CFM"))</f>
        <v xml:space="preserve"> CFM</v>
      </c>
      <c r="D67" s="1725" t="str">
        <f>IF(C67="N/A","N/A","Baseline: "&amp;'Model Inputs'!E141&amp;" CFM
Proposed: "&amp;'Model Inputs'!F141&amp;" CFM")</f>
        <v>Baseline:  CFM
Proposed:  CFM</v>
      </c>
      <c r="E67" s="1726" t="str">
        <f>IF(D67="N/A","N/A","Non-corridor Exhaust: "&amp;'Model Inputs'!E141&amp;" CFM")</f>
        <v>Non-corridor Exhaust:  CFM</v>
      </c>
    </row>
    <row r="68" spans="1:11" ht="24">
      <c r="A68" s="1491" t="s">
        <v>3185</v>
      </c>
      <c r="B68" s="1552">
        <f>'Model Inputs'!C140</f>
        <v>0</v>
      </c>
      <c r="C68" s="1727" t="str">
        <f>IF('Model Inputs'!F140="N/A","N/A",'Model Inputs'!F140&amp;" CFM")</f>
        <v xml:space="preserve"> CFM</v>
      </c>
      <c r="D68" s="1727" t="str">
        <f>IF(C68="N/A","N/A","Baseline: "&amp;'Model Inputs'!E140&amp;" CFM
Proposed: "&amp;'Model Inputs'!F140&amp;" CFM")</f>
        <v>Baseline:  CFM
Proposed:  CFM</v>
      </c>
      <c r="E68" s="1724" t="str">
        <f>IF(D68="N/A","N/A","Corridor Supply Ventilation: "&amp;'Model Inputs'!E140&amp;" CFM")</f>
        <v>Corridor Supply Ventilation:  CFM</v>
      </c>
    </row>
    <row r="69" spans="1:11" ht="24">
      <c r="A69" s="1491" t="s">
        <v>4516</v>
      </c>
      <c r="B69" s="1472" t="s">
        <v>215</v>
      </c>
      <c r="C69" s="1727">
        <f>'Model Inputs'!F139</f>
        <v>0</v>
      </c>
      <c r="D69" s="1727" t="str">
        <f>"Baseline: "&amp;'Model Inputs'!E139&amp;"
Proposed: "&amp;'Model Inputs'!F139</f>
        <v xml:space="preserve">Baseline: 0
Proposed: </v>
      </c>
      <c r="E69" s="1724" t="str">
        <f>"Fresh air supplied to apts by: "&amp;'Model Inputs'!E139</f>
        <v>Fresh air supplied to apts by: 0</v>
      </c>
    </row>
    <row r="70" spans="1:11" ht="24">
      <c r="A70" s="1491" t="s">
        <v>3187</v>
      </c>
      <c r="B70" s="1552">
        <f>'Model Inputs'!C147</f>
        <v>0</v>
      </c>
      <c r="C70" s="1728" t="str">
        <f>IF('Model Inputs'!F147="N/A","N/A","HRV/ERV: "&amp;'Model Inputs'!F147&amp;", "&amp;'Model Inputs'!F148*100&amp;"%")</f>
        <v>HRV/ERV: , 0%</v>
      </c>
      <c r="D70" s="1728" t="str">
        <f>IF(C70="N/A","N/A",IF('Model Inputs'!F147="N/A","N/A","Baseline: "&amp;'Model Inputs'!E147&amp;"
Proposed: "&amp;('Model Inputs'!F148*100)&amp;"%"))</f>
        <v>Baseline: N/A
Proposed: 0%</v>
      </c>
      <c r="E70" s="1724" t="str">
        <f>IF(D70="N/A","N/A","HRV/ERV: "&amp;'Model Inputs'!E147)</f>
        <v>HRV/ERV: N/A</v>
      </c>
    </row>
    <row r="71" spans="1:11" ht="24">
      <c r="A71" s="1491" t="s">
        <v>3188</v>
      </c>
      <c r="B71" s="1552">
        <f>'Model Inputs'!C145</f>
        <v>0</v>
      </c>
      <c r="C71" s="1728" t="str">
        <f>IF('Model Inputs'!F145="N/A","N/A",'Model Inputs'!F145&amp;" CFM")</f>
        <v xml:space="preserve"> CFM</v>
      </c>
      <c r="D71" s="1727" t="str">
        <f>IF(C71="N/A","N/A","Baseline: "&amp;'Model Inputs'!E146&amp;" CFM
Proposed: "&amp;'Model Inputs'!F146&amp;" CFM")</f>
        <v>Baseline:  CFM
Proposed:  CFM</v>
      </c>
      <c r="E71" s="1724" t="str">
        <f>IF(D71="N/A","N/A",'Model Inputs'!D145)</f>
        <v>Add 10 CFM per floor per shaft to Exhaust CFM to represent ventilation duct leakage</v>
      </c>
    </row>
    <row r="72" spans="1:11" ht="24">
      <c r="A72" s="1892" t="s">
        <v>3190</v>
      </c>
      <c r="B72" s="1554">
        <f>'Model Inputs'!C135</f>
        <v>0</v>
      </c>
      <c r="C72" s="1724" t="str">
        <f>IF('Model Inputs'!F135="N/A","N/A",'Model Inputs'!G135&amp;" "&amp;'Model Inputs'!F136&amp;" hp fans, "&amp;('Model Inputs'!F137*100)&amp;"% ("&amp;'Model Inputs'!F135&amp;" CFM per fan)")</f>
        <v xml:space="preserve">  hp fans, 0% ( CFM per fan)</v>
      </c>
      <c r="D72" s="1728" t="str">
        <f>IF(C72="N/A","N/A","Baseline: "&amp;'Model Inputs'!E138&amp;" kW
Proposed: "&amp;'Model Inputs'!F138&amp;" kW")</f>
        <v>Baseline:  kW
Proposed:  kW</v>
      </c>
      <c r="E72" s="1724" t="str">
        <f>IF(D72="N/A","N/A",'Model Inputs'!G135&amp;" "&amp;'Model Inputs'!E136&amp;" hp fans, "&amp;('Model Inputs'!E137*100)&amp;"% ("&amp;'Model Inputs'!E135&amp;" CFM per fan)")</f>
        <v xml:space="preserve">  hp fans, 0% ( CFM per fan)</v>
      </c>
    </row>
    <row r="73" spans="1:11" ht="24">
      <c r="A73" s="1893"/>
      <c r="B73" s="1491">
        <f>'Model Inputs'!C134</f>
        <v>0</v>
      </c>
      <c r="C73" s="1731" t="str">
        <f>IF('Model Inputs'!F134="N/A","N/A",'Model Inputs'!H132&amp;" "&amp;'Model Inputs'!I132&amp;IF('Model Inputs'!I132='Model Inputs'!I133,""," and "&amp;'Model Inputs'!H133&amp;" "&amp;'Model Inputs'!I133)&amp;", "&amp;'Model Inputs'!F134&amp;" CFM/W")</f>
        <v xml:space="preserve"> ,  CFM/W</v>
      </c>
      <c r="D73" s="1729" t="str">
        <f>IF(C73="N/A","N/A","Baseline: "&amp;'Model Inputs'!E134&amp;" CFM/W
Proposed: "&amp;'Model Inputs'!F134&amp;" CFM/W")</f>
        <v>Baseline:  CFM/W
Proposed:  CFM/W</v>
      </c>
      <c r="E73" s="1724" t="str">
        <f>IF(D73="N/A","N/A",'Model Inputs'!E134&amp; " CFM/W")</f>
        <v xml:space="preserve"> CFM/W</v>
      </c>
    </row>
    <row r="74" spans="1:11" ht="24">
      <c r="A74" s="1491" t="s">
        <v>3192</v>
      </c>
      <c r="B74" s="1552">
        <f>'Model Inputs'!C141</f>
        <v>0</v>
      </c>
      <c r="C74" s="1724" t="str">
        <f>IF('Model Inputs'!F141="N/A","N/A",'Model Inputs'!G141&amp;" non-apt ventilation fans, "&amp;'Model Inputs'!F141&amp;" CFM, "&amp;'Model Inputs'!F142&amp;" hp, "&amp;'Model Inputs'!F143*100&amp;"%")</f>
        <v xml:space="preserve"> non-apt ventilation fans,  CFM,  hp, 0%</v>
      </c>
      <c r="D74" s="1725" t="str">
        <f>IF(C74="N/A","N/A","Baseline: "&amp;'Model Inputs'!E144&amp;" kW
Proposed: "&amp;'Model Inputs'!F144&amp;" kW")</f>
        <v>Baseline:  kW
Proposed:  kW</v>
      </c>
      <c r="E74" s="1724" t="str">
        <f>IF(C74="N/A","N/A",'Model Inputs'!G141&amp;" non-apt ventilation fans, "&amp;'Model Inputs'!E141&amp;" CFM, "&amp;'Model Inputs'!E142&amp;" hp, "&amp;'Model Inputs'!E143*100&amp;"%")</f>
        <v xml:space="preserve"> non-apt ventilation fans,  CFM,  hp, 0%</v>
      </c>
    </row>
    <row r="75" spans="1:11" ht="24">
      <c r="A75" s="1491" t="s">
        <v>3193</v>
      </c>
      <c r="B75" s="1552">
        <f>'Model Inputs'!C155</f>
        <v>0</v>
      </c>
      <c r="C75" s="1727" t="str">
        <f>"Demand control ventilation: "&amp;'Model Inputs'!F155</f>
        <v xml:space="preserve">Demand control ventilation: </v>
      </c>
      <c r="D75" s="1727" t="str">
        <f>IF('Model Inputs'!F155="N/A","N/A","Baseline: "&amp;'Model Inputs'!E157&amp;" kW, "&amp;'Model Inputs'!E156&amp;" hr/day
Proposed: "&amp;'Model Inputs'!F157&amp;" kW, "&amp;'Model Inputs'!F156&amp;" hr/day")</f>
        <v>Baseline:  kW,  hr/day
Proposed:  kW,  hr/day</v>
      </c>
      <c r="E75" s="1727" t="str">
        <f>"Demand Control Ventilation: "&amp;'Model Inputs'!E155</f>
        <v>Demand Control Ventilation: N/A</v>
      </c>
    </row>
    <row r="76" spans="1:11" ht="24">
      <c r="A76" s="1491" t="s">
        <v>3194</v>
      </c>
      <c r="B76" s="1552">
        <f>'Model Inputs'!C149</f>
        <v>0</v>
      </c>
      <c r="C76" s="1724" t="str">
        <f>IF(OR('Model Inputs'!G149=0,'Model Inputs'!F149="N/A"),"N/A",'Model Inputs'!G149&amp;" "&amp;'Model Inputs'!F150&amp;" hp garage exhaust fans, "&amp;'Model Inputs'!F151*100&amp;"% ("&amp;'Model Inputs'!F149&amp;" CFM each)")</f>
        <v>N/A</v>
      </c>
      <c r="D76" s="1727" t="str">
        <f>IF(C76="N/A","N/A","Baseline: "&amp;'Model Inputs'!E152&amp;" kW
Proposed: "&amp;'Model Inputs'!F152&amp;" kW")</f>
        <v>N/A</v>
      </c>
      <c r="E76" s="1724" t="str">
        <f>IF(D76="N/A","N/A",'Model Inputs'!G149&amp;" "&amp;'Model Inputs'!E150&amp;" hp garage exhaust fans, "&amp;'Model Inputs'!E151*100&amp;"% ("&amp;'Model Inputs'!E149&amp;" CFM each)")</f>
        <v>N/A</v>
      </c>
      <c r="G76" s="911"/>
    </row>
    <row r="77" spans="1:11" s="912" customFormat="1">
      <c r="A77" s="1499" t="s">
        <v>3195</v>
      </c>
      <c r="B77" s="1551"/>
      <c r="C77" s="1723"/>
      <c r="D77" s="1502"/>
      <c r="E77" s="1503"/>
      <c r="F77" s="1510"/>
      <c r="G77" s="1510"/>
      <c r="H77" s="967"/>
      <c r="I77" s="911"/>
    </row>
    <row r="78" spans="1:11" s="1510" customFormat="1" ht="24">
      <c r="A78" s="1509" t="s">
        <v>3196</v>
      </c>
      <c r="B78" s="1509" t="s">
        <v>2677</v>
      </c>
      <c r="C78" s="1715" t="str">
        <f>IF('Model Inputs'!F160="N/A","N/A",'Model Inputs'!F163&amp;", "&amp;'Model Inputs'!F164)</f>
        <v xml:space="preserve">, </v>
      </c>
      <c r="D78" s="1715" t="str">
        <f>IF('Model Inputs'!F160="N/A","N/A","Baseline: None
Proposed: "&amp;'Model Inputs'!F163)</f>
        <v xml:space="preserve">Baseline: None
Proposed: </v>
      </c>
      <c r="E78" s="1733" t="str">
        <f>'Model Inputs'!D160</f>
        <v>N/A</v>
      </c>
      <c r="G78" s="893"/>
      <c r="H78" s="1617"/>
    </row>
    <row r="79" spans="1:11" ht="24">
      <c r="A79" s="1509" t="s">
        <v>4405</v>
      </c>
      <c r="B79" s="1509">
        <f>'Model Inputs'!C160</f>
        <v>0</v>
      </c>
      <c r="C79" s="1715">
        <f>IF('Model Inputs'!F160="N/A","N/A",'Model Inputs'!F160)</f>
        <v>0</v>
      </c>
      <c r="D79" s="1715" t="str">
        <f>IF('Model Inputs'!F160="N/A","N/A","Baseline: "&amp;'Model Inputs'!E160&amp;"
Proposed: "&amp;'Model Inputs'!F160)</f>
        <v xml:space="preserve">Baseline: 
Proposed: </v>
      </c>
      <c r="E79" s="1733">
        <f>IF('Model Inputs'!F160="N/A","N/A",'Model Inputs'!E160)</f>
        <v>0</v>
      </c>
    </row>
    <row r="80" spans="1:11" ht="24">
      <c r="A80" s="1509" t="s">
        <v>4405</v>
      </c>
      <c r="B80" s="1509">
        <f>'Model Inputs'!C161</f>
        <v>0</v>
      </c>
      <c r="C80" s="1715">
        <f>IF('Model Inputs'!F161="N/A","N/A",'Model Inputs'!F161)</f>
        <v>0</v>
      </c>
      <c r="D80" s="1715" t="str">
        <f>IF('Model Inputs'!F161="N/A","N/A","Baseline: "&amp;'Model Inputs'!E161&amp;"
Proposed: "&amp;'Model Inputs'!F161)</f>
        <v xml:space="preserve">Baseline: 
Proposed: </v>
      </c>
      <c r="E80" s="1733">
        <f>IF('Model Inputs'!F161="N/A","N/A",'Model Inputs'!E161)</f>
        <v>0</v>
      </c>
    </row>
    <row r="81" spans="1:5" ht="24">
      <c r="A81" s="1509" t="s">
        <v>4405</v>
      </c>
      <c r="B81" s="1509">
        <f>'Model Inputs'!C162</f>
        <v>0</v>
      </c>
      <c r="C81" s="1715">
        <f>IF('Model Inputs'!F162="N/A","N/A",'Model Inputs'!F162)</f>
        <v>0</v>
      </c>
      <c r="D81" s="1715" t="str">
        <f>IF('Model Inputs'!F162="N/A","N/A","Baseline: "&amp;'Model Inputs'!E162&amp;"
Proposed: "&amp;'Model Inputs'!F162)</f>
        <v xml:space="preserve">Baseline: 
Proposed: </v>
      </c>
      <c r="E81" s="1733">
        <f>IF('Model Inputs'!F162="N/A","N/A",'Model Inputs'!E162)</f>
        <v>0</v>
      </c>
    </row>
    <row r="82" spans="1:5">
      <c r="A82" s="1512"/>
      <c r="B82" s="1512"/>
      <c r="C82" s="1512"/>
    </row>
    <row r="83" spans="1:5">
      <c r="A83" s="1512"/>
      <c r="B83" s="1512"/>
      <c r="C83" s="1512"/>
    </row>
    <row r="88" spans="1:5">
      <c r="D88" s="1513"/>
    </row>
    <row r="92" spans="1:5">
      <c r="A92" s="1512"/>
      <c r="B92" s="1512"/>
      <c r="C92" s="1512"/>
      <c r="D92" s="1512"/>
    </row>
    <row r="93" spans="1:5">
      <c r="A93" s="1512"/>
      <c r="B93" s="1512"/>
      <c r="C93" s="1512"/>
      <c r="D93" s="1512"/>
    </row>
    <row r="94" spans="1:5">
      <c r="A94" s="1512"/>
      <c r="B94" s="1512"/>
      <c r="C94" s="1512"/>
      <c r="D94" s="1514"/>
    </row>
    <row r="190" spans="3:3">
      <c r="C190" s="1515"/>
    </row>
  </sheetData>
  <sheetProtection formatCells="0" formatColumns="0" formatRows="0" insertColumns="0" insertRows="0"/>
  <mergeCells count="4">
    <mergeCell ref="A72:A73"/>
    <mergeCell ref="A3:E3"/>
    <mergeCell ref="A4:E4"/>
    <mergeCell ref="A5:E5"/>
  </mergeCells>
  <printOptions horizontalCentered="1"/>
  <pageMargins left="0.75" right="0.75" top="1" bottom="1" header="0.5" footer="0.5"/>
  <pageSetup scale="49" fitToHeight="2" orientation="portrait" r:id="rId1"/>
  <headerFooter alignWithMargins="0">
    <oddHeader xml:space="preserve">&amp;C
&amp;R
</oddHeader>
  </headerFooter>
  <ignoredErrors>
    <ignoredError sqref="E66" unlockedFormula="1"/>
  </ignoredErrors>
</worksheet>
</file>

<file path=xl/worksheets/sheet9.xml><?xml version="1.0" encoding="utf-8"?>
<worksheet xmlns="http://schemas.openxmlformats.org/spreadsheetml/2006/main" xmlns:r="http://schemas.openxmlformats.org/officeDocument/2006/relationships">
  <sheetPr codeName="Sheet8" enableFormatConditionsCalculation="0">
    <tabColor theme="0" tint="-0.34998626667073579"/>
    <pageSetUpPr fitToPage="1"/>
  </sheetPr>
  <dimension ref="A1:H76"/>
  <sheetViews>
    <sheetView showGridLines="0" zoomScaleNormal="100" workbookViewId="0">
      <selection activeCell="E41" sqref="E41"/>
    </sheetView>
  </sheetViews>
  <sheetFormatPr defaultRowHeight="12"/>
  <cols>
    <col min="1" max="1" width="3" style="482" customWidth="1"/>
    <col min="2" max="2" width="35.42578125" style="482" customWidth="1"/>
    <col min="3" max="3" width="19.42578125" style="482" bestFit="1" customWidth="1"/>
    <col min="4" max="4" width="23.140625" style="482" customWidth="1"/>
    <col min="5" max="5" width="22.28515625" style="482" customWidth="1"/>
    <col min="6" max="6" width="41.85546875" style="482" customWidth="1"/>
    <col min="7" max="7" width="33.42578125" style="482" customWidth="1"/>
    <col min="8" max="8" width="9.140625" style="482"/>
    <col min="9" max="10" width="9.140625" style="482" customWidth="1"/>
    <col min="11" max="16384" width="9.140625" style="482"/>
  </cols>
  <sheetData>
    <row r="1" spans="2:7" ht="18.75">
      <c r="B1" s="488" t="s">
        <v>897</v>
      </c>
    </row>
    <row r="3" spans="2:7">
      <c r="B3" s="490"/>
      <c r="C3" s="818" t="s">
        <v>3064</v>
      </c>
    </row>
    <row r="4" spans="2:7">
      <c r="B4" s="484" t="s">
        <v>1267</v>
      </c>
      <c r="C4" s="626"/>
    </row>
    <row r="5" spans="2:7">
      <c r="B5" s="484" t="s">
        <v>1268</v>
      </c>
      <c r="C5" s="626"/>
    </row>
    <row r="6" spans="2:7">
      <c r="B6" s="484" t="s">
        <v>1269</v>
      </c>
      <c r="C6" s="626"/>
    </row>
    <row r="7" spans="2:7">
      <c r="B7" s="484" t="s">
        <v>28</v>
      </c>
      <c r="C7" s="626"/>
    </row>
    <row r="8" spans="2:7">
      <c r="B8" s="484" t="s">
        <v>29</v>
      </c>
      <c r="C8" s="626"/>
    </row>
    <row r="9" spans="2:7">
      <c r="C9" s="482" t="s">
        <v>710</v>
      </c>
    </row>
    <row r="10" spans="2:7">
      <c r="B10" s="818" t="s">
        <v>1270</v>
      </c>
      <c r="C10" s="818" t="s">
        <v>30</v>
      </c>
      <c r="D10" s="818" t="s">
        <v>31</v>
      </c>
      <c r="E10" s="818" t="s">
        <v>2673</v>
      </c>
      <c r="F10" s="628"/>
      <c r="G10" s="421"/>
    </row>
    <row r="11" spans="2:7" ht="12.75" customHeight="1">
      <c r="B11" s="485" t="s">
        <v>18</v>
      </c>
      <c r="C11" s="626"/>
      <c r="D11" s="626" t="s">
        <v>2677</v>
      </c>
      <c r="E11" s="626" t="s">
        <v>2677</v>
      </c>
      <c r="F11" s="1871" t="str">
        <f>IF(AND(C11&lt;&gt;0,D11="N/A"),Lookup!$A$4,IF(AND(C11&lt;&gt;0,E11="N/A"),Lookup!$A$5,""))</f>
        <v/>
      </c>
      <c r="G11" s="630" t="str">
        <f>IF(D11="Unconditioned",Lookup!$A$2, "")</f>
        <v/>
      </c>
    </row>
    <row r="12" spans="2:7" ht="12.75" customHeight="1">
      <c r="B12" s="485" t="s">
        <v>980</v>
      </c>
      <c r="C12" s="631"/>
      <c r="D12" s="626" t="s">
        <v>2677</v>
      </c>
      <c r="E12" s="626" t="s">
        <v>2677</v>
      </c>
      <c r="F12" s="1871" t="str">
        <f>IF(AND(C12&lt;&gt;0,D12="N/A"),Lookup!$A$4,IF(AND(C12&lt;&gt;0,E12="N/A"),Lookup!$A$5,""))</f>
        <v/>
      </c>
      <c r="G12" s="630" t="str">
        <f>IF(D12="Unconditioned",Lookup!$A$2, "")</f>
        <v/>
      </c>
    </row>
    <row r="13" spans="2:7" ht="12.75" customHeight="1">
      <c r="B13" s="485" t="s">
        <v>981</v>
      </c>
      <c r="C13" s="631"/>
      <c r="D13" s="626" t="s">
        <v>2677</v>
      </c>
      <c r="E13" s="626" t="s">
        <v>2677</v>
      </c>
      <c r="F13" s="1871" t="str">
        <f>IF(AND(C13&lt;&gt;0,D13="N/A"),Lookup!$A$4,IF(AND(C13&lt;&gt;0,E13="N/A"),Lookup!$A$5,""))</f>
        <v/>
      </c>
      <c r="G13" s="630" t="str">
        <f>IF(D13="Unconditioned",Lookup!$A$2, "")</f>
        <v/>
      </c>
    </row>
    <row r="14" spans="2:7" ht="12.75" customHeight="1">
      <c r="B14" s="485" t="s">
        <v>984</v>
      </c>
      <c r="C14" s="631"/>
      <c r="D14" s="626" t="s">
        <v>2677</v>
      </c>
      <c r="E14" s="626" t="s">
        <v>2677</v>
      </c>
      <c r="F14" s="1871" t="str">
        <f>IF(AND(C14&lt;&gt;0,D14="N/A"),Lookup!$A$4,IF(AND(C14&lt;&gt;0,E14="N/A"),Lookup!$A$5,""))</f>
        <v/>
      </c>
      <c r="G14" s="630" t="str">
        <f>IF(D14="Unconditioned",Lookup!$A$2, "")</f>
        <v/>
      </c>
    </row>
    <row r="15" spans="2:7" ht="12.75" customHeight="1">
      <c r="B15" s="485" t="s">
        <v>985</v>
      </c>
      <c r="C15" s="631"/>
      <c r="D15" s="626" t="s">
        <v>2677</v>
      </c>
      <c r="E15" s="626" t="s">
        <v>2677</v>
      </c>
      <c r="F15" s="1871" t="str">
        <f>IF(AND(C15&lt;&gt;0,D15="N/A"),Lookup!$A$4,IF(AND(C15&lt;&gt;0,E15="N/A"),Lookup!$A$5,""))</f>
        <v/>
      </c>
      <c r="G15" s="630" t="str">
        <f>IF(D15="Unconditioned",Lookup!$A$2, "")</f>
        <v/>
      </c>
    </row>
    <row r="16" spans="2:7" ht="12.75" customHeight="1">
      <c r="B16" s="485" t="s">
        <v>986</v>
      </c>
      <c r="C16" s="631"/>
      <c r="D16" s="626" t="s">
        <v>2677</v>
      </c>
      <c r="E16" s="626" t="s">
        <v>2677</v>
      </c>
      <c r="F16" s="1871" t="str">
        <f>IF(AND(C16&lt;&gt;0,D16="N/A"),Lookup!$A$4,IF(AND(C16&lt;&gt;0,E16="N/A"),Lookup!$A$5,""))</f>
        <v/>
      </c>
      <c r="G16" s="630" t="str">
        <f>IF(D16="Unconditioned",Lookup!$A$2, "")</f>
        <v/>
      </c>
    </row>
    <row r="17" spans="1:8" ht="12.75" customHeight="1">
      <c r="B17" s="485" t="s">
        <v>987</v>
      </c>
      <c r="C17" s="631"/>
      <c r="D17" s="626" t="s">
        <v>2677</v>
      </c>
      <c r="E17" s="626" t="s">
        <v>2677</v>
      </c>
      <c r="F17" s="1871" t="str">
        <f>IF(AND(C17&lt;&gt;0,D17="N/A"),Lookup!$A$4,IF(AND(C17&lt;&gt;0,E17="N/A"),Lookup!$A$5,""))</f>
        <v/>
      </c>
      <c r="G17" s="630" t="str">
        <f>IF(D17="Unconditioned",Lookup!$A$2, "")</f>
        <v/>
      </c>
    </row>
    <row r="18" spans="1:8" ht="12.75" customHeight="1">
      <c r="B18" s="485" t="s">
        <v>1207</v>
      </c>
      <c r="C18" s="631"/>
      <c r="D18" s="626" t="s">
        <v>2677</v>
      </c>
      <c r="E18" s="626" t="s">
        <v>2677</v>
      </c>
      <c r="F18" s="1871" t="str">
        <f>IF(AND(C18&lt;&gt;0,D18="N/A"),Lookup!$A$4,IF(AND(C18&lt;&gt;0,E18="N/A"),Lookup!$A$5,""))</f>
        <v/>
      </c>
      <c r="G18" s="630" t="str">
        <f>IF(D18="Unconditioned",Lookup!$A$2, "")</f>
        <v/>
      </c>
    </row>
    <row r="19" spans="1:8" ht="12.75" customHeight="1">
      <c r="B19" s="485" t="s">
        <v>1271</v>
      </c>
      <c r="C19" s="631"/>
      <c r="D19" s="626" t="s">
        <v>2677</v>
      </c>
      <c r="E19" s="626" t="s">
        <v>2677</v>
      </c>
      <c r="F19" s="1871" t="str">
        <f>IF(AND(C19&lt;&gt;0,D19="N/A"),Lookup!$A$4,IF(AND(C19&lt;&gt;0,E19="N/A"),Lookup!$A$5,""))</f>
        <v/>
      </c>
      <c r="G19" s="630" t="str">
        <f>IF(D19="Unconditioned",Lookup!$A$2, "")</f>
        <v/>
      </c>
    </row>
    <row r="20" spans="1:8" ht="12.75" customHeight="1">
      <c r="B20" s="485" t="s">
        <v>988</v>
      </c>
      <c r="C20" s="631"/>
      <c r="D20" s="626" t="s">
        <v>2677</v>
      </c>
      <c r="E20" s="626" t="s">
        <v>2677</v>
      </c>
      <c r="F20" s="1871" t="str">
        <f>IF(AND(C20&lt;&gt;0,D20="N/A"),Lookup!$A$4,IF(AND(C20&lt;&gt;0,E20="N/A"),Lookup!$A$5,""))</f>
        <v/>
      </c>
      <c r="G20" s="630" t="str">
        <f>IF(D20="Unconditioned",Lookup!$A$2, "")</f>
        <v/>
      </c>
      <c r="H20" s="632"/>
    </row>
    <row r="21" spans="1:8" ht="12.75" customHeight="1">
      <c r="B21" s="485" t="s">
        <v>989</v>
      </c>
      <c r="C21" s="631"/>
      <c r="D21" s="626" t="s">
        <v>2677</v>
      </c>
      <c r="E21" s="626" t="s">
        <v>2677</v>
      </c>
      <c r="F21" s="1871" t="str">
        <f>IF(AND(C21&lt;&gt;0,D21="N/A"),Lookup!$A$4,IF(AND(C21&lt;&gt;0,E21="N/A"),Lookup!$A$5,""))</f>
        <v/>
      </c>
      <c r="G21" s="630" t="str">
        <f>IF(D21="Unconditioned",Lookup!$A$2, "")</f>
        <v/>
      </c>
    </row>
    <row r="22" spans="1:8" ht="12.75" customHeight="1">
      <c r="B22" s="485" t="s">
        <v>990</v>
      </c>
      <c r="C22" s="631"/>
      <c r="D22" s="626" t="s">
        <v>2677</v>
      </c>
      <c r="E22" s="626" t="s">
        <v>2677</v>
      </c>
      <c r="F22" s="1871" t="str">
        <f>IF(AND(C22&lt;&gt;0,D22="N/A"),Lookup!$A$4,IF(AND(C22&lt;&gt;0,E22="N/A"),Lookup!$A$5,""))</f>
        <v/>
      </c>
      <c r="G22" s="630" t="str">
        <f>IF(OR(D22="Heated-Only",D22="Heated &amp; Cooled")=TRUE,Lookup!A3,"")</f>
        <v/>
      </c>
    </row>
    <row r="23" spans="1:8" ht="12.75" customHeight="1">
      <c r="A23" s="421"/>
      <c r="B23" s="485" t="s">
        <v>2588</v>
      </c>
      <c r="C23" s="626"/>
      <c r="D23" s="626" t="s">
        <v>2677</v>
      </c>
      <c r="E23" s="626" t="s">
        <v>2677</v>
      </c>
      <c r="F23" s="1871" t="str">
        <f>IF(AND(C23&lt;&gt;0,D23="N/A"),Lookup!$A$4,IF(AND(C23&lt;&gt;0,E23="N/A"),Lookup!$A$5,""))</f>
        <v/>
      </c>
      <c r="G23" s="630" t="str">
        <f>IF(D23="Unconditioned",Lookup!$A$2, "")</f>
        <v/>
      </c>
    </row>
    <row r="24" spans="1:8">
      <c r="B24" s="485" t="s">
        <v>2690</v>
      </c>
      <c r="C24" s="819">
        <f>SUM(C11:C23)</f>
        <v>0</v>
      </c>
      <c r="D24" s="633"/>
      <c r="E24" s="633"/>
      <c r="F24" s="421"/>
      <c r="G24" s="421"/>
    </row>
    <row r="25" spans="1:8">
      <c r="B25" s="485" t="s">
        <v>2691</v>
      </c>
      <c r="C25" s="819">
        <f>'GHSF Calculator'!E15</f>
        <v>0</v>
      </c>
      <c r="E25" s="421"/>
    </row>
    <row r="27" spans="1:8">
      <c r="B27" s="484" t="s">
        <v>2267</v>
      </c>
      <c r="C27" s="634" t="s">
        <v>2677</v>
      </c>
    </row>
    <row r="29" spans="1:8">
      <c r="B29" s="485" t="s">
        <v>2678</v>
      </c>
      <c r="C29" s="1895"/>
      <c r="D29" s="1895"/>
    </row>
    <row r="30" spans="1:8">
      <c r="B30" s="485" t="s">
        <v>2816</v>
      </c>
      <c r="C30" s="1895"/>
      <c r="D30" s="1895"/>
    </row>
    <row r="31" spans="1:8">
      <c r="B31" s="485" t="s">
        <v>2993</v>
      </c>
      <c r="C31" s="1895"/>
      <c r="D31" s="1895"/>
    </row>
    <row r="32" spans="1:8">
      <c r="B32" s="485" t="s">
        <v>2994</v>
      </c>
      <c r="C32" s="1896"/>
      <c r="D32" s="1896"/>
    </row>
    <row r="34" spans="2:4">
      <c r="B34" s="485" t="s">
        <v>2817</v>
      </c>
      <c r="C34" s="1895"/>
      <c r="D34" s="1895"/>
    </row>
    <row r="35" spans="2:4">
      <c r="B35" s="485" t="s">
        <v>2818</v>
      </c>
      <c r="C35" s="1895"/>
      <c r="D35" s="1895"/>
    </row>
    <row r="37" spans="2:4">
      <c r="B37" s="484" t="s">
        <v>2686</v>
      </c>
      <c r="C37" s="634"/>
    </row>
    <row r="38" spans="2:4">
      <c r="B38" s="484" t="s">
        <v>2692</v>
      </c>
      <c r="C38" s="634"/>
    </row>
    <row r="39" spans="2:4">
      <c r="B39" s="484" t="s">
        <v>2878</v>
      </c>
      <c r="C39" s="635"/>
    </row>
    <row r="40" spans="2:4">
      <c r="B40" s="485" t="s">
        <v>2717</v>
      </c>
      <c r="C40" s="634"/>
    </row>
    <row r="41" spans="2:4">
      <c r="B41" s="485" t="s">
        <v>2710</v>
      </c>
      <c r="C41" s="634"/>
    </row>
    <row r="42" spans="2:4">
      <c r="B42" s="485" t="s">
        <v>2879</v>
      </c>
      <c r="C42" s="634"/>
    </row>
    <row r="43" spans="2:4">
      <c r="B43" s="485" t="s">
        <v>2880</v>
      </c>
      <c r="C43" s="634"/>
    </row>
    <row r="44" spans="2:4">
      <c r="B44" s="485" t="s">
        <v>2884</v>
      </c>
      <c r="C44" s="634"/>
    </row>
    <row r="45" spans="2:4">
      <c r="B45" s="485" t="s">
        <v>2819</v>
      </c>
      <c r="C45" s="634"/>
    </row>
    <row r="46" spans="2:4">
      <c r="B46" s="485" t="s">
        <v>2820</v>
      </c>
      <c r="C46" s="634"/>
    </row>
    <row r="47" spans="2:4">
      <c r="B47" s="485" t="s">
        <v>2599</v>
      </c>
      <c r="C47" s="634"/>
    </row>
    <row r="48" spans="2:4">
      <c r="B48" s="485" t="s">
        <v>2546</v>
      </c>
      <c r="C48" s="634"/>
    </row>
    <row r="49" spans="2:4">
      <c r="B49" s="485" t="s">
        <v>2547</v>
      </c>
      <c r="C49" s="634"/>
    </row>
    <row r="50" spans="2:4">
      <c r="B50" s="485" t="s">
        <v>2548</v>
      </c>
      <c r="C50" s="634"/>
    </row>
    <row r="52" spans="2:4">
      <c r="B52" s="485" t="s">
        <v>2807</v>
      </c>
      <c r="C52" s="634"/>
    </row>
    <row r="53" spans="2:4">
      <c r="B53" s="485" t="s">
        <v>2725</v>
      </c>
      <c r="C53" s="636">
        <v>0.18590000000000001</v>
      </c>
    </row>
    <row r="54" spans="2:4">
      <c r="B54" s="485" t="s">
        <v>2726</v>
      </c>
      <c r="C54" s="637">
        <v>1.579</v>
      </c>
    </row>
    <row r="55" spans="2:4">
      <c r="B55" s="485" t="s">
        <v>2756</v>
      </c>
      <c r="C55" s="638"/>
    </row>
    <row r="56" spans="2:4">
      <c r="B56" s="485" t="s">
        <v>2757</v>
      </c>
      <c r="C56" s="638"/>
    </row>
    <row r="57" spans="2:4">
      <c r="B57" s="485" t="s">
        <v>3041</v>
      </c>
      <c r="C57" s="638"/>
    </row>
    <row r="58" spans="2:4">
      <c r="B58" s="485" t="s">
        <v>2941</v>
      </c>
      <c r="C58" s="638"/>
    </row>
    <row r="59" spans="2:4">
      <c r="B59" s="485" t="s">
        <v>2991</v>
      </c>
      <c r="C59" s="638"/>
    </row>
    <row r="60" spans="2:4">
      <c r="B60" s="485" t="s">
        <v>4427</v>
      </c>
      <c r="C60" s="1750"/>
    </row>
    <row r="62" spans="2:4">
      <c r="B62" s="639" t="s">
        <v>2822</v>
      </c>
      <c r="C62" s="640" t="s">
        <v>2823</v>
      </c>
      <c r="D62" s="640" t="s">
        <v>2824</v>
      </c>
    </row>
    <row r="63" spans="2:4">
      <c r="B63" s="609" t="s">
        <v>2825</v>
      </c>
      <c r="C63" s="641"/>
      <c r="D63" s="641"/>
    </row>
    <row r="64" spans="2:4">
      <c r="B64" s="609" t="s">
        <v>2826</v>
      </c>
      <c r="C64" s="641"/>
      <c r="D64" s="641"/>
    </row>
    <row r="65" spans="2:7">
      <c r="B65" s="614" t="s">
        <v>2827</v>
      </c>
      <c r="C65" s="642"/>
      <c r="D65" s="642"/>
    </row>
    <row r="66" spans="2:7">
      <c r="B66" s="614" t="s">
        <v>2828</v>
      </c>
      <c r="C66" s="642"/>
      <c r="D66" s="642"/>
    </row>
    <row r="67" spans="2:7">
      <c r="B67" s="614" t="s">
        <v>2829</v>
      </c>
      <c r="C67" s="642"/>
      <c r="D67" s="643"/>
    </row>
    <row r="70" spans="2:7">
      <c r="B70" s="639" t="s">
        <v>2992</v>
      </c>
      <c r="C70" s="644" t="s">
        <v>2706</v>
      </c>
      <c r="D70" s="644" t="s">
        <v>2707</v>
      </c>
      <c r="E70" s="644" t="s">
        <v>2821</v>
      </c>
      <c r="F70" s="644" t="s">
        <v>2708</v>
      </c>
      <c r="G70" s="644" t="s">
        <v>2709</v>
      </c>
    </row>
    <row r="71" spans="2:7" ht="12" customHeight="1">
      <c r="B71" s="645" t="s">
        <v>2683</v>
      </c>
      <c r="C71" s="646"/>
      <c r="D71" s="646"/>
      <c r="E71" s="646"/>
      <c r="F71" s="647"/>
      <c r="G71" s="646"/>
    </row>
    <row r="72" spans="2:7" ht="12" customHeight="1">
      <c r="B72" s="645" t="s">
        <v>3098</v>
      </c>
      <c r="C72" s="646"/>
      <c r="D72" s="646"/>
      <c r="E72" s="646"/>
      <c r="F72" s="647"/>
      <c r="G72" s="646"/>
    </row>
    <row r="73" spans="2:7" ht="12" customHeight="1">
      <c r="B73" s="645" t="s">
        <v>3099</v>
      </c>
      <c r="C73" s="646"/>
      <c r="D73" s="646"/>
      <c r="E73" s="646"/>
      <c r="F73" s="647"/>
      <c r="G73" s="646"/>
    </row>
    <row r="74" spans="2:7">
      <c r="B74" s="645" t="s">
        <v>3100</v>
      </c>
      <c r="C74" s="646"/>
      <c r="D74" s="646"/>
      <c r="E74" s="646"/>
      <c r="F74" s="647"/>
      <c r="G74" s="646"/>
    </row>
    <row r="75" spans="2:7">
      <c r="B75" s="645" t="s">
        <v>3101</v>
      </c>
      <c r="C75" s="646"/>
      <c r="D75" s="646"/>
      <c r="E75" s="646"/>
      <c r="F75" s="647"/>
      <c r="G75" s="646"/>
    </row>
    <row r="76" spans="2:7">
      <c r="B76" s="645" t="s">
        <v>4327</v>
      </c>
      <c r="C76" s="646"/>
      <c r="D76" s="646"/>
      <c r="E76" s="646"/>
      <c r="F76" s="647"/>
      <c r="G76" s="646"/>
    </row>
  </sheetData>
  <mergeCells count="6">
    <mergeCell ref="C35:D35"/>
    <mergeCell ref="C29:D29"/>
    <mergeCell ref="C30:D30"/>
    <mergeCell ref="C31:D31"/>
    <mergeCell ref="C34:D34"/>
    <mergeCell ref="C32:D32"/>
  </mergeCells>
  <phoneticPr fontId="30" type="noConversion"/>
  <dataValidations xWindow="464" yWindow="322" count="13">
    <dataValidation type="list" allowBlank="1" showInputMessage="1" showErrorMessage="1" sqref="C52">
      <formula1>"Please Select, 4, 5, 6"</formula1>
    </dataValidation>
    <dataValidation type="list" allowBlank="1" showInputMessage="1" showErrorMessage="1" sqref="C45:C46">
      <formula1>fuel</formula1>
    </dataValidation>
    <dataValidation type="list" allowBlank="1" showInputMessage="1" showErrorMessage="1" sqref="C47:C50">
      <formula1>"Whole-building, unit-by-unit, mixed"</formula1>
    </dataValidation>
    <dataValidation type="list" allowBlank="1" showInputMessage="1" showErrorMessage="1" sqref="C58">
      <formula1>Utility</formula1>
    </dataValidation>
    <dataValidation type="list" allowBlank="1" showInputMessage="1" showErrorMessage="1" sqref="C59">
      <formula1>GasUtility</formula1>
    </dataValidation>
    <dataValidation type="list" allowBlank="1" showInputMessage="1" showErrorMessage="1" sqref="C41">
      <formula1>construction</formula1>
    </dataValidation>
    <dataValidation type="list" allowBlank="1" showInputMessage="1" showErrorMessage="1" sqref="C37">
      <formula1>Milestone</formula1>
    </dataValidation>
    <dataValidation type="list" allowBlank="1" showInputMessage="1" showErrorMessage="1" sqref="C38">
      <formula1>Rev</formula1>
    </dataValidation>
    <dataValidation type="list" allowBlank="1" showInputMessage="1" showErrorMessage="1" sqref="C40">
      <formula1>Income</formula1>
    </dataValidation>
    <dataValidation type="list" allowBlank="1" showInputMessage="1" showErrorMessage="1" sqref="C27">
      <formula1>Garage</formula1>
    </dataValidation>
    <dataValidation type="list" allowBlank="1" showInputMessage="1" showErrorMessage="1" sqref="D11:D23">
      <formula1>Condition</formula1>
    </dataValidation>
    <dataValidation type="list" allowBlank="1" showInputMessage="1" showErrorMessage="1" sqref="E11:E23">
      <formula1>YN</formula1>
    </dataValidation>
    <dataValidation type="list" allowBlank="1" showInputMessage="1" showErrorMessage="1" sqref="C60">
      <formula1>"Yes,No"</formula1>
    </dataValidation>
  </dataValidations>
  <printOptions gridLines="1"/>
  <pageMargins left="0.75" right="0.75" top="1" bottom="1" header="0.5" footer="0.5"/>
  <pageSetup scale="52" orientation="landscape" r:id="rId1"/>
  <headerFooter alignWithMargins="0"/>
  <cellWatches>
    <cellWatch r="C67"/>
  </cellWatches>
  <ignoredErrors>
    <ignoredError sqref="G22"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64</vt:i4>
      </vt:variant>
    </vt:vector>
  </HeadingPairs>
  <TitlesOfParts>
    <vt:vector size="111" baseType="lpstr">
      <vt:lpstr>Report</vt:lpstr>
      <vt:lpstr>GHSF Calculator</vt:lpstr>
      <vt:lpstr>Demand Savings Lookup</vt:lpstr>
      <vt:lpstr>Lookup</vt:lpstr>
      <vt:lpstr>Drop Down</vt:lpstr>
      <vt:lpstr>Introduction</vt:lpstr>
      <vt:lpstr>NYSERDA Reporting</vt:lpstr>
      <vt:lpstr>ERMs</vt:lpstr>
      <vt:lpstr>Basic Info</vt:lpstr>
      <vt:lpstr>Model Inputs</vt:lpstr>
      <vt:lpstr>Reporting Summary</vt:lpstr>
      <vt:lpstr>Avoided Costs</vt:lpstr>
      <vt:lpstr>Detailed Measures</vt:lpstr>
      <vt:lpstr>Results from eQUEST</vt:lpstr>
      <vt:lpstr>Simulation Summary</vt:lpstr>
      <vt:lpstr>T&amp;V Instructions</vt:lpstr>
      <vt:lpstr>T&amp;V TOC</vt:lpstr>
      <vt:lpstr>Admin</vt:lpstr>
      <vt:lpstr>Overview</vt:lpstr>
      <vt:lpstr>1.1 - APPLIANCES</vt:lpstr>
      <vt:lpstr>2.1-2.2, 5.1, 5.3 - HEATING&amp;DHW</vt:lpstr>
      <vt:lpstr>3.1 - ENV_BELOW GRADE WALLS</vt:lpstr>
      <vt:lpstr>3.1 - ENV_ABOVE GRADE WALLS</vt:lpstr>
      <vt:lpstr>3.2 - ENV_ROOF</vt:lpstr>
      <vt:lpstr>3.3 - ENV_FLOORS</vt:lpstr>
      <vt:lpstr>3.4 - ENV_WINDOWS</vt:lpstr>
      <vt:lpstr>3.5 - ENV_EXTERIOR DOORS</vt:lpstr>
      <vt:lpstr>4.2 - GARAGES_CMPTZ &amp; HEATING </vt:lpstr>
      <vt:lpstr>5.2, 5.4 - COOLING</vt:lpstr>
      <vt:lpstr>6.1, 6.2, 6.3 - LIGHTING</vt:lpstr>
      <vt:lpstr>7.1 - MOTORS</vt:lpstr>
      <vt:lpstr>8.1 - INF_EXT AIR BARRIER</vt:lpstr>
      <vt:lpstr>8.1-INF_COMPTZN VIS INSPECTION</vt:lpstr>
      <vt:lpstr>8.1 - INF_BLOWER DOOR TEST</vt:lpstr>
      <vt:lpstr>8.2,4.1 - VENT_SCHEDULE&amp;TAB</vt:lpstr>
      <vt:lpstr>8.2 - VENT_DUCT TIGHTNESS</vt:lpstr>
      <vt:lpstr>9.1- H&amp;S</vt:lpstr>
      <vt:lpstr>10.1 - METERS</vt:lpstr>
      <vt:lpstr>RECS - Baseline</vt:lpstr>
      <vt:lpstr>RECS - Proposed</vt:lpstr>
      <vt:lpstr>Tables of Values</vt:lpstr>
      <vt:lpstr>Locator Map</vt:lpstr>
      <vt:lpstr>Side Calcs - Baseline</vt:lpstr>
      <vt:lpstr>ZipCode Map</vt:lpstr>
      <vt:lpstr>Worksheet - Design - Baseline</vt:lpstr>
      <vt:lpstr>Worksheet - Design - Proposed</vt:lpstr>
      <vt:lpstr>Side Calcs - Proposed</vt:lpstr>
      <vt:lpstr>'Detailed Measures'!_Toc260388435</vt:lpstr>
      <vt:lpstr>AvoidedCostTable</vt:lpstr>
      <vt:lpstr>CentralHudson</vt:lpstr>
      <vt:lpstr>ClimateZone</vt:lpstr>
      <vt:lpstr>Condition</vt:lpstr>
      <vt:lpstr>ConEd</vt:lpstr>
      <vt:lpstr>construction</vt:lpstr>
      <vt:lpstr>DHW_Method</vt:lpstr>
      <vt:lpstr>EStar</vt:lpstr>
      <vt:lpstr>Fan</vt:lpstr>
      <vt:lpstr>FanControl</vt:lpstr>
      <vt:lpstr>Footcandles</vt:lpstr>
      <vt:lpstr>fuel</vt:lpstr>
      <vt:lpstr>Fuels</vt:lpstr>
      <vt:lpstr>FundingCodes</vt:lpstr>
      <vt:lpstr>Garage</vt:lpstr>
      <vt:lpstr>GasUtility</vt:lpstr>
      <vt:lpstr>HeatingControl</vt:lpstr>
      <vt:lpstr>Income</vt:lpstr>
      <vt:lpstr>KEDLI</vt:lpstr>
      <vt:lpstr>LightingSpaceType</vt:lpstr>
      <vt:lpstr>LPD</vt:lpstr>
      <vt:lpstr>Measure_Type</vt:lpstr>
      <vt:lpstr>Milestone</vt:lpstr>
      <vt:lpstr>NationalGrid</vt:lpstr>
      <vt:lpstr>NYSEG</vt:lpstr>
      <vt:lpstr>OandR</vt:lpstr>
      <vt:lpstr>'1.1 - APPLIANCES'!Print_Area</vt:lpstr>
      <vt:lpstr>'10.1 - METERS'!Print_Area</vt:lpstr>
      <vt:lpstr>'2.1-2.2, 5.1, 5.3 - HEATING&amp;DHW'!Print_Area</vt:lpstr>
      <vt:lpstr>'3.1 - ENV_ABOVE GRADE WALLS'!Print_Area</vt:lpstr>
      <vt:lpstr>'3.1 - ENV_BELOW GRADE WALLS'!Print_Area</vt:lpstr>
      <vt:lpstr>'3.2 - ENV_ROOF'!Print_Area</vt:lpstr>
      <vt:lpstr>'3.3 - ENV_FLOORS'!Print_Area</vt:lpstr>
      <vt:lpstr>'3.4 - ENV_WINDOWS'!Print_Area</vt:lpstr>
      <vt:lpstr>'3.5 - ENV_EXTERIOR DOORS'!Print_Area</vt:lpstr>
      <vt:lpstr>'4.2 - GARAGES_CMPTZ &amp; HEATING '!Print_Area</vt:lpstr>
      <vt:lpstr>'5.2, 5.4 - COOLING'!Print_Area</vt:lpstr>
      <vt:lpstr>'6.1, 6.2, 6.3 - LIGHTING'!Print_Area</vt:lpstr>
      <vt:lpstr>'7.1 - MOTORS'!Print_Area</vt:lpstr>
      <vt:lpstr>'8.1 - INF_BLOWER DOOR TEST'!Print_Area</vt:lpstr>
      <vt:lpstr>'8.1 - INF_EXT AIR BARRIER'!Print_Area</vt:lpstr>
      <vt:lpstr>'8.1-INF_COMPTZN VIS INSPECTION'!Print_Area</vt:lpstr>
      <vt:lpstr>'8.2 - VENT_DUCT TIGHTNESS'!Print_Area</vt:lpstr>
      <vt:lpstr>'8.2,4.1 - VENT_SCHEDULE&amp;TAB'!Print_Area</vt:lpstr>
      <vt:lpstr>'9.1- H&amp;S'!Print_Area</vt:lpstr>
      <vt:lpstr>Admin!Print_Area</vt:lpstr>
      <vt:lpstr>'Detailed Measures'!Print_Area</vt:lpstr>
      <vt:lpstr>ERMs!Print_Area</vt:lpstr>
      <vt:lpstr>Introduction!Print_Area</vt:lpstr>
      <vt:lpstr>Overview!Print_Area</vt:lpstr>
      <vt:lpstr>'RECS - Baseline'!Print_Area</vt:lpstr>
      <vt:lpstr>'RECS - Proposed'!Print_Area</vt:lpstr>
      <vt:lpstr>Pump</vt:lpstr>
      <vt:lpstr>PumpClass</vt:lpstr>
      <vt:lpstr>Rev</vt:lpstr>
      <vt:lpstr>RGandE</vt:lpstr>
      <vt:lpstr>SpaceType</vt:lpstr>
      <vt:lpstr>Standard</vt:lpstr>
      <vt:lpstr>Units</vt:lpstr>
      <vt:lpstr>Utility</vt:lpstr>
      <vt:lpstr>Windows</vt:lpstr>
      <vt:lpstr>YesNo</vt:lpstr>
      <vt:lpstr>YN</vt:lpstr>
    </vt:vector>
  </TitlesOfParts>
  <Company>NYSERDA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creator>
  <cp:lastModifiedBy>TRC</cp:lastModifiedBy>
  <cp:lastPrinted>2010-10-05T13:10:06Z</cp:lastPrinted>
  <dcterms:created xsi:type="dcterms:W3CDTF">2007-11-19T22:02:39Z</dcterms:created>
  <dcterms:modified xsi:type="dcterms:W3CDTF">2012-08-07T14:52:47Z</dcterms:modified>
</cp:coreProperties>
</file>